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s177040" algorithmName="SHA-512" hashValue="RJI1CnHB0Smc823AE022jpBAk9tykCHBPTM3XHRDeeD1C2XQHG0kN1qnyq1fSp+9SWvDxS07zxS5bnbRxgVpQg==" saltValue="vCtiZAf8ER9gezSlc6Gqpg==" spinCount="1000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Projected\2021 Projection\Filed 10-30-20\"/>
    </mc:Choice>
  </mc:AlternateContent>
  <bookViews>
    <workbookView xWindow="0" yWindow="0" windowWidth="19200" windowHeight="6920" tabRatio="887"/>
  </bookViews>
  <sheets>
    <sheet name="PSO.Sch.11.Rates" sheetId="17" r:id="rId1"/>
    <sheet name="PSO.WS.F.BPU.ATRR.Projected" sheetId="1" r:id="rId2"/>
    <sheet name="PSO.WS.G.BPU.ATRR.True-up" sheetId="2" r:id="rId3"/>
    <sheet name="P.001" sheetId="3" r:id="rId4"/>
    <sheet name="P.002" sheetId="4" r:id="rId5"/>
    <sheet name="P.003" sheetId="5" r:id="rId6"/>
    <sheet name="P.004" sheetId="6" r:id="rId7"/>
    <sheet name="P.005" sheetId="7" r:id="rId8"/>
    <sheet name="P.006" sheetId="8" r:id="rId9"/>
    <sheet name="P.007" sheetId="9" r:id="rId10"/>
    <sheet name="P.008" sheetId="10" r:id="rId11"/>
    <sheet name="P.009" sheetId="11" r:id="rId12"/>
    <sheet name="P.010" sheetId="22" r:id="rId13"/>
    <sheet name="P.011" sheetId="23" r:id="rId14"/>
    <sheet name="P.012" sheetId="24" r:id="rId15"/>
    <sheet name="P.013" sheetId="25" r:id="rId16"/>
    <sheet name="P.014" sheetId="27" r:id="rId17"/>
    <sheet name="P.015" sheetId="28" r:id="rId18"/>
    <sheet name="P.016" sheetId="29" r:id="rId19"/>
    <sheet name="P.017" sheetId="30" r:id="rId20"/>
    <sheet name="P.018" sheetId="31" r:id="rId21"/>
    <sheet name="P.019" sheetId="37" r:id="rId22"/>
    <sheet name="P.020" sheetId="38" r:id="rId23"/>
    <sheet name="P.021" sheetId="39" r:id="rId24"/>
    <sheet name="P.022" sheetId="40" r:id="rId25"/>
    <sheet name="P.023" sheetId="41" r:id="rId26"/>
    <sheet name="P.024" sheetId="42" r:id="rId27"/>
    <sheet name="P.025" sheetId="43" r:id="rId28"/>
    <sheet name="P.026" sheetId="44" r:id="rId29"/>
    <sheet name="P.027" sheetId="45" r:id="rId30"/>
    <sheet name="P.028" sheetId="46" r:id="rId31"/>
    <sheet name="P.xyz - blank" sheetId="13" r:id="rId32"/>
  </sheets>
  <externalReferences>
    <externalReference r:id="rId33"/>
  </externalReferences>
  <definedNames>
    <definedName name="_NPh1">#REF!</definedName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llocator">#REF!</definedName>
    <definedName name="allocators">#REF!</definedName>
    <definedName name="allocatorsSWP">#REF!</definedName>
    <definedName name="allocatorSWP1">'[1]SWP TCOS 2008 13 Month'!$I$317:$J$328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rrYear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P_h1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AEP_STATE_JURIS">"AEP_ST_JD_TBL"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3">P.001!$A$1:$P$165</definedName>
    <definedName name="_xlnm.Print_Area" localSheetId="4">P.002!$A$1:$P$165</definedName>
    <definedName name="_xlnm.Print_Area" localSheetId="5">P.003!$A$1:$P$165</definedName>
    <definedName name="_xlnm.Print_Area" localSheetId="6">P.004!$A$1:$P$165</definedName>
    <definedName name="_xlnm.Print_Area" localSheetId="7">P.005!$A$1:$P$165</definedName>
    <definedName name="_xlnm.Print_Area" localSheetId="8">P.006!$A$1:$P$165</definedName>
    <definedName name="_xlnm.Print_Area" localSheetId="9">P.007!$A$1:$P$165</definedName>
    <definedName name="_xlnm.Print_Area" localSheetId="10">P.008!$A$1:$P$165</definedName>
    <definedName name="_xlnm.Print_Area" localSheetId="11">P.009!$A$1:$P$165</definedName>
    <definedName name="_xlnm.Print_Area" localSheetId="12">P.010!$A$1:$P$165</definedName>
    <definedName name="_xlnm.Print_Area" localSheetId="13">P.011!$A$1:$P$165</definedName>
    <definedName name="_xlnm.Print_Area" localSheetId="14">P.012!$A$1:$P$165</definedName>
    <definedName name="_xlnm.Print_Area" localSheetId="15">P.013!$A$1:$P$165</definedName>
    <definedName name="_xlnm.Print_Area" localSheetId="16">P.014!$A$1:$P$165</definedName>
    <definedName name="_xlnm.Print_Area" localSheetId="17">P.015!$A$1:$P$165</definedName>
    <definedName name="_xlnm.Print_Area" localSheetId="18">P.016!$A$1:$P$165</definedName>
    <definedName name="_xlnm.Print_Area" localSheetId="19">P.017!$A$1:$P$165</definedName>
    <definedName name="_xlnm.Print_Area" localSheetId="20">P.018!$A$1:$P$165</definedName>
    <definedName name="_xlnm.Print_Area" localSheetId="21">P.019!$A$1:$P$165</definedName>
    <definedName name="_xlnm.Print_Area" localSheetId="22">P.020!$A$1:$P$165</definedName>
    <definedName name="_xlnm.Print_Area" localSheetId="23">P.021!$A$1:$P$165</definedName>
    <definedName name="_xlnm.Print_Area" localSheetId="24">P.022!$A$1:$P$165</definedName>
    <definedName name="_xlnm.Print_Area" localSheetId="31">'P.xyz - blank'!$A$1:$P$165</definedName>
    <definedName name="_xlnm.Print_Area" localSheetId="0">PSO.Sch.11.Rates!$A$1:$V$49</definedName>
    <definedName name="_xlnm.Print_Area" localSheetId="1">PSO.WS.F.BPU.ATRR.Projected!$A$1:$O$93</definedName>
    <definedName name="_xlnm.Print_Area" localSheetId="2">'PSO.WS.G.BPU.ATRR.True-up'!$A$1:$P$96</definedName>
    <definedName name="_xlnm.Print_Titles" localSheetId="5">P.003!#REF!</definedName>
    <definedName name="_xlnm.Print_Titles" localSheetId="6">P.004!#REF!</definedName>
    <definedName name="_xlnm.Print_Titles" localSheetId="7">P.005!#REF!</definedName>
    <definedName name="_xlnm.Print_Titles" localSheetId="8">P.006!#REF!</definedName>
    <definedName name="_xlnm.Print_Titles" localSheetId="9">P.007!#REF!</definedName>
    <definedName name="_xlnm.Print_Titles" localSheetId="10">P.008!#REF!</definedName>
    <definedName name="_xlnm.Print_Titles" localSheetId="11">P.009!#REF!</definedName>
    <definedName name="_xlnm.Print_Titles" localSheetId="12">P.010!#REF!</definedName>
    <definedName name="_xlnm.Print_Titles" localSheetId="13">P.011!#REF!</definedName>
    <definedName name="_xlnm.Print_Titles" localSheetId="14">P.012!#REF!</definedName>
    <definedName name="_xlnm.Print_Titles" localSheetId="15">P.013!#REF!</definedName>
    <definedName name="_xlnm.Print_Titles" localSheetId="16">P.014!#REF!</definedName>
    <definedName name="_xlnm.Print_Titles" localSheetId="17">P.015!#REF!</definedName>
    <definedName name="_xlnm.Print_Titles" localSheetId="18">P.016!#REF!</definedName>
    <definedName name="_xlnm.Print_Titles" localSheetId="19">P.017!#REF!</definedName>
    <definedName name="_xlnm.Print_Titles" localSheetId="20">P.018!#REF!</definedName>
    <definedName name="_xlnm.Print_Titles" localSheetId="21">P.019!#REF!</definedName>
    <definedName name="_xlnm.Print_Titles" localSheetId="22">P.020!#REF!</definedName>
    <definedName name="_xlnm.Print_Titles" localSheetId="23">P.021!#REF!</definedName>
    <definedName name="_xlnm.Print_Titles" localSheetId="24">P.022!#REF!</definedName>
    <definedName name="_xlnm.Print_Titles" localSheetId="31">'P.xyz - blank'!#REF!</definedName>
    <definedName name="_xlnm.Print_Titles" localSheetId="1">PSO.WS.F.BPU.ATRR.Projected!$1:$6</definedName>
    <definedName name="_xlnm.Print_Titles" localSheetId="2">'PSO.WS.G.BPU.ATRR.True-up'!$1:$5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SOallocatorsP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WPallocatorsH">#REF!</definedName>
    <definedName name="SWPallocatorsP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62913"/>
</workbook>
</file>

<file path=xl/calcChain.xml><?xml version="1.0" encoding="utf-8"?>
<calcChain xmlns="http://schemas.openxmlformats.org/spreadsheetml/2006/main">
  <c r="P45" i="17" l="1"/>
  <c r="L45" i="17"/>
  <c r="I17" i="44"/>
  <c r="I18" i="44"/>
  <c r="M17" i="46" l="1"/>
  <c r="K17" i="46"/>
  <c r="L17" i="46" s="1"/>
  <c r="M23" i="31"/>
  <c r="K23" i="31"/>
  <c r="L23" i="31" s="1"/>
  <c r="M22" i="30"/>
  <c r="K22" i="30"/>
  <c r="L22" i="30" s="1"/>
  <c r="D23" i="30" l="1"/>
  <c r="M18" i="44"/>
  <c r="K18" i="44"/>
  <c r="L18" i="44" s="1"/>
  <c r="M19" i="43"/>
  <c r="K19" i="43"/>
  <c r="L19" i="43" s="1"/>
  <c r="M19" i="42"/>
  <c r="K19" i="42"/>
  <c r="L19" i="42" s="1"/>
  <c r="M19" i="41"/>
  <c r="K19" i="41"/>
  <c r="L19" i="41" s="1"/>
  <c r="M19" i="40"/>
  <c r="K19" i="40"/>
  <c r="L19" i="40" s="1"/>
  <c r="M20" i="39"/>
  <c r="K20" i="39"/>
  <c r="L20" i="39" s="1"/>
  <c r="M20" i="38"/>
  <c r="K20" i="38"/>
  <c r="L20" i="38" s="1"/>
  <c r="M20" i="37"/>
  <c r="K20" i="37"/>
  <c r="L20" i="37" s="1"/>
  <c r="M23" i="29"/>
  <c r="K23" i="29"/>
  <c r="L23" i="29" s="1"/>
  <c r="M23" i="28"/>
  <c r="K23" i="28"/>
  <c r="L23" i="28" s="1"/>
  <c r="M24" i="27"/>
  <c r="K24" i="27"/>
  <c r="L24" i="27" s="1"/>
  <c r="M27" i="25"/>
  <c r="K27" i="25"/>
  <c r="L27" i="25" s="1"/>
  <c r="M25" i="24"/>
  <c r="K25" i="24"/>
  <c r="L25" i="24" s="1"/>
  <c r="M26" i="23"/>
  <c r="K26" i="23"/>
  <c r="L26" i="23" s="1"/>
  <c r="M27" i="22"/>
  <c r="K27" i="22"/>
  <c r="L27" i="22" s="1"/>
  <c r="M30" i="11"/>
  <c r="K30" i="11"/>
  <c r="L30" i="11" s="1"/>
  <c r="M31" i="10"/>
  <c r="K31" i="10"/>
  <c r="L31" i="10" s="1"/>
  <c r="M30" i="9"/>
  <c r="K30" i="9"/>
  <c r="L30" i="9" s="1"/>
  <c r="M29" i="8"/>
  <c r="K29" i="8"/>
  <c r="L29" i="8" s="1"/>
  <c r="M31" i="7"/>
  <c r="K31" i="7"/>
  <c r="L31" i="7" s="1"/>
  <c r="M29" i="6"/>
  <c r="K29" i="6"/>
  <c r="L29" i="6" s="1"/>
  <c r="M28" i="5"/>
  <c r="K28" i="5"/>
  <c r="L28" i="5" s="1"/>
  <c r="M28" i="4"/>
  <c r="K28" i="4"/>
  <c r="L28" i="4" s="1"/>
  <c r="M28" i="3"/>
  <c r="K28" i="3"/>
  <c r="L28" i="3" s="1"/>
  <c r="E13" i="17"/>
  <c r="H3" i="17"/>
  <c r="W44" i="17" l="1"/>
  <c r="W43" i="17"/>
  <c r="N47" i="17"/>
  <c r="D100" i="38" l="1"/>
  <c r="M17" i="45" l="1"/>
  <c r="K17" i="45"/>
  <c r="L17" i="45" s="1"/>
  <c r="M17" i="44"/>
  <c r="K17" i="44"/>
  <c r="L17" i="44" s="1"/>
  <c r="M18" i="42"/>
  <c r="K18" i="42"/>
  <c r="L18" i="42" s="1"/>
  <c r="M18" i="43"/>
  <c r="K18" i="43"/>
  <c r="L18" i="43" s="1"/>
  <c r="M18" i="41"/>
  <c r="K18" i="41"/>
  <c r="L18" i="41" s="1"/>
  <c r="M18" i="40"/>
  <c r="K18" i="40"/>
  <c r="L18" i="40" s="1"/>
  <c r="M19" i="39"/>
  <c r="K19" i="39"/>
  <c r="L19" i="39" s="1"/>
  <c r="M19" i="38"/>
  <c r="K19" i="38"/>
  <c r="L19" i="38" s="1"/>
  <c r="M19" i="37"/>
  <c r="K19" i="37"/>
  <c r="L19" i="37" s="1"/>
  <c r="M22" i="31"/>
  <c r="K22" i="31"/>
  <c r="L22" i="31" s="1"/>
  <c r="M21" i="30"/>
  <c r="K21" i="30"/>
  <c r="L21" i="30" s="1"/>
  <c r="M22" i="29"/>
  <c r="K22" i="29"/>
  <c r="L22" i="29" s="1"/>
  <c r="M22" i="28"/>
  <c r="K22" i="28"/>
  <c r="L22" i="28" s="1"/>
  <c r="M23" i="27"/>
  <c r="K23" i="27"/>
  <c r="L23" i="27" s="1"/>
  <c r="M26" i="25"/>
  <c r="N26" i="25" s="1"/>
  <c r="K26" i="25"/>
  <c r="L26" i="25" s="1"/>
  <c r="M24" i="24"/>
  <c r="N24" i="24" s="1"/>
  <c r="K24" i="24"/>
  <c r="L24" i="24" s="1"/>
  <c r="M25" i="23"/>
  <c r="N25" i="23" s="1"/>
  <c r="K25" i="23"/>
  <c r="L25" i="23" s="1"/>
  <c r="M26" i="22"/>
  <c r="N26" i="22" s="1"/>
  <c r="K26" i="22"/>
  <c r="L26" i="22" s="1"/>
  <c r="M29" i="11"/>
  <c r="N29" i="11" s="1"/>
  <c r="K29" i="11"/>
  <c r="L29" i="11" s="1"/>
  <c r="O24" i="24" l="1"/>
  <c r="O25" i="23"/>
  <c r="O26" i="22"/>
  <c r="M30" i="10" l="1"/>
  <c r="N30" i="10" s="1"/>
  <c r="K30" i="10"/>
  <c r="L30" i="10" s="1"/>
  <c r="M29" i="9"/>
  <c r="N29" i="9" s="1"/>
  <c r="K29" i="9"/>
  <c r="L29" i="9" s="1"/>
  <c r="D111" i="9"/>
  <c r="M28" i="8"/>
  <c r="N28" i="8" s="1"/>
  <c r="K28" i="8"/>
  <c r="L28" i="8" s="1"/>
  <c r="M30" i="7"/>
  <c r="N30" i="7" s="1"/>
  <c r="K30" i="7"/>
  <c r="L30" i="7" s="1"/>
  <c r="M28" i="6"/>
  <c r="N28" i="6" s="1"/>
  <c r="K28" i="6"/>
  <c r="L28" i="6" s="1"/>
  <c r="M27" i="5"/>
  <c r="N27" i="5" s="1"/>
  <c r="K27" i="5"/>
  <c r="L27" i="5" s="1"/>
  <c r="M27" i="4"/>
  <c r="N27" i="4" s="1"/>
  <c r="K27" i="4"/>
  <c r="L27" i="4" s="1"/>
  <c r="M27" i="3"/>
  <c r="N27" i="3" s="1"/>
  <c r="K27" i="3"/>
  <c r="L27" i="3" s="1"/>
  <c r="O27" i="4" l="1"/>
  <c r="O30" i="10"/>
  <c r="O29" i="9"/>
  <c r="O28" i="8"/>
  <c r="O30" i="7"/>
  <c r="O28" i="6"/>
  <c r="O27" i="5"/>
  <c r="O27" i="3"/>
  <c r="N99" i="43" l="1"/>
  <c r="O99" i="43" s="1"/>
  <c r="P99" i="43" s="1"/>
  <c r="M99" i="43"/>
  <c r="L99" i="43"/>
  <c r="N99" i="42"/>
  <c r="O99" i="42" s="1"/>
  <c r="P99" i="42" s="1"/>
  <c r="M99" i="42"/>
  <c r="L99" i="42"/>
  <c r="N99" i="41"/>
  <c r="O99" i="41" s="1"/>
  <c r="P99" i="41" s="1"/>
  <c r="M99" i="41"/>
  <c r="L99" i="41"/>
  <c r="N99" i="40"/>
  <c r="O99" i="40" s="1"/>
  <c r="P99" i="40" s="1"/>
  <c r="M99" i="40"/>
  <c r="L99" i="40"/>
  <c r="N100" i="39"/>
  <c r="O100" i="39" s="1"/>
  <c r="P100" i="39" s="1"/>
  <c r="M100" i="39"/>
  <c r="L100" i="39"/>
  <c r="N100" i="37"/>
  <c r="O100" i="37" s="1"/>
  <c r="P100" i="37" s="1"/>
  <c r="M100" i="37"/>
  <c r="L100" i="37"/>
  <c r="N103" i="31"/>
  <c r="O103" i="31" s="1"/>
  <c r="P103" i="31" s="1"/>
  <c r="M103" i="31"/>
  <c r="L103" i="31"/>
  <c r="O102" i="30"/>
  <c r="N102" i="30"/>
  <c r="L102" i="30"/>
  <c r="M102" i="30" s="1"/>
  <c r="N103" i="29"/>
  <c r="O103" i="29" s="1"/>
  <c r="P103" i="29" s="1"/>
  <c r="M103" i="29"/>
  <c r="L103" i="29"/>
  <c r="N103" i="28"/>
  <c r="O103" i="28" s="1"/>
  <c r="P103" i="28" s="1"/>
  <c r="M103" i="28"/>
  <c r="L103" i="28"/>
  <c r="N104" i="27"/>
  <c r="O104" i="27" s="1"/>
  <c r="P104" i="27" s="1"/>
  <c r="M104" i="27"/>
  <c r="L104" i="27"/>
  <c r="N107" i="25"/>
  <c r="O107" i="25" s="1"/>
  <c r="P107" i="25" s="1"/>
  <c r="M107" i="25"/>
  <c r="L107" i="25"/>
  <c r="N105" i="24"/>
  <c r="O105" i="24" s="1"/>
  <c r="P105" i="24" s="1"/>
  <c r="M105" i="24"/>
  <c r="L105" i="24"/>
  <c r="N106" i="23"/>
  <c r="O106" i="23" s="1"/>
  <c r="P106" i="23" s="1"/>
  <c r="M106" i="23"/>
  <c r="L106" i="23"/>
  <c r="N107" i="22"/>
  <c r="O107" i="22" s="1"/>
  <c r="P107" i="22" s="1"/>
  <c r="M107" i="22"/>
  <c r="L107" i="22"/>
  <c r="N110" i="11"/>
  <c r="O110" i="11" s="1"/>
  <c r="P110" i="11" s="1"/>
  <c r="M110" i="11"/>
  <c r="L110" i="11"/>
  <c r="N111" i="10"/>
  <c r="O111" i="10" s="1"/>
  <c r="P111" i="10" s="1"/>
  <c r="M111" i="10"/>
  <c r="L111" i="10"/>
  <c r="N110" i="9"/>
  <c r="O110" i="9" s="1"/>
  <c r="P110" i="9" s="1"/>
  <c r="M110" i="9"/>
  <c r="L110" i="9"/>
  <c r="N109" i="8"/>
  <c r="O109" i="8" s="1"/>
  <c r="P109" i="8" s="1"/>
  <c r="M109" i="8"/>
  <c r="L109" i="8"/>
  <c r="N111" i="7"/>
  <c r="O111" i="7" s="1"/>
  <c r="P111" i="7" s="1"/>
  <c r="M111" i="7"/>
  <c r="L111" i="7"/>
  <c r="N109" i="6"/>
  <c r="O109" i="6" s="1"/>
  <c r="P109" i="6" s="1"/>
  <c r="M109" i="6"/>
  <c r="L109" i="6"/>
  <c r="N108" i="5"/>
  <c r="O108" i="5" s="1"/>
  <c r="P108" i="5" s="1"/>
  <c r="M108" i="5"/>
  <c r="L108" i="5"/>
  <c r="N108" i="4"/>
  <c r="O108" i="4" s="1"/>
  <c r="P108" i="4" s="1"/>
  <c r="M108" i="4"/>
  <c r="L108" i="4"/>
  <c r="N108" i="3"/>
  <c r="O108" i="3" s="1"/>
  <c r="P108" i="3" s="1"/>
  <c r="M108" i="3"/>
  <c r="L108" i="3"/>
  <c r="O47" i="17"/>
  <c r="P44" i="17"/>
  <c r="P43" i="17"/>
  <c r="P102" i="30" l="1"/>
  <c r="J47" i="17" l="1"/>
  <c r="G93" i="17" l="1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M17" i="43"/>
  <c r="K17" i="43"/>
  <c r="E36" i="1"/>
  <c r="E35" i="1"/>
  <c r="C36" i="1"/>
  <c r="C35" i="1"/>
  <c r="L19" i="1"/>
  <c r="I54" i="17"/>
  <c r="I10" i="27" l="1"/>
  <c r="A4" i="1"/>
  <c r="A2" i="1"/>
  <c r="F93" i="17"/>
  <c r="E93" i="17"/>
  <c r="P42" i="17" l="1"/>
  <c r="E36" i="2" l="1"/>
  <c r="E35" i="2"/>
  <c r="C36" i="2"/>
  <c r="C35" i="2"/>
  <c r="C34" i="2"/>
  <c r="W42" i="17" l="1"/>
  <c r="P154" i="46"/>
  <c r="O154" i="46"/>
  <c r="M154" i="46"/>
  <c r="J154" i="46"/>
  <c r="P153" i="46"/>
  <c r="O153" i="46"/>
  <c r="M153" i="46"/>
  <c r="J153" i="46"/>
  <c r="P152" i="46"/>
  <c r="O152" i="46"/>
  <c r="M152" i="46"/>
  <c r="J152" i="46"/>
  <c r="P151" i="46"/>
  <c r="O151" i="46"/>
  <c r="M151" i="46"/>
  <c r="J151" i="46"/>
  <c r="P150" i="46"/>
  <c r="O150" i="46"/>
  <c r="M150" i="46"/>
  <c r="J150" i="46"/>
  <c r="P149" i="46"/>
  <c r="O149" i="46"/>
  <c r="M149" i="46"/>
  <c r="J149" i="46"/>
  <c r="P148" i="46"/>
  <c r="O148" i="46"/>
  <c r="M148" i="46"/>
  <c r="J148" i="46"/>
  <c r="P147" i="46"/>
  <c r="O147" i="46"/>
  <c r="M147" i="46"/>
  <c r="J147" i="46"/>
  <c r="P146" i="46"/>
  <c r="O146" i="46"/>
  <c r="M146" i="46"/>
  <c r="J146" i="46"/>
  <c r="P145" i="46"/>
  <c r="O145" i="46"/>
  <c r="M145" i="46"/>
  <c r="J145" i="46"/>
  <c r="P144" i="46"/>
  <c r="O144" i="46"/>
  <c r="M144" i="46"/>
  <c r="J144" i="46"/>
  <c r="P143" i="46"/>
  <c r="O143" i="46"/>
  <c r="M143" i="46"/>
  <c r="J143" i="46"/>
  <c r="P142" i="46"/>
  <c r="O142" i="46"/>
  <c r="M142" i="46"/>
  <c r="J142" i="46"/>
  <c r="P141" i="46"/>
  <c r="O141" i="46"/>
  <c r="M141" i="46"/>
  <c r="J141" i="46"/>
  <c r="P140" i="46"/>
  <c r="O140" i="46"/>
  <c r="M140" i="46"/>
  <c r="J140" i="46"/>
  <c r="P139" i="46"/>
  <c r="O139" i="46"/>
  <c r="M139" i="46"/>
  <c r="J139" i="46"/>
  <c r="P138" i="46"/>
  <c r="O138" i="46"/>
  <c r="M138" i="46"/>
  <c r="J138" i="46"/>
  <c r="P137" i="46"/>
  <c r="O137" i="46"/>
  <c r="M137" i="46"/>
  <c r="J137" i="46"/>
  <c r="P136" i="46"/>
  <c r="O136" i="46"/>
  <c r="M136" i="46"/>
  <c r="J136" i="46"/>
  <c r="P135" i="46"/>
  <c r="O135" i="46"/>
  <c r="M135" i="46"/>
  <c r="J135" i="46"/>
  <c r="P134" i="46"/>
  <c r="O134" i="46"/>
  <c r="M134" i="46"/>
  <c r="J134" i="46"/>
  <c r="P133" i="46"/>
  <c r="O133" i="46"/>
  <c r="M133" i="46"/>
  <c r="J133" i="46"/>
  <c r="P132" i="46"/>
  <c r="O132" i="46"/>
  <c r="M132" i="46"/>
  <c r="J132" i="46"/>
  <c r="P131" i="46"/>
  <c r="O131" i="46"/>
  <c r="M131" i="46"/>
  <c r="J131" i="46"/>
  <c r="O130" i="46"/>
  <c r="M130" i="46"/>
  <c r="O129" i="46"/>
  <c r="M129" i="46"/>
  <c r="O128" i="46"/>
  <c r="M128" i="46"/>
  <c r="O127" i="46"/>
  <c r="M127" i="46"/>
  <c r="O126" i="46"/>
  <c r="M126" i="46"/>
  <c r="O125" i="46"/>
  <c r="M125" i="46"/>
  <c r="O124" i="46"/>
  <c r="M124" i="46"/>
  <c r="O123" i="46"/>
  <c r="M123" i="46"/>
  <c r="O122" i="46"/>
  <c r="M122" i="46"/>
  <c r="O121" i="46"/>
  <c r="M121" i="46"/>
  <c r="O120" i="46"/>
  <c r="M120" i="46"/>
  <c r="O119" i="46"/>
  <c r="M119" i="46"/>
  <c r="O118" i="46"/>
  <c r="M118" i="46"/>
  <c r="O117" i="46"/>
  <c r="M117" i="46"/>
  <c r="O116" i="46"/>
  <c r="M116" i="46"/>
  <c r="O115" i="46"/>
  <c r="M115" i="46"/>
  <c r="O114" i="46"/>
  <c r="M114" i="46"/>
  <c r="O113" i="46"/>
  <c r="M113" i="46"/>
  <c r="O112" i="46"/>
  <c r="M112" i="46"/>
  <c r="O111" i="46"/>
  <c r="M111" i="46"/>
  <c r="O110" i="46"/>
  <c r="M110" i="46"/>
  <c r="O109" i="46"/>
  <c r="M109" i="46"/>
  <c r="O108" i="46"/>
  <c r="M108" i="46"/>
  <c r="O107" i="46"/>
  <c r="M107" i="46"/>
  <c r="O106" i="46"/>
  <c r="M106" i="46"/>
  <c r="O105" i="46"/>
  <c r="M105" i="46"/>
  <c r="O104" i="46"/>
  <c r="M104" i="46"/>
  <c r="O103" i="46"/>
  <c r="M103" i="46"/>
  <c r="O102" i="46"/>
  <c r="M102" i="46"/>
  <c r="O101" i="46"/>
  <c r="M101" i="46"/>
  <c r="O100" i="46"/>
  <c r="M100" i="46"/>
  <c r="O99" i="46"/>
  <c r="M99" i="46"/>
  <c r="C99" i="46"/>
  <c r="C100" i="46" s="1"/>
  <c r="C101" i="46" s="1"/>
  <c r="C102" i="46" s="1"/>
  <c r="C103" i="46" s="1"/>
  <c r="C104" i="46" s="1"/>
  <c r="C105" i="46" s="1"/>
  <c r="C106" i="46" s="1"/>
  <c r="C107" i="46" s="1"/>
  <c r="C108" i="46" s="1"/>
  <c r="C109" i="46" s="1"/>
  <c r="C110" i="46" s="1"/>
  <c r="C111" i="46" s="1"/>
  <c r="C112" i="46" s="1"/>
  <c r="C113" i="46" s="1"/>
  <c r="C114" i="46" s="1"/>
  <c r="C115" i="46" s="1"/>
  <c r="C116" i="46" s="1"/>
  <c r="C117" i="46" s="1"/>
  <c r="C118" i="46" s="1"/>
  <c r="C119" i="46" s="1"/>
  <c r="C120" i="46" s="1"/>
  <c r="C121" i="46" s="1"/>
  <c r="C122" i="46" s="1"/>
  <c r="C123" i="46" s="1"/>
  <c r="C124" i="46" s="1"/>
  <c r="C125" i="46" s="1"/>
  <c r="C126" i="46" s="1"/>
  <c r="C127" i="46" s="1"/>
  <c r="C128" i="46" s="1"/>
  <c r="C129" i="46" s="1"/>
  <c r="C130" i="46" s="1"/>
  <c r="C131" i="46" s="1"/>
  <c r="C132" i="46" s="1"/>
  <c r="C133" i="46" s="1"/>
  <c r="C134" i="46" s="1"/>
  <c r="C135" i="46" s="1"/>
  <c r="C136" i="46" s="1"/>
  <c r="C137" i="46" s="1"/>
  <c r="C138" i="46" s="1"/>
  <c r="C139" i="46" s="1"/>
  <c r="C140" i="46" s="1"/>
  <c r="C141" i="46" s="1"/>
  <c r="C142" i="46" s="1"/>
  <c r="C143" i="46" s="1"/>
  <c r="C144" i="46" s="1"/>
  <c r="C145" i="46" s="1"/>
  <c r="C146" i="46" s="1"/>
  <c r="C147" i="46" s="1"/>
  <c r="C148" i="46" s="1"/>
  <c r="C149" i="46" s="1"/>
  <c r="C150" i="46" s="1"/>
  <c r="C151" i="46" s="1"/>
  <c r="C152" i="46" s="1"/>
  <c r="C153" i="46" s="1"/>
  <c r="C154" i="46" s="1"/>
  <c r="D96" i="46"/>
  <c r="L93" i="46"/>
  <c r="J93" i="46"/>
  <c r="N72" i="46"/>
  <c r="L72" i="46"/>
  <c r="N71" i="46"/>
  <c r="L71" i="46"/>
  <c r="N70" i="46"/>
  <c r="L70" i="46"/>
  <c r="N69" i="46"/>
  <c r="L69" i="46"/>
  <c r="N68" i="46"/>
  <c r="L68" i="46"/>
  <c r="N67" i="46"/>
  <c r="L67" i="46"/>
  <c r="N66" i="46"/>
  <c r="L66" i="46"/>
  <c r="N65" i="46"/>
  <c r="L65" i="46"/>
  <c r="N64" i="46"/>
  <c r="L64" i="46"/>
  <c r="N63" i="46"/>
  <c r="L63" i="46"/>
  <c r="N62" i="46"/>
  <c r="L62" i="46"/>
  <c r="N61" i="46"/>
  <c r="L61" i="46"/>
  <c r="N60" i="46"/>
  <c r="L60" i="46"/>
  <c r="N59" i="46"/>
  <c r="L59" i="46"/>
  <c r="N58" i="46"/>
  <c r="L58" i="46"/>
  <c r="N57" i="46"/>
  <c r="L57" i="46"/>
  <c r="N56" i="46"/>
  <c r="L56" i="46"/>
  <c r="N55" i="46"/>
  <c r="L55" i="46"/>
  <c r="N54" i="46"/>
  <c r="L54" i="46"/>
  <c r="N53" i="46"/>
  <c r="L53" i="46"/>
  <c r="N52" i="46"/>
  <c r="L52" i="46"/>
  <c r="N51" i="46"/>
  <c r="L51" i="46"/>
  <c r="N50" i="46"/>
  <c r="L50" i="46"/>
  <c r="N49" i="46"/>
  <c r="L49" i="46"/>
  <c r="N48" i="46"/>
  <c r="L48" i="46"/>
  <c r="N47" i="46"/>
  <c r="L47" i="46"/>
  <c r="N46" i="46"/>
  <c r="L46" i="46"/>
  <c r="N45" i="46"/>
  <c r="L45" i="46"/>
  <c r="N44" i="46"/>
  <c r="L44" i="46"/>
  <c r="N43" i="46"/>
  <c r="L43" i="46"/>
  <c r="N42" i="46"/>
  <c r="L42" i="46"/>
  <c r="N41" i="46"/>
  <c r="L41" i="46"/>
  <c r="N40" i="46"/>
  <c r="L40" i="46"/>
  <c r="N39" i="46"/>
  <c r="L39" i="46"/>
  <c r="N38" i="46"/>
  <c r="L38" i="46"/>
  <c r="N37" i="46"/>
  <c r="L37" i="46"/>
  <c r="N36" i="46"/>
  <c r="L36" i="46"/>
  <c r="N35" i="46"/>
  <c r="L35" i="46"/>
  <c r="N34" i="46"/>
  <c r="L34" i="46"/>
  <c r="N33" i="46"/>
  <c r="L33" i="46"/>
  <c r="N32" i="46"/>
  <c r="L32" i="46"/>
  <c r="N31" i="46"/>
  <c r="L31" i="46"/>
  <c r="N30" i="46"/>
  <c r="L30" i="46"/>
  <c r="N29" i="46"/>
  <c r="L29" i="46"/>
  <c r="N28" i="46"/>
  <c r="L28" i="46"/>
  <c r="N27" i="46"/>
  <c r="L27" i="46"/>
  <c r="N26" i="46"/>
  <c r="L26" i="46"/>
  <c r="N25" i="46"/>
  <c r="L25" i="46"/>
  <c r="N24" i="46"/>
  <c r="L24" i="46"/>
  <c r="N23" i="46"/>
  <c r="L23" i="46"/>
  <c r="N22" i="46"/>
  <c r="L22" i="46"/>
  <c r="N21" i="46"/>
  <c r="L21" i="46"/>
  <c r="N20" i="46"/>
  <c r="L20" i="46"/>
  <c r="N19" i="46"/>
  <c r="L19" i="46"/>
  <c r="N18" i="46"/>
  <c r="L18" i="46"/>
  <c r="N17" i="46"/>
  <c r="C17" i="46"/>
  <c r="C18" i="46" s="1"/>
  <c r="C19" i="46" s="1"/>
  <c r="C20" i="46" s="1"/>
  <c r="C21" i="46" s="1"/>
  <c r="C22" i="46" s="1"/>
  <c r="C23" i="46" s="1"/>
  <c r="C24" i="46" s="1"/>
  <c r="C25" i="46" s="1"/>
  <c r="C26" i="46" s="1"/>
  <c r="C27" i="46" s="1"/>
  <c r="C28" i="46" s="1"/>
  <c r="C29" i="46" s="1"/>
  <c r="C30" i="46" s="1"/>
  <c r="C31" i="46" s="1"/>
  <c r="C32" i="46" s="1"/>
  <c r="C33" i="46" s="1"/>
  <c r="C34" i="46" s="1"/>
  <c r="C35" i="46" s="1"/>
  <c r="C36" i="46" s="1"/>
  <c r="C37" i="46" s="1"/>
  <c r="C38" i="46" s="1"/>
  <c r="C39" i="46" s="1"/>
  <c r="C40" i="46" s="1"/>
  <c r="C41" i="46" s="1"/>
  <c r="C42" i="46" s="1"/>
  <c r="C43" i="46" s="1"/>
  <c r="C44" i="46" s="1"/>
  <c r="K11" i="46"/>
  <c r="I11" i="46"/>
  <c r="D90" i="46"/>
  <c r="P1" i="46"/>
  <c r="P83" i="46" s="1"/>
  <c r="P154" i="45"/>
  <c r="O154" i="45"/>
  <c r="M154" i="45"/>
  <c r="J154" i="45"/>
  <c r="P153" i="45"/>
  <c r="O153" i="45"/>
  <c r="M153" i="45"/>
  <c r="J153" i="45"/>
  <c r="P152" i="45"/>
  <c r="O152" i="45"/>
  <c r="M152" i="45"/>
  <c r="J152" i="45"/>
  <c r="P151" i="45"/>
  <c r="O151" i="45"/>
  <c r="M151" i="45"/>
  <c r="J151" i="45"/>
  <c r="P150" i="45"/>
  <c r="O150" i="45"/>
  <c r="M150" i="45"/>
  <c r="J150" i="45"/>
  <c r="P149" i="45"/>
  <c r="O149" i="45"/>
  <c r="M149" i="45"/>
  <c r="J149" i="45"/>
  <c r="P148" i="45"/>
  <c r="O148" i="45"/>
  <c r="M148" i="45"/>
  <c r="J148" i="45"/>
  <c r="P147" i="45"/>
  <c r="O147" i="45"/>
  <c r="M147" i="45"/>
  <c r="J147" i="45"/>
  <c r="P146" i="45"/>
  <c r="O146" i="45"/>
  <c r="M146" i="45"/>
  <c r="J146" i="45"/>
  <c r="P145" i="45"/>
  <c r="O145" i="45"/>
  <c r="M145" i="45"/>
  <c r="J145" i="45"/>
  <c r="P144" i="45"/>
  <c r="O144" i="45"/>
  <c r="M144" i="45"/>
  <c r="J144" i="45"/>
  <c r="P143" i="45"/>
  <c r="O143" i="45"/>
  <c r="M143" i="45"/>
  <c r="J143" i="45"/>
  <c r="P142" i="45"/>
  <c r="O142" i="45"/>
  <c r="M142" i="45"/>
  <c r="J142" i="45"/>
  <c r="P141" i="45"/>
  <c r="O141" i="45"/>
  <c r="M141" i="45"/>
  <c r="J141" i="45"/>
  <c r="P140" i="45"/>
  <c r="O140" i="45"/>
  <c r="M140" i="45"/>
  <c r="J140" i="45"/>
  <c r="P139" i="45"/>
  <c r="O139" i="45"/>
  <c r="M139" i="45"/>
  <c r="J139" i="45"/>
  <c r="P138" i="45"/>
  <c r="O138" i="45"/>
  <c r="M138" i="45"/>
  <c r="J138" i="45"/>
  <c r="P137" i="45"/>
  <c r="O137" i="45"/>
  <c r="M137" i="45"/>
  <c r="J137" i="45"/>
  <c r="P136" i="45"/>
  <c r="O136" i="45"/>
  <c r="M136" i="45"/>
  <c r="J136" i="45"/>
  <c r="P135" i="45"/>
  <c r="O135" i="45"/>
  <c r="M135" i="45"/>
  <c r="J135" i="45"/>
  <c r="P134" i="45"/>
  <c r="O134" i="45"/>
  <c r="M134" i="45"/>
  <c r="J134" i="45"/>
  <c r="P133" i="45"/>
  <c r="O133" i="45"/>
  <c r="M133" i="45"/>
  <c r="J133" i="45"/>
  <c r="P132" i="45"/>
  <c r="O132" i="45"/>
  <c r="M132" i="45"/>
  <c r="J132" i="45"/>
  <c r="P131" i="45"/>
  <c r="O131" i="45"/>
  <c r="M131" i="45"/>
  <c r="J131" i="45"/>
  <c r="O130" i="45"/>
  <c r="M130" i="45"/>
  <c r="O129" i="45"/>
  <c r="M129" i="45"/>
  <c r="O128" i="45"/>
  <c r="M128" i="45"/>
  <c r="O127" i="45"/>
  <c r="M127" i="45"/>
  <c r="O126" i="45"/>
  <c r="M126" i="45"/>
  <c r="O125" i="45"/>
  <c r="M125" i="45"/>
  <c r="O124" i="45"/>
  <c r="M124" i="45"/>
  <c r="O123" i="45"/>
  <c r="M123" i="45"/>
  <c r="O122" i="45"/>
  <c r="M122" i="45"/>
  <c r="O121" i="45"/>
  <c r="M121" i="45"/>
  <c r="O120" i="45"/>
  <c r="M120" i="45"/>
  <c r="O119" i="45"/>
  <c r="M119" i="45"/>
  <c r="O118" i="45"/>
  <c r="M118" i="45"/>
  <c r="O117" i="45"/>
  <c r="M117" i="45"/>
  <c r="O116" i="45"/>
  <c r="M116" i="45"/>
  <c r="O115" i="45"/>
  <c r="M115" i="45"/>
  <c r="O114" i="45"/>
  <c r="M114" i="45"/>
  <c r="O113" i="45"/>
  <c r="M113" i="45"/>
  <c r="O112" i="45"/>
  <c r="M112" i="45"/>
  <c r="O111" i="45"/>
  <c r="M111" i="45"/>
  <c r="O110" i="45"/>
  <c r="M110" i="45"/>
  <c r="O109" i="45"/>
  <c r="M109" i="45"/>
  <c r="O108" i="45"/>
  <c r="M108" i="45"/>
  <c r="O107" i="45"/>
  <c r="M107" i="45"/>
  <c r="O106" i="45"/>
  <c r="M106" i="45"/>
  <c r="O105" i="45"/>
  <c r="M105" i="45"/>
  <c r="O104" i="45"/>
  <c r="M104" i="45"/>
  <c r="O103" i="45"/>
  <c r="M103" i="45"/>
  <c r="O102" i="45"/>
  <c r="M102" i="45"/>
  <c r="O101" i="45"/>
  <c r="M101" i="45"/>
  <c r="O100" i="45"/>
  <c r="M100" i="45"/>
  <c r="O99" i="45"/>
  <c r="M99" i="45"/>
  <c r="C99" i="45"/>
  <c r="C100" i="45" s="1"/>
  <c r="C101" i="45" s="1"/>
  <c r="C102" i="45" s="1"/>
  <c r="C103" i="45" s="1"/>
  <c r="C104" i="45" s="1"/>
  <c r="C105" i="45" s="1"/>
  <c r="C106" i="45" s="1"/>
  <c r="C107" i="45" s="1"/>
  <c r="C108" i="45" s="1"/>
  <c r="C109" i="45" s="1"/>
  <c r="C110" i="45" s="1"/>
  <c r="C111" i="45" s="1"/>
  <c r="C112" i="45" s="1"/>
  <c r="C113" i="45" s="1"/>
  <c r="C114" i="45" s="1"/>
  <c r="C115" i="45" s="1"/>
  <c r="C116" i="45" s="1"/>
  <c r="C117" i="45" s="1"/>
  <c r="C118" i="45" s="1"/>
  <c r="C119" i="45" s="1"/>
  <c r="C120" i="45" s="1"/>
  <c r="C121" i="45" s="1"/>
  <c r="C122" i="45" s="1"/>
  <c r="C123" i="45" s="1"/>
  <c r="C124" i="45" s="1"/>
  <c r="C125" i="45" s="1"/>
  <c r="C126" i="45" s="1"/>
  <c r="C127" i="45" s="1"/>
  <c r="C128" i="45" s="1"/>
  <c r="C129" i="45" s="1"/>
  <c r="C130" i="45" s="1"/>
  <c r="C131" i="45" s="1"/>
  <c r="C132" i="45" s="1"/>
  <c r="C133" i="45" s="1"/>
  <c r="C134" i="45" s="1"/>
  <c r="C135" i="45" s="1"/>
  <c r="C136" i="45" s="1"/>
  <c r="C137" i="45" s="1"/>
  <c r="C138" i="45" s="1"/>
  <c r="C139" i="45" s="1"/>
  <c r="C140" i="45" s="1"/>
  <c r="C141" i="45" s="1"/>
  <c r="C142" i="45" s="1"/>
  <c r="C143" i="45" s="1"/>
  <c r="C144" i="45" s="1"/>
  <c r="C145" i="45" s="1"/>
  <c r="C146" i="45" s="1"/>
  <c r="C147" i="45" s="1"/>
  <c r="C148" i="45" s="1"/>
  <c r="C149" i="45" s="1"/>
  <c r="C150" i="45" s="1"/>
  <c r="C151" i="45" s="1"/>
  <c r="C152" i="45" s="1"/>
  <c r="C153" i="45" s="1"/>
  <c r="C154" i="45" s="1"/>
  <c r="D96" i="45"/>
  <c r="L93" i="45"/>
  <c r="J93" i="45"/>
  <c r="D91" i="45"/>
  <c r="D89" i="45"/>
  <c r="N72" i="45"/>
  <c r="L72" i="45"/>
  <c r="N71" i="45"/>
  <c r="L71" i="45"/>
  <c r="N70" i="45"/>
  <c r="L70" i="45"/>
  <c r="N69" i="45"/>
  <c r="L69" i="45"/>
  <c r="N68" i="45"/>
  <c r="L68" i="45"/>
  <c r="N67" i="45"/>
  <c r="L67" i="45"/>
  <c r="N66" i="45"/>
  <c r="L66" i="45"/>
  <c r="N65" i="45"/>
  <c r="L65" i="45"/>
  <c r="N64" i="45"/>
  <c r="L64" i="45"/>
  <c r="N63" i="45"/>
  <c r="L63" i="45"/>
  <c r="N62" i="45"/>
  <c r="L62" i="45"/>
  <c r="N61" i="45"/>
  <c r="L61" i="45"/>
  <c r="N60" i="45"/>
  <c r="L60" i="45"/>
  <c r="N59" i="45"/>
  <c r="L59" i="45"/>
  <c r="N58" i="45"/>
  <c r="L58" i="45"/>
  <c r="N57" i="45"/>
  <c r="L57" i="45"/>
  <c r="N56" i="45"/>
  <c r="L56" i="45"/>
  <c r="N55" i="45"/>
  <c r="L55" i="45"/>
  <c r="N54" i="45"/>
  <c r="L54" i="45"/>
  <c r="N53" i="45"/>
  <c r="L53" i="45"/>
  <c r="N52" i="45"/>
  <c r="L52" i="45"/>
  <c r="N51" i="45"/>
  <c r="L51" i="45"/>
  <c r="N50" i="45"/>
  <c r="L50" i="45"/>
  <c r="N49" i="45"/>
  <c r="L49" i="45"/>
  <c r="N48" i="45"/>
  <c r="L48" i="45"/>
  <c r="N47" i="45"/>
  <c r="L47" i="45"/>
  <c r="N46" i="45"/>
  <c r="L46" i="45"/>
  <c r="N45" i="45"/>
  <c r="L45" i="45"/>
  <c r="N44" i="45"/>
  <c r="L44" i="45"/>
  <c r="N43" i="45"/>
  <c r="L43" i="45"/>
  <c r="N42" i="45"/>
  <c r="L42" i="45"/>
  <c r="N41" i="45"/>
  <c r="L41" i="45"/>
  <c r="N40" i="45"/>
  <c r="L40" i="45"/>
  <c r="N39" i="45"/>
  <c r="L39" i="45"/>
  <c r="N38" i="45"/>
  <c r="L38" i="45"/>
  <c r="N37" i="45"/>
  <c r="L37" i="45"/>
  <c r="N36" i="45"/>
  <c r="L36" i="45"/>
  <c r="N35" i="45"/>
  <c r="L35" i="45"/>
  <c r="N34" i="45"/>
  <c r="L34" i="45"/>
  <c r="N33" i="45"/>
  <c r="L33" i="45"/>
  <c r="N32" i="45"/>
  <c r="L32" i="45"/>
  <c r="N31" i="45"/>
  <c r="L31" i="45"/>
  <c r="N30" i="45"/>
  <c r="L30" i="45"/>
  <c r="N29" i="45"/>
  <c r="L29" i="45"/>
  <c r="N28" i="45"/>
  <c r="L28" i="45"/>
  <c r="N27" i="45"/>
  <c r="L27" i="45"/>
  <c r="N26" i="45"/>
  <c r="L26" i="45"/>
  <c r="N25" i="45"/>
  <c r="L25" i="45"/>
  <c r="N24" i="45"/>
  <c r="L24" i="45"/>
  <c r="N23" i="45"/>
  <c r="L23" i="45"/>
  <c r="N22" i="45"/>
  <c r="L22" i="45"/>
  <c r="N21" i="45"/>
  <c r="L21" i="45"/>
  <c r="N20" i="45"/>
  <c r="L20" i="45"/>
  <c r="N19" i="45"/>
  <c r="L19" i="45"/>
  <c r="N17" i="45"/>
  <c r="C17" i="45"/>
  <c r="K11" i="45"/>
  <c r="I11" i="45"/>
  <c r="D90" i="45"/>
  <c r="P1" i="45"/>
  <c r="P83" i="45" s="1"/>
  <c r="P154" i="44"/>
  <c r="O154" i="44"/>
  <c r="M154" i="44"/>
  <c r="J154" i="44"/>
  <c r="P153" i="44"/>
  <c r="O153" i="44"/>
  <c r="M153" i="44"/>
  <c r="J153" i="44"/>
  <c r="P152" i="44"/>
  <c r="O152" i="44"/>
  <c r="M152" i="44"/>
  <c r="J152" i="44"/>
  <c r="P151" i="44"/>
  <c r="O151" i="44"/>
  <c r="M151" i="44"/>
  <c r="J151" i="44"/>
  <c r="P150" i="44"/>
  <c r="O150" i="44"/>
  <c r="M150" i="44"/>
  <c r="J150" i="44"/>
  <c r="P149" i="44"/>
  <c r="O149" i="44"/>
  <c r="M149" i="44"/>
  <c r="J149" i="44"/>
  <c r="P148" i="44"/>
  <c r="O148" i="44"/>
  <c r="M148" i="44"/>
  <c r="J148" i="44"/>
  <c r="P147" i="44"/>
  <c r="O147" i="44"/>
  <c r="M147" i="44"/>
  <c r="J147" i="44"/>
  <c r="P146" i="44"/>
  <c r="O146" i="44"/>
  <c r="M146" i="44"/>
  <c r="J146" i="44"/>
  <c r="P145" i="44"/>
  <c r="O145" i="44"/>
  <c r="M145" i="44"/>
  <c r="J145" i="44"/>
  <c r="P144" i="44"/>
  <c r="O144" i="44"/>
  <c r="M144" i="44"/>
  <c r="J144" i="44"/>
  <c r="P143" i="44"/>
  <c r="O143" i="44"/>
  <c r="M143" i="44"/>
  <c r="J143" i="44"/>
  <c r="P142" i="44"/>
  <c r="O142" i="44"/>
  <c r="M142" i="44"/>
  <c r="J142" i="44"/>
  <c r="P141" i="44"/>
  <c r="O141" i="44"/>
  <c r="M141" i="44"/>
  <c r="J141" i="44"/>
  <c r="P140" i="44"/>
  <c r="O140" i="44"/>
  <c r="M140" i="44"/>
  <c r="J140" i="44"/>
  <c r="P139" i="44"/>
  <c r="O139" i="44"/>
  <c r="M139" i="44"/>
  <c r="J139" i="44"/>
  <c r="P138" i="44"/>
  <c r="O138" i="44"/>
  <c r="M138" i="44"/>
  <c r="J138" i="44"/>
  <c r="P137" i="44"/>
  <c r="O137" i="44"/>
  <c r="M137" i="44"/>
  <c r="J137" i="44"/>
  <c r="P136" i="44"/>
  <c r="O136" i="44"/>
  <c r="M136" i="44"/>
  <c r="J136" i="44"/>
  <c r="P135" i="44"/>
  <c r="O135" i="44"/>
  <c r="M135" i="44"/>
  <c r="J135" i="44"/>
  <c r="P134" i="44"/>
  <c r="O134" i="44"/>
  <c r="M134" i="44"/>
  <c r="J134" i="44"/>
  <c r="P133" i="44"/>
  <c r="O133" i="44"/>
  <c r="M133" i="44"/>
  <c r="J133" i="44"/>
  <c r="P132" i="44"/>
  <c r="O132" i="44"/>
  <c r="M132" i="44"/>
  <c r="J132" i="44"/>
  <c r="P131" i="44"/>
  <c r="O131" i="44"/>
  <c r="M131" i="44"/>
  <c r="J131" i="44"/>
  <c r="O130" i="44"/>
  <c r="M130" i="44"/>
  <c r="O129" i="44"/>
  <c r="M129" i="44"/>
  <c r="O128" i="44"/>
  <c r="M128" i="44"/>
  <c r="O127" i="44"/>
  <c r="M127" i="44"/>
  <c r="O126" i="44"/>
  <c r="M126" i="44"/>
  <c r="O125" i="44"/>
  <c r="M125" i="44"/>
  <c r="O124" i="44"/>
  <c r="M124" i="44"/>
  <c r="O123" i="44"/>
  <c r="M123" i="44"/>
  <c r="O122" i="44"/>
  <c r="M122" i="44"/>
  <c r="O121" i="44"/>
  <c r="M121" i="44"/>
  <c r="O120" i="44"/>
  <c r="M120" i="44"/>
  <c r="O119" i="44"/>
  <c r="M119" i="44"/>
  <c r="O118" i="44"/>
  <c r="M118" i="44"/>
  <c r="O117" i="44"/>
  <c r="M117" i="44"/>
  <c r="O116" i="44"/>
  <c r="M116" i="44"/>
  <c r="O115" i="44"/>
  <c r="M115" i="44"/>
  <c r="O114" i="44"/>
  <c r="M114" i="44"/>
  <c r="O113" i="44"/>
  <c r="M113" i="44"/>
  <c r="O112" i="44"/>
  <c r="M112" i="44"/>
  <c r="O111" i="44"/>
  <c r="M111" i="44"/>
  <c r="O110" i="44"/>
  <c r="M110" i="44"/>
  <c r="O109" i="44"/>
  <c r="M109" i="44"/>
  <c r="O108" i="44"/>
  <c r="M108" i="44"/>
  <c r="O107" i="44"/>
  <c r="M107" i="44"/>
  <c r="O106" i="44"/>
  <c r="M106" i="44"/>
  <c r="O105" i="44"/>
  <c r="M105" i="44"/>
  <c r="O104" i="44"/>
  <c r="M104" i="44"/>
  <c r="O103" i="44"/>
  <c r="M103" i="44"/>
  <c r="O102" i="44"/>
  <c r="M102" i="44"/>
  <c r="O101" i="44"/>
  <c r="M101" i="44"/>
  <c r="O100" i="44"/>
  <c r="M100" i="44"/>
  <c r="C100" i="44"/>
  <c r="C101" i="44" s="1"/>
  <c r="C102" i="44" s="1"/>
  <c r="C103" i="44" s="1"/>
  <c r="C104" i="44" s="1"/>
  <c r="C105" i="44" s="1"/>
  <c r="C106" i="44" s="1"/>
  <c r="C107" i="44" s="1"/>
  <c r="C108" i="44" s="1"/>
  <c r="C109" i="44" s="1"/>
  <c r="C110" i="44" s="1"/>
  <c r="C111" i="44" s="1"/>
  <c r="C112" i="44" s="1"/>
  <c r="C113" i="44" s="1"/>
  <c r="C114" i="44" s="1"/>
  <c r="C115" i="44" s="1"/>
  <c r="C116" i="44" s="1"/>
  <c r="C117" i="44" s="1"/>
  <c r="C118" i="44" s="1"/>
  <c r="C119" i="44" s="1"/>
  <c r="C120" i="44" s="1"/>
  <c r="C121" i="44" s="1"/>
  <c r="C122" i="44" s="1"/>
  <c r="C123" i="44" s="1"/>
  <c r="C124" i="44" s="1"/>
  <c r="C125" i="44" s="1"/>
  <c r="C126" i="44" s="1"/>
  <c r="C127" i="44" s="1"/>
  <c r="C128" i="44" s="1"/>
  <c r="C129" i="44" s="1"/>
  <c r="C130" i="44" s="1"/>
  <c r="C131" i="44" s="1"/>
  <c r="C132" i="44" s="1"/>
  <c r="C133" i="44" s="1"/>
  <c r="C134" i="44" s="1"/>
  <c r="C135" i="44" s="1"/>
  <c r="C136" i="44" s="1"/>
  <c r="C137" i="44" s="1"/>
  <c r="C138" i="44" s="1"/>
  <c r="C139" i="44" s="1"/>
  <c r="C140" i="44" s="1"/>
  <c r="C141" i="44" s="1"/>
  <c r="C142" i="44" s="1"/>
  <c r="C143" i="44" s="1"/>
  <c r="C144" i="44" s="1"/>
  <c r="C145" i="44" s="1"/>
  <c r="C146" i="44" s="1"/>
  <c r="C147" i="44" s="1"/>
  <c r="C148" i="44" s="1"/>
  <c r="C149" i="44" s="1"/>
  <c r="C150" i="44" s="1"/>
  <c r="C151" i="44" s="1"/>
  <c r="C152" i="44" s="1"/>
  <c r="C153" i="44" s="1"/>
  <c r="C154" i="44" s="1"/>
  <c r="O99" i="44"/>
  <c r="M99" i="44"/>
  <c r="C99" i="44"/>
  <c r="D96" i="44"/>
  <c r="L93" i="44"/>
  <c r="J93" i="44"/>
  <c r="D91" i="44"/>
  <c r="D89" i="44"/>
  <c r="N72" i="44"/>
  <c r="L72" i="44"/>
  <c r="N71" i="44"/>
  <c r="L71" i="44"/>
  <c r="N70" i="44"/>
  <c r="L70" i="44"/>
  <c r="N69" i="44"/>
  <c r="L69" i="44"/>
  <c r="N68" i="44"/>
  <c r="L68" i="44"/>
  <c r="N67" i="44"/>
  <c r="L67" i="44"/>
  <c r="N66" i="44"/>
  <c r="L66" i="44"/>
  <c r="N65" i="44"/>
  <c r="L65" i="44"/>
  <c r="N64" i="44"/>
  <c r="L64" i="44"/>
  <c r="N63" i="44"/>
  <c r="L63" i="44"/>
  <c r="N62" i="44"/>
  <c r="L62" i="44"/>
  <c r="N61" i="44"/>
  <c r="L61" i="44"/>
  <c r="N60" i="44"/>
  <c r="L60" i="44"/>
  <c r="N59" i="44"/>
  <c r="L59" i="44"/>
  <c r="N58" i="44"/>
  <c r="L58" i="44"/>
  <c r="N57" i="44"/>
  <c r="L57" i="44"/>
  <c r="N56" i="44"/>
  <c r="L56" i="44"/>
  <c r="N55" i="44"/>
  <c r="L55" i="44"/>
  <c r="N54" i="44"/>
  <c r="L54" i="44"/>
  <c r="N53" i="44"/>
  <c r="L53" i="44"/>
  <c r="N52" i="44"/>
  <c r="L52" i="44"/>
  <c r="N51" i="44"/>
  <c r="L51" i="44"/>
  <c r="N50" i="44"/>
  <c r="L50" i="44"/>
  <c r="N49" i="44"/>
  <c r="L49" i="44"/>
  <c r="N48" i="44"/>
  <c r="L48" i="44"/>
  <c r="N47" i="44"/>
  <c r="L47" i="44"/>
  <c r="N46" i="44"/>
  <c r="L46" i="44"/>
  <c r="N45" i="44"/>
  <c r="L45" i="44"/>
  <c r="N44" i="44"/>
  <c r="L44" i="44"/>
  <c r="N43" i="44"/>
  <c r="L43" i="44"/>
  <c r="N42" i="44"/>
  <c r="L42" i="44"/>
  <c r="N41" i="44"/>
  <c r="L41" i="44"/>
  <c r="N40" i="44"/>
  <c r="L40" i="44"/>
  <c r="N39" i="44"/>
  <c r="L39" i="44"/>
  <c r="N38" i="44"/>
  <c r="L38" i="44"/>
  <c r="N37" i="44"/>
  <c r="L37" i="44"/>
  <c r="N36" i="44"/>
  <c r="L36" i="44"/>
  <c r="N35" i="44"/>
  <c r="L35" i="44"/>
  <c r="N34" i="44"/>
  <c r="L34" i="44"/>
  <c r="N33" i="44"/>
  <c r="L33" i="44"/>
  <c r="N32" i="44"/>
  <c r="L32" i="44"/>
  <c r="N31" i="44"/>
  <c r="L31" i="44"/>
  <c r="N30" i="44"/>
  <c r="L30" i="44"/>
  <c r="N29" i="44"/>
  <c r="L29" i="44"/>
  <c r="N28" i="44"/>
  <c r="L28" i="44"/>
  <c r="N27" i="44"/>
  <c r="L27" i="44"/>
  <c r="N26" i="44"/>
  <c r="L26" i="44"/>
  <c r="N25" i="44"/>
  <c r="L25" i="44"/>
  <c r="N24" i="44"/>
  <c r="L24" i="44"/>
  <c r="N23" i="44"/>
  <c r="L23" i="44"/>
  <c r="N22" i="44"/>
  <c r="L22" i="44"/>
  <c r="N21" i="44"/>
  <c r="L21" i="44"/>
  <c r="N20" i="44"/>
  <c r="L20" i="44"/>
  <c r="N19" i="44"/>
  <c r="L19" i="44"/>
  <c r="N18" i="44"/>
  <c r="N17" i="44"/>
  <c r="C17" i="44"/>
  <c r="C18" i="44" s="1"/>
  <c r="C19" i="44" s="1"/>
  <c r="C20" i="44" s="1"/>
  <c r="C21" i="44" s="1"/>
  <c r="C22" i="44" s="1"/>
  <c r="C23" i="44" s="1"/>
  <c r="C24" i="44" s="1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42" i="44" s="1"/>
  <c r="C43" i="44" s="1"/>
  <c r="C44" i="44" s="1"/>
  <c r="C45" i="44" s="1"/>
  <c r="C46" i="44" s="1"/>
  <c r="C47" i="44" s="1"/>
  <c r="C48" i="44" s="1"/>
  <c r="C49" i="44" s="1"/>
  <c r="C50" i="44" s="1"/>
  <c r="C51" i="44" s="1"/>
  <c r="C52" i="44" s="1"/>
  <c r="C53" i="44" s="1"/>
  <c r="C54" i="44" s="1"/>
  <c r="C55" i="44" s="1"/>
  <c r="C56" i="44" s="1"/>
  <c r="C57" i="44" s="1"/>
  <c r="C58" i="44" s="1"/>
  <c r="C59" i="44" s="1"/>
  <c r="C60" i="44" s="1"/>
  <c r="C61" i="44" s="1"/>
  <c r="C62" i="44" s="1"/>
  <c r="C63" i="44" s="1"/>
  <c r="C64" i="44" s="1"/>
  <c r="C65" i="44" s="1"/>
  <c r="C66" i="44" s="1"/>
  <c r="C67" i="44" s="1"/>
  <c r="C68" i="44" s="1"/>
  <c r="C69" i="44" s="1"/>
  <c r="C70" i="44" s="1"/>
  <c r="C71" i="44" s="1"/>
  <c r="C72" i="44" s="1"/>
  <c r="K11" i="44"/>
  <c r="I11" i="44"/>
  <c r="D90" i="44"/>
  <c r="P1" i="44"/>
  <c r="P83" i="44" s="1"/>
  <c r="P154" i="43"/>
  <c r="O154" i="43"/>
  <c r="M154" i="43"/>
  <c r="J154" i="43"/>
  <c r="P153" i="43"/>
  <c r="O153" i="43"/>
  <c r="M153" i="43"/>
  <c r="J153" i="43"/>
  <c r="P152" i="43"/>
  <c r="O152" i="43"/>
  <c r="M152" i="43"/>
  <c r="J152" i="43"/>
  <c r="P151" i="43"/>
  <c r="O151" i="43"/>
  <c r="M151" i="43"/>
  <c r="J151" i="43"/>
  <c r="P150" i="43"/>
  <c r="O150" i="43"/>
  <c r="M150" i="43"/>
  <c r="J150" i="43"/>
  <c r="P149" i="43"/>
  <c r="O149" i="43"/>
  <c r="M149" i="43"/>
  <c r="J149" i="43"/>
  <c r="P148" i="43"/>
  <c r="O148" i="43"/>
  <c r="M148" i="43"/>
  <c r="J148" i="43"/>
  <c r="P147" i="43"/>
  <c r="O147" i="43"/>
  <c r="M147" i="43"/>
  <c r="J147" i="43"/>
  <c r="P146" i="43"/>
  <c r="O146" i="43"/>
  <c r="M146" i="43"/>
  <c r="J146" i="43"/>
  <c r="P145" i="43"/>
  <c r="O145" i="43"/>
  <c r="M145" i="43"/>
  <c r="J145" i="43"/>
  <c r="P144" i="43"/>
  <c r="O144" i="43"/>
  <c r="M144" i="43"/>
  <c r="J144" i="43"/>
  <c r="P143" i="43"/>
  <c r="O143" i="43"/>
  <c r="M143" i="43"/>
  <c r="J143" i="43"/>
  <c r="P142" i="43"/>
  <c r="O142" i="43"/>
  <c r="M142" i="43"/>
  <c r="J142" i="43"/>
  <c r="P141" i="43"/>
  <c r="O141" i="43"/>
  <c r="M141" i="43"/>
  <c r="J141" i="43"/>
  <c r="P140" i="43"/>
  <c r="O140" i="43"/>
  <c r="M140" i="43"/>
  <c r="J140" i="43"/>
  <c r="P139" i="43"/>
  <c r="O139" i="43"/>
  <c r="M139" i="43"/>
  <c r="J139" i="43"/>
  <c r="P138" i="43"/>
  <c r="O138" i="43"/>
  <c r="M138" i="43"/>
  <c r="J138" i="43"/>
  <c r="P137" i="43"/>
  <c r="O137" i="43"/>
  <c r="M137" i="43"/>
  <c r="J137" i="43"/>
  <c r="P136" i="43"/>
  <c r="O136" i="43"/>
  <c r="M136" i="43"/>
  <c r="J136" i="43"/>
  <c r="P135" i="43"/>
  <c r="O135" i="43"/>
  <c r="M135" i="43"/>
  <c r="J135" i="43"/>
  <c r="P134" i="43"/>
  <c r="O134" i="43"/>
  <c r="M134" i="43"/>
  <c r="J134" i="43"/>
  <c r="P133" i="43"/>
  <c r="O133" i="43"/>
  <c r="M133" i="43"/>
  <c r="J133" i="43"/>
  <c r="P132" i="43"/>
  <c r="O132" i="43"/>
  <c r="M132" i="43"/>
  <c r="J132" i="43"/>
  <c r="P131" i="43"/>
  <c r="O131" i="43"/>
  <c r="M131" i="43"/>
  <c r="J131" i="43"/>
  <c r="O130" i="43"/>
  <c r="M130" i="43"/>
  <c r="O129" i="43"/>
  <c r="M129" i="43"/>
  <c r="O128" i="43"/>
  <c r="M128" i="43"/>
  <c r="O127" i="43"/>
  <c r="M127" i="43"/>
  <c r="O126" i="43"/>
  <c r="M126" i="43"/>
  <c r="O125" i="43"/>
  <c r="M125" i="43"/>
  <c r="O124" i="43"/>
  <c r="M124" i="43"/>
  <c r="O123" i="43"/>
  <c r="M123" i="43"/>
  <c r="O122" i="43"/>
  <c r="M122" i="43"/>
  <c r="O121" i="43"/>
  <c r="M121" i="43"/>
  <c r="O120" i="43"/>
  <c r="M120" i="43"/>
  <c r="O119" i="43"/>
  <c r="M119" i="43"/>
  <c r="O118" i="43"/>
  <c r="M118" i="43"/>
  <c r="O117" i="43"/>
  <c r="M117" i="43"/>
  <c r="O116" i="43"/>
  <c r="M116" i="43"/>
  <c r="O115" i="43"/>
  <c r="M115" i="43"/>
  <c r="O114" i="43"/>
  <c r="M114" i="43"/>
  <c r="O113" i="43"/>
  <c r="M113" i="43"/>
  <c r="O112" i="43"/>
  <c r="M112" i="43"/>
  <c r="O111" i="43"/>
  <c r="M111" i="43"/>
  <c r="O110" i="43"/>
  <c r="M110" i="43"/>
  <c r="O109" i="43"/>
  <c r="M109" i="43"/>
  <c r="O108" i="43"/>
  <c r="M108" i="43"/>
  <c r="O107" i="43"/>
  <c r="M107" i="43"/>
  <c r="O106" i="43"/>
  <c r="M106" i="43"/>
  <c r="O105" i="43"/>
  <c r="M105" i="43"/>
  <c r="O104" i="43"/>
  <c r="M104" i="43"/>
  <c r="O103" i="43"/>
  <c r="M103" i="43"/>
  <c r="O102" i="43"/>
  <c r="M102" i="43"/>
  <c r="O101" i="43"/>
  <c r="M101" i="43"/>
  <c r="O100" i="43"/>
  <c r="M100" i="43"/>
  <c r="C99" i="43"/>
  <c r="D96" i="43"/>
  <c r="L93" i="43"/>
  <c r="J93" i="43"/>
  <c r="D91" i="43"/>
  <c r="D89" i="43"/>
  <c r="N72" i="43"/>
  <c r="L72" i="43"/>
  <c r="N71" i="43"/>
  <c r="L71" i="43"/>
  <c r="N70" i="43"/>
  <c r="L70" i="43"/>
  <c r="N69" i="43"/>
  <c r="L69" i="43"/>
  <c r="N68" i="43"/>
  <c r="L68" i="43"/>
  <c r="N67" i="43"/>
  <c r="L67" i="43"/>
  <c r="N66" i="43"/>
  <c r="L66" i="43"/>
  <c r="N65" i="43"/>
  <c r="L65" i="43"/>
  <c r="N64" i="43"/>
  <c r="L64" i="43"/>
  <c r="N63" i="43"/>
  <c r="L63" i="43"/>
  <c r="N62" i="43"/>
  <c r="L62" i="43"/>
  <c r="N61" i="43"/>
  <c r="L61" i="43"/>
  <c r="N60" i="43"/>
  <c r="L60" i="43"/>
  <c r="N59" i="43"/>
  <c r="L59" i="43"/>
  <c r="N58" i="43"/>
  <c r="L58" i="43"/>
  <c r="N57" i="43"/>
  <c r="L57" i="43"/>
  <c r="N56" i="43"/>
  <c r="L56" i="43"/>
  <c r="N55" i="43"/>
  <c r="L55" i="43"/>
  <c r="N54" i="43"/>
  <c r="L54" i="43"/>
  <c r="N53" i="43"/>
  <c r="L53" i="43"/>
  <c r="N52" i="43"/>
  <c r="L52" i="43"/>
  <c r="N51" i="43"/>
  <c r="L51" i="43"/>
  <c r="N50" i="43"/>
  <c r="L50" i="43"/>
  <c r="N49" i="43"/>
  <c r="L49" i="43"/>
  <c r="N48" i="43"/>
  <c r="L48" i="43"/>
  <c r="N47" i="43"/>
  <c r="L47" i="43"/>
  <c r="N46" i="43"/>
  <c r="L46" i="43"/>
  <c r="N45" i="43"/>
  <c r="L45" i="43"/>
  <c r="N44" i="43"/>
  <c r="L44" i="43"/>
  <c r="N43" i="43"/>
  <c r="L43" i="43"/>
  <c r="N42" i="43"/>
  <c r="L42" i="43"/>
  <c r="N41" i="43"/>
  <c r="L41" i="43"/>
  <c r="N40" i="43"/>
  <c r="L40" i="43"/>
  <c r="N39" i="43"/>
  <c r="L39" i="43"/>
  <c r="N38" i="43"/>
  <c r="L38" i="43"/>
  <c r="N37" i="43"/>
  <c r="L37" i="43"/>
  <c r="N36" i="43"/>
  <c r="L36" i="43"/>
  <c r="N35" i="43"/>
  <c r="L35" i="43"/>
  <c r="N34" i="43"/>
  <c r="L34" i="43"/>
  <c r="N33" i="43"/>
  <c r="L33" i="43"/>
  <c r="N32" i="43"/>
  <c r="L32" i="43"/>
  <c r="N31" i="43"/>
  <c r="L31" i="43"/>
  <c r="N30" i="43"/>
  <c r="L30" i="43"/>
  <c r="N29" i="43"/>
  <c r="L29" i="43"/>
  <c r="N28" i="43"/>
  <c r="L28" i="43"/>
  <c r="N27" i="43"/>
  <c r="L27" i="43"/>
  <c r="N26" i="43"/>
  <c r="L26" i="43"/>
  <c r="N25" i="43"/>
  <c r="L25" i="43"/>
  <c r="N24" i="43"/>
  <c r="L24" i="43"/>
  <c r="N23" i="43"/>
  <c r="L23" i="43"/>
  <c r="N22" i="43"/>
  <c r="L22" i="43"/>
  <c r="N21" i="43"/>
  <c r="L21" i="43"/>
  <c r="N20" i="43"/>
  <c r="L20" i="43"/>
  <c r="N19" i="43"/>
  <c r="N18" i="43"/>
  <c r="N17" i="43"/>
  <c r="L17" i="43"/>
  <c r="C17" i="43"/>
  <c r="K11" i="43"/>
  <c r="I11" i="43"/>
  <c r="D8" i="43"/>
  <c r="D90" i="43" s="1"/>
  <c r="P1" i="43"/>
  <c r="P83" i="43" s="1"/>
  <c r="M17" i="42"/>
  <c r="N17" i="42" s="1"/>
  <c r="K17" i="42"/>
  <c r="L17" i="42" s="1"/>
  <c r="M17" i="41"/>
  <c r="N17" i="41" s="1"/>
  <c r="K17" i="41"/>
  <c r="L17" i="41" s="1"/>
  <c r="M17" i="40"/>
  <c r="K17" i="40"/>
  <c r="L17" i="40" s="1"/>
  <c r="N99" i="39"/>
  <c r="L99" i="39"/>
  <c r="M18" i="39"/>
  <c r="K18" i="39"/>
  <c r="N99" i="38"/>
  <c r="L99" i="38"/>
  <c r="M18" i="38"/>
  <c r="K18" i="38"/>
  <c r="L18" i="38" s="1"/>
  <c r="N99" i="37"/>
  <c r="L99" i="37"/>
  <c r="M18" i="37"/>
  <c r="N18" i="37" s="1"/>
  <c r="O18" i="37" s="1"/>
  <c r="K18" i="37"/>
  <c r="L18" i="37" s="1"/>
  <c r="N102" i="31"/>
  <c r="O102" i="31" s="1"/>
  <c r="P102" i="31"/>
  <c r="L102" i="31"/>
  <c r="M102" i="31" s="1"/>
  <c r="M21" i="31"/>
  <c r="N21" i="31" s="1"/>
  <c r="K21" i="31"/>
  <c r="L21" i="31" s="1"/>
  <c r="N101" i="30"/>
  <c r="O101" i="30" s="1"/>
  <c r="L101" i="30"/>
  <c r="M101" i="30" s="1"/>
  <c r="M20" i="30"/>
  <c r="N20" i="30" s="1"/>
  <c r="K20" i="30"/>
  <c r="N102" i="29"/>
  <c r="O102" i="29" s="1"/>
  <c r="P102" i="29"/>
  <c r="L102" i="29"/>
  <c r="M102" i="29" s="1"/>
  <c r="M21" i="29"/>
  <c r="N21" i="29" s="1"/>
  <c r="L21" i="29"/>
  <c r="K21" i="29"/>
  <c r="N102" i="28"/>
  <c r="O102" i="28" s="1"/>
  <c r="P102" i="28" s="1"/>
  <c r="L102" i="28"/>
  <c r="M102" i="28" s="1"/>
  <c r="M21" i="28"/>
  <c r="N21" i="28" s="1"/>
  <c r="K21" i="28"/>
  <c r="L21" i="28"/>
  <c r="N103" i="27"/>
  <c r="O103" i="27"/>
  <c r="P103" i="27" s="1"/>
  <c r="M103" i="27"/>
  <c r="L103" i="27"/>
  <c r="M22" i="27"/>
  <c r="N22" i="27" s="1"/>
  <c r="O22" i="27" s="1"/>
  <c r="K22" i="27"/>
  <c r="L22" i="27" s="1"/>
  <c r="N106" i="25"/>
  <c r="O106" i="25" s="1"/>
  <c r="M106" i="25"/>
  <c r="P106" i="25" s="1"/>
  <c r="L106" i="25"/>
  <c r="M25" i="25"/>
  <c r="N25" i="25" s="1"/>
  <c r="K25" i="25"/>
  <c r="L25" i="25" s="1"/>
  <c r="N104" i="24"/>
  <c r="O104" i="24"/>
  <c r="P104" i="24" s="1"/>
  <c r="M104" i="24"/>
  <c r="L104" i="24"/>
  <c r="M23" i="24"/>
  <c r="N23" i="24" s="1"/>
  <c r="O23" i="24" s="1"/>
  <c r="K23" i="24"/>
  <c r="L23" i="24" s="1"/>
  <c r="N105" i="23"/>
  <c r="O105" i="23"/>
  <c r="M105" i="23"/>
  <c r="L105" i="23"/>
  <c r="M24" i="23"/>
  <c r="N24" i="23" s="1"/>
  <c r="K24" i="23"/>
  <c r="L24" i="23" s="1"/>
  <c r="N106" i="22"/>
  <c r="O106" i="22"/>
  <c r="P106" i="22" s="1"/>
  <c r="M106" i="22"/>
  <c r="L106" i="22"/>
  <c r="M25" i="22"/>
  <c r="N25" i="22" s="1"/>
  <c r="O25" i="22" s="1"/>
  <c r="K25" i="22"/>
  <c r="L25" i="22" s="1"/>
  <c r="N109" i="11"/>
  <c r="O109" i="11"/>
  <c r="M109" i="11"/>
  <c r="L109" i="11"/>
  <c r="M28" i="11"/>
  <c r="N28" i="11" s="1"/>
  <c r="K28" i="11"/>
  <c r="L28" i="11" s="1"/>
  <c r="N110" i="10"/>
  <c r="O110" i="10"/>
  <c r="P110" i="10" s="1"/>
  <c r="M110" i="10"/>
  <c r="L110" i="10"/>
  <c r="M29" i="10"/>
  <c r="N29" i="10" s="1"/>
  <c r="K29" i="10"/>
  <c r="L29" i="10" s="1"/>
  <c r="N109" i="9"/>
  <c r="O109" i="9"/>
  <c r="M109" i="9"/>
  <c r="L109" i="9"/>
  <c r="M28" i="9"/>
  <c r="N28" i="9" s="1"/>
  <c r="K28" i="9"/>
  <c r="L28" i="9" s="1"/>
  <c r="N108" i="8"/>
  <c r="O108" i="8"/>
  <c r="P108" i="8" s="1"/>
  <c r="M108" i="8"/>
  <c r="L108" i="8"/>
  <c r="M27" i="8"/>
  <c r="N27" i="8" s="1"/>
  <c r="O27" i="8" s="1"/>
  <c r="K27" i="8"/>
  <c r="L27" i="8" s="1"/>
  <c r="N110" i="7"/>
  <c r="O110" i="7"/>
  <c r="M110" i="7"/>
  <c r="L110" i="7"/>
  <c r="M29" i="7"/>
  <c r="N29" i="7" s="1"/>
  <c r="K29" i="7"/>
  <c r="L29" i="7" s="1"/>
  <c r="N108" i="6"/>
  <c r="O108" i="6"/>
  <c r="M108" i="6"/>
  <c r="L108" i="6"/>
  <c r="M27" i="6"/>
  <c r="N27" i="6" s="1"/>
  <c r="K27" i="6"/>
  <c r="L27" i="6" s="1"/>
  <c r="N107" i="5"/>
  <c r="O107" i="5"/>
  <c r="P107" i="5" s="1"/>
  <c r="M107" i="5"/>
  <c r="L107" i="5"/>
  <c r="M26" i="5"/>
  <c r="N26" i="5" s="1"/>
  <c r="O26" i="5" s="1"/>
  <c r="K26" i="5"/>
  <c r="L26" i="5" s="1"/>
  <c r="N107" i="4"/>
  <c r="O107" i="4" s="1"/>
  <c r="L107" i="4"/>
  <c r="M107" i="4" s="1"/>
  <c r="M26" i="4"/>
  <c r="N26" i="4" s="1"/>
  <c r="K26" i="4"/>
  <c r="L26" i="4" s="1"/>
  <c r="N107" i="3"/>
  <c r="O107" i="3"/>
  <c r="P107" i="3" s="1"/>
  <c r="M107" i="3"/>
  <c r="L107" i="3"/>
  <c r="M26" i="3"/>
  <c r="N26" i="3" s="1"/>
  <c r="K26" i="3"/>
  <c r="L26" i="3" s="1"/>
  <c r="D92" i="6"/>
  <c r="U2" i="17"/>
  <c r="T14" i="17" s="1"/>
  <c r="M26" i="6"/>
  <c r="N26" i="6" s="1"/>
  <c r="L26" i="6"/>
  <c r="K26" i="6"/>
  <c r="M17" i="38"/>
  <c r="K17" i="38"/>
  <c r="L17" i="38"/>
  <c r="M17" i="39"/>
  <c r="K17" i="39"/>
  <c r="N101" i="31"/>
  <c r="O101" i="31" s="1"/>
  <c r="P101" i="31" s="1"/>
  <c r="L101" i="31"/>
  <c r="M101" i="31" s="1"/>
  <c r="M20" i="31"/>
  <c r="N20" i="31"/>
  <c r="K20" i="31"/>
  <c r="M17" i="37"/>
  <c r="N17" i="37" s="1"/>
  <c r="K17" i="37"/>
  <c r="L17" i="37" s="1"/>
  <c r="W41" i="17"/>
  <c r="P41" i="17"/>
  <c r="W40" i="17"/>
  <c r="P40" i="17"/>
  <c r="M19" i="30"/>
  <c r="N19" i="30" s="1"/>
  <c r="O19" i="30" s="1"/>
  <c r="K19" i="30"/>
  <c r="L19" i="30" s="1"/>
  <c r="N100" i="30"/>
  <c r="O100" i="30" s="1"/>
  <c r="L100" i="30"/>
  <c r="M100" i="30" s="1"/>
  <c r="O20" i="29"/>
  <c r="M20" i="29"/>
  <c r="N20" i="29"/>
  <c r="K20" i="29"/>
  <c r="L20" i="29" s="1"/>
  <c r="N101" i="29"/>
  <c r="O101" i="29"/>
  <c r="L101" i="29"/>
  <c r="M101" i="29"/>
  <c r="N101" i="28"/>
  <c r="O101" i="28"/>
  <c r="L101" i="28"/>
  <c r="M101" i="28" s="1"/>
  <c r="M20" i="28"/>
  <c r="N20" i="28" s="1"/>
  <c r="K20" i="28"/>
  <c r="L20" i="28" s="1"/>
  <c r="N102" i="27"/>
  <c r="O102" i="27" s="1"/>
  <c r="M102" i="27"/>
  <c r="L102" i="27"/>
  <c r="M21" i="27"/>
  <c r="N21" i="27" s="1"/>
  <c r="O21" i="27" s="1"/>
  <c r="K21" i="27"/>
  <c r="L21" i="27"/>
  <c r="N105" i="25"/>
  <c r="O105" i="25"/>
  <c r="M105" i="25"/>
  <c r="L105" i="25"/>
  <c r="M24" i="25"/>
  <c r="N24" i="25" s="1"/>
  <c r="K24" i="25"/>
  <c r="L24" i="25" s="1"/>
  <c r="N103" i="24"/>
  <c r="O103" i="24" s="1"/>
  <c r="L103" i="24"/>
  <c r="M103" i="24" s="1"/>
  <c r="M22" i="24"/>
  <c r="N22" i="24" s="1"/>
  <c r="O22" i="24" s="1"/>
  <c r="K22" i="24"/>
  <c r="L22" i="24" s="1"/>
  <c r="N104" i="23"/>
  <c r="O104" i="23"/>
  <c r="P104" i="23" s="1"/>
  <c r="L104" i="23"/>
  <c r="M104" i="23"/>
  <c r="M23" i="23"/>
  <c r="N23" i="23" s="1"/>
  <c r="K23" i="23"/>
  <c r="L23" i="23" s="1"/>
  <c r="N105" i="22"/>
  <c r="O105" i="22" s="1"/>
  <c r="L105" i="22"/>
  <c r="M105" i="22"/>
  <c r="M24" i="22"/>
  <c r="N24" i="22" s="1"/>
  <c r="O24" i="22" s="1"/>
  <c r="K24" i="22"/>
  <c r="L24" i="22" s="1"/>
  <c r="N108" i="11"/>
  <c r="O108" i="11"/>
  <c r="L108" i="11"/>
  <c r="M108" i="11" s="1"/>
  <c r="P108" i="11" s="1"/>
  <c r="M27" i="11"/>
  <c r="N27" i="11"/>
  <c r="L27" i="11"/>
  <c r="K27" i="11"/>
  <c r="N109" i="10"/>
  <c r="O109" i="10"/>
  <c r="M109" i="10"/>
  <c r="L109" i="10"/>
  <c r="M28" i="10"/>
  <c r="N28" i="10"/>
  <c r="O28" i="10"/>
  <c r="K28" i="10"/>
  <c r="L28" i="10" s="1"/>
  <c r="N108" i="9"/>
  <c r="O108" i="9"/>
  <c r="P108" i="9" s="1"/>
  <c r="L108" i="9"/>
  <c r="M108" i="9"/>
  <c r="M27" i="9"/>
  <c r="N27" i="9" s="1"/>
  <c r="K27" i="9"/>
  <c r="L27" i="9" s="1"/>
  <c r="N107" i="8"/>
  <c r="O107" i="8" s="1"/>
  <c r="L107" i="8"/>
  <c r="M107" i="8"/>
  <c r="M26" i="8"/>
  <c r="N26" i="8" s="1"/>
  <c r="K26" i="8"/>
  <c r="L26" i="8" s="1"/>
  <c r="N109" i="7"/>
  <c r="O109" i="7" s="1"/>
  <c r="P109" i="7" s="1"/>
  <c r="L109" i="7"/>
  <c r="M109" i="7" s="1"/>
  <c r="M28" i="7"/>
  <c r="N28" i="7" s="1"/>
  <c r="K28" i="7"/>
  <c r="L28" i="7" s="1"/>
  <c r="N107" i="6"/>
  <c r="O107" i="6"/>
  <c r="L107" i="6"/>
  <c r="M107" i="6" s="1"/>
  <c r="N106" i="5"/>
  <c r="O106" i="5" s="1"/>
  <c r="P106" i="5" s="1"/>
  <c r="L106" i="5"/>
  <c r="M106" i="5"/>
  <c r="M25" i="5"/>
  <c r="N25" i="5" s="1"/>
  <c r="O25" i="5" s="1"/>
  <c r="L25" i="5"/>
  <c r="K25" i="5"/>
  <c r="N106" i="4"/>
  <c r="O106" i="4"/>
  <c r="P106" i="4"/>
  <c r="L106" i="4"/>
  <c r="M106" i="4"/>
  <c r="M25" i="4"/>
  <c r="N25" i="4"/>
  <c r="O25" i="4" s="1"/>
  <c r="K25" i="4"/>
  <c r="L25" i="4" s="1"/>
  <c r="N106" i="3"/>
  <c r="O106" i="3" s="1"/>
  <c r="L106" i="3"/>
  <c r="M106" i="3" s="1"/>
  <c r="M25" i="3"/>
  <c r="N25" i="3" s="1"/>
  <c r="O25" i="3" s="1"/>
  <c r="L25" i="3"/>
  <c r="K25" i="3"/>
  <c r="P154" i="42"/>
  <c r="O154" i="42"/>
  <c r="M154" i="42"/>
  <c r="J154" i="42"/>
  <c r="P153" i="42"/>
  <c r="O153" i="42"/>
  <c r="M153" i="42"/>
  <c r="J153" i="42"/>
  <c r="P152" i="42"/>
  <c r="O152" i="42"/>
  <c r="M152" i="42"/>
  <c r="J152" i="42"/>
  <c r="P151" i="42"/>
  <c r="O151" i="42"/>
  <c r="M151" i="42"/>
  <c r="J151" i="42"/>
  <c r="P150" i="42"/>
  <c r="O150" i="42"/>
  <c r="M150" i="42"/>
  <c r="J150" i="42"/>
  <c r="P149" i="42"/>
  <c r="O149" i="42"/>
  <c r="M149" i="42"/>
  <c r="J149" i="42"/>
  <c r="P148" i="42"/>
  <c r="O148" i="42"/>
  <c r="M148" i="42"/>
  <c r="J148" i="42"/>
  <c r="P147" i="42"/>
  <c r="O147" i="42"/>
  <c r="M147" i="42"/>
  <c r="J147" i="42"/>
  <c r="P146" i="42"/>
  <c r="O146" i="42"/>
  <c r="M146" i="42"/>
  <c r="J146" i="42"/>
  <c r="P145" i="42"/>
  <c r="O145" i="42"/>
  <c r="M145" i="42"/>
  <c r="J145" i="42"/>
  <c r="P144" i="42"/>
  <c r="O144" i="42"/>
  <c r="M144" i="42"/>
  <c r="J144" i="42"/>
  <c r="P143" i="42"/>
  <c r="O143" i="42"/>
  <c r="M143" i="42"/>
  <c r="J143" i="42"/>
  <c r="P142" i="42"/>
  <c r="O142" i="42"/>
  <c r="M142" i="42"/>
  <c r="J142" i="42"/>
  <c r="P141" i="42"/>
  <c r="O141" i="42"/>
  <c r="M141" i="42"/>
  <c r="J141" i="42"/>
  <c r="P140" i="42"/>
  <c r="O140" i="42"/>
  <c r="M140" i="42"/>
  <c r="J140" i="42"/>
  <c r="P139" i="42"/>
  <c r="O139" i="42"/>
  <c r="M139" i="42"/>
  <c r="J139" i="42"/>
  <c r="P138" i="42"/>
  <c r="O138" i="42"/>
  <c r="M138" i="42"/>
  <c r="J138" i="42"/>
  <c r="P137" i="42"/>
  <c r="O137" i="42"/>
  <c r="M137" i="42"/>
  <c r="J137" i="42"/>
  <c r="P136" i="42"/>
  <c r="O136" i="42"/>
  <c r="M136" i="42"/>
  <c r="J136" i="42"/>
  <c r="P135" i="42"/>
  <c r="O135" i="42"/>
  <c r="M135" i="42"/>
  <c r="J135" i="42"/>
  <c r="P134" i="42"/>
  <c r="O134" i="42"/>
  <c r="M134" i="42"/>
  <c r="J134" i="42"/>
  <c r="P133" i="42"/>
  <c r="O133" i="42"/>
  <c r="M133" i="42"/>
  <c r="J133" i="42"/>
  <c r="P132" i="42"/>
  <c r="O132" i="42"/>
  <c r="M132" i="42"/>
  <c r="J132" i="42"/>
  <c r="P131" i="42"/>
  <c r="O131" i="42"/>
  <c r="M131" i="42"/>
  <c r="J131" i="42"/>
  <c r="O130" i="42"/>
  <c r="M130" i="42"/>
  <c r="O129" i="42"/>
  <c r="M129" i="42"/>
  <c r="O128" i="42"/>
  <c r="M128" i="42"/>
  <c r="O127" i="42"/>
  <c r="M127" i="42"/>
  <c r="O126" i="42"/>
  <c r="M126" i="42"/>
  <c r="O125" i="42"/>
  <c r="M125" i="42"/>
  <c r="O124" i="42"/>
  <c r="M124" i="42"/>
  <c r="O123" i="42"/>
  <c r="M123" i="42"/>
  <c r="O122" i="42"/>
  <c r="M122" i="42"/>
  <c r="O121" i="42"/>
  <c r="M121" i="42"/>
  <c r="O120" i="42"/>
  <c r="M120" i="42"/>
  <c r="O119" i="42"/>
  <c r="M119" i="42"/>
  <c r="O118" i="42"/>
  <c r="M118" i="42"/>
  <c r="O117" i="42"/>
  <c r="M117" i="42"/>
  <c r="O116" i="42"/>
  <c r="M116" i="42"/>
  <c r="O115" i="42"/>
  <c r="M115" i="42"/>
  <c r="O114" i="42"/>
  <c r="M114" i="42"/>
  <c r="O113" i="42"/>
  <c r="M113" i="42"/>
  <c r="O112" i="42"/>
  <c r="M112" i="42"/>
  <c r="O111" i="42"/>
  <c r="M111" i="42"/>
  <c r="O110" i="42"/>
  <c r="M110" i="42"/>
  <c r="O109" i="42"/>
  <c r="M109" i="42"/>
  <c r="O108" i="42"/>
  <c r="M108" i="42"/>
  <c r="O107" i="42"/>
  <c r="M107" i="42"/>
  <c r="O106" i="42"/>
  <c r="M106" i="42"/>
  <c r="O105" i="42"/>
  <c r="M105" i="42"/>
  <c r="O104" i="42"/>
  <c r="M104" i="42"/>
  <c r="O103" i="42"/>
  <c r="M103" i="42"/>
  <c r="O102" i="42"/>
  <c r="M102" i="42"/>
  <c r="O101" i="42"/>
  <c r="M101" i="42"/>
  <c r="O100" i="42"/>
  <c r="M100" i="42"/>
  <c r="C99" i="42"/>
  <c r="D96" i="42"/>
  <c r="L93" i="42"/>
  <c r="J93" i="42"/>
  <c r="D91" i="42"/>
  <c r="D89" i="42"/>
  <c r="N72" i="42"/>
  <c r="L72" i="42"/>
  <c r="N71" i="42"/>
  <c r="L71" i="42"/>
  <c r="N70" i="42"/>
  <c r="L70" i="42"/>
  <c r="N69" i="42"/>
  <c r="L69" i="42"/>
  <c r="N68" i="42"/>
  <c r="L68" i="42"/>
  <c r="N67" i="42"/>
  <c r="L67" i="42"/>
  <c r="N66" i="42"/>
  <c r="L66" i="42"/>
  <c r="N65" i="42"/>
  <c r="L65" i="42"/>
  <c r="N64" i="42"/>
  <c r="L64" i="42"/>
  <c r="N63" i="42"/>
  <c r="L63" i="42"/>
  <c r="N62" i="42"/>
  <c r="L62" i="42"/>
  <c r="N61" i="42"/>
  <c r="L61" i="42"/>
  <c r="N60" i="42"/>
  <c r="L60" i="42"/>
  <c r="N59" i="42"/>
  <c r="L59" i="42"/>
  <c r="N58" i="42"/>
  <c r="L58" i="42"/>
  <c r="N57" i="42"/>
  <c r="L57" i="42"/>
  <c r="N56" i="42"/>
  <c r="L56" i="42"/>
  <c r="N55" i="42"/>
  <c r="L55" i="42"/>
  <c r="N54" i="42"/>
  <c r="L54" i="42"/>
  <c r="N53" i="42"/>
  <c r="L53" i="42"/>
  <c r="N52" i="42"/>
  <c r="L52" i="42"/>
  <c r="N51" i="42"/>
  <c r="L51" i="42"/>
  <c r="N50" i="42"/>
  <c r="L50" i="42"/>
  <c r="N49" i="42"/>
  <c r="L49" i="42"/>
  <c r="N48" i="42"/>
  <c r="L48" i="42"/>
  <c r="N47" i="42"/>
  <c r="L47" i="42"/>
  <c r="N46" i="42"/>
  <c r="L46" i="42"/>
  <c r="N45" i="42"/>
  <c r="L45" i="42"/>
  <c r="N44" i="42"/>
  <c r="L44" i="42"/>
  <c r="N43" i="42"/>
  <c r="L43" i="42"/>
  <c r="N42" i="42"/>
  <c r="L42" i="42"/>
  <c r="N41" i="42"/>
  <c r="L41" i="42"/>
  <c r="N40" i="42"/>
  <c r="L40" i="42"/>
  <c r="N39" i="42"/>
  <c r="L39" i="42"/>
  <c r="N38" i="42"/>
  <c r="L38" i="42"/>
  <c r="N37" i="42"/>
  <c r="L37" i="42"/>
  <c r="N36" i="42"/>
  <c r="L36" i="42"/>
  <c r="N35" i="42"/>
  <c r="L35" i="42"/>
  <c r="N34" i="42"/>
  <c r="L34" i="42"/>
  <c r="N33" i="42"/>
  <c r="L33" i="42"/>
  <c r="N32" i="42"/>
  <c r="L32" i="42"/>
  <c r="N31" i="42"/>
  <c r="L31" i="42"/>
  <c r="N30" i="42"/>
  <c r="L30" i="42"/>
  <c r="N29" i="42"/>
  <c r="L29" i="42"/>
  <c r="N28" i="42"/>
  <c r="L28" i="42"/>
  <c r="N27" i="42"/>
  <c r="L27" i="42"/>
  <c r="N26" i="42"/>
  <c r="L26" i="42"/>
  <c r="N25" i="42"/>
  <c r="L25" i="42"/>
  <c r="N24" i="42"/>
  <c r="L24" i="42"/>
  <c r="N23" i="42"/>
  <c r="L23" i="42"/>
  <c r="N22" i="42"/>
  <c r="L22" i="42"/>
  <c r="N21" i="42"/>
  <c r="L21" i="42"/>
  <c r="N20" i="42"/>
  <c r="L20" i="42"/>
  <c r="N19" i="42"/>
  <c r="N18" i="42"/>
  <c r="C17" i="42"/>
  <c r="K11" i="42"/>
  <c r="I11" i="42"/>
  <c r="D8" i="42"/>
  <c r="D90" i="42" s="1"/>
  <c r="P1" i="42"/>
  <c r="P83" i="42" s="1"/>
  <c r="P154" i="41"/>
  <c r="O154" i="41"/>
  <c r="M154" i="41"/>
  <c r="J154" i="41"/>
  <c r="P153" i="41"/>
  <c r="O153" i="41"/>
  <c r="M153" i="41"/>
  <c r="J153" i="41"/>
  <c r="P152" i="41"/>
  <c r="O152" i="41"/>
  <c r="M152" i="41"/>
  <c r="J152" i="41"/>
  <c r="P151" i="41"/>
  <c r="O151" i="41"/>
  <c r="M151" i="41"/>
  <c r="J151" i="41"/>
  <c r="P150" i="41"/>
  <c r="O150" i="41"/>
  <c r="M150" i="41"/>
  <c r="J150" i="41"/>
  <c r="P149" i="41"/>
  <c r="O149" i="41"/>
  <c r="M149" i="41"/>
  <c r="J149" i="41"/>
  <c r="P148" i="41"/>
  <c r="O148" i="41"/>
  <c r="M148" i="41"/>
  <c r="J148" i="41"/>
  <c r="P147" i="41"/>
  <c r="O147" i="41"/>
  <c r="M147" i="41"/>
  <c r="J147" i="41"/>
  <c r="P146" i="41"/>
  <c r="O146" i="41"/>
  <c r="M146" i="41"/>
  <c r="J146" i="41"/>
  <c r="P145" i="41"/>
  <c r="O145" i="41"/>
  <c r="M145" i="41"/>
  <c r="J145" i="41"/>
  <c r="P144" i="41"/>
  <c r="O144" i="41"/>
  <c r="M144" i="41"/>
  <c r="J144" i="41"/>
  <c r="P143" i="41"/>
  <c r="O143" i="41"/>
  <c r="M143" i="41"/>
  <c r="J143" i="41"/>
  <c r="P142" i="41"/>
  <c r="O142" i="41"/>
  <c r="M142" i="41"/>
  <c r="J142" i="41"/>
  <c r="P141" i="41"/>
  <c r="O141" i="41"/>
  <c r="M141" i="41"/>
  <c r="J141" i="41"/>
  <c r="P140" i="41"/>
  <c r="O140" i="41"/>
  <c r="M140" i="41"/>
  <c r="J140" i="41"/>
  <c r="P139" i="41"/>
  <c r="O139" i="41"/>
  <c r="M139" i="41"/>
  <c r="J139" i="41"/>
  <c r="P138" i="41"/>
  <c r="O138" i="41"/>
  <c r="M138" i="41"/>
  <c r="J138" i="41"/>
  <c r="P137" i="41"/>
  <c r="O137" i="41"/>
  <c r="M137" i="41"/>
  <c r="J137" i="41"/>
  <c r="P136" i="41"/>
  <c r="O136" i="41"/>
  <c r="M136" i="41"/>
  <c r="J136" i="41"/>
  <c r="P135" i="41"/>
  <c r="O135" i="41"/>
  <c r="M135" i="41"/>
  <c r="J135" i="41"/>
  <c r="P134" i="41"/>
  <c r="O134" i="41"/>
  <c r="M134" i="41"/>
  <c r="J134" i="41"/>
  <c r="P133" i="41"/>
  <c r="O133" i="41"/>
  <c r="M133" i="41"/>
  <c r="J133" i="41"/>
  <c r="P132" i="41"/>
  <c r="O132" i="41"/>
  <c r="M132" i="41"/>
  <c r="J132" i="41"/>
  <c r="P131" i="41"/>
  <c r="O131" i="41"/>
  <c r="M131" i="41"/>
  <c r="J131" i="41"/>
  <c r="O130" i="41"/>
  <c r="M130" i="41"/>
  <c r="O129" i="41"/>
  <c r="M129" i="41"/>
  <c r="O128" i="41"/>
  <c r="M128" i="41"/>
  <c r="O127" i="41"/>
  <c r="M127" i="41"/>
  <c r="O126" i="41"/>
  <c r="M126" i="41"/>
  <c r="O125" i="41"/>
  <c r="M125" i="41"/>
  <c r="O124" i="41"/>
  <c r="M124" i="41"/>
  <c r="O123" i="41"/>
  <c r="M123" i="41"/>
  <c r="O122" i="41"/>
  <c r="M122" i="41"/>
  <c r="O121" i="41"/>
  <c r="M121" i="41"/>
  <c r="O120" i="41"/>
  <c r="M120" i="41"/>
  <c r="O119" i="41"/>
  <c r="M119" i="41"/>
  <c r="O118" i="41"/>
  <c r="M118" i="41"/>
  <c r="O117" i="41"/>
  <c r="M117" i="41"/>
  <c r="O116" i="41"/>
  <c r="M116" i="41"/>
  <c r="O115" i="41"/>
  <c r="M115" i="41"/>
  <c r="O114" i="41"/>
  <c r="M114" i="41"/>
  <c r="O113" i="41"/>
  <c r="M113" i="41"/>
  <c r="O112" i="41"/>
  <c r="M112" i="41"/>
  <c r="O111" i="41"/>
  <c r="M111" i="41"/>
  <c r="O110" i="41"/>
  <c r="M110" i="41"/>
  <c r="O109" i="41"/>
  <c r="M109" i="41"/>
  <c r="O108" i="41"/>
  <c r="M108" i="41"/>
  <c r="O107" i="41"/>
  <c r="M107" i="41"/>
  <c r="O106" i="41"/>
  <c r="M106" i="41"/>
  <c r="O105" i="41"/>
  <c r="M105" i="41"/>
  <c r="O104" i="41"/>
  <c r="M104" i="41"/>
  <c r="O103" i="41"/>
  <c r="M103" i="41"/>
  <c r="O102" i="41"/>
  <c r="M102" i="41"/>
  <c r="O101" i="41"/>
  <c r="M101" i="41"/>
  <c r="O100" i="41"/>
  <c r="M100" i="41"/>
  <c r="C99" i="41"/>
  <c r="D96" i="41"/>
  <c r="L93" i="41"/>
  <c r="J93" i="41"/>
  <c r="D91" i="41"/>
  <c r="D89" i="41"/>
  <c r="N72" i="41"/>
  <c r="L72" i="41"/>
  <c r="N71" i="41"/>
  <c r="L71" i="41"/>
  <c r="N70" i="41"/>
  <c r="L70" i="41"/>
  <c r="N69" i="41"/>
  <c r="L69" i="41"/>
  <c r="N68" i="41"/>
  <c r="L68" i="41"/>
  <c r="N67" i="41"/>
  <c r="L67" i="41"/>
  <c r="N66" i="41"/>
  <c r="L66" i="41"/>
  <c r="N65" i="41"/>
  <c r="L65" i="41"/>
  <c r="N64" i="41"/>
  <c r="L64" i="41"/>
  <c r="N63" i="41"/>
  <c r="L63" i="41"/>
  <c r="N62" i="41"/>
  <c r="L62" i="41"/>
  <c r="N61" i="41"/>
  <c r="L61" i="41"/>
  <c r="N60" i="41"/>
  <c r="L60" i="41"/>
  <c r="N59" i="41"/>
  <c r="L59" i="41"/>
  <c r="N58" i="41"/>
  <c r="L58" i="41"/>
  <c r="N57" i="41"/>
  <c r="L57" i="41"/>
  <c r="N56" i="41"/>
  <c r="L56" i="41"/>
  <c r="N55" i="41"/>
  <c r="L55" i="41"/>
  <c r="N54" i="41"/>
  <c r="L54" i="41"/>
  <c r="N53" i="41"/>
  <c r="L53" i="41"/>
  <c r="N52" i="41"/>
  <c r="L52" i="41"/>
  <c r="N51" i="41"/>
  <c r="L51" i="41"/>
  <c r="N50" i="41"/>
  <c r="L50" i="41"/>
  <c r="N49" i="41"/>
  <c r="L49" i="41"/>
  <c r="N48" i="41"/>
  <c r="L48" i="41"/>
  <c r="N47" i="41"/>
  <c r="L47" i="41"/>
  <c r="N46" i="41"/>
  <c r="L46" i="41"/>
  <c r="N45" i="41"/>
  <c r="L45" i="41"/>
  <c r="N44" i="41"/>
  <c r="L44" i="41"/>
  <c r="N43" i="41"/>
  <c r="L43" i="41"/>
  <c r="N42" i="41"/>
  <c r="L42" i="41"/>
  <c r="N41" i="41"/>
  <c r="L41" i="41"/>
  <c r="N40" i="41"/>
  <c r="L40" i="41"/>
  <c r="N39" i="41"/>
  <c r="L39" i="41"/>
  <c r="N38" i="41"/>
  <c r="L38" i="41"/>
  <c r="N37" i="41"/>
  <c r="L37" i="41"/>
  <c r="N36" i="41"/>
  <c r="L36" i="41"/>
  <c r="N35" i="41"/>
  <c r="L35" i="41"/>
  <c r="N34" i="41"/>
  <c r="L34" i="41"/>
  <c r="N33" i="41"/>
  <c r="L33" i="41"/>
  <c r="N32" i="41"/>
  <c r="L32" i="41"/>
  <c r="N31" i="41"/>
  <c r="L31" i="41"/>
  <c r="N30" i="41"/>
  <c r="L30" i="41"/>
  <c r="N29" i="41"/>
  <c r="L29" i="41"/>
  <c r="N28" i="41"/>
  <c r="L28" i="41"/>
  <c r="N27" i="41"/>
  <c r="L27" i="41"/>
  <c r="N26" i="41"/>
  <c r="L26" i="41"/>
  <c r="N25" i="41"/>
  <c r="L25" i="41"/>
  <c r="N24" i="41"/>
  <c r="L24" i="41"/>
  <c r="N23" i="41"/>
  <c r="L23" i="41"/>
  <c r="N22" i="41"/>
  <c r="L22" i="41"/>
  <c r="N21" i="41"/>
  <c r="L21" i="41"/>
  <c r="N20" i="41"/>
  <c r="L20" i="41"/>
  <c r="N19" i="41"/>
  <c r="N18" i="41"/>
  <c r="C17" i="41"/>
  <c r="K11" i="41"/>
  <c r="I11" i="41"/>
  <c r="D8" i="41"/>
  <c r="D90" i="41" s="1"/>
  <c r="P1" i="41"/>
  <c r="P83" i="41" s="1"/>
  <c r="F66" i="2"/>
  <c r="C66" i="2"/>
  <c r="E17" i="1"/>
  <c r="F13" i="1"/>
  <c r="C80" i="1" s="1"/>
  <c r="F87" i="1"/>
  <c r="C81" i="1"/>
  <c r="C75" i="1"/>
  <c r="C64" i="1"/>
  <c r="C58" i="1"/>
  <c r="C47" i="1"/>
  <c r="C46" i="1"/>
  <c r="C45" i="1"/>
  <c r="C34" i="1"/>
  <c r="C31" i="1"/>
  <c r="C24" i="1"/>
  <c r="E17" i="13"/>
  <c r="M16" i="2"/>
  <c r="J92" i="45" s="1"/>
  <c r="N100" i="31"/>
  <c r="O100" i="31"/>
  <c r="L100" i="31"/>
  <c r="M100" i="31" s="1"/>
  <c r="M19" i="31"/>
  <c r="N19" i="31" s="1"/>
  <c r="O19" i="31" s="1"/>
  <c r="K19" i="31"/>
  <c r="L19" i="31"/>
  <c r="N99" i="30"/>
  <c r="L99" i="30"/>
  <c r="M99" i="30" s="1"/>
  <c r="M18" i="30"/>
  <c r="N18" i="30" s="1"/>
  <c r="K18" i="30"/>
  <c r="L18" i="30" s="1"/>
  <c r="N100" i="29"/>
  <c r="O100" i="29"/>
  <c r="L100" i="29"/>
  <c r="M100" i="29" s="1"/>
  <c r="M19" i="29"/>
  <c r="N19" i="29" s="1"/>
  <c r="L19" i="29"/>
  <c r="K19" i="29"/>
  <c r="N100" i="28"/>
  <c r="O100" i="28" s="1"/>
  <c r="L100" i="28"/>
  <c r="M100" i="28" s="1"/>
  <c r="M19" i="28"/>
  <c r="N19" i="28"/>
  <c r="K19" i="28"/>
  <c r="L19" i="28" s="1"/>
  <c r="N101" i="27"/>
  <c r="O101" i="27" s="1"/>
  <c r="P101" i="27" s="1"/>
  <c r="L101" i="27"/>
  <c r="M101" i="27"/>
  <c r="M20" i="27"/>
  <c r="N20" i="27"/>
  <c r="K20" i="27"/>
  <c r="L20" i="27" s="1"/>
  <c r="N104" i="25"/>
  <c r="O104" i="25" s="1"/>
  <c r="P104" i="25" s="1"/>
  <c r="L104" i="25"/>
  <c r="M104" i="25" s="1"/>
  <c r="M23" i="25"/>
  <c r="N23" i="25"/>
  <c r="O23" i="25" s="1"/>
  <c r="K23" i="25"/>
  <c r="L23" i="25" s="1"/>
  <c r="N102" i="24"/>
  <c r="O102" i="24" s="1"/>
  <c r="P102" i="24"/>
  <c r="L102" i="24"/>
  <c r="M102" i="24"/>
  <c r="M21" i="24"/>
  <c r="N21" i="24"/>
  <c r="K21" i="24"/>
  <c r="L21" i="24" s="1"/>
  <c r="N103" i="23"/>
  <c r="O103" i="23" s="1"/>
  <c r="L103" i="23"/>
  <c r="M103" i="23" s="1"/>
  <c r="M22" i="23"/>
  <c r="N22" i="23" s="1"/>
  <c r="K22" i="23"/>
  <c r="L22" i="23" s="1"/>
  <c r="N104" i="22"/>
  <c r="O104" i="22"/>
  <c r="L104" i="22"/>
  <c r="M104" i="22" s="1"/>
  <c r="M23" i="22"/>
  <c r="N23" i="22" s="1"/>
  <c r="O23" i="22" s="1"/>
  <c r="K23" i="22"/>
  <c r="L23" i="22"/>
  <c r="N107" i="11"/>
  <c r="O107" i="11"/>
  <c r="P107" i="11" s="1"/>
  <c r="L107" i="11"/>
  <c r="M107" i="11" s="1"/>
  <c r="M26" i="11"/>
  <c r="N26" i="11" s="1"/>
  <c r="O26" i="11" s="1"/>
  <c r="K26" i="11"/>
  <c r="L26" i="11"/>
  <c r="N108" i="10"/>
  <c r="O108" i="10"/>
  <c r="L108" i="10"/>
  <c r="M108" i="10" s="1"/>
  <c r="M27" i="10"/>
  <c r="N27" i="10" s="1"/>
  <c r="O27" i="10" s="1"/>
  <c r="K27" i="10"/>
  <c r="L27" i="10"/>
  <c r="N107" i="9"/>
  <c r="O107" i="9"/>
  <c r="L107" i="9"/>
  <c r="M107" i="9" s="1"/>
  <c r="M26" i="9"/>
  <c r="N26" i="9" s="1"/>
  <c r="K26" i="9"/>
  <c r="L26" i="9" s="1"/>
  <c r="N106" i="8"/>
  <c r="O106" i="8" s="1"/>
  <c r="L106" i="8"/>
  <c r="M106" i="8" s="1"/>
  <c r="P106" i="8"/>
  <c r="M25" i="8"/>
  <c r="N25" i="8"/>
  <c r="K25" i="8"/>
  <c r="L25" i="8"/>
  <c r="N108" i="7"/>
  <c r="O108" i="7" s="1"/>
  <c r="P108" i="7" s="1"/>
  <c r="L108" i="7"/>
  <c r="M108" i="7"/>
  <c r="M27" i="7"/>
  <c r="N27" i="7"/>
  <c r="K27" i="7"/>
  <c r="L27" i="7"/>
  <c r="M25" i="6"/>
  <c r="N25" i="6"/>
  <c r="K25" i="6"/>
  <c r="L25" i="6" s="1"/>
  <c r="N106" i="6"/>
  <c r="O106" i="6" s="1"/>
  <c r="P106" i="6" s="1"/>
  <c r="L106" i="6"/>
  <c r="M106" i="6"/>
  <c r="N105" i="5"/>
  <c r="O105" i="5"/>
  <c r="P105" i="5" s="1"/>
  <c r="L105" i="5"/>
  <c r="M105" i="5" s="1"/>
  <c r="M24" i="5"/>
  <c r="N24" i="5" s="1"/>
  <c r="O24" i="5"/>
  <c r="K24" i="5"/>
  <c r="L24" i="5"/>
  <c r="N105" i="4"/>
  <c r="L105" i="4"/>
  <c r="M105" i="4" s="1"/>
  <c r="M24" i="4"/>
  <c r="N24" i="4" s="1"/>
  <c r="K24" i="4"/>
  <c r="L24" i="4" s="1"/>
  <c r="M24" i="3"/>
  <c r="N24" i="3" s="1"/>
  <c r="K24" i="3"/>
  <c r="L24" i="3" s="1"/>
  <c r="O24" i="3" s="1"/>
  <c r="N105" i="3"/>
  <c r="O105" i="3"/>
  <c r="L105" i="3"/>
  <c r="M105" i="3" s="1"/>
  <c r="P39" i="17"/>
  <c r="P38" i="17"/>
  <c r="P37" i="17"/>
  <c r="P36" i="17"/>
  <c r="O26" i="9"/>
  <c r="P1" i="40"/>
  <c r="P83" i="40" s="1"/>
  <c r="P1" i="39"/>
  <c r="P83" i="39" s="1"/>
  <c r="P1" i="38"/>
  <c r="P83" i="38" s="1"/>
  <c r="P1" i="37"/>
  <c r="P83" i="37" s="1"/>
  <c r="P154" i="40"/>
  <c r="O154" i="40"/>
  <c r="M154" i="40"/>
  <c r="J154" i="40"/>
  <c r="P153" i="40"/>
  <c r="O153" i="40"/>
  <c r="M153" i="40"/>
  <c r="J153" i="40"/>
  <c r="P152" i="40"/>
  <c r="O152" i="40"/>
  <c r="M152" i="40"/>
  <c r="J152" i="40"/>
  <c r="P151" i="40"/>
  <c r="O151" i="40"/>
  <c r="M151" i="40"/>
  <c r="J151" i="40"/>
  <c r="P150" i="40"/>
  <c r="O150" i="40"/>
  <c r="M150" i="40"/>
  <c r="J150" i="40"/>
  <c r="P149" i="40"/>
  <c r="O149" i="40"/>
  <c r="M149" i="40"/>
  <c r="J149" i="40"/>
  <c r="P148" i="40"/>
  <c r="O148" i="40"/>
  <c r="M148" i="40"/>
  <c r="J148" i="40"/>
  <c r="P147" i="40"/>
  <c r="O147" i="40"/>
  <c r="M147" i="40"/>
  <c r="J147" i="40"/>
  <c r="P146" i="40"/>
  <c r="O146" i="40"/>
  <c r="M146" i="40"/>
  <c r="J146" i="40"/>
  <c r="P145" i="40"/>
  <c r="O145" i="40"/>
  <c r="M145" i="40"/>
  <c r="J145" i="40"/>
  <c r="P144" i="40"/>
  <c r="O144" i="40"/>
  <c r="M144" i="40"/>
  <c r="J144" i="40"/>
  <c r="P143" i="40"/>
  <c r="O143" i="40"/>
  <c r="M143" i="40"/>
  <c r="J143" i="40"/>
  <c r="P142" i="40"/>
  <c r="O142" i="40"/>
  <c r="M142" i="40"/>
  <c r="J142" i="40"/>
  <c r="P141" i="40"/>
  <c r="O141" i="40"/>
  <c r="M141" i="40"/>
  <c r="J141" i="40"/>
  <c r="P140" i="40"/>
  <c r="O140" i="40"/>
  <c r="M140" i="40"/>
  <c r="J140" i="40"/>
  <c r="P139" i="40"/>
  <c r="O139" i="40"/>
  <c r="M139" i="40"/>
  <c r="J139" i="40"/>
  <c r="P138" i="40"/>
  <c r="O138" i="40"/>
  <c r="M138" i="40"/>
  <c r="J138" i="40"/>
  <c r="P137" i="40"/>
  <c r="O137" i="40"/>
  <c r="M137" i="40"/>
  <c r="J137" i="40"/>
  <c r="P136" i="40"/>
  <c r="O136" i="40"/>
  <c r="M136" i="40"/>
  <c r="J136" i="40"/>
  <c r="P135" i="40"/>
  <c r="O135" i="40"/>
  <c r="M135" i="40"/>
  <c r="J135" i="40"/>
  <c r="P134" i="40"/>
  <c r="O134" i="40"/>
  <c r="M134" i="40"/>
  <c r="J134" i="40"/>
  <c r="P133" i="40"/>
  <c r="O133" i="40"/>
  <c r="M133" i="40"/>
  <c r="J133" i="40"/>
  <c r="P132" i="40"/>
  <c r="O132" i="40"/>
  <c r="M132" i="40"/>
  <c r="J132" i="40"/>
  <c r="P131" i="40"/>
  <c r="O131" i="40"/>
  <c r="M131" i="40"/>
  <c r="J131" i="40"/>
  <c r="O130" i="40"/>
  <c r="M130" i="40"/>
  <c r="O129" i="40"/>
  <c r="M129" i="40"/>
  <c r="O128" i="40"/>
  <c r="M128" i="40"/>
  <c r="O127" i="40"/>
  <c r="M127" i="40"/>
  <c r="O126" i="40"/>
  <c r="M126" i="40"/>
  <c r="O125" i="40"/>
  <c r="M125" i="40"/>
  <c r="O124" i="40"/>
  <c r="M124" i="40"/>
  <c r="O123" i="40"/>
  <c r="M123" i="40"/>
  <c r="O122" i="40"/>
  <c r="M122" i="40"/>
  <c r="O121" i="40"/>
  <c r="M121" i="40"/>
  <c r="O120" i="40"/>
  <c r="M120" i="40"/>
  <c r="O119" i="40"/>
  <c r="M119" i="40"/>
  <c r="O118" i="40"/>
  <c r="M118" i="40"/>
  <c r="O117" i="40"/>
  <c r="M117" i="40"/>
  <c r="O116" i="40"/>
  <c r="M116" i="40"/>
  <c r="O115" i="40"/>
  <c r="M115" i="40"/>
  <c r="O114" i="40"/>
  <c r="M114" i="40"/>
  <c r="O113" i="40"/>
  <c r="M113" i="40"/>
  <c r="O112" i="40"/>
  <c r="M112" i="40"/>
  <c r="O111" i="40"/>
  <c r="M111" i="40"/>
  <c r="O110" i="40"/>
  <c r="M110" i="40"/>
  <c r="O109" i="40"/>
  <c r="M109" i="40"/>
  <c r="O108" i="40"/>
  <c r="M108" i="40"/>
  <c r="O107" i="40"/>
  <c r="M107" i="40"/>
  <c r="O106" i="40"/>
  <c r="M106" i="40"/>
  <c r="O105" i="40"/>
  <c r="M105" i="40"/>
  <c r="O104" i="40"/>
  <c r="M104" i="40"/>
  <c r="O103" i="40"/>
  <c r="M103" i="40"/>
  <c r="O102" i="40"/>
  <c r="M102" i="40"/>
  <c r="O101" i="40"/>
  <c r="M101" i="40"/>
  <c r="O100" i="40"/>
  <c r="M100" i="40"/>
  <c r="D96" i="40"/>
  <c r="L93" i="40"/>
  <c r="J93" i="40"/>
  <c r="D91" i="40"/>
  <c r="D89" i="40"/>
  <c r="N72" i="40"/>
  <c r="L72" i="40"/>
  <c r="N71" i="40"/>
  <c r="L71" i="40"/>
  <c r="N70" i="40"/>
  <c r="L70" i="40"/>
  <c r="N69" i="40"/>
  <c r="L69" i="40"/>
  <c r="N68" i="40"/>
  <c r="L68" i="40"/>
  <c r="N67" i="40"/>
  <c r="L67" i="40"/>
  <c r="N66" i="40"/>
  <c r="L66" i="40"/>
  <c r="N65" i="40"/>
  <c r="L65" i="40"/>
  <c r="N64" i="40"/>
  <c r="L64" i="40"/>
  <c r="N63" i="40"/>
  <c r="L63" i="40"/>
  <c r="N62" i="40"/>
  <c r="L62" i="40"/>
  <c r="N61" i="40"/>
  <c r="L61" i="40"/>
  <c r="N60" i="40"/>
  <c r="L60" i="40"/>
  <c r="N59" i="40"/>
  <c r="L59" i="40"/>
  <c r="N58" i="40"/>
  <c r="L58" i="40"/>
  <c r="N57" i="40"/>
  <c r="L57" i="40"/>
  <c r="N56" i="40"/>
  <c r="L56" i="40"/>
  <c r="N55" i="40"/>
  <c r="L55" i="40"/>
  <c r="N54" i="40"/>
  <c r="L54" i="40"/>
  <c r="N53" i="40"/>
  <c r="L53" i="40"/>
  <c r="N52" i="40"/>
  <c r="L52" i="40"/>
  <c r="N51" i="40"/>
  <c r="L51" i="40"/>
  <c r="N50" i="40"/>
  <c r="L50" i="40"/>
  <c r="N49" i="40"/>
  <c r="L49" i="40"/>
  <c r="N48" i="40"/>
  <c r="L48" i="40"/>
  <c r="N47" i="40"/>
  <c r="L47" i="40"/>
  <c r="N46" i="40"/>
  <c r="L46" i="40"/>
  <c r="N45" i="40"/>
  <c r="L45" i="40"/>
  <c r="N44" i="40"/>
  <c r="L44" i="40"/>
  <c r="N43" i="40"/>
  <c r="L43" i="40"/>
  <c r="N42" i="40"/>
  <c r="L42" i="40"/>
  <c r="N41" i="40"/>
  <c r="L41" i="40"/>
  <c r="N40" i="40"/>
  <c r="L40" i="40"/>
  <c r="N39" i="40"/>
  <c r="L39" i="40"/>
  <c r="N38" i="40"/>
  <c r="L38" i="40"/>
  <c r="N37" i="40"/>
  <c r="L37" i="40"/>
  <c r="N36" i="40"/>
  <c r="L36" i="40"/>
  <c r="N35" i="40"/>
  <c r="L35" i="40"/>
  <c r="N34" i="40"/>
  <c r="L34" i="40"/>
  <c r="N33" i="40"/>
  <c r="L33" i="40"/>
  <c r="N32" i="40"/>
  <c r="L32" i="40"/>
  <c r="N31" i="40"/>
  <c r="L31" i="40"/>
  <c r="N30" i="40"/>
  <c r="L30" i="40"/>
  <c r="N29" i="40"/>
  <c r="L29" i="40"/>
  <c r="N28" i="40"/>
  <c r="L28" i="40"/>
  <c r="N27" i="40"/>
  <c r="L27" i="40"/>
  <c r="N26" i="40"/>
  <c r="L26" i="40"/>
  <c r="N25" i="40"/>
  <c r="L25" i="40"/>
  <c r="N24" i="40"/>
  <c r="L24" i="40"/>
  <c r="N23" i="40"/>
  <c r="L23" i="40"/>
  <c r="N22" i="40"/>
  <c r="L22" i="40"/>
  <c r="N21" i="40"/>
  <c r="L21" i="40"/>
  <c r="N20" i="40"/>
  <c r="L20" i="40"/>
  <c r="N19" i="40"/>
  <c r="N18" i="40"/>
  <c r="O18" i="40" s="1"/>
  <c r="N17" i="40"/>
  <c r="C17" i="40"/>
  <c r="C18" i="40" s="1"/>
  <c r="C19" i="40" s="1"/>
  <c r="C20" i="40" s="1"/>
  <c r="C21" i="40" s="1"/>
  <c r="C22" i="40" s="1"/>
  <c r="C23" i="40" s="1"/>
  <c r="C24" i="40" s="1"/>
  <c r="C25" i="40" s="1"/>
  <c r="C26" i="40" s="1"/>
  <c r="C27" i="40" s="1"/>
  <c r="C28" i="40" s="1"/>
  <c r="C29" i="40" s="1"/>
  <c r="C30" i="40" s="1"/>
  <c r="C31" i="40" s="1"/>
  <c r="C32" i="40" s="1"/>
  <c r="C33" i="40" s="1"/>
  <c r="C34" i="40" s="1"/>
  <c r="C35" i="40" s="1"/>
  <c r="C36" i="40" s="1"/>
  <c r="C37" i="40" s="1"/>
  <c r="C38" i="40" s="1"/>
  <c r="C39" i="40" s="1"/>
  <c r="C40" i="40" s="1"/>
  <c r="C41" i="40" s="1"/>
  <c r="C42" i="40" s="1"/>
  <c r="C43" i="40" s="1"/>
  <c r="C44" i="40" s="1"/>
  <c r="K11" i="40"/>
  <c r="I11" i="40"/>
  <c r="D8" i="40"/>
  <c r="D90" i="40"/>
  <c r="P154" i="39"/>
  <c r="O154" i="39"/>
  <c r="M154" i="39"/>
  <c r="J154" i="39"/>
  <c r="P153" i="39"/>
  <c r="O153" i="39"/>
  <c r="M153" i="39"/>
  <c r="J153" i="39"/>
  <c r="P152" i="39"/>
  <c r="O152" i="39"/>
  <c r="M152" i="39"/>
  <c r="J152" i="39"/>
  <c r="P151" i="39"/>
  <c r="O151" i="39"/>
  <c r="M151" i="39"/>
  <c r="J151" i="39"/>
  <c r="P150" i="39"/>
  <c r="O150" i="39"/>
  <c r="M150" i="39"/>
  <c r="J150" i="39"/>
  <c r="P149" i="39"/>
  <c r="O149" i="39"/>
  <c r="M149" i="39"/>
  <c r="J149" i="39"/>
  <c r="P148" i="39"/>
  <c r="O148" i="39"/>
  <c r="M148" i="39"/>
  <c r="J148" i="39"/>
  <c r="P147" i="39"/>
  <c r="O147" i="39"/>
  <c r="M147" i="39"/>
  <c r="J147" i="39"/>
  <c r="P146" i="39"/>
  <c r="O146" i="39"/>
  <c r="M146" i="39"/>
  <c r="J146" i="39"/>
  <c r="P145" i="39"/>
  <c r="O145" i="39"/>
  <c r="M145" i="39"/>
  <c r="J145" i="39"/>
  <c r="P144" i="39"/>
  <c r="O144" i="39"/>
  <c r="M144" i="39"/>
  <c r="J144" i="39"/>
  <c r="P143" i="39"/>
  <c r="O143" i="39"/>
  <c r="M143" i="39"/>
  <c r="J143" i="39"/>
  <c r="P142" i="39"/>
  <c r="O142" i="39"/>
  <c r="M142" i="39"/>
  <c r="J142" i="39"/>
  <c r="P141" i="39"/>
  <c r="O141" i="39"/>
  <c r="M141" i="39"/>
  <c r="J141" i="39"/>
  <c r="P140" i="39"/>
  <c r="O140" i="39"/>
  <c r="M140" i="39"/>
  <c r="J140" i="39"/>
  <c r="P139" i="39"/>
  <c r="O139" i="39"/>
  <c r="M139" i="39"/>
  <c r="J139" i="39"/>
  <c r="P138" i="39"/>
  <c r="O138" i="39"/>
  <c r="M138" i="39"/>
  <c r="J138" i="39"/>
  <c r="P137" i="39"/>
  <c r="O137" i="39"/>
  <c r="M137" i="39"/>
  <c r="J137" i="39"/>
  <c r="P136" i="39"/>
  <c r="O136" i="39"/>
  <c r="M136" i="39"/>
  <c r="J136" i="39"/>
  <c r="P135" i="39"/>
  <c r="O135" i="39"/>
  <c r="M135" i="39"/>
  <c r="J135" i="39"/>
  <c r="P134" i="39"/>
  <c r="O134" i="39"/>
  <c r="M134" i="39"/>
  <c r="J134" i="39"/>
  <c r="P133" i="39"/>
  <c r="O133" i="39"/>
  <c r="M133" i="39"/>
  <c r="J133" i="39"/>
  <c r="P132" i="39"/>
  <c r="O132" i="39"/>
  <c r="M132" i="39"/>
  <c r="J132" i="39"/>
  <c r="P131" i="39"/>
  <c r="O131" i="39"/>
  <c r="M131" i="39"/>
  <c r="J131" i="39"/>
  <c r="O130" i="39"/>
  <c r="M130" i="39"/>
  <c r="O129" i="39"/>
  <c r="M129" i="39"/>
  <c r="O128" i="39"/>
  <c r="M128" i="39"/>
  <c r="O127" i="39"/>
  <c r="M127" i="39"/>
  <c r="O126" i="39"/>
  <c r="M126" i="39"/>
  <c r="O125" i="39"/>
  <c r="M125" i="39"/>
  <c r="O124" i="39"/>
  <c r="M124" i="39"/>
  <c r="O123" i="39"/>
  <c r="M123" i="39"/>
  <c r="O122" i="39"/>
  <c r="M122" i="39"/>
  <c r="O121" i="39"/>
  <c r="M121" i="39"/>
  <c r="O120" i="39"/>
  <c r="M120" i="39"/>
  <c r="O119" i="39"/>
  <c r="M119" i="39"/>
  <c r="O118" i="39"/>
  <c r="M118" i="39"/>
  <c r="O117" i="39"/>
  <c r="M117" i="39"/>
  <c r="O116" i="39"/>
  <c r="M116" i="39"/>
  <c r="O115" i="39"/>
  <c r="M115" i="39"/>
  <c r="O114" i="39"/>
  <c r="M114" i="39"/>
  <c r="O113" i="39"/>
  <c r="M113" i="39"/>
  <c r="O112" i="39"/>
  <c r="M112" i="39"/>
  <c r="O111" i="39"/>
  <c r="M111" i="39"/>
  <c r="O110" i="39"/>
  <c r="M110" i="39"/>
  <c r="O109" i="39"/>
  <c r="M109" i="39"/>
  <c r="O108" i="39"/>
  <c r="M108" i="39"/>
  <c r="O107" i="39"/>
  <c r="M107" i="39"/>
  <c r="O106" i="39"/>
  <c r="M106" i="39"/>
  <c r="O105" i="39"/>
  <c r="M105" i="39"/>
  <c r="O104" i="39"/>
  <c r="M104" i="39"/>
  <c r="O103" i="39"/>
  <c r="M103" i="39"/>
  <c r="O102" i="39"/>
  <c r="M102" i="39"/>
  <c r="O101" i="39"/>
  <c r="M101" i="39"/>
  <c r="O99" i="39"/>
  <c r="M99" i="39"/>
  <c r="D96" i="39"/>
  <c r="L93" i="39"/>
  <c r="J93" i="39"/>
  <c r="D91" i="39"/>
  <c r="D89" i="39"/>
  <c r="N72" i="39"/>
  <c r="L72" i="39"/>
  <c r="N71" i="39"/>
  <c r="L71" i="39"/>
  <c r="N70" i="39"/>
  <c r="L70" i="39"/>
  <c r="N69" i="39"/>
  <c r="L69" i="39"/>
  <c r="N68" i="39"/>
  <c r="L68" i="39"/>
  <c r="N67" i="39"/>
  <c r="L67" i="39"/>
  <c r="N66" i="39"/>
  <c r="L66" i="39"/>
  <c r="N65" i="39"/>
  <c r="L65" i="39"/>
  <c r="N64" i="39"/>
  <c r="L64" i="39"/>
  <c r="N63" i="39"/>
  <c r="L63" i="39"/>
  <c r="N62" i="39"/>
  <c r="L62" i="39"/>
  <c r="N61" i="39"/>
  <c r="L61" i="39"/>
  <c r="N60" i="39"/>
  <c r="L60" i="39"/>
  <c r="N59" i="39"/>
  <c r="L59" i="39"/>
  <c r="N58" i="39"/>
  <c r="L58" i="39"/>
  <c r="N57" i="39"/>
  <c r="L57" i="39"/>
  <c r="N56" i="39"/>
  <c r="L56" i="39"/>
  <c r="N55" i="39"/>
  <c r="L55" i="39"/>
  <c r="N54" i="39"/>
  <c r="L54" i="39"/>
  <c r="N53" i="39"/>
  <c r="L53" i="39"/>
  <c r="N52" i="39"/>
  <c r="L52" i="39"/>
  <c r="N51" i="39"/>
  <c r="L51" i="39"/>
  <c r="N50" i="39"/>
  <c r="L50" i="39"/>
  <c r="N49" i="39"/>
  <c r="L49" i="39"/>
  <c r="N48" i="39"/>
  <c r="L48" i="39"/>
  <c r="N47" i="39"/>
  <c r="L47" i="39"/>
  <c r="N46" i="39"/>
  <c r="L46" i="39"/>
  <c r="N45" i="39"/>
  <c r="L45" i="39"/>
  <c r="N44" i="39"/>
  <c r="L44" i="39"/>
  <c r="N43" i="39"/>
  <c r="L43" i="39"/>
  <c r="N42" i="39"/>
  <c r="L42" i="39"/>
  <c r="N41" i="39"/>
  <c r="L41" i="39"/>
  <c r="N40" i="39"/>
  <c r="L40" i="39"/>
  <c r="N39" i="39"/>
  <c r="L39" i="39"/>
  <c r="N38" i="39"/>
  <c r="L38" i="39"/>
  <c r="N37" i="39"/>
  <c r="L37" i="39"/>
  <c r="N36" i="39"/>
  <c r="L36" i="39"/>
  <c r="N35" i="39"/>
  <c r="L35" i="39"/>
  <c r="N34" i="39"/>
  <c r="L34" i="39"/>
  <c r="N33" i="39"/>
  <c r="L33" i="39"/>
  <c r="N32" i="39"/>
  <c r="L32" i="39"/>
  <c r="N31" i="39"/>
  <c r="L31" i="39"/>
  <c r="N30" i="39"/>
  <c r="L30" i="39"/>
  <c r="N29" i="39"/>
  <c r="L29" i="39"/>
  <c r="N28" i="39"/>
  <c r="L28" i="39"/>
  <c r="N27" i="39"/>
  <c r="L27" i="39"/>
  <c r="N26" i="39"/>
  <c r="L26" i="39"/>
  <c r="N25" i="39"/>
  <c r="L25" i="39"/>
  <c r="N24" i="39"/>
  <c r="L24" i="39"/>
  <c r="N23" i="39"/>
  <c r="L23" i="39"/>
  <c r="N22" i="39"/>
  <c r="L22" i="39"/>
  <c r="N21" i="39"/>
  <c r="L21" i="39"/>
  <c r="N20" i="39"/>
  <c r="N19" i="39"/>
  <c r="N18" i="39"/>
  <c r="L18" i="39"/>
  <c r="N17" i="39"/>
  <c r="L17" i="39"/>
  <c r="O17" i="39"/>
  <c r="C17" i="39"/>
  <c r="C18" i="39" s="1"/>
  <c r="C19" i="39" s="1"/>
  <c r="C20" i="39" s="1"/>
  <c r="C21" i="39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  <c r="C53" i="39" s="1"/>
  <c r="C54" i="39" s="1"/>
  <c r="C55" i="39" s="1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K11" i="39"/>
  <c r="I11" i="39"/>
  <c r="D8" i="39"/>
  <c r="D90" i="39" s="1"/>
  <c r="P154" i="38"/>
  <c r="O154" i="38"/>
  <c r="M154" i="38"/>
  <c r="J154" i="38"/>
  <c r="P153" i="38"/>
  <c r="O153" i="38"/>
  <c r="M153" i="38"/>
  <c r="J153" i="38"/>
  <c r="P152" i="38"/>
  <c r="O152" i="38"/>
  <c r="M152" i="38"/>
  <c r="J152" i="38"/>
  <c r="P151" i="38"/>
  <c r="O151" i="38"/>
  <c r="M151" i="38"/>
  <c r="J151" i="38"/>
  <c r="P150" i="38"/>
  <c r="O150" i="38"/>
  <c r="M150" i="38"/>
  <c r="J150" i="38"/>
  <c r="P149" i="38"/>
  <c r="O149" i="38"/>
  <c r="M149" i="38"/>
  <c r="J149" i="38"/>
  <c r="P148" i="38"/>
  <c r="O148" i="38"/>
  <c r="M148" i="38"/>
  <c r="J148" i="38"/>
  <c r="P147" i="38"/>
  <c r="O147" i="38"/>
  <c r="M147" i="38"/>
  <c r="J147" i="38"/>
  <c r="P146" i="38"/>
  <c r="O146" i="38"/>
  <c r="M146" i="38"/>
  <c r="J146" i="38"/>
  <c r="P145" i="38"/>
  <c r="O145" i="38"/>
  <c r="M145" i="38"/>
  <c r="J145" i="38"/>
  <c r="P144" i="38"/>
  <c r="O144" i="38"/>
  <c r="M144" i="38"/>
  <c r="J144" i="38"/>
  <c r="P143" i="38"/>
  <c r="O143" i="38"/>
  <c r="M143" i="38"/>
  <c r="J143" i="38"/>
  <c r="P142" i="38"/>
  <c r="O142" i="38"/>
  <c r="M142" i="38"/>
  <c r="J142" i="38"/>
  <c r="P141" i="38"/>
  <c r="O141" i="38"/>
  <c r="M141" i="38"/>
  <c r="J141" i="38"/>
  <c r="P140" i="38"/>
  <c r="O140" i="38"/>
  <c r="M140" i="38"/>
  <c r="J140" i="38"/>
  <c r="P139" i="38"/>
  <c r="O139" i="38"/>
  <c r="M139" i="38"/>
  <c r="J139" i="38"/>
  <c r="P138" i="38"/>
  <c r="O138" i="38"/>
  <c r="M138" i="38"/>
  <c r="J138" i="38"/>
  <c r="P137" i="38"/>
  <c r="O137" i="38"/>
  <c r="M137" i="38"/>
  <c r="J137" i="38"/>
  <c r="P136" i="38"/>
  <c r="O136" i="38"/>
  <c r="M136" i="38"/>
  <c r="J136" i="38"/>
  <c r="P135" i="38"/>
  <c r="O135" i="38"/>
  <c r="M135" i="38"/>
  <c r="J135" i="38"/>
  <c r="P134" i="38"/>
  <c r="O134" i="38"/>
  <c r="M134" i="38"/>
  <c r="J134" i="38"/>
  <c r="P133" i="38"/>
  <c r="O133" i="38"/>
  <c r="M133" i="38"/>
  <c r="J133" i="38"/>
  <c r="P132" i="38"/>
  <c r="O132" i="38"/>
  <c r="M132" i="38"/>
  <c r="J132" i="38"/>
  <c r="P131" i="38"/>
  <c r="O131" i="38"/>
  <c r="M131" i="38"/>
  <c r="J131" i="38"/>
  <c r="O130" i="38"/>
  <c r="M130" i="38"/>
  <c r="O129" i="38"/>
  <c r="M129" i="38"/>
  <c r="O128" i="38"/>
  <c r="M128" i="38"/>
  <c r="O127" i="38"/>
  <c r="M127" i="38"/>
  <c r="O126" i="38"/>
  <c r="M126" i="38"/>
  <c r="O125" i="38"/>
  <c r="M125" i="38"/>
  <c r="O124" i="38"/>
  <c r="M124" i="38"/>
  <c r="O123" i="38"/>
  <c r="M123" i="38"/>
  <c r="O122" i="38"/>
  <c r="M122" i="38"/>
  <c r="O121" i="38"/>
  <c r="M121" i="38"/>
  <c r="O120" i="38"/>
  <c r="M120" i="38"/>
  <c r="O119" i="38"/>
  <c r="M119" i="38"/>
  <c r="O118" i="38"/>
  <c r="M118" i="38"/>
  <c r="O117" i="38"/>
  <c r="M117" i="38"/>
  <c r="O116" i="38"/>
  <c r="M116" i="38"/>
  <c r="O115" i="38"/>
  <c r="M115" i="38"/>
  <c r="O114" i="38"/>
  <c r="M114" i="38"/>
  <c r="O113" i="38"/>
  <c r="M113" i="38"/>
  <c r="O112" i="38"/>
  <c r="M112" i="38"/>
  <c r="O111" i="38"/>
  <c r="M111" i="38"/>
  <c r="O110" i="38"/>
  <c r="M110" i="38"/>
  <c r="O109" i="38"/>
  <c r="M109" i="38"/>
  <c r="O108" i="38"/>
  <c r="M108" i="38"/>
  <c r="O107" i="38"/>
  <c r="M107" i="38"/>
  <c r="O106" i="38"/>
  <c r="M106" i="38"/>
  <c r="O105" i="38"/>
  <c r="M105" i="38"/>
  <c r="O104" i="38"/>
  <c r="M104" i="38"/>
  <c r="O103" i="38"/>
  <c r="M103" i="38"/>
  <c r="O102" i="38"/>
  <c r="M102" i="38"/>
  <c r="O101" i="38"/>
  <c r="M101" i="38"/>
  <c r="O99" i="38"/>
  <c r="M99" i="38"/>
  <c r="P99" i="38"/>
  <c r="D96" i="38"/>
  <c r="L93" i="38"/>
  <c r="J93" i="38"/>
  <c r="D91" i="38"/>
  <c r="D89" i="38"/>
  <c r="N72" i="38"/>
  <c r="L72" i="38"/>
  <c r="N71" i="38"/>
  <c r="L71" i="38"/>
  <c r="N70" i="38"/>
  <c r="L70" i="38"/>
  <c r="N69" i="38"/>
  <c r="L69" i="38"/>
  <c r="N68" i="38"/>
  <c r="L68" i="38"/>
  <c r="N67" i="38"/>
  <c r="L67" i="38"/>
  <c r="N66" i="38"/>
  <c r="L66" i="38"/>
  <c r="N65" i="38"/>
  <c r="L65" i="38"/>
  <c r="N64" i="38"/>
  <c r="L64" i="38"/>
  <c r="N63" i="38"/>
  <c r="L63" i="38"/>
  <c r="N62" i="38"/>
  <c r="L62" i="38"/>
  <c r="N61" i="38"/>
  <c r="L61" i="38"/>
  <c r="N60" i="38"/>
  <c r="L60" i="38"/>
  <c r="N59" i="38"/>
  <c r="L59" i="38"/>
  <c r="N58" i="38"/>
  <c r="L58" i="38"/>
  <c r="N57" i="38"/>
  <c r="L57" i="38"/>
  <c r="N56" i="38"/>
  <c r="L56" i="38"/>
  <c r="N55" i="38"/>
  <c r="L55" i="38"/>
  <c r="N54" i="38"/>
  <c r="L54" i="38"/>
  <c r="N53" i="38"/>
  <c r="L53" i="38"/>
  <c r="N52" i="38"/>
  <c r="L52" i="38"/>
  <c r="N51" i="38"/>
  <c r="L51" i="38"/>
  <c r="N50" i="38"/>
  <c r="L50" i="38"/>
  <c r="N49" i="38"/>
  <c r="L49" i="38"/>
  <c r="N48" i="38"/>
  <c r="L48" i="38"/>
  <c r="N47" i="38"/>
  <c r="L47" i="38"/>
  <c r="N46" i="38"/>
  <c r="L46" i="38"/>
  <c r="N45" i="38"/>
  <c r="L45" i="38"/>
  <c r="N44" i="38"/>
  <c r="L44" i="38"/>
  <c r="N43" i="38"/>
  <c r="L43" i="38"/>
  <c r="N42" i="38"/>
  <c r="L42" i="38"/>
  <c r="N41" i="38"/>
  <c r="L41" i="38"/>
  <c r="N40" i="38"/>
  <c r="L40" i="38"/>
  <c r="N39" i="38"/>
  <c r="L39" i="38"/>
  <c r="N38" i="38"/>
  <c r="L38" i="38"/>
  <c r="N37" i="38"/>
  <c r="L37" i="38"/>
  <c r="N36" i="38"/>
  <c r="L36" i="38"/>
  <c r="N35" i="38"/>
  <c r="L35" i="38"/>
  <c r="N34" i="38"/>
  <c r="L34" i="38"/>
  <c r="N33" i="38"/>
  <c r="L33" i="38"/>
  <c r="N32" i="38"/>
  <c r="L32" i="38"/>
  <c r="N31" i="38"/>
  <c r="L31" i="38"/>
  <c r="N30" i="38"/>
  <c r="L30" i="38"/>
  <c r="N29" i="38"/>
  <c r="L29" i="38"/>
  <c r="N28" i="38"/>
  <c r="L28" i="38"/>
  <c r="N27" i="38"/>
  <c r="L27" i="38"/>
  <c r="N26" i="38"/>
  <c r="L26" i="38"/>
  <c r="N25" i="38"/>
  <c r="L25" i="38"/>
  <c r="N24" i="38"/>
  <c r="L24" i="38"/>
  <c r="N23" i="38"/>
  <c r="L23" i="38"/>
  <c r="N22" i="38"/>
  <c r="L22" i="38"/>
  <c r="N21" i="38"/>
  <c r="L21" i="38"/>
  <c r="N20" i="38"/>
  <c r="N19" i="38"/>
  <c r="N18" i="38"/>
  <c r="O18" i="38" s="1"/>
  <c r="N17" i="38"/>
  <c r="O17" i="38" s="1"/>
  <c r="C18" i="38"/>
  <c r="C19" i="38" s="1"/>
  <c r="C20" i="38" s="1"/>
  <c r="C21" i="38" s="1"/>
  <c r="C22" i="38" s="1"/>
  <c r="C23" i="38" s="1"/>
  <c r="C24" i="38" s="1"/>
  <c r="C25" i="38" s="1"/>
  <c r="C26" i="38"/>
  <c r="C27" i="38" s="1"/>
  <c r="C28" i="38" s="1"/>
  <c r="C29" i="38" s="1"/>
  <c r="C30" i="38" s="1"/>
  <c r="C31" i="38" s="1"/>
  <c r="C32" i="38" s="1"/>
  <c r="C33" i="38" s="1"/>
  <c r="C34" i="38" s="1"/>
  <c r="C35" i="38" s="1"/>
  <c r="C36" i="38" s="1"/>
  <c r="C37" i="38" s="1"/>
  <c r="C38" i="38" s="1"/>
  <c r="C39" i="38" s="1"/>
  <c r="C40" i="38" s="1"/>
  <c r="C41" i="38" s="1"/>
  <c r="C42" i="38" s="1"/>
  <c r="C43" i="38" s="1"/>
  <c r="C44" i="38" s="1"/>
  <c r="K11" i="38"/>
  <c r="I11" i="38"/>
  <c r="D8" i="38"/>
  <c r="D90" i="38" s="1"/>
  <c r="W39" i="17"/>
  <c r="W38" i="17"/>
  <c r="W37" i="17"/>
  <c r="W36" i="17"/>
  <c r="W35" i="17"/>
  <c r="P35" i="17"/>
  <c r="P154" i="37"/>
  <c r="O154" i="37"/>
  <c r="M154" i="37"/>
  <c r="J154" i="37"/>
  <c r="P153" i="37"/>
  <c r="O153" i="37"/>
  <c r="M153" i="37"/>
  <c r="J153" i="37"/>
  <c r="P152" i="37"/>
  <c r="O152" i="37"/>
  <c r="M152" i="37"/>
  <c r="J152" i="37"/>
  <c r="P151" i="37"/>
  <c r="O151" i="37"/>
  <c r="M151" i="37"/>
  <c r="J151" i="37"/>
  <c r="P150" i="37"/>
  <c r="O150" i="37"/>
  <c r="M150" i="37"/>
  <c r="J150" i="37"/>
  <c r="P149" i="37"/>
  <c r="O149" i="37"/>
  <c r="M149" i="37"/>
  <c r="J149" i="37"/>
  <c r="P148" i="37"/>
  <c r="O148" i="37"/>
  <c r="M148" i="37"/>
  <c r="J148" i="37"/>
  <c r="P147" i="37"/>
  <c r="O147" i="37"/>
  <c r="M147" i="37"/>
  <c r="J147" i="37"/>
  <c r="P146" i="37"/>
  <c r="O146" i="37"/>
  <c r="M146" i="37"/>
  <c r="J146" i="37"/>
  <c r="P145" i="37"/>
  <c r="O145" i="37"/>
  <c r="M145" i="37"/>
  <c r="J145" i="37"/>
  <c r="P144" i="37"/>
  <c r="O144" i="37"/>
  <c r="M144" i="37"/>
  <c r="J144" i="37"/>
  <c r="P143" i="37"/>
  <c r="O143" i="37"/>
  <c r="M143" i="37"/>
  <c r="J143" i="37"/>
  <c r="P142" i="37"/>
  <c r="O142" i="37"/>
  <c r="M142" i="37"/>
  <c r="J142" i="37"/>
  <c r="P141" i="37"/>
  <c r="O141" i="37"/>
  <c r="M141" i="37"/>
  <c r="J141" i="37"/>
  <c r="P140" i="37"/>
  <c r="O140" i="37"/>
  <c r="M140" i="37"/>
  <c r="J140" i="37"/>
  <c r="P139" i="37"/>
  <c r="O139" i="37"/>
  <c r="M139" i="37"/>
  <c r="J139" i="37"/>
  <c r="P138" i="37"/>
  <c r="O138" i="37"/>
  <c r="M138" i="37"/>
  <c r="J138" i="37"/>
  <c r="P137" i="37"/>
  <c r="O137" i="37"/>
  <c r="M137" i="37"/>
  <c r="J137" i="37"/>
  <c r="P136" i="37"/>
  <c r="O136" i="37"/>
  <c r="M136" i="37"/>
  <c r="J136" i="37"/>
  <c r="P135" i="37"/>
  <c r="O135" i="37"/>
  <c r="M135" i="37"/>
  <c r="J135" i="37"/>
  <c r="P134" i="37"/>
  <c r="O134" i="37"/>
  <c r="M134" i="37"/>
  <c r="J134" i="37"/>
  <c r="P133" i="37"/>
  <c r="O133" i="37"/>
  <c r="M133" i="37"/>
  <c r="J133" i="37"/>
  <c r="P132" i="37"/>
  <c r="O132" i="37"/>
  <c r="M132" i="37"/>
  <c r="J132" i="37"/>
  <c r="P131" i="37"/>
  <c r="O131" i="37"/>
  <c r="M131" i="37"/>
  <c r="J131" i="37"/>
  <c r="O130" i="37"/>
  <c r="M130" i="37"/>
  <c r="O129" i="37"/>
  <c r="M129" i="37"/>
  <c r="O128" i="37"/>
  <c r="M128" i="37"/>
  <c r="O127" i="37"/>
  <c r="M127" i="37"/>
  <c r="O126" i="37"/>
  <c r="M126" i="37"/>
  <c r="O125" i="37"/>
  <c r="M125" i="37"/>
  <c r="O124" i="37"/>
  <c r="M124" i="37"/>
  <c r="O123" i="37"/>
  <c r="M123" i="37"/>
  <c r="O122" i="37"/>
  <c r="M122" i="37"/>
  <c r="O121" i="37"/>
  <c r="M121" i="37"/>
  <c r="O120" i="37"/>
  <c r="M120" i="37"/>
  <c r="O119" i="37"/>
  <c r="M119" i="37"/>
  <c r="O118" i="37"/>
  <c r="M118" i="37"/>
  <c r="O117" i="37"/>
  <c r="M117" i="37"/>
  <c r="O116" i="37"/>
  <c r="M116" i="37"/>
  <c r="O115" i="37"/>
  <c r="M115" i="37"/>
  <c r="O114" i="37"/>
  <c r="M114" i="37"/>
  <c r="O113" i="37"/>
  <c r="M113" i="37"/>
  <c r="O112" i="37"/>
  <c r="M112" i="37"/>
  <c r="O111" i="37"/>
  <c r="M111" i="37"/>
  <c r="O110" i="37"/>
  <c r="M110" i="37"/>
  <c r="O109" i="37"/>
  <c r="M109" i="37"/>
  <c r="O108" i="37"/>
  <c r="M108" i="37"/>
  <c r="O107" i="37"/>
  <c r="M107" i="37"/>
  <c r="O106" i="37"/>
  <c r="M106" i="37"/>
  <c r="O105" i="37"/>
  <c r="M105" i="37"/>
  <c r="O104" i="37"/>
  <c r="M104" i="37"/>
  <c r="O103" i="37"/>
  <c r="M103" i="37"/>
  <c r="O102" i="37"/>
  <c r="M102" i="37"/>
  <c r="O101" i="37"/>
  <c r="M101" i="37"/>
  <c r="O99" i="37"/>
  <c r="M99" i="37"/>
  <c r="D96" i="37"/>
  <c r="L93" i="37"/>
  <c r="J93" i="37"/>
  <c r="D91" i="37"/>
  <c r="D89" i="37"/>
  <c r="N72" i="37"/>
  <c r="L72" i="37"/>
  <c r="N71" i="37"/>
  <c r="L71" i="37"/>
  <c r="N70" i="37"/>
  <c r="L70" i="37"/>
  <c r="N69" i="37"/>
  <c r="L69" i="37"/>
  <c r="N68" i="37"/>
  <c r="L68" i="37"/>
  <c r="N67" i="37"/>
  <c r="L67" i="37"/>
  <c r="N66" i="37"/>
  <c r="L66" i="37"/>
  <c r="N65" i="37"/>
  <c r="L65" i="37"/>
  <c r="N64" i="37"/>
  <c r="L64" i="37"/>
  <c r="N63" i="37"/>
  <c r="L63" i="37"/>
  <c r="N62" i="37"/>
  <c r="L62" i="37"/>
  <c r="N61" i="37"/>
  <c r="L61" i="37"/>
  <c r="N60" i="37"/>
  <c r="L60" i="37"/>
  <c r="N59" i="37"/>
  <c r="L59" i="37"/>
  <c r="N58" i="37"/>
  <c r="L58" i="37"/>
  <c r="N57" i="37"/>
  <c r="L57" i="37"/>
  <c r="N56" i="37"/>
  <c r="L56" i="37"/>
  <c r="O56" i="37" s="1"/>
  <c r="N55" i="37"/>
  <c r="L55" i="37"/>
  <c r="N54" i="37"/>
  <c r="L54" i="37"/>
  <c r="N53" i="37"/>
  <c r="L53" i="37"/>
  <c r="N52" i="37"/>
  <c r="L52" i="37"/>
  <c r="O52" i="37" s="1"/>
  <c r="N51" i="37"/>
  <c r="L51" i="37"/>
  <c r="N50" i="37"/>
  <c r="L50" i="37"/>
  <c r="N49" i="37"/>
  <c r="L49" i="37"/>
  <c r="N48" i="37"/>
  <c r="L48" i="37"/>
  <c r="N47" i="37"/>
  <c r="L47" i="37"/>
  <c r="N46" i="37"/>
  <c r="L46" i="37"/>
  <c r="N45" i="37"/>
  <c r="L45" i="37"/>
  <c r="N44" i="37"/>
  <c r="L44" i="37"/>
  <c r="N43" i="37"/>
  <c r="L43" i="37"/>
  <c r="N42" i="37"/>
  <c r="L42" i="37"/>
  <c r="N41" i="37"/>
  <c r="L41" i="37"/>
  <c r="N40" i="37"/>
  <c r="L40" i="37"/>
  <c r="N39" i="37"/>
  <c r="L39" i="37"/>
  <c r="N38" i="37"/>
  <c r="L38" i="37"/>
  <c r="N37" i="37"/>
  <c r="L37" i="37"/>
  <c r="N36" i="37"/>
  <c r="L36" i="37"/>
  <c r="N35" i="37"/>
  <c r="L35" i="37"/>
  <c r="N34" i="37"/>
  <c r="L34" i="37"/>
  <c r="O34" i="37" s="1"/>
  <c r="N33" i="37"/>
  <c r="L33" i="37"/>
  <c r="N32" i="37"/>
  <c r="L32" i="37"/>
  <c r="N31" i="37"/>
  <c r="L31" i="37"/>
  <c r="N30" i="37"/>
  <c r="L30" i="37"/>
  <c r="N29" i="37"/>
  <c r="L29" i="37"/>
  <c r="N28" i="37"/>
  <c r="L28" i="37"/>
  <c r="N27" i="37"/>
  <c r="L27" i="37"/>
  <c r="N26" i="37"/>
  <c r="L26" i="37"/>
  <c r="N25" i="37"/>
  <c r="L25" i="37"/>
  <c r="N24" i="37"/>
  <c r="L24" i="37"/>
  <c r="N23" i="37"/>
  <c r="L23" i="37"/>
  <c r="N22" i="37"/>
  <c r="L22" i="37"/>
  <c r="N21" i="37"/>
  <c r="L21" i="37"/>
  <c r="N20" i="37"/>
  <c r="N19" i="37"/>
  <c r="C17" i="37"/>
  <c r="C18" i="37"/>
  <c r="C19" i="37" s="1"/>
  <c r="C20" i="37"/>
  <c r="C21" i="37" s="1"/>
  <c r="C22" i="37" s="1"/>
  <c r="C23" i="37" s="1"/>
  <c r="C24" i="37"/>
  <c r="C25" i="37" s="1"/>
  <c r="C26" i="37" s="1"/>
  <c r="C27" i="37" s="1"/>
  <c r="C28" i="37" s="1"/>
  <c r="C29" i="37" s="1"/>
  <c r="C30" i="37" s="1"/>
  <c r="C31" i="37" s="1"/>
  <c r="C32" i="37" s="1"/>
  <c r="C33" i="37" s="1"/>
  <c r="C34" i="37" s="1"/>
  <c r="C35" i="37" s="1"/>
  <c r="C36" i="37" s="1"/>
  <c r="C37" i="37" s="1"/>
  <c r="C38" i="37" s="1"/>
  <c r="C39" i="37" s="1"/>
  <c r="C40" i="37" s="1"/>
  <c r="C41" i="37" s="1"/>
  <c r="C42" i="37" s="1"/>
  <c r="C43" i="37" s="1"/>
  <c r="C44" i="37" s="1"/>
  <c r="K11" i="37"/>
  <c r="I11" i="37"/>
  <c r="D8" i="37"/>
  <c r="D90" i="37"/>
  <c r="S47" i="17"/>
  <c r="M47" i="17"/>
  <c r="N99" i="31"/>
  <c r="O99" i="31" s="1"/>
  <c r="L99" i="31"/>
  <c r="M99" i="31" s="1"/>
  <c r="D96" i="31"/>
  <c r="M18" i="31"/>
  <c r="N18" i="31"/>
  <c r="K18" i="31"/>
  <c r="L18" i="31"/>
  <c r="M17" i="30"/>
  <c r="N17" i="30"/>
  <c r="K17" i="30"/>
  <c r="L17" i="30" s="1"/>
  <c r="N99" i="29"/>
  <c r="O99" i="29" s="1"/>
  <c r="L99" i="29"/>
  <c r="M99" i="29" s="1"/>
  <c r="M18" i="29"/>
  <c r="N18" i="29" s="1"/>
  <c r="K18" i="29"/>
  <c r="L18" i="29"/>
  <c r="N99" i="28"/>
  <c r="O99" i="28"/>
  <c r="L99" i="28"/>
  <c r="M99" i="28" s="1"/>
  <c r="M18" i="28"/>
  <c r="N18" i="28"/>
  <c r="K18" i="28"/>
  <c r="L18" i="28"/>
  <c r="N103" i="25"/>
  <c r="O103" i="25"/>
  <c r="L103" i="25"/>
  <c r="M103" i="25" s="1"/>
  <c r="M22" i="25"/>
  <c r="N22" i="25" s="1"/>
  <c r="K22" i="25"/>
  <c r="L22" i="25" s="1"/>
  <c r="N101" i="24"/>
  <c r="O101" i="24" s="1"/>
  <c r="L101" i="24"/>
  <c r="M101" i="24" s="1"/>
  <c r="M20" i="24"/>
  <c r="N20" i="24" s="1"/>
  <c r="O20" i="24" s="1"/>
  <c r="K20" i="24"/>
  <c r="L20" i="24"/>
  <c r="M21" i="23"/>
  <c r="N21" i="23"/>
  <c r="K21" i="23"/>
  <c r="L21" i="23"/>
  <c r="N102" i="23"/>
  <c r="O102" i="23"/>
  <c r="L102" i="23"/>
  <c r="M102" i="23"/>
  <c r="N103" i="22"/>
  <c r="O103" i="22"/>
  <c r="L103" i="22"/>
  <c r="M103" i="22"/>
  <c r="M22" i="22"/>
  <c r="N22" i="22"/>
  <c r="K22" i="22"/>
  <c r="L22" i="22"/>
  <c r="N106" i="11"/>
  <c r="O106" i="11"/>
  <c r="L106" i="11"/>
  <c r="M106" i="11"/>
  <c r="M25" i="11"/>
  <c r="N25" i="11"/>
  <c r="K25" i="11"/>
  <c r="L25" i="11"/>
  <c r="N107" i="10"/>
  <c r="O107" i="10"/>
  <c r="L107" i="10"/>
  <c r="M107" i="10"/>
  <c r="M26" i="10"/>
  <c r="N26" i="10"/>
  <c r="K26" i="10"/>
  <c r="L26" i="10"/>
  <c r="N106" i="9"/>
  <c r="O106" i="9"/>
  <c r="P106" i="9" s="1"/>
  <c r="L106" i="9"/>
  <c r="M106" i="9" s="1"/>
  <c r="M25" i="9"/>
  <c r="N25" i="9" s="1"/>
  <c r="K25" i="9"/>
  <c r="L25" i="9" s="1"/>
  <c r="N105" i="8"/>
  <c r="O105" i="8" s="1"/>
  <c r="L105" i="8"/>
  <c r="M105" i="8" s="1"/>
  <c r="M24" i="8"/>
  <c r="N24" i="8" s="1"/>
  <c r="K24" i="8"/>
  <c r="N107" i="7"/>
  <c r="O107" i="7"/>
  <c r="L107" i="7"/>
  <c r="M107" i="7"/>
  <c r="M26" i="7"/>
  <c r="N26" i="7"/>
  <c r="K26" i="7"/>
  <c r="L26" i="7"/>
  <c r="N105" i="6"/>
  <c r="O105" i="6"/>
  <c r="L105" i="6"/>
  <c r="M105" i="6"/>
  <c r="M24" i="6"/>
  <c r="N24" i="6"/>
  <c r="K24" i="6"/>
  <c r="L24" i="6"/>
  <c r="N104" i="5"/>
  <c r="O104" i="5"/>
  <c r="L104" i="5"/>
  <c r="M104" i="5"/>
  <c r="M23" i="5"/>
  <c r="N23" i="5"/>
  <c r="K23" i="5"/>
  <c r="L23" i="5"/>
  <c r="N104" i="4"/>
  <c r="O104" i="4"/>
  <c r="L104" i="4"/>
  <c r="M104" i="4"/>
  <c r="M23" i="4"/>
  <c r="N23" i="4"/>
  <c r="K23" i="4"/>
  <c r="L23" i="4"/>
  <c r="N104" i="3"/>
  <c r="O104" i="3"/>
  <c r="P104" i="3" s="1"/>
  <c r="L104" i="3"/>
  <c r="M104" i="3" s="1"/>
  <c r="M23" i="3"/>
  <c r="N23" i="3" s="1"/>
  <c r="O23" i="3" s="1"/>
  <c r="K23" i="3"/>
  <c r="L23" i="3" s="1"/>
  <c r="N100" i="27"/>
  <c r="O100" i="27"/>
  <c r="P100" i="27" s="1"/>
  <c r="L100" i="27"/>
  <c r="M100" i="27" s="1"/>
  <c r="N99" i="27"/>
  <c r="O99" i="27" s="1"/>
  <c r="L99" i="27"/>
  <c r="M99" i="27" s="1"/>
  <c r="M19" i="27"/>
  <c r="N19" i="27" s="1"/>
  <c r="O19" i="27" s="1"/>
  <c r="L19" i="27"/>
  <c r="K19" i="27"/>
  <c r="M17" i="31"/>
  <c r="N17" i="31"/>
  <c r="O17" i="31" s="1"/>
  <c r="K17" i="31"/>
  <c r="L17" i="31" s="1"/>
  <c r="W34" i="17"/>
  <c r="P34" i="17"/>
  <c r="P154" i="31"/>
  <c r="O154" i="31"/>
  <c r="M154" i="31"/>
  <c r="P153" i="31"/>
  <c r="O153" i="31"/>
  <c r="M153" i="31"/>
  <c r="P152" i="31"/>
  <c r="O152" i="31"/>
  <c r="M152" i="31"/>
  <c r="P151" i="31"/>
  <c r="O151" i="31"/>
  <c r="M151" i="31"/>
  <c r="P150" i="31"/>
  <c r="O150" i="31"/>
  <c r="M150" i="31"/>
  <c r="P149" i="31"/>
  <c r="O149" i="31"/>
  <c r="M149" i="31"/>
  <c r="P148" i="31"/>
  <c r="O148" i="31"/>
  <c r="M148" i="31"/>
  <c r="P147" i="31"/>
  <c r="O147" i="31"/>
  <c r="M147" i="31"/>
  <c r="P146" i="31"/>
  <c r="O146" i="31"/>
  <c r="M146" i="31"/>
  <c r="P145" i="31"/>
  <c r="O145" i="31"/>
  <c r="M145" i="31"/>
  <c r="P144" i="31"/>
  <c r="O144" i="31"/>
  <c r="M144" i="31"/>
  <c r="P143" i="31"/>
  <c r="O143" i="31"/>
  <c r="M143" i="31"/>
  <c r="P142" i="31"/>
  <c r="O142" i="31"/>
  <c r="M142" i="31"/>
  <c r="P141" i="31"/>
  <c r="O141" i="31"/>
  <c r="M141" i="31"/>
  <c r="P140" i="31"/>
  <c r="O140" i="31"/>
  <c r="M140" i="31"/>
  <c r="P139" i="31"/>
  <c r="O139" i="31"/>
  <c r="M139" i="31"/>
  <c r="P138" i="31"/>
  <c r="O138" i="31"/>
  <c r="M138" i="31"/>
  <c r="P137" i="31"/>
  <c r="O137" i="31"/>
  <c r="M137" i="31"/>
  <c r="P136" i="31"/>
  <c r="O136" i="31"/>
  <c r="M136" i="31"/>
  <c r="P135" i="31"/>
  <c r="O135" i="31"/>
  <c r="M135" i="31"/>
  <c r="P134" i="31"/>
  <c r="O134" i="31"/>
  <c r="M134" i="31"/>
  <c r="P133" i="31"/>
  <c r="O133" i="31"/>
  <c r="M133" i="31"/>
  <c r="P132" i="31"/>
  <c r="O132" i="31"/>
  <c r="M132" i="31"/>
  <c r="P131" i="31"/>
  <c r="O131" i="31"/>
  <c r="M131" i="31"/>
  <c r="O130" i="31"/>
  <c r="M130" i="31"/>
  <c r="O129" i="31"/>
  <c r="M129" i="31"/>
  <c r="O128" i="31"/>
  <c r="M128" i="31"/>
  <c r="O127" i="31"/>
  <c r="M127" i="31"/>
  <c r="O126" i="31"/>
  <c r="M126" i="31"/>
  <c r="O125" i="31"/>
  <c r="M125" i="31"/>
  <c r="O124" i="31"/>
  <c r="M124" i="31"/>
  <c r="O123" i="31"/>
  <c r="M123" i="31"/>
  <c r="O122" i="31"/>
  <c r="M122" i="31"/>
  <c r="O121" i="31"/>
  <c r="M121" i="31"/>
  <c r="O120" i="31"/>
  <c r="M120" i="31"/>
  <c r="O119" i="31"/>
  <c r="M119" i="31"/>
  <c r="O118" i="31"/>
  <c r="M118" i="31"/>
  <c r="O117" i="31"/>
  <c r="M117" i="31"/>
  <c r="O116" i="31"/>
  <c r="M116" i="31"/>
  <c r="O115" i="31"/>
  <c r="M115" i="31"/>
  <c r="O114" i="31"/>
  <c r="M114" i="31"/>
  <c r="O113" i="31"/>
  <c r="M113" i="31"/>
  <c r="O112" i="31"/>
  <c r="M112" i="31"/>
  <c r="O111" i="31"/>
  <c r="M111" i="31"/>
  <c r="O110" i="31"/>
  <c r="M110" i="31"/>
  <c r="O109" i="31"/>
  <c r="M109" i="31"/>
  <c r="O108" i="31"/>
  <c r="M108" i="31"/>
  <c r="O107" i="31"/>
  <c r="M107" i="31"/>
  <c r="O106" i="31"/>
  <c r="M106" i="31"/>
  <c r="O105" i="31"/>
  <c r="M105" i="31"/>
  <c r="O104" i="31"/>
  <c r="M104" i="31"/>
  <c r="L93" i="31"/>
  <c r="J93" i="31"/>
  <c r="E91" i="31"/>
  <c r="D91" i="31"/>
  <c r="D89" i="31"/>
  <c r="N72" i="31"/>
  <c r="L72" i="31"/>
  <c r="N71" i="31"/>
  <c r="L71" i="31"/>
  <c r="N70" i="31"/>
  <c r="L70" i="31"/>
  <c r="N69" i="31"/>
  <c r="L69" i="31"/>
  <c r="N68" i="31"/>
  <c r="L68" i="31"/>
  <c r="N67" i="31"/>
  <c r="L67" i="31"/>
  <c r="N66" i="31"/>
  <c r="L66" i="31"/>
  <c r="N65" i="31"/>
  <c r="L65" i="31"/>
  <c r="N64" i="31"/>
  <c r="L64" i="31"/>
  <c r="N63" i="31"/>
  <c r="L63" i="31"/>
  <c r="N62" i="31"/>
  <c r="L62" i="31"/>
  <c r="N61" i="31"/>
  <c r="L61" i="31"/>
  <c r="N60" i="31"/>
  <c r="L60" i="31"/>
  <c r="N59" i="31"/>
  <c r="L59" i="31"/>
  <c r="N58" i="31"/>
  <c r="L58" i="31"/>
  <c r="N57" i="31"/>
  <c r="L57" i="31"/>
  <c r="N56" i="31"/>
  <c r="L56" i="31"/>
  <c r="N55" i="31"/>
  <c r="L55" i="31"/>
  <c r="O55" i="31" s="1"/>
  <c r="N54" i="31"/>
  <c r="L54" i="31"/>
  <c r="N53" i="31"/>
  <c r="L53" i="31"/>
  <c r="N52" i="31"/>
  <c r="L52" i="31"/>
  <c r="N51" i="31"/>
  <c r="L51" i="31"/>
  <c r="N50" i="31"/>
  <c r="L50" i="31"/>
  <c r="N49" i="31"/>
  <c r="L49" i="31"/>
  <c r="N48" i="31"/>
  <c r="L48" i="31"/>
  <c r="N47" i="31"/>
  <c r="L47" i="31"/>
  <c r="N46" i="31"/>
  <c r="L46" i="31"/>
  <c r="N45" i="31"/>
  <c r="L45" i="31"/>
  <c r="N44" i="31"/>
  <c r="L44" i="31"/>
  <c r="N43" i="31"/>
  <c r="L43" i="31"/>
  <c r="N42" i="31"/>
  <c r="L42" i="31"/>
  <c r="N41" i="31"/>
  <c r="L41" i="31"/>
  <c r="N40" i="31"/>
  <c r="L40" i="31"/>
  <c r="N39" i="31"/>
  <c r="L39" i="31"/>
  <c r="N38" i="31"/>
  <c r="L38" i="31"/>
  <c r="N37" i="31"/>
  <c r="L37" i="31"/>
  <c r="N36" i="31"/>
  <c r="L36" i="31"/>
  <c r="N35" i="31"/>
  <c r="L35" i="31"/>
  <c r="N34" i="31"/>
  <c r="L34" i="31"/>
  <c r="N33" i="31"/>
  <c r="L33" i="31"/>
  <c r="N32" i="31"/>
  <c r="L32" i="31"/>
  <c r="N31" i="31"/>
  <c r="L31" i="31"/>
  <c r="N30" i="31"/>
  <c r="L30" i="31"/>
  <c r="N29" i="31"/>
  <c r="L29" i="31"/>
  <c r="N28" i="31"/>
  <c r="L28" i="31"/>
  <c r="N27" i="31"/>
  <c r="L27" i="31"/>
  <c r="N26" i="31"/>
  <c r="L26" i="31"/>
  <c r="N25" i="31"/>
  <c r="L25" i="31"/>
  <c r="N24" i="31"/>
  <c r="L24" i="31"/>
  <c r="N23" i="31"/>
  <c r="N22" i="31"/>
  <c r="C34" i="31"/>
  <c r="C35" i="31" s="1"/>
  <c r="C36" i="31" s="1"/>
  <c r="C37" i="31" s="1"/>
  <c r="C38" i="31" s="1"/>
  <c r="C39" i="31" s="1"/>
  <c r="C40" i="31" s="1"/>
  <c r="C41" i="31" s="1"/>
  <c r="C42" i="31" s="1"/>
  <c r="C43" i="31" s="1"/>
  <c r="C44" i="31" s="1"/>
  <c r="C45" i="31" s="1"/>
  <c r="C46" i="31" s="1"/>
  <c r="C47" i="31" s="1"/>
  <c r="C48" i="31" s="1"/>
  <c r="C49" i="31" s="1"/>
  <c r="C50" i="31" s="1"/>
  <c r="C51" i="31" s="1"/>
  <c r="C52" i="31" s="1"/>
  <c r="C53" i="31" s="1"/>
  <c r="C17" i="3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C28" i="31" s="1"/>
  <c r="C29" i="31" s="1"/>
  <c r="C30" i="31" s="1"/>
  <c r="C31" i="31" s="1"/>
  <c r="C32" i="31" s="1"/>
  <c r="C33" i="31" s="1"/>
  <c r="K11" i="31"/>
  <c r="I11" i="31"/>
  <c r="P1" i="31"/>
  <c r="P83" i="31" s="1"/>
  <c r="P154" i="30"/>
  <c r="O154" i="30"/>
  <c r="M154" i="30"/>
  <c r="P153" i="30"/>
  <c r="O153" i="30"/>
  <c r="M153" i="30"/>
  <c r="P152" i="30"/>
  <c r="O152" i="30"/>
  <c r="M152" i="30"/>
  <c r="P151" i="30"/>
  <c r="O151" i="30"/>
  <c r="M151" i="30"/>
  <c r="P150" i="30"/>
  <c r="O150" i="30"/>
  <c r="M150" i="30"/>
  <c r="P149" i="30"/>
  <c r="O149" i="30"/>
  <c r="M149" i="30"/>
  <c r="P148" i="30"/>
  <c r="O148" i="30"/>
  <c r="M148" i="30"/>
  <c r="P147" i="30"/>
  <c r="O147" i="30"/>
  <c r="M147" i="30"/>
  <c r="P146" i="30"/>
  <c r="O146" i="30"/>
  <c r="M146" i="30"/>
  <c r="P145" i="30"/>
  <c r="O145" i="30"/>
  <c r="M145" i="30"/>
  <c r="P144" i="30"/>
  <c r="O144" i="30"/>
  <c r="M144" i="30"/>
  <c r="P143" i="30"/>
  <c r="O143" i="30"/>
  <c r="M143" i="30"/>
  <c r="P142" i="30"/>
  <c r="O142" i="30"/>
  <c r="M142" i="30"/>
  <c r="P141" i="30"/>
  <c r="O141" i="30"/>
  <c r="M141" i="30"/>
  <c r="P140" i="30"/>
  <c r="O140" i="30"/>
  <c r="M140" i="30"/>
  <c r="P139" i="30"/>
  <c r="O139" i="30"/>
  <c r="M139" i="30"/>
  <c r="P138" i="30"/>
  <c r="O138" i="30"/>
  <c r="M138" i="30"/>
  <c r="P137" i="30"/>
  <c r="O137" i="30"/>
  <c r="M137" i="30"/>
  <c r="P136" i="30"/>
  <c r="O136" i="30"/>
  <c r="M136" i="30"/>
  <c r="P135" i="30"/>
  <c r="O135" i="30"/>
  <c r="M135" i="30"/>
  <c r="P134" i="30"/>
  <c r="O134" i="30"/>
  <c r="M134" i="30"/>
  <c r="P133" i="30"/>
  <c r="O133" i="30"/>
  <c r="M133" i="30"/>
  <c r="P132" i="30"/>
  <c r="O132" i="30"/>
  <c r="M132" i="30"/>
  <c r="P131" i="30"/>
  <c r="O131" i="30"/>
  <c r="M131" i="30"/>
  <c r="O130" i="30"/>
  <c r="M130" i="30"/>
  <c r="O129" i="30"/>
  <c r="M129" i="30"/>
  <c r="O128" i="30"/>
  <c r="M128" i="30"/>
  <c r="O127" i="30"/>
  <c r="M127" i="30"/>
  <c r="O126" i="30"/>
  <c r="M126" i="30"/>
  <c r="O125" i="30"/>
  <c r="M125" i="30"/>
  <c r="O124" i="30"/>
  <c r="M124" i="30"/>
  <c r="O123" i="30"/>
  <c r="M123" i="30"/>
  <c r="O122" i="30"/>
  <c r="M122" i="30"/>
  <c r="O121" i="30"/>
  <c r="M121" i="30"/>
  <c r="O120" i="30"/>
  <c r="M120" i="30"/>
  <c r="O119" i="30"/>
  <c r="M119" i="30"/>
  <c r="O118" i="30"/>
  <c r="M118" i="30"/>
  <c r="O117" i="30"/>
  <c r="M117" i="30"/>
  <c r="O116" i="30"/>
  <c r="M116" i="30"/>
  <c r="O115" i="30"/>
  <c r="M115" i="30"/>
  <c r="O114" i="30"/>
  <c r="M114" i="30"/>
  <c r="O113" i="30"/>
  <c r="M113" i="30"/>
  <c r="O112" i="30"/>
  <c r="M112" i="30"/>
  <c r="O111" i="30"/>
  <c r="M111" i="30"/>
  <c r="O110" i="30"/>
  <c r="M110" i="30"/>
  <c r="O109" i="30"/>
  <c r="M109" i="30"/>
  <c r="O108" i="30"/>
  <c r="M108" i="30"/>
  <c r="O107" i="30"/>
  <c r="M107" i="30"/>
  <c r="O106" i="30"/>
  <c r="M106" i="30"/>
  <c r="O105" i="30"/>
  <c r="M105" i="30"/>
  <c r="O104" i="30"/>
  <c r="M104" i="30"/>
  <c r="O103" i="30"/>
  <c r="M103" i="30"/>
  <c r="O99" i="30"/>
  <c r="D96" i="30"/>
  <c r="L93" i="30"/>
  <c r="J93" i="30"/>
  <c r="E91" i="30"/>
  <c r="D91" i="30"/>
  <c r="D89" i="30"/>
  <c r="N72" i="30"/>
  <c r="L72" i="30"/>
  <c r="N71" i="30"/>
  <c r="L71" i="30"/>
  <c r="N70" i="30"/>
  <c r="L70" i="30"/>
  <c r="N69" i="30"/>
  <c r="L69" i="30"/>
  <c r="N68" i="30"/>
  <c r="L68" i="30"/>
  <c r="N67" i="30"/>
  <c r="L67" i="30"/>
  <c r="N66" i="30"/>
  <c r="L66" i="30"/>
  <c r="N65" i="30"/>
  <c r="L65" i="30"/>
  <c r="N64" i="30"/>
  <c r="L64" i="30"/>
  <c r="N63" i="30"/>
  <c r="L63" i="30"/>
  <c r="N62" i="30"/>
  <c r="L62" i="30"/>
  <c r="N61" i="30"/>
  <c r="L61" i="30"/>
  <c r="N60" i="30"/>
  <c r="L60" i="30"/>
  <c r="N59" i="30"/>
  <c r="L59" i="30"/>
  <c r="N58" i="30"/>
  <c r="L58" i="30"/>
  <c r="N57" i="30"/>
  <c r="L57" i="30"/>
  <c r="N56" i="30"/>
  <c r="L56" i="30"/>
  <c r="N55" i="30"/>
  <c r="L55" i="30"/>
  <c r="N54" i="30"/>
  <c r="L54" i="30"/>
  <c r="N53" i="30"/>
  <c r="L53" i="30"/>
  <c r="N52" i="30"/>
  <c r="L52" i="30"/>
  <c r="N51" i="30"/>
  <c r="L51" i="30"/>
  <c r="N50" i="30"/>
  <c r="L50" i="30"/>
  <c r="N49" i="30"/>
  <c r="L49" i="30"/>
  <c r="N48" i="30"/>
  <c r="L48" i="30"/>
  <c r="N47" i="30"/>
  <c r="L47" i="30"/>
  <c r="N46" i="30"/>
  <c r="L46" i="30"/>
  <c r="N45" i="30"/>
  <c r="L45" i="30"/>
  <c r="N44" i="30"/>
  <c r="L44" i="30"/>
  <c r="N43" i="30"/>
  <c r="L43" i="30"/>
  <c r="N42" i="30"/>
  <c r="L42" i="30"/>
  <c r="N41" i="30"/>
  <c r="L41" i="30"/>
  <c r="N40" i="30"/>
  <c r="L40" i="30"/>
  <c r="N39" i="30"/>
  <c r="L39" i="30"/>
  <c r="N38" i="30"/>
  <c r="L38" i="30"/>
  <c r="N37" i="30"/>
  <c r="L37" i="30"/>
  <c r="N36" i="30"/>
  <c r="L36" i="30"/>
  <c r="N35" i="30"/>
  <c r="L35" i="30"/>
  <c r="N34" i="30"/>
  <c r="L34" i="30"/>
  <c r="N33" i="30"/>
  <c r="L33" i="30"/>
  <c r="N32" i="30"/>
  <c r="L32" i="30"/>
  <c r="N31" i="30"/>
  <c r="L31" i="30"/>
  <c r="N30" i="30"/>
  <c r="L30" i="30"/>
  <c r="N29" i="30"/>
  <c r="L29" i="30"/>
  <c r="N28" i="30"/>
  <c r="L28" i="30"/>
  <c r="N27" i="30"/>
  <c r="L27" i="30"/>
  <c r="N26" i="30"/>
  <c r="L26" i="30"/>
  <c r="N25" i="30"/>
  <c r="L25" i="30"/>
  <c r="N24" i="30"/>
  <c r="L24" i="30"/>
  <c r="N23" i="30"/>
  <c r="L23" i="30"/>
  <c r="N22" i="30"/>
  <c r="N21" i="30"/>
  <c r="C17" i="30"/>
  <c r="C18" i="30" s="1"/>
  <c r="C19" i="30" s="1"/>
  <c r="C20" i="30" s="1"/>
  <c r="C21" i="30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C43" i="30" s="1"/>
  <c r="C44" i="30" s="1"/>
  <c r="C45" i="30" s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C56" i="30" s="1"/>
  <c r="C57" i="30" s="1"/>
  <c r="C58" i="30" s="1"/>
  <c r="C59" i="30" s="1"/>
  <c r="C60" i="30" s="1"/>
  <c r="C61" i="30" s="1"/>
  <c r="C62" i="30" s="1"/>
  <c r="C63" i="30" s="1"/>
  <c r="C64" i="30" s="1"/>
  <c r="C65" i="30" s="1"/>
  <c r="C66" i="30" s="1"/>
  <c r="C67" i="30" s="1"/>
  <c r="C68" i="30" s="1"/>
  <c r="C69" i="30" s="1"/>
  <c r="C70" i="30" s="1"/>
  <c r="C71" i="30" s="1"/>
  <c r="C72" i="30" s="1"/>
  <c r="K11" i="30"/>
  <c r="I11" i="30"/>
  <c r="D8" i="30"/>
  <c r="D90" i="30" s="1"/>
  <c r="P1" i="30"/>
  <c r="P83" i="30" s="1"/>
  <c r="M17" i="29"/>
  <c r="N17" i="29" s="1"/>
  <c r="O17" i="29" s="1"/>
  <c r="K17" i="29"/>
  <c r="L17" i="29"/>
  <c r="M17" i="28"/>
  <c r="N17" i="28"/>
  <c r="K17" i="28"/>
  <c r="L17" i="28" s="1"/>
  <c r="N102" i="25"/>
  <c r="O102" i="25"/>
  <c r="P102" i="25" s="1"/>
  <c r="L102" i="25"/>
  <c r="M102" i="25" s="1"/>
  <c r="M21" i="25"/>
  <c r="N21" i="25" s="1"/>
  <c r="K21" i="25"/>
  <c r="L21" i="25"/>
  <c r="N100" i="24"/>
  <c r="O100" i="24"/>
  <c r="L100" i="24"/>
  <c r="M100" i="24"/>
  <c r="M19" i="24"/>
  <c r="N19" i="24"/>
  <c r="K19" i="24"/>
  <c r="L19" i="24" s="1"/>
  <c r="N101" i="23"/>
  <c r="O101" i="23" s="1"/>
  <c r="P101" i="23" s="1"/>
  <c r="L101" i="23"/>
  <c r="M101" i="23"/>
  <c r="M20" i="23"/>
  <c r="N20" i="23"/>
  <c r="O20" i="23" s="1"/>
  <c r="K20" i="23"/>
  <c r="L20" i="23"/>
  <c r="N102" i="22"/>
  <c r="O102" i="22"/>
  <c r="P102" i="22" s="1"/>
  <c r="L102" i="22"/>
  <c r="M102" i="22" s="1"/>
  <c r="M21" i="22"/>
  <c r="N21" i="22" s="1"/>
  <c r="O21" i="22" s="1"/>
  <c r="K21" i="22"/>
  <c r="L21" i="22" s="1"/>
  <c r="N105" i="11"/>
  <c r="O105" i="11" s="1"/>
  <c r="P105" i="11"/>
  <c r="L105" i="11"/>
  <c r="M105" i="11"/>
  <c r="M24" i="11"/>
  <c r="K24" i="11"/>
  <c r="L24" i="11" s="1"/>
  <c r="N106" i="10"/>
  <c r="O106" i="10" s="1"/>
  <c r="P106" i="10" s="1"/>
  <c r="L106" i="10"/>
  <c r="M106" i="10" s="1"/>
  <c r="M25" i="10"/>
  <c r="N25" i="10"/>
  <c r="K25" i="10"/>
  <c r="L25" i="10" s="1"/>
  <c r="N105" i="9"/>
  <c r="O105" i="9"/>
  <c r="P105" i="9" s="1"/>
  <c r="L105" i="9"/>
  <c r="M105" i="9"/>
  <c r="M24" i="9"/>
  <c r="N24" i="9" s="1"/>
  <c r="K24" i="9"/>
  <c r="L24" i="9" s="1"/>
  <c r="N104" i="8"/>
  <c r="O104" i="8" s="1"/>
  <c r="P104" i="8" s="1"/>
  <c r="L104" i="8"/>
  <c r="M104" i="8" s="1"/>
  <c r="M23" i="8"/>
  <c r="N23" i="8" s="1"/>
  <c r="O23" i="8" s="1"/>
  <c r="K23" i="8"/>
  <c r="L23" i="8" s="1"/>
  <c r="N106" i="7"/>
  <c r="O106" i="7" s="1"/>
  <c r="L106" i="7"/>
  <c r="M106" i="7" s="1"/>
  <c r="M25" i="7"/>
  <c r="N25" i="7" s="1"/>
  <c r="O25" i="7" s="1"/>
  <c r="K25" i="7"/>
  <c r="L25" i="7"/>
  <c r="N104" i="6"/>
  <c r="O104" i="6"/>
  <c r="L104" i="6"/>
  <c r="M104" i="6" s="1"/>
  <c r="M23" i="6"/>
  <c r="N23" i="6" s="1"/>
  <c r="K23" i="6"/>
  <c r="L23" i="6" s="1"/>
  <c r="N103" i="5"/>
  <c r="O103" i="5" s="1"/>
  <c r="L103" i="5"/>
  <c r="M103" i="5"/>
  <c r="M22" i="5"/>
  <c r="N22" i="5" s="1"/>
  <c r="O22" i="5" s="1"/>
  <c r="K22" i="5"/>
  <c r="L22" i="5" s="1"/>
  <c r="N103" i="4"/>
  <c r="O103" i="4" s="1"/>
  <c r="P103" i="4" s="1"/>
  <c r="M103" i="4"/>
  <c r="L103" i="4"/>
  <c r="M22" i="4"/>
  <c r="N22" i="4"/>
  <c r="K22" i="4"/>
  <c r="L22" i="4" s="1"/>
  <c r="N103" i="3"/>
  <c r="O103" i="3"/>
  <c r="P103" i="3"/>
  <c r="L103" i="3"/>
  <c r="M103" i="3" s="1"/>
  <c r="M22" i="3"/>
  <c r="K22" i="3"/>
  <c r="L22" i="3" s="1"/>
  <c r="D8" i="13"/>
  <c r="D10" i="23"/>
  <c r="D92" i="23" s="1"/>
  <c r="P1" i="29"/>
  <c r="P83" i="29" s="1"/>
  <c r="P1" i="28"/>
  <c r="P83" i="28" s="1"/>
  <c r="P1" i="27"/>
  <c r="P83" i="27" s="1"/>
  <c r="D8" i="29"/>
  <c r="D90" i="29"/>
  <c r="D8" i="28"/>
  <c r="D90" i="28"/>
  <c r="D8" i="27"/>
  <c r="D90" i="27"/>
  <c r="D8" i="25"/>
  <c r="D8" i="24"/>
  <c r="D8" i="22"/>
  <c r="D8" i="11"/>
  <c r="D8" i="10"/>
  <c r="E91" i="28"/>
  <c r="E91" i="29"/>
  <c r="W33" i="17"/>
  <c r="P33" i="17"/>
  <c r="W32" i="17"/>
  <c r="P32" i="17"/>
  <c r="N102" i="5"/>
  <c r="O102" i="5" s="1"/>
  <c r="L102" i="5"/>
  <c r="M102" i="5" s="1"/>
  <c r="P154" i="29"/>
  <c r="O154" i="29"/>
  <c r="M154" i="29"/>
  <c r="P153" i="29"/>
  <c r="O153" i="29"/>
  <c r="M153" i="29"/>
  <c r="P152" i="29"/>
  <c r="O152" i="29"/>
  <c r="M152" i="29"/>
  <c r="P151" i="29"/>
  <c r="O151" i="29"/>
  <c r="M151" i="29"/>
  <c r="P150" i="29"/>
  <c r="O150" i="29"/>
  <c r="M150" i="29"/>
  <c r="P149" i="29"/>
  <c r="O149" i="29"/>
  <c r="M149" i="29"/>
  <c r="P148" i="29"/>
  <c r="O148" i="29"/>
  <c r="M148" i="29"/>
  <c r="P147" i="29"/>
  <c r="O147" i="29"/>
  <c r="M147" i="29"/>
  <c r="P146" i="29"/>
  <c r="O146" i="29"/>
  <c r="M146" i="29"/>
  <c r="P145" i="29"/>
  <c r="O145" i="29"/>
  <c r="M145" i="29"/>
  <c r="P144" i="29"/>
  <c r="O144" i="29"/>
  <c r="M144" i="29"/>
  <c r="P143" i="29"/>
  <c r="O143" i="29"/>
  <c r="M143" i="29"/>
  <c r="P142" i="29"/>
  <c r="O142" i="29"/>
  <c r="M142" i="29"/>
  <c r="P141" i="29"/>
  <c r="O141" i="29"/>
  <c r="M141" i="29"/>
  <c r="P140" i="29"/>
  <c r="O140" i="29"/>
  <c r="M140" i="29"/>
  <c r="P139" i="29"/>
  <c r="O139" i="29"/>
  <c r="M139" i="29"/>
  <c r="P138" i="29"/>
  <c r="O138" i="29"/>
  <c r="M138" i="29"/>
  <c r="P137" i="29"/>
  <c r="O137" i="29"/>
  <c r="M137" i="29"/>
  <c r="P136" i="29"/>
  <c r="O136" i="29"/>
  <c r="M136" i="29"/>
  <c r="P135" i="29"/>
  <c r="O135" i="29"/>
  <c r="M135" i="29"/>
  <c r="P134" i="29"/>
  <c r="O134" i="29"/>
  <c r="M134" i="29"/>
  <c r="P133" i="29"/>
  <c r="O133" i="29"/>
  <c r="M133" i="29"/>
  <c r="P132" i="29"/>
  <c r="O132" i="29"/>
  <c r="M132" i="29"/>
  <c r="P131" i="29"/>
  <c r="O131" i="29"/>
  <c r="M131" i="29"/>
  <c r="O130" i="29"/>
  <c r="M130" i="29"/>
  <c r="O129" i="29"/>
  <c r="M129" i="29"/>
  <c r="O128" i="29"/>
  <c r="M128" i="29"/>
  <c r="O127" i="29"/>
  <c r="M127" i="29"/>
  <c r="O126" i="29"/>
  <c r="M126" i="29"/>
  <c r="O125" i="29"/>
  <c r="M125" i="29"/>
  <c r="O124" i="29"/>
  <c r="M124" i="29"/>
  <c r="O123" i="29"/>
  <c r="M123" i="29"/>
  <c r="O122" i="29"/>
  <c r="M122" i="29"/>
  <c r="O121" i="29"/>
  <c r="M121" i="29"/>
  <c r="O120" i="29"/>
  <c r="M120" i="29"/>
  <c r="O119" i="29"/>
  <c r="M119" i="29"/>
  <c r="O118" i="29"/>
  <c r="M118" i="29"/>
  <c r="O117" i="29"/>
  <c r="M117" i="29"/>
  <c r="O116" i="29"/>
  <c r="M116" i="29"/>
  <c r="O115" i="29"/>
  <c r="M115" i="29"/>
  <c r="O114" i="29"/>
  <c r="M114" i="29"/>
  <c r="O113" i="29"/>
  <c r="M113" i="29"/>
  <c r="O112" i="29"/>
  <c r="M112" i="29"/>
  <c r="O111" i="29"/>
  <c r="M111" i="29"/>
  <c r="O110" i="29"/>
  <c r="M110" i="29"/>
  <c r="O109" i="29"/>
  <c r="M109" i="29"/>
  <c r="O108" i="29"/>
  <c r="M108" i="29"/>
  <c r="O107" i="29"/>
  <c r="M107" i="29"/>
  <c r="O106" i="29"/>
  <c r="M106" i="29"/>
  <c r="O105" i="29"/>
  <c r="M105" i="29"/>
  <c r="O104" i="29"/>
  <c r="M104" i="29"/>
  <c r="D96" i="29"/>
  <c r="L93" i="29"/>
  <c r="J93" i="29"/>
  <c r="D91" i="29"/>
  <c r="D89" i="29"/>
  <c r="N72" i="29"/>
  <c r="L72" i="29"/>
  <c r="N71" i="29"/>
  <c r="L71" i="29"/>
  <c r="N70" i="29"/>
  <c r="L70" i="29"/>
  <c r="N69" i="29"/>
  <c r="L69" i="29"/>
  <c r="N68" i="29"/>
  <c r="L68" i="29"/>
  <c r="N67" i="29"/>
  <c r="L67" i="29"/>
  <c r="N66" i="29"/>
  <c r="L66" i="29"/>
  <c r="N65" i="29"/>
  <c r="L65" i="29"/>
  <c r="N64" i="29"/>
  <c r="L64" i="29"/>
  <c r="N63" i="29"/>
  <c r="L63" i="29"/>
  <c r="N62" i="29"/>
  <c r="L62" i="29"/>
  <c r="N61" i="29"/>
  <c r="L61" i="29"/>
  <c r="N60" i="29"/>
  <c r="L60" i="29"/>
  <c r="N59" i="29"/>
  <c r="L59" i="29"/>
  <c r="N58" i="29"/>
  <c r="L58" i="29"/>
  <c r="N57" i="29"/>
  <c r="L57" i="29"/>
  <c r="N56" i="29"/>
  <c r="L56" i="29"/>
  <c r="N55" i="29"/>
  <c r="L55" i="29"/>
  <c r="N54" i="29"/>
  <c r="L54" i="29"/>
  <c r="N53" i="29"/>
  <c r="L53" i="29"/>
  <c r="N52" i="29"/>
  <c r="L52" i="29"/>
  <c r="N51" i="29"/>
  <c r="L51" i="29"/>
  <c r="N50" i="29"/>
  <c r="L50" i="29"/>
  <c r="N49" i="29"/>
  <c r="L49" i="29"/>
  <c r="N48" i="29"/>
  <c r="L48" i="29"/>
  <c r="N47" i="29"/>
  <c r="L47" i="29"/>
  <c r="N46" i="29"/>
  <c r="L46" i="29"/>
  <c r="N45" i="29"/>
  <c r="L45" i="29"/>
  <c r="N44" i="29"/>
  <c r="L44" i="29"/>
  <c r="N43" i="29"/>
  <c r="L43" i="29"/>
  <c r="N42" i="29"/>
  <c r="L42" i="29"/>
  <c r="N41" i="29"/>
  <c r="L41" i="29"/>
  <c r="N40" i="29"/>
  <c r="L40" i="29"/>
  <c r="N39" i="29"/>
  <c r="L39" i="29"/>
  <c r="N38" i="29"/>
  <c r="L38" i="29"/>
  <c r="N37" i="29"/>
  <c r="L37" i="29"/>
  <c r="N36" i="29"/>
  <c r="L36" i="29"/>
  <c r="N35" i="29"/>
  <c r="L35" i="29"/>
  <c r="N34" i="29"/>
  <c r="L34" i="29"/>
  <c r="N33" i="29"/>
  <c r="L33" i="29"/>
  <c r="N32" i="29"/>
  <c r="L32" i="29"/>
  <c r="N31" i="29"/>
  <c r="L31" i="29"/>
  <c r="N30" i="29"/>
  <c r="L30" i="29"/>
  <c r="N29" i="29"/>
  <c r="L29" i="29"/>
  <c r="N28" i="29"/>
  <c r="L28" i="29"/>
  <c r="N27" i="29"/>
  <c r="L27" i="29"/>
  <c r="N26" i="29"/>
  <c r="L26" i="29"/>
  <c r="N25" i="29"/>
  <c r="L25" i="29"/>
  <c r="N24" i="29"/>
  <c r="L24" i="29"/>
  <c r="N23" i="29"/>
  <c r="N22" i="29"/>
  <c r="C17" i="29"/>
  <c r="C18" i="29" s="1"/>
  <c r="C19" i="29" s="1"/>
  <c r="C20" i="29"/>
  <c r="C21" i="29" s="1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34" i="29" s="1"/>
  <c r="C35" i="29" s="1"/>
  <c r="C36" i="29" s="1"/>
  <c r="C37" i="29" s="1"/>
  <c r="C38" i="29" s="1"/>
  <c r="C39" i="29" s="1"/>
  <c r="C40" i="29" s="1"/>
  <c r="C41" i="29" s="1"/>
  <c r="C42" i="29" s="1"/>
  <c r="C43" i="29" s="1"/>
  <c r="C44" i="29" s="1"/>
  <c r="C45" i="29" s="1"/>
  <c r="C46" i="29" s="1"/>
  <c r="K11" i="29"/>
  <c r="I11" i="29"/>
  <c r="P154" i="28"/>
  <c r="O154" i="28"/>
  <c r="M154" i="28"/>
  <c r="P153" i="28"/>
  <c r="O153" i="28"/>
  <c r="M153" i="28"/>
  <c r="P152" i="28"/>
  <c r="O152" i="28"/>
  <c r="M152" i="28"/>
  <c r="P151" i="28"/>
  <c r="O151" i="28"/>
  <c r="M151" i="28"/>
  <c r="P150" i="28"/>
  <c r="O150" i="28"/>
  <c r="M150" i="28"/>
  <c r="P149" i="28"/>
  <c r="O149" i="28"/>
  <c r="M149" i="28"/>
  <c r="P148" i="28"/>
  <c r="O148" i="28"/>
  <c r="M148" i="28"/>
  <c r="P147" i="28"/>
  <c r="O147" i="28"/>
  <c r="M147" i="28"/>
  <c r="P146" i="28"/>
  <c r="O146" i="28"/>
  <c r="M146" i="28"/>
  <c r="P145" i="28"/>
  <c r="O145" i="28"/>
  <c r="M145" i="28"/>
  <c r="P144" i="28"/>
  <c r="O144" i="28"/>
  <c r="M144" i="28"/>
  <c r="P143" i="28"/>
  <c r="O143" i="28"/>
  <c r="M143" i="28"/>
  <c r="P142" i="28"/>
  <c r="O142" i="28"/>
  <c r="M142" i="28"/>
  <c r="P141" i="28"/>
  <c r="O141" i="28"/>
  <c r="M141" i="28"/>
  <c r="P140" i="28"/>
  <c r="O140" i="28"/>
  <c r="M140" i="28"/>
  <c r="P139" i="28"/>
  <c r="O139" i="28"/>
  <c r="M139" i="28"/>
  <c r="P138" i="28"/>
  <c r="O138" i="28"/>
  <c r="M138" i="28"/>
  <c r="P137" i="28"/>
  <c r="O137" i="28"/>
  <c r="M137" i="28"/>
  <c r="P136" i="28"/>
  <c r="O136" i="28"/>
  <c r="M136" i="28"/>
  <c r="P135" i="28"/>
  <c r="O135" i="28"/>
  <c r="M135" i="28"/>
  <c r="P134" i="28"/>
  <c r="O134" i="28"/>
  <c r="M134" i="28"/>
  <c r="P133" i="28"/>
  <c r="O133" i="28"/>
  <c r="M133" i="28"/>
  <c r="P132" i="28"/>
  <c r="O132" i="28"/>
  <c r="M132" i="28"/>
  <c r="P131" i="28"/>
  <c r="O131" i="28"/>
  <c r="M131" i="28"/>
  <c r="O130" i="28"/>
  <c r="M130" i="28"/>
  <c r="O129" i="28"/>
  <c r="M129" i="28"/>
  <c r="O128" i="28"/>
  <c r="M128" i="28"/>
  <c r="O127" i="28"/>
  <c r="M127" i="28"/>
  <c r="O126" i="28"/>
  <c r="M126" i="28"/>
  <c r="O125" i="28"/>
  <c r="M125" i="28"/>
  <c r="O124" i="28"/>
  <c r="M124" i="28"/>
  <c r="O123" i="28"/>
  <c r="M123" i="28"/>
  <c r="O122" i="28"/>
  <c r="M122" i="28"/>
  <c r="O121" i="28"/>
  <c r="M121" i="28"/>
  <c r="O120" i="28"/>
  <c r="M120" i="28"/>
  <c r="O119" i="28"/>
  <c r="M119" i="28"/>
  <c r="O118" i="28"/>
  <c r="M118" i="28"/>
  <c r="O117" i="28"/>
  <c r="M117" i="28"/>
  <c r="O116" i="28"/>
  <c r="M116" i="28"/>
  <c r="O115" i="28"/>
  <c r="M115" i="28"/>
  <c r="O114" i="28"/>
  <c r="M114" i="28"/>
  <c r="O113" i="28"/>
  <c r="M113" i="28"/>
  <c r="O112" i="28"/>
  <c r="M112" i="28"/>
  <c r="O111" i="28"/>
  <c r="M111" i="28"/>
  <c r="O110" i="28"/>
  <c r="M110" i="28"/>
  <c r="O109" i="28"/>
  <c r="M109" i="28"/>
  <c r="O108" i="28"/>
  <c r="M108" i="28"/>
  <c r="O107" i="28"/>
  <c r="M107" i="28"/>
  <c r="O106" i="28"/>
  <c r="M106" i="28"/>
  <c r="O105" i="28"/>
  <c r="M105" i="28"/>
  <c r="O104" i="28"/>
  <c r="M104" i="28"/>
  <c r="D96" i="28"/>
  <c r="D94" i="28"/>
  <c r="L93" i="28"/>
  <c r="J93" i="28"/>
  <c r="C99" i="28"/>
  <c r="D92" i="28"/>
  <c r="D91" i="28"/>
  <c r="D89" i="28"/>
  <c r="N72" i="28"/>
  <c r="L72" i="28"/>
  <c r="N71" i="28"/>
  <c r="L71" i="28"/>
  <c r="N70" i="28"/>
  <c r="L70" i="28"/>
  <c r="N69" i="28"/>
  <c r="L69" i="28"/>
  <c r="N68" i="28"/>
  <c r="L68" i="28"/>
  <c r="N67" i="28"/>
  <c r="L67" i="28"/>
  <c r="N66" i="28"/>
  <c r="L66" i="28"/>
  <c r="N65" i="28"/>
  <c r="L65" i="28"/>
  <c r="N64" i="28"/>
  <c r="L64" i="28"/>
  <c r="N63" i="28"/>
  <c r="L63" i="28"/>
  <c r="N62" i="28"/>
  <c r="L62" i="28"/>
  <c r="N61" i="28"/>
  <c r="L61" i="28"/>
  <c r="N60" i="28"/>
  <c r="L60" i="28"/>
  <c r="N59" i="28"/>
  <c r="L59" i="28"/>
  <c r="N58" i="28"/>
  <c r="L58" i="28"/>
  <c r="N57" i="28"/>
  <c r="L57" i="28"/>
  <c r="N56" i="28"/>
  <c r="L56" i="28"/>
  <c r="N55" i="28"/>
  <c r="L55" i="28"/>
  <c r="N54" i="28"/>
  <c r="L54" i="28"/>
  <c r="N53" i="28"/>
  <c r="L53" i="28"/>
  <c r="N52" i="28"/>
  <c r="L52" i="28"/>
  <c r="N51" i="28"/>
  <c r="L51" i="28"/>
  <c r="N50" i="28"/>
  <c r="L50" i="28"/>
  <c r="N49" i="28"/>
  <c r="L49" i="28"/>
  <c r="N48" i="28"/>
  <c r="L48" i="28"/>
  <c r="N47" i="28"/>
  <c r="L47" i="28"/>
  <c r="N46" i="28"/>
  <c r="L46" i="28"/>
  <c r="N45" i="28"/>
  <c r="L45" i="28"/>
  <c r="N44" i="28"/>
  <c r="L44" i="28"/>
  <c r="N43" i="28"/>
  <c r="L43" i="28"/>
  <c r="N42" i="28"/>
  <c r="L42" i="28"/>
  <c r="N41" i="28"/>
  <c r="L41" i="28"/>
  <c r="N40" i="28"/>
  <c r="L40" i="28"/>
  <c r="N39" i="28"/>
  <c r="L39" i="28"/>
  <c r="N38" i="28"/>
  <c r="L38" i="28"/>
  <c r="N37" i="28"/>
  <c r="L37" i="28"/>
  <c r="N36" i="28"/>
  <c r="L36" i="28"/>
  <c r="N35" i="28"/>
  <c r="L35" i="28"/>
  <c r="N34" i="28"/>
  <c r="L34" i="28"/>
  <c r="N33" i="28"/>
  <c r="L33" i="28"/>
  <c r="N32" i="28"/>
  <c r="L32" i="28"/>
  <c r="N31" i="28"/>
  <c r="L31" i="28"/>
  <c r="N30" i="28"/>
  <c r="L30" i="28"/>
  <c r="N29" i="28"/>
  <c r="L29" i="28"/>
  <c r="N28" i="28"/>
  <c r="L28" i="28"/>
  <c r="N27" i="28"/>
  <c r="L27" i="28"/>
  <c r="N26" i="28"/>
  <c r="L26" i="28"/>
  <c r="N25" i="28"/>
  <c r="L25" i="28"/>
  <c r="N24" i="28"/>
  <c r="L24" i="28"/>
  <c r="N23" i="28"/>
  <c r="N22" i="28"/>
  <c r="C17" i="28"/>
  <c r="C18" i="28"/>
  <c r="C19" i="28"/>
  <c r="C20" i="28"/>
  <c r="C21" i="28" s="1"/>
  <c r="C22" i="28" s="1"/>
  <c r="C23" i="28" s="1"/>
  <c r="C24" i="28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/>
  <c r="C41" i="28" s="1"/>
  <c r="C42" i="28" s="1"/>
  <c r="C43" i="28" s="1"/>
  <c r="C44" i="28" s="1"/>
  <c r="C45" i="28" s="1"/>
  <c r="C46" i="28" s="1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C58" i="28" s="1"/>
  <c r="C59" i="28" s="1"/>
  <c r="C60" i="28" s="1"/>
  <c r="C61" i="28" s="1"/>
  <c r="C62" i="28" s="1"/>
  <c r="C63" i="28" s="1"/>
  <c r="C64" i="28" s="1"/>
  <c r="C65" i="28" s="1"/>
  <c r="C66" i="28" s="1"/>
  <c r="C67" i="28" s="1"/>
  <c r="C68" i="28" s="1"/>
  <c r="C69" i="28" s="1"/>
  <c r="C70" i="28" s="1"/>
  <c r="C71" i="28" s="1"/>
  <c r="C72" i="28" s="1"/>
  <c r="K11" i="28"/>
  <c r="I11" i="28"/>
  <c r="D94" i="27"/>
  <c r="D92" i="27"/>
  <c r="M17" i="27"/>
  <c r="N17" i="27"/>
  <c r="K17" i="27"/>
  <c r="L17" i="27" s="1"/>
  <c r="O17" i="27" s="1"/>
  <c r="N101" i="25"/>
  <c r="O101" i="25"/>
  <c r="P101" i="25"/>
  <c r="L101" i="25"/>
  <c r="M101" i="25"/>
  <c r="N100" i="25"/>
  <c r="O100" i="25" s="1"/>
  <c r="L100" i="25"/>
  <c r="M100" i="25" s="1"/>
  <c r="N99" i="25"/>
  <c r="O99" i="25"/>
  <c r="L99" i="25"/>
  <c r="M99" i="25" s="1"/>
  <c r="M20" i="25"/>
  <c r="N20" i="25"/>
  <c r="O20" i="25" s="1"/>
  <c r="K20" i="25"/>
  <c r="L20" i="25"/>
  <c r="D92" i="24"/>
  <c r="N100" i="23"/>
  <c r="O100" i="23" s="1"/>
  <c r="L100" i="23"/>
  <c r="M100" i="23"/>
  <c r="M19" i="23"/>
  <c r="N19" i="23" s="1"/>
  <c r="K19" i="23"/>
  <c r="L19" i="23"/>
  <c r="N101" i="22"/>
  <c r="O101" i="22"/>
  <c r="L101" i="22"/>
  <c r="M101" i="22" s="1"/>
  <c r="M20" i="22"/>
  <c r="N20" i="22"/>
  <c r="K20" i="22"/>
  <c r="L20" i="22" s="1"/>
  <c r="N104" i="11"/>
  <c r="O104" i="11"/>
  <c r="L104" i="11"/>
  <c r="M104" i="11" s="1"/>
  <c r="M23" i="11"/>
  <c r="N23" i="11"/>
  <c r="K23" i="11"/>
  <c r="L23" i="11" s="1"/>
  <c r="N105" i="10"/>
  <c r="O105" i="10"/>
  <c r="L105" i="10"/>
  <c r="M105" i="10" s="1"/>
  <c r="M24" i="10"/>
  <c r="N24" i="10"/>
  <c r="K24" i="10"/>
  <c r="L24" i="10" s="1"/>
  <c r="N104" i="9"/>
  <c r="O104" i="9"/>
  <c r="P104" i="9" s="1"/>
  <c r="L104" i="9"/>
  <c r="M104" i="9"/>
  <c r="M23" i="9"/>
  <c r="N23" i="9" s="1"/>
  <c r="K23" i="9"/>
  <c r="L23" i="9"/>
  <c r="O23" i="9"/>
  <c r="N103" i="8"/>
  <c r="O103" i="8" s="1"/>
  <c r="L103" i="8"/>
  <c r="M103" i="8"/>
  <c r="M22" i="8"/>
  <c r="N22" i="8" s="1"/>
  <c r="O22" i="8" s="1"/>
  <c r="K22" i="8"/>
  <c r="L22" i="8" s="1"/>
  <c r="N105" i="7"/>
  <c r="O105" i="7"/>
  <c r="L105" i="7"/>
  <c r="M105" i="7" s="1"/>
  <c r="M24" i="7"/>
  <c r="N24" i="7"/>
  <c r="O24" i="7" s="1"/>
  <c r="K24" i="7"/>
  <c r="L24" i="7" s="1"/>
  <c r="N103" i="6"/>
  <c r="O103" i="6"/>
  <c r="L103" i="6"/>
  <c r="M103" i="6" s="1"/>
  <c r="M22" i="6"/>
  <c r="N22" i="6"/>
  <c r="K22" i="6"/>
  <c r="L22" i="6" s="1"/>
  <c r="M21" i="5"/>
  <c r="N21" i="5"/>
  <c r="O21" i="5" s="1"/>
  <c r="K21" i="5"/>
  <c r="L21" i="5" s="1"/>
  <c r="N102" i="4"/>
  <c r="O102" i="4" s="1"/>
  <c r="L102" i="4"/>
  <c r="M102" i="4"/>
  <c r="P102" i="4"/>
  <c r="M21" i="4"/>
  <c r="N21" i="4" s="1"/>
  <c r="K21" i="4"/>
  <c r="L21" i="4"/>
  <c r="N102" i="3"/>
  <c r="O102" i="3" s="1"/>
  <c r="L102" i="3"/>
  <c r="M102" i="3"/>
  <c r="M21" i="3"/>
  <c r="N21" i="3" s="1"/>
  <c r="O21" i="3" s="1"/>
  <c r="L21" i="3"/>
  <c r="K21" i="3"/>
  <c r="P86" i="6"/>
  <c r="O5" i="6"/>
  <c r="P87" i="6"/>
  <c r="J153" i="25"/>
  <c r="J154" i="25"/>
  <c r="J152" i="25"/>
  <c r="J151" i="25"/>
  <c r="J150" i="25"/>
  <c r="J149" i="25"/>
  <c r="J148" i="25"/>
  <c r="J147" i="25"/>
  <c r="J146" i="25"/>
  <c r="J145" i="25"/>
  <c r="J144" i="25"/>
  <c r="J143" i="25"/>
  <c r="J142" i="25"/>
  <c r="J141" i="25"/>
  <c r="J140" i="25"/>
  <c r="J139" i="25"/>
  <c r="J138" i="25"/>
  <c r="J137" i="25"/>
  <c r="J136" i="25"/>
  <c r="J135" i="25"/>
  <c r="J134" i="25"/>
  <c r="J133" i="25"/>
  <c r="M19" i="25"/>
  <c r="N19" i="25"/>
  <c r="M18" i="25"/>
  <c r="N18" i="25" s="1"/>
  <c r="K19" i="25"/>
  <c r="L19" i="25"/>
  <c r="K18" i="25"/>
  <c r="L18" i="25" s="1"/>
  <c r="I19" i="25"/>
  <c r="C17" i="25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/>
  <c r="C34" i="25" s="1"/>
  <c r="C35" i="25" s="1"/>
  <c r="C36" i="25" s="1"/>
  <c r="C37" i="25" s="1"/>
  <c r="C38" i="25" s="1"/>
  <c r="C39" i="25" s="1"/>
  <c r="C40" i="25" s="1"/>
  <c r="C41" i="25" s="1"/>
  <c r="C42" i="25" s="1"/>
  <c r="C43" i="25" s="1"/>
  <c r="C44" i="25" s="1"/>
  <c r="C45" i="25" s="1"/>
  <c r="C46" i="25" s="1"/>
  <c r="C47" i="25" s="1"/>
  <c r="J131" i="24"/>
  <c r="J132" i="24"/>
  <c r="J133" i="24"/>
  <c r="J134" i="24"/>
  <c r="J135" i="24"/>
  <c r="J136" i="24"/>
  <c r="J137" i="24"/>
  <c r="J138" i="24"/>
  <c r="J139" i="24"/>
  <c r="J140" i="24"/>
  <c r="J141" i="24"/>
  <c r="J142" i="24"/>
  <c r="J143" i="24"/>
  <c r="J144" i="24"/>
  <c r="J145" i="24"/>
  <c r="J146" i="24"/>
  <c r="C17" i="24"/>
  <c r="C18" i="24"/>
  <c r="C19" i="24" s="1"/>
  <c r="C20" i="24" s="1"/>
  <c r="C21" i="24" s="1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  <c r="C40" i="24" s="1"/>
  <c r="C41" i="24" s="1"/>
  <c r="C42" i="24" s="1"/>
  <c r="C43" i="24" s="1"/>
  <c r="C44" i="24" s="1"/>
  <c r="C45" i="24" s="1"/>
  <c r="C46" i="24" s="1"/>
  <c r="C47" i="24" s="1"/>
  <c r="C48" i="24" s="1"/>
  <c r="C49" i="24" s="1"/>
  <c r="C50" i="24" s="1"/>
  <c r="C51" i="24" s="1"/>
  <c r="C52" i="24" s="1"/>
  <c r="C53" i="24" s="1"/>
  <c r="C54" i="24" s="1"/>
  <c r="C55" i="24" s="1"/>
  <c r="C56" i="24" s="1"/>
  <c r="C57" i="24" s="1"/>
  <c r="C58" i="24" s="1"/>
  <c r="C59" i="24" s="1"/>
  <c r="C60" i="24" s="1"/>
  <c r="C61" i="24" s="1"/>
  <c r="C62" i="24"/>
  <c r="C63" i="24" s="1"/>
  <c r="C64" i="24" s="1"/>
  <c r="C65" i="24" s="1"/>
  <c r="C66" i="24" s="1"/>
  <c r="C67" i="24" s="1"/>
  <c r="C68" i="24" s="1"/>
  <c r="C69" i="24" s="1"/>
  <c r="C70" i="24" s="1"/>
  <c r="C71" i="24" s="1"/>
  <c r="C72" i="24" s="1"/>
  <c r="W31" i="17"/>
  <c r="P31" i="17"/>
  <c r="P154" i="27"/>
  <c r="O154" i="27"/>
  <c r="M154" i="27"/>
  <c r="P153" i="27"/>
  <c r="O153" i="27"/>
  <c r="M153" i="27"/>
  <c r="P152" i="27"/>
  <c r="O152" i="27"/>
  <c r="M152" i="27"/>
  <c r="P151" i="27"/>
  <c r="O151" i="27"/>
  <c r="M151" i="27"/>
  <c r="P150" i="27"/>
  <c r="O150" i="27"/>
  <c r="M150" i="27"/>
  <c r="P149" i="27"/>
  <c r="O149" i="27"/>
  <c r="M149" i="27"/>
  <c r="P148" i="27"/>
  <c r="O148" i="27"/>
  <c r="M148" i="27"/>
  <c r="P147" i="27"/>
  <c r="O147" i="27"/>
  <c r="M147" i="27"/>
  <c r="P146" i="27"/>
  <c r="O146" i="27"/>
  <c r="M146" i="27"/>
  <c r="P145" i="27"/>
  <c r="O145" i="27"/>
  <c r="M145" i="27"/>
  <c r="P144" i="27"/>
  <c r="O144" i="27"/>
  <c r="M144" i="27"/>
  <c r="P143" i="27"/>
  <c r="O143" i="27"/>
  <c r="M143" i="27"/>
  <c r="P142" i="27"/>
  <c r="O142" i="27"/>
  <c r="M142" i="27"/>
  <c r="P141" i="27"/>
  <c r="O141" i="27"/>
  <c r="M141" i="27"/>
  <c r="P140" i="27"/>
  <c r="O140" i="27"/>
  <c r="M140" i="27"/>
  <c r="P139" i="27"/>
  <c r="O139" i="27"/>
  <c r="M139" i="27"/>
  <c r="P138" i="27"/>
  <c r="O138" i="27"/>
  <c r="M138" i="27"/>
  <c r="P137" i="27"/>
  <c r="O137" i="27"/>
  <c r="M137" i="27"/>
  <c r="P136" i="27"/>
  <c r="O136" i="27"/>
  <c r="M136" i="27"/>
  <c r="P135" i="27"/>
  <c r="O135" i="27"/>
  <c r="M135" i="27"/>
  <c r="P134" i="27"/>
  <c r="O134" i="27"/>
  <c r="M134" i="27"/>
  <c r="P133" i="27"/>
  <c r="O133" i="27"/>
  <c r="M133" i="27"/>
  <c r="P132" i="27"/>
  <c r="O132" i="27"/>
  <c r="M132" i="27"/>
  <c r="P131" i="27"/>
  <c r="O131" i="27"/>
  <c r="M131" i="27"/>
  <c r="O130" i="27"/>
  <c r="M130" i="27"/>
  <c r="O129" i="27"/>
  <c r="M129" i="27"/>
  <c r="O128" i="27"/>
  <c r="M128" i="27"/>
  <c r="O127" i="27"/>
  <c r="M127" i="27"/>
  <c r="O126" i="27"/>
  <c r="M126" i="27"/>
  <c r="O125" i="27"/>
  <c r="M125" i="27"/>
  <c r="O124" i="27"/>
  <c r="M124" i="27"/>
  <c r="O123" i="27"/>
  <c r="M123" i="27"/>
  <c r="O122" i="27"/>
  <c r="M122" i="27"/>
  <c r="O121" i="27"/>
  <c r="M121" i="27"/>
  <c r="O120" i="27"/>
  <c r="M120" i="27"/>
  <c r="O119" i="27"/>
  <c r="M119" i="27"/>
  <c r="O118" i="27"/>
  <c r="M118" i="27"/>
  <c r="O117" i="27"/>
  <c r="M117" i="27"/>
  <c r="O116" i="27"/>
  <c r="M116" i="27"/>
  <c r="O115" i="27"/>
  <c r="M115" i="27"/>
  <c r="O114" i="27"/>
  <c r="M114" i="27"/>
  <c r="O113" i="27"/>
  <c r="M113" i="27"/>
  <c r="O112" i="27"/>
  <c r="M112" i="27"/>
  <c r="O111" i="27"/>
  <c r="M111" i="27"/>
  <c r="O110" i="27"/>
  <c r="M110" i="27"/>
  <c r="O109" i="27"/>
  <c r="M109" i="27"/>
  <c r="O108" i="27"/>
  <c r="M108" i="27"/>
  <c r="O107" i="27"/>
  <c r="M107" i="27"/>
  <c r="O106" i="27"/>
  <c r="M106" i="27"/>
  <c r="O105" i="27"/>
  <c r="M105" i="27"/>
  <c r="D96" i="27"/>
  <c r="L93" i="27"/>
  <c r="J93" i="27"/>
  <c r="D91" i="27"/>
  <c r="D89" i="27"/>
  <c r="N72" i="27"/>
  <c r="L72" i="27"/>
  <c r="N71" i="27"/>
  <c r="L71" i="27"/>
  <c r="N70" i="27"/>
  <c r="L70" i="27"/>
  <c r="N69" i="27"/>
  <c r="L69" i="27"/>
  <c r="N68" i="27"/>
  <c r="L68" i="27"/>
  <c r="N67" i="27"/>
  <c r="L67" i="27"/>
  <c r="N66" i="27"/>
  <c r="L66" i="27"/>
  <c r="N65" i="27"/>
  <c r="L65" i="27"/>
  <c r="N64" i="27"/>
  <c r="L64" i="27"/>
  <c r="N63" i="27"/>
  <c r="L63" i="27"/>
  <c r="N62" i="27"/>
  <c r="L62" i="27"/>
  <c r="N61" i="27"/>
  <c r="L61" i="27"/>
  <c r="N60" i="27"/>
  <c r="L60" i="27"/>
  <c r="N59" i="27"/>
  <c r="O59" i="27" s="1"/>
  <c r="L59" i="27"/>
  <c r="N58" i="27"/>
  <c r="L58" i="27"/>
  <c r="N57" i="27"/>
  <c r="L57" i="27"/>
  <c r="N56" i="27"/>
  <c r="L56" i="27"/>
  <c r="N55" i="27"/>
  <c r="L55" i="27"/>
  <c r="N54" i="27"/>
  <c r="L54" i="27"/>
  <c r="N53" i="27"/>
  <c r="L53" i="27"/>
  <c r="N52" i="27"/>
  <c r="L52" i="27"/>
  <c r="N51" i="27"/>
  <c r="L51" i="27"/>
  <c r="N50" i="27"/>
  <c r="L50" i="27"/>
  <c r="N49" i="27"/>
  <c r="L49" i="27"/>
  <c r="N48" i="27"/>
  <c r="L48" i="27"/>
  <c r="N47" i="27"/>
  <c r="L47" i="27"/>
  <c r="N46" i="27"/>
  <c r="L46" i="27"/>
  <c r="N45" i="27"/>
  <c r="L45" i="27"/>
  <c r="N44" i="27"/>
  <c r="L44" i="27"/>
  <c r="N43" i="27"/>
  <c r="L43" i="27"/>
  <c r="N42" i="27"/>
  <c r="L42" i="27"/>
  <c r="N41" i="27"/>
  <c r="L41" i="27"/>
  <c r="N40" i="27"/>
  <c r="L40" i="27"/>
  <c r="N39" i="27"/>
  <c r="L39" i="27"/>
  <c r="N38" i="27"/>
  <c r="L38" i="27"/>
  <c r="N37" i="27"/>
  <c r="L37" i="27"/>
  <c r="N36" i="27"/>
  <c r="L36" i="27"/>
  <c r="N35" i="27"/>
  <c r="L35" i="27"/>
  <c r="N34" i="27"/>
  <c r="L34" i="27"/>
  <c r="N33" i="27"/>
  <c r="L33" i="27"/>
  <c r="N32" i="27"/>
  <c r="L32" i="27"/>
  <c r="N31" i="27"/>
  <c r="L31" i="27"/>
  <c r="N30" i="27"/>
  <c r="L30" i="27"/>
  <c r="N29" i="27"/>
  <c r="L29" i="27"/>
  <c r="N28" i="27"/>
  <c r="L28" i="27"/>
  <c r="N27" i="27"/>
  <c r="L27" i="27"/>
  <c r="N26" i="27"/>
  <c r="L26" i="27"/>
  <c r="N25" i="27"/>
  <c r="L25" i="27"/>
  <c r="N24" i="27"/>
  <c r="N23" i="27"/>
  <c r="O23" i="27" s="1"/>
  <c r="C17" i="27"/>
  <c r="C18" i="27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6" i="27"/>
  <c r="C47" i="27" s="1"/>
  <c r="C48" i="27" s="1"/>
  <c r="C49" i="27" s="1"/>
  <c r="C50" i="27" s="1"/>
  <c r="K11" i="27"/>
  <c r="I11" i="27"/>
  <c r="M17" i="25"/>
  <c r="N17" i="25"/>
  <c r="O17" i="25" s="1"/>
  <c r="K17" i="25"/>
  <c r="L17" i="25" s="1"/>
  <c r="M17" i="24"/>
  <c r="N17" i="24" s="1"/>
  <c r="O17" i="24" s="1"/>
  <c r="K17" i="24"/>
  <c r="N99" i="23"/>
  <c r="L99" i="23"/>
  <c r="M18" i="23"/>
  <c r="N18" i="23"/>
  <c r="K18" i="23"/>
  <c r="N100" i="22"/>
  <c r="L100" i="22"/>
  <c r="M19" i="22"/>
  <c r="N19" i="22"/>
  <c r="K19" i="22"/>
  <c r="N103" i="11"/>
  <c r="L103" i="11"/>
  <c r="M103" i="11" s="1"/>
  <c r="M22" i="11"/>
  <c r="N22" i="11" s="1"/>
  <c r="K22" i="11"/>
  <c r="N104" i="10"/>
  <c r="L104" i="10"/>
  <c r="M23" i="10"/>
  <c r="N23" i="10"/>
  <c r="K23" i="10"/>
  <c r="N103" i="9"/>
  <c r="L103" i="9"/>
  <c r="M22" i="9"/>
  <c r="N22" i="9" s="1"/>
  <c r="K22" i="9"/>
  <c r="L22" i="9" s="1"/>
  <c r="N102" i="8"/>
  <c r="L102" i="8"/>
  <c r="M21" i="8"/>
  <c r="N21" i="8" s="1"/>
  <c r="K21" i="8"/>
  <c r="N104" i="7"/>
  <c r="O104" i="7" s="1"/>
  <c r="L104" i="7"/>
  <c r="M23" i="7"/>
  <c r="N23" i="7" s="1"/>
  <c r="K23" i="7"/>
  <c r="N102" i="6"/>
  <c r="L102" i="6"/>
  <c r="M21" i="6"/>
  <c r="N21" i="6"/>
  <c r="K21" i="6"/>
  <c r="N101" i="5"/>
  <c r="L101" i="5"/>
  <c r="M20" i="5"/>
  <c r="N20" i="5" s="1"/>
  <c r="K20" i="5"/>
  <c r="N101" i="4"/>
  <c r="L101" i="4"/>
  <c r="M20" i="4"/>
  <c r="N20" i="4" s="1"/>
  <c r="K20" i="4"/>
  <c r="N101" i="3"/>
  <c r="L101" i="3"/>
  <c r="M20" i="3"/>
  <c r="N20" i="3"/>
  <c r="K20" i="3"/>
  <c r="I10" i="45"/>
  <c r="F81" i="2"/>
  <c r="F87" i="2"/>
  <c r="F86" i="2"/>
  <c r="C17" i="3"/>
  <c r="C18" i="3" s="1"/>
  <c r="C19" i="3" s="1"/>
  <c r="C20" i="3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/>
  <c r="C37" i="3" s="1"/>
  <c r="C38" i="3" s="1"/>
  <c r="C39" i="3" s="1"/>
  <c r="C40" i="3" s="1"/>
  <c r="C41" i="3" s="1"/>
  <c r="C42" i="3" s="1"/>
  <c r="C43" i="3" s="1"/>
  <c r="C44" i="3" s="1"/>
  <c r="K19" i="3"/>
  <c r="L19" i="3" s="1"/>
  <c r="P18" i="17"/>
  <c r="C17" i="4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K19" i="4"/>
  <c r="P19" i="17"/>
  <c r="C17" i="5"/>
  <c r="C18" i="5" s="1"/>
  <c r="C19" i="5"/>
  <c r="C20" i="5" s="1"/>
  <c r="C21" i="5" s="1"/>
  <c r="C22" i="5" s="1"/>
  <c r="C23" i="5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K19" i="5"/>
  <c r="P20" i="17"/>
  <c r="C17" i="6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K20" i="6"/>
  <c r="P21" i="17"/>
  <c r="C17" i="7"/>
  <c r="C18" i="7"/>
  <c r="C19" i="7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K22" i="7"/>
  <c r="L22" i="7" s="1"/>
  <c r="P22" i="17"/>
  <c r="C17" i="8"/>
  <c r="C18" i="8" s="1"/>
  <c r="C19" i="8"/>
  <c r="C20" i="8" s="1"/>
  <c r="C21" i="8" s="1"/>
  <c r="C22" i="8" s="1"/>
  <c r="C23" i="8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K20" i="8"/>
  <c r="P23" i="17"/>
  <c r="C17" i="9"/>
  <c r="C18" i="9"/>
  <c r="C19" i="9"/>
  <c r="C20" i="9" s="1"/>
  <c r="C21" i="9" s="1"/>
  <c r="C22" i="9" s="1"/>
  <c r="C23" i="9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K21" i="9"/>
  <c r="L21" i="9"/>
  <c r="P24" i="17"/>
  <c r="C17" i="10"/>
  <c r="C18" i="10"/>
  <c r="C19" i="10" s="1"/>
  <c r="C20" i="10" s="1"/>
  <c r="C21" i="10" s="1"/>
  <c r="C22" i="10"/>
  <c r="C23" i="10" s="1"/>
  <c r="C24" i="10" s="1"/>
  <c r="C25" i="10" s="1"/>
  <c r="C26" i="10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K22" i="10"/>
  <c r="P25" i="17"/>
  <c r="C17" i="11"/>
  <c r="C18" i="11" s="1"/>
  <c r="C19" i="11" s="1"/>
  <c r="C20" i="11"/>
  <c r="C21" i="11" s="1"/>
  <c r="C22" i="11" s="1"/>
  <c r="C23" i="11" s="1"/>
  <c r="C24" i="1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K21" i="11"/>
  <c r="L21" i="11" s="1"/>
  <c r="P26" i="17"/>
  <c r="C17" i="22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K18" i="22"/>
  <c r="P27" i="17"/>
  <c r="C17" i="23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C68" i="23" s="1"/>
  <c r="C69" i="23" s="1"/>
  <c r="C70" i="23" s="1"/>
  <c r="C71" i="23" s="1"/>
  <c r="C72" i="23" s="1"/>
  <c r="K17" i="23"/>
  <c r="P28" i="17"/>
  <c r="P29" i="17"/>
  <c r="P30" i="17"/>
  <c r="W29" i="17"/>
  <c r="W30" i="17"/>
  <c r="C17" i="13"/>
  <c r="M19" i="3"/>
  <c r="M19" i="4"/>
  <c r="M19" i="5"/>
  <c r="M20" i="6"/>
  <c r="M22" i="7"/>
  <c r="M20" i="8"/>
  <c r="M21" i="9"/>
  <c r="N21" i="9" s="1"/>
  <c r="O21" i="9" s="1"/>
  <c r="M22" i="10"/>
  <c r="M21" i="11"/>
  <c r="M18" i="22"/>
  <c r="N18" i="22"/>
  <c r="M17" i="23"/>
  <c r="N17" i="23" s="1"/>
  <c r="O17" i="23" s="1"/>
  <c r="F81" i="1"/>
  <c r="I12" i="42" s="1"/>
  <c r="I13" i="42" s="1"/>
  <c r="F86" i="1"/>
  <c r="F88" i="1" s="1"/>
  <c r="F89" i="1" s="1"/>
  <c r="F90" i="1"/>
  <c r="P1" i="25"/>
  <c r="P83" i="25" s="1"/>
  <c r="I11" i="25"/>
  <c r="K11" i="25"/>
  <c r="N27" i="25"/>
  <c r="L28" i="25"/>
  <c r="N28" i="25"/>
  <c r="L29" i="25"/>
  <c r="N29" i="25"/>
  <c r="L30" i="25"/>
  <c r="N30" i="25"/>
  <c r="L31" i="25"/>
  <c r="N31" i="25"/>
  <c r="L32" i="25"/>
  <c r="N32" i="25"/>
  <c r="L33" i="25"/>
  <c r="N33" i="25"/>
  <c r="L34" i="25"/>
  <c r="N34" i="25"/>
  <c r="L35" i="25"/>
  <c r="N35" i="25"/>
  <c r="L36" i="25"/>
  <c r="N36" i="25"/>
  <c r="L37" i="25"/>
  <c r="N37" i="25"/>
  <c r="L38" i="25"/>
  <c r="N38" i="25"/>
  <c r="L39" i="25"/>
  <c r="N39" i="25"/>
  <c r="L40" i="25"/>
  <c r="N40" i="25"/>
  <c r="L41" i="25"/>
  <c r="N41" i="25"/>
  <c r="L42" i="25"/>
  <c r="N42" i="25"/>
  <c r="L43" i="25"/>
  <c r="N43" i="25"/>
  <c r="L44" i="25"/>
  <c r="N44" i="25"/>
  <c r="L45" i="25"/>
  <c r="N45" i="25"/>
  <c r="L46" i="25"/>
  <c r="N46" i="25"/>
  <c r="L47" i="25"/>
  <c r="N47" i="25"/>
  <c r="L48" i="25"/>
  <c r="N48" i="25"/>
  <c r="L49" i="25"/>
  <c r="N49" i="25"/>
  <c r="L50" i="25"/>
  <c r="N50" i="25"/>
  <c r="L51" i="25"/>
  <c r="N51" i="25"/>
  <c r="L52" i="25"/>
  <c r="N52" i="25"/>
  <c r="L53" i="25"/>
  <c r="N53" i="25"/>
  <c r="L54" i="25"/>
  <c r="N54" i="25"/>
  <c r="L55" i="25"/>
  <c r="N55" i="25"/>
  <c r="L56" i="25"/>
  <c r="N56" i="25"/>
  <c r="L57" i="25"/>
  <c r="N57" i="25"/>
  <c r="L58" i="25"/>
  <c r="N58" i="25"/>
  <c r="L59" i="25"/>
  <c r="N59" i="25"/>
  <c r="L60" i="25"/>
  <c r="N60" i="25"/>
  <c r="L61" i="25"/>
  <c r="N61" i="25"/>
  <c r="L62" i="25"/>
  <c r="N62" i="25"/>
  <c r="L63" i="25"/>
  <c r="N63" i="25"/>
  <c r="L64" i="25"/>
  <c r="N64" i="25"/>
  <c r="L65" i="25"/>
  <c r="N65" i="25"/>
  <c r="L66" i="25"/>
  <c r="N66" i="25"/>
  <c r="L67" i="25"/>
  <c r="N67" i="25"/>
  <c r="L68" i="25"/>
  <c r="N68" i="25"/>
  <c r="L69" i="25"/>
  <c r="N69" i="25"/>
  <c r="L70" i="25"/>
  <c r="N70" i="25"/>
  <c r="L71" i="25"/>
  <c r="N71" i="25"/>
  <c r="L72" i="25"/>
  <c r="N72" i="25"/>
  <c r="D89" i="25"/>
  <c r="D90" i="25"/>
  <c r="D91" i="25"/>
  <c r="J93" i="25"/>
  <c r="L93" i="25"/>
  <c r="D96" i="25"/>
  <c r="M108" i="25"/>
  <c r="O108" i="25"/>
  <c r="M109" i="25"/>
  <c r="O109" i="25"/>
  <c r="M110" i="25"/>
  <c r="O110" i="25"/>
  <c r="M111" i="25"/>
  <c r="O111" i="25"/>
  <c r="M112" i="25"/>
  <c r="O112" i="25"/>
  <c r="M113" i="25"/>
  <c r="O113" i="25"/>
  <c r="M114" i="25"/>
  <c r="O114" i="25"/>
  <c r="M115" i="25"/>
  <c r="O115" i="25"/>
  <c r="M116" i="25"/>
  <c r="O116" i="25"/>
  <c r="M117" i="25"/>
  <c r="O117" i="25"/>
  <c r="M118" i="25"/>
  <c r="O118" i="25"/>
  <c r="M119" i="25"/>
  <c r="O119" i="25"/>
  <c r="M120" i="25"/>
  <c r="O120" i="25"/>
  <c r="M121" i="25"/>
  <c r="O121" i="25"/>
  <c r="M122" i="25"/>
  <c r="O122" i="25"/>
  <c r="M123" i="25"/>
  <c r="O123" i="25"/>
  <c r="M124" i="25"/>
  <c r="O124" i="25"/>
  <c r="M125" i="25"/>
  <c r="O125" i="25"/>
  <c r="M126" i="25"/>
  <c r="O126" i="25"/>
  <c r="M127" i="25"/>
  <c r="O127" i="25"/>
  <c r="M128" i="25"/>
  <c r="O128" i="25"/>
  <c r="M129" i="25"/>
  <c r="O129" i="25"/>
  <c r="M130" i="25"/>
  <c r="O130" i="25"/>
  <c r="M131" i="25"/>
  <c r="O131" i="25"/>
  <c r="P131" i="25"/>
  <c r="M132" i="25"/>
  <c r="O132" i="25"/>
  <c r="P132" i="25"/>
  <c r="M133" i="25"/>
  <c r="O133" i="25"/>
  <c r="P133" i="25"/>
  <c r="M134" i="25"/>
  <c r="O134" i="25"/>
  <c r="P134" i="25"/>
  <c r="M135" i="25"/>
  <c r="O135" i="25"/>
  <c r="P135" i="25"/>
  <c r="M136" i="25"/>
  <c r="O136" i="25"/>
  <c r="P136" i="25"/>
  <c r="M137" i="25"/>
  <c r="O137" i="25"/>
  <c r="P137" i="25"/>
  <c r="M138" i="25"/>
  <c r="O138" i="25"/>
  <c r="P138" i="25"/>
  <c r="M139" i="25"/>
  <c r="O139" i="25"/>
  <c r="P139" i="25"/>
  <c r="M140" i="25"/>
  <c r="O140" i="25"/>
  <c r="P140" i="25"/>
  <c r="M141" i="25"/>
  <c r="O141" i="25"/>
  <c r="P141" i="25"/>
  <c r="M142" i="25"/>
  <c r="O142" i="25"/>
  <c r="P142" i="25"/>
  <c r="M143" i="25"/>
  <c r="O143" i="25"/>
  <c r="P143" i="25"/>
  <c r="M144" i="25"/>
  <c r="O144" i="25"/>
  <c r="P144" i="25"/>
  <c r="M145" i="25"/>
  <c r="O145" i="25"/>
  <c r="P145" i="25"/>
  <c r="M146" i="25"/>
  <c r="O146" i="25"/>
  <c r="P146" i="25"/>
  <c r="M147" i="25"/>
  <c r="O147" i="25"/>
  <c r="P147" i="25"/>
  <c r="M148" i="25"/>
  <c r="O148" i="25"/>
  <c r="P148" i="25"/>
  <c r="M149" i="25"/>
  <c r="O149" i="25"/>
  <c r="P149" i="25"/>
  <c r="M150" i="25"/>
  <c r="O150" i="25"/>
  <c r="P150" i="25"/>
  <c r="M151" i="25"/>
  <c r="O151" i="25"/>
  <c r="P151" i="25"/>
  <c r="M152" i="25"/>
  <c r="O152" i="25"/>
  <c r="P152" i="25"/>
  <c r="M153" i="25"/>
  <c r="O153" i="25"/>
  <c r="P153" i="25"/>
  <c r="M154" i="25"/>
  <c r="O154" i="25"/>
  <c r="P154" i="25"/>
  <c r="N99" i="22"/>
  <c r="L99" i="22"/>
  <c r="N102" i="11"/>
  <c r="L102" i="11"/>
  <c r="M102" i="11" s="1"/>
  <c r="N103" i="10"/>
  <c r="L103" i="10"/>
  <c r="N102" i="9"/>
  <c r="L102" i="9"/>
  <c r="M102" i="9" s="1"/>
  <c r="N101" i="8"/>
  <c r="L101" i="8"/>
  <c r="M101" i="8" s="1"/>
  <c r="N103" i="7"/>
  <c r="L103" i="7"/>
  <c r="M103" i="7" s="1"/>
  <c r="N101" i="6"/>
  <c r="L101" i="6"/>
  <c r="N100" i="5"/>
  <c r="L100" i="5"/>
  <c r="N100" i="4"/>
  <c r="L100" i="4"/>
  <c r="P1" i="24"/>
  <c r="P83" i="24" s="1"/>
  <c r="I11" i="24"/>
  <c r="K11" i="24"/>
  <c r="L17" i="24"/>
  <c r="N25" i="24"/>
  <c r="L26" i="24"/>
  <c r="N26" i="24"/>
  <c r="L27" i="24"/>
  <c r="N27" i="24"/>
  <c r="L28" i="24"/>
  <c r="N28" i="24"/>
  <c r="L29" i="24"/>
  <c r="N29" i="24"/>
  <c r="L30" i="24"/>
  <c r="N30" i="24"/>
  <c r="L31" i="24"/>
  <c r="N31" i="24"/>
  <c r="L32" i="24"/>
  <c r="N32" i="24"/>
  <c r="L33" i="24"/>
  <c r="N33" i="24"/>
  <c r="L34" i="24"/>
  <c r="N34" i="24"/>
  <c r="L35" i="24"/>
  <c r="N35" i="24"/>
  <c r="L36" i="24"/>
  <c r="N36" i="24"/>
  <c r="L37" i="24"/>
  <c r="N37" i="24"/>
  <c r="L38" i="24"/>
  <c r="N38" i="24"/>
  <c r="L39" i="24"/>
  <c r="N39" i="24"/>
  <c r="L40" i="24"/>
  <c r="N40" i="24"/>
  <c r="L41" i="24"/>
  <c r="N41" i="24"/>
  <c r="L42" i="24"/>
  <c r="N42" i="24"/>
  <c r="L43" i="24"/>
  <c r="N43" i="24"/>
  <c r="L44" i="24"/>
  <c r="N44" i="24"/>
  <c r="L45" i="24"/>
  <c r="N45" i="24"/>
  <c r="L46" i="24"/>
  <c r="N46" i="24"/>
  <c r="L47" i="24"/>
  <c r="N47" i="24"/>
  <c r="L48" i="24"/>
  <c r="N48" i="24"/>
  <c r="L49" i="24"/>
  <c r="N49" i="24"/>
  <c r="L50" i="24"/>
  <c r="N50" i="24"/>
  <c r="L51" i="24"/>
  <c r="N51" i="24"/>
  <c r="L52" i="24"/>
  <c r="N52" i="24"/>
  <c r="L53" i="24"/>
  <c r="N53" i="24"/>
  <c r="L54" i="24"/>
  <c r="N54" i="24"/>
  <c r="L55" i="24"/>
  <c r="N55" i="24"/>
  <c r="L56" i="24"/>
  <c r="N56" i="24"/>
  <c r="L57" i="24"/>
  <c r="N57" i="24"/>
  <c r="L58" i="24"/>
  <c r="N58" i="24"/>
  <c r="L59" i="24"/>
  <c r="N59" i="24"/>
  <c r="L60" i="24"/>
  <c r="N60" i="24"/>
  <c r="L61" i="24"/>
  <c r="N61" i="24"/>
  <c r="L62" i="24"/>
  <c r="N62" i="24"/>
  <c r="L63" i="24"/>
  <c r="N63" i="24"/>
  <c r="L64" i="24"/>
  <c r="N64" i="24"/>
  <c r="L65" i="24"/>
  <c r="N65" i="24"/>
  <c r="L66" i="24"/>
  <c r="N66" i="24"/>
  <c r="L67" i="24"/>
  <c r="N67" i="24"/>
  <c r="L68" i="24"/>
  <c r="N68" i="24"/>
  <c r="L69" i="24"/>
  <c r="N69" i="24"/>
  <c r="L70" i="24"/>
  <c r="N70" i="24"/>
  <c r="L71" i="24"/>
  <c r="N71" i="24"/>
  <c r="L72" i="24"/>
  <c r="N72" i="24"/>
  <c r="D89" i="24"/>
  <c r="D90" i="24"/>
  <c r="D91" i="24"/>
  <c r="J93" i="24"/>
  <c r="L93" i="24"/>
  <c r="D96" i="24"/>
  <c r="M106" i="24"/>
  <c r="O106" i="24"/>
  <c r="M107" i="24"/>
  <c r="O107" i="24"/>
  <c r="M108" i="24"/>
  <c r="O108" i="24"/>
  <c r="M109" i="24"/>
  <c r="O109" i="24"/>
  <c r="M110" i="24"/>
  <c r="O110" i="24"/>
  <c r="M111" i="24"/>
  <c r="O111" i="24"/>
  <c r="M112" i="24"/>
  <c r="O112" i="24"/>
  <c r="M113" i="24"/>
  <c r="O113" i="24"/>
  <c r="M114" i="24"/>
  <c r="O114" i="24"/>
  <c r="M115" i="24"/>
  <c r="O115" i="24"/>
  <c r="M116" i="24"/>
  <c r="O116" i="24"/>
  <c r="M117" i="24"/>
  <c r="O117" i="24"/>
  <c r="M118" i="24"/>
  <c r="O118" i="24"/>
  <c r="M119" i="24"/>
  <c r="O119" i="24"/>
  <c r="M120" i="24"/>
  <c r="O120" i="24"/>
  <c r="M121" i="24"/>
  <c r="O121" i="24"/>
  <c r="M122" i="24"/>
  <c r="O122" i="24"/>
  <c r="M123" i="24"/>
  <c r="O123" i="24"/>
  <c r="M124" i="24"/>
  <c r="O124" i="24"/>
  <c r="M125" i="24"/>
  <c r="O125" i="24"/>
  <c r="M126" i="24"/>
  <c r="O126" i="24"/>
  <c r="M127" i="24"/>
  <c r="O127" i="24"/>
  <c r="M128" i="24"/>
  <c r="O128" i="24"/>
  <c r="M129" i="24"/>
  <c r="O129" i="24"/>
  <c r="M130" i="24"/>
  <c r="O130" i="24"/>
  <c r="M131" i="24"/>
  <c r="O131" i="24"/>
  <c r="P131" i="24"/>
  <c r="M132" i="24"/>
  <c r="O132" i="24"/>
  <c r="P132" i="24"/>
  <c r="M133" i="24"/>
  <c r="O133" i="24"/>
  <c r="P133" i="24"/>
  <c r="M134" i="24"/>
  <c r="O134" i="24"/>
  <c r="P134" i="24"/>
  <c r="M135" i="24"/>
  <c r="O135" i="24"/>
  <c r="P135" i="24"/>
  <c r="M136" i="24"/>
  <c r="O136" i="24"/>
  <c r="P136" i="24"/>
  <c r="M137" i="24"/>
  <c r="O137" i="24"/>
  <c r="P137" i="24"/>
  <c r="M138" i="24"/>
  <c r="O138" i="24"/>
  <c r="P138" i="24"/>
  <c r="M139" i="24"/>
  <c r="O139" i="24"/>
  <c r="P139" i="24"/>
  <c r="M140" i="24"/>
  <c r="O140" i="24"/>
  <c r="P140" i="24"/>
  <c r="M141" i="24"/>
  <c r="O141" i="24"/>
  <c r="P141" i="24"/>
  <c r="M142" i="24"/>
  <c r="O142" i="24"/>
  <c r="P142" i="24"/>
  <c r="M143" i="24"/>
  <c r="O143" i="24"/>
  <c r="P143" i="24"/>
  <c r="M144" i="24"/>
  <c r="O144" i="24"/>
  <c r="P144" i="24"/>
  <c r="M145" i="24"/>
  <c r="O145" i="24"/>
  <c r="P145" i="24"/>
  <c r="M146" i="24"/>
  <c r="O146" i="24"/>
  <c r="P146" i="24"/>
  <c r="J147" i="24"/>
  <c r="M147" i="24"/>
  <c r="O147" i="24"/>
  <c r="P147" i="24"/>
  <c r="J148" i="24"/>
  <c r="M148" i="24"/>
  <c r="O148" i="24"/>
  <c r="P148" i="24"/>
  <c r="J149" i="24"/>
  <c r="M149" i="24"/>
  <c r="O149" i="24"/>
  <c r="P149" i="24"/>
  <c r="J150" i="24"/>
  <c r="M150" i="24"/>
  <c r="O150" i="24"/>
  <c r="P150" i="24"/>
  <c r="J151" i="24"/>
  <c r="M151" i="24"/>
  <c r="O151" i="24"/>
  <c r="P151" i="24"/>
  <c r="J152" i="24"/>
  <c r="M152" i="24"/>
  <c r="O152" i="24"/>
  <c r="P152" i="24"/>
  <c r="J153" i="24"/>
  <c r="M153" i="24"/>
  <c r="O153" i="24"/>
  <c r="P153" i="24"/>
  <c r="J154" i="24"/>
  <c r="M154" i="24"/>
  <c r="O154" i="24"/>
  <c r="P154" i="24"/>
  <c r="N100" i="3"/>
  <c r="L100" i="3"/>
  <c r="M18" i="3"/>
  <c r="N18" i="3" s="1"/>
  <c r="O18" i="3" s="1"/>
  <c r="D10" i="3"/>
  <c r="K21" i="10"/>
  <c r="K18" i="3"/>
  <c r="K18" i="4"/>
  <c r="K18" i="5"/>
  <c r="K19" i="6"/>
  <c r="L19" i="6" s="1"/>
  <c r="K21" i="7"/>
  <c r="K19" i="8"/>
  <c r="L19" i="8" s="1"/>
  <c r="K20" i="9"/>
  <c r="L20" i="9" s="1"/>
  <c r="K20" i="11"/>
  <c r="K17" i="22"/>
  <c r="L17" i="22" s="1"/>
  <c r="W28" i="17"/>
  <c r="B19" i="23"/>
  <c r="I17" i="23"/>
  <c r="P1" i="23"/>
  <c r="P83" i="23" s="1"/>
  <c r="I11" i="23"/>
  <c r="K11" i="23"/>
  <c r="L17" i="23"/>
  <c r="B18" i="23"/>
  <c r="L18" i="23"/>
  <c r="N26" i="23"/>
  <c r="L27" i="23"/>
  <c r="N27" i="23"/>
  <c r="L28" i="23"/>
  <c r="N28" i="23"/>
  <c r="L29" i="23"/>
  <c r="N29" i="23"/>
  <c r="L30" i="23"/>
  <c r="N30" i="23"/>
  <c r="L31" i="23"/>
  <c r="N31" i="23"/>
  <c r="L32" i="23"/>
  <c r="N32" i="23"/>
  <c r="L33" i="23"/>
  <c r="N33" i="23"/>
  <c r="L34" i="23"/>
  <c r="N34" i="23"/>
  <c r="L35" i="23"/>
  <c r="N35" i="23"/>
  <c r="L36" i="23"/>
  <c r="N36" i="23"/>
  <c r="L37" i="23"/>
  <c r="N37" i="23"/>
  <c r="L38" i="23"/>
  <c r="N38" i="23"/>
  <c r="L39" i="23"/>
  <c r="N39" i="23"/>
  <c r="L40" i="23"/>
  <c r="N40" i="23"/>
  <c r="L41" i="23"/>
  <c r="N41" i="23"/>
  <c r="L42" i="23"/>
  <c r="N42" i="23"/>
  <c r="L43" i="23"/>
  <c r="N43" i="23"/>
  <c r="L44" i="23"/>
  <c r="N44" i="23"/>
  <c r="L45" i="23"/>
  <c r="N45" i="23"/>
  <c r="L46" i="23"/>
  <c r="N46" i="23"/>
  <c r="L47" i="23"/>
  <c r="N47" i="23"/>
  <c r="L48" i="23"/>
  <c r="N48" i="23"/>
  <c r="L49" i="23"/>
  <c r="N49" i="23"/>
  <c r="L50" i="23"/>
  <c r="N50" i="23"/>
  <c r="L51" i="23"/>
  <c r="N51" i="23"/>
  <c r="L52" i="23"/>
  <c r="N52" i="23"/>
  <c r="O52" i="23" s="1"/>
  <c r="L53" i="23"/>
  <c r="N53" i="23"/>
  <c r="L54" i="23"/>
  <c r="N54" i="23"/>
  <c r="L55" i="23"/>
  <c r="N55" i="23"/>
  <c r="L56" i="23"/>
  <c r="N56" i="23"/>
  <c r="L57" i="23"/>
  <c r="N57" i="23"/>
  <c r="L58" i="23"/>
  <c r="N58" i="23"/>
  <c r="L59" i="23"/>
  <c r="N59" i="23"/>
  <c r="L60" i="23"/>
  <c r="N60" i="23"/>
  <c r="L61" i="23"/>
  <c r="N61" i="23"/>
  <c r="L62" i="23"/>
  <c r="N62" i="23"/>
  <c r="L63" i="23"/>
  <c r="N63" i="23"/>
  <c r="L64" i="23"/>
  <c r="N64" i="23"/>
  <c r="L65" i="23"/>
  <c r="N65" i="23"/>
  <c r="L66" i="23"/>
  <c r="N66" i="23"/>
  <c r="L67" i="23"/>
  <c r="N67" i="23"/>
  <c r="L68" i="23"/>
  <c r="N68" i="23"/>
  <c r="L69" i="23"/>
  <c r="N69" i="23"/>
  <c r="L70" i="23"/>
  <c r="N70" i="23"/>
  <c r="L71" i="23"/>
  <c r="N71" i="23"/>
  <c r="L72" i="23"/>
  <c r="N72" i="23"/>
  <c r="D89" i="23"/>
  <c r="D91" i="23"/>
  <c r="J93" i="23"/>
  <c r="L93" i="23"/>
  <c r="D96" i="23"/>
  <c r="M99" i="23"/>
  <c r="O99" i="23"/>
  <c r="M107" i="23"/>
  <c r="O107" i="23"/>
  <c r="M108" i="23"/>
  <c r="O108" i="23"/>
  <c r="M109" i="23"/>
  <c r="O109" i="23"/>
  <c r="M110" i="23"/>
  <c r="O110" i="23"/>
  <c r="M111" i="23"/>
  <c r="O111" i="23"/>
  <c r="M112" i="23"/>
  <c r="O112" i="23"/>
  <c r="M113" i="23"/>
  <c r="O113" i="23"/>
  <c r="M114" i="23"/>
  <c r="O114" i="23"/>
  <c r="M115" i="23"/>
  <c r="O115" i="23"/>
  <c r="M116" i="23"/>
  <c r="O116" i="23"/>
  <c r="M117" i="23"/>
  <c r="O117" i="23"/>
  <c r="M118" i="23"/>
  <c r="O118" i="23"/>
  <c r="M119" i="23"/>
  <c r="O119" i="23"/>
  <c r="M120" i="23"/>
  <c r="O120" i="23"/>
  <c r="M121" i="23"/>
  <c r="O121" i="23"/>
  <c r="M122" i="23"/>
  <c r="O122" i="23"/>
  <c r="M123" i="23"/>
  <c r="O123" i="23"/>
  <c r="M124" i="23"/>
  <c r="O124" i="23"/>
  <c r="M125" i="23"/>
  <c r="O125" i="23"/>
  <c r="M126" i="23"/>
  <c r="O126" i="23"/>
  <c r="M127" i="23"/>
  <c r="O127" i="23"/>
  <c r="M128" i="23"/>
  <c r="O128" i="23"/>
  <c r="M129" i="23"/>
  <c r="O129" i="23"/>
  <c r="M130" i="23"/>
  <c r="O130" i="23"/>
  <c r="J131" i="23"/>
  <c r="M131" i="23"/>
  <c r="O131" i="23"/>
  <c r="P131" i="23"/>
  <c r="J132" i="23"/>
  <c r="M132" i="23"/>
  <c r="O132" i="23"/>
  <c r="P132" i="23"/>
  <c r="J133" i="23"/>
  <c r="M133" i="23"/>
  <c r="O133" i="23"/>
  <c r="P133" i="23"/>
  <c r="J134" i="23"/>
  <c r="M134" i="23"/>
  <c r="O134" i="23"/>
  <c r="P134" i="23"/>
  <c r="J135" i="23"/>
  <c r="M135" i="23"/>
  <c r="O135" i="23"/>
  <c r="P135" i="23"/>
  <c r="J136" i="23"/>
  <c r="M136" i="23"/>
  <c r="O136" i="23"/>
  <c r="P136" i="23"/>
  <c r="J137" i="23"/>
  <c r="M137" i="23"/>
  <c r="O137" i="23"/>
  <c r="P137" i="23"/>
  <c r="J138" i="23"/>
  <c r="M138" i="23"/>
  <c r="O138" i="23"/>
  <c r="P138" i="23"/>
  <c r="J139" i="23"/>
  <c r="M139" i="23"/>
  <c r="O139" i="23"/>
  <c r="P139" i="23"/>
  <c r="J140" i="23"/>
  <c r="M140" i="23"/>
  <c r="O140" i="23"/>
  <c r="P140" i="23"/>
  <c r="J141" i="23"/>
  <c r="M141" i="23"/>
  <c r="O141" i="23"/>
  <c r="P141" i="23"/>
  <c r="J142" i="23"/>
  <c r="M142" i="23"/>
  <c r="O142" i="23"/>
  <c r="P142" i="23"/>
  <c r="J143" i="23"/>
  <c r="M143" i="23"/>
  <c r="O143" i="23"/>
  <c r="P143" i="23"/>
  <c r="J144" i="23"/>
  <c r="M144" i="23"/>
  <c r="O144" i="23"/>
  <c r="P144" i="23"/>
  <c r="J145" i="23"/>
  <c r="M145" i="23"/>
  <c r="O145" i="23"/>
  <c r="P145" i="23"/>
  <c r="J146" i="23"/>
  <c r="M146" i="23"/>
  <c r="O146" i="23"/>
  <c r="P146" i="23"/>
  <c r="J147" i="23"/>
  <c r="M147" i="23"/>
  <c r="O147" i="23"/>
  <c r="P147" i="23"/>
  <c r="J148" i="23"/>
  <c r="M148" i="23"/>
  <c r="O148" i="23"/>
  <c r="P148" i="23"/>
  <c r="J149" i="23"/>
  <c r="M149" i="23"/>
  <c r="O149" i="23"/>
  <c r="P149" i="23"/>
  <c r="J150" i="23"/>
  <c r="M150" i="23"/>
  <c r="O150" i="23"/>
  <c r="P150" i="23"/>
  <c r="J151" i="23"/>
  <c r="M151" i="23"/>
  <c r="O151" i="23"/>
  <c r="P151" i="23"/>
  <c r="J152" i="23"/>
  <c r="M152" i="23"/>
  <c r="O152" i="23"/>
  <c r="P152" i="23"/>
  <c r="J153" i="23"/>
  <c r="M153" i="23"/>
  <c r="O153" i="23"/>
  <c r="P153" i="23"/>
  <c r="J154" i="23"/>
  <c r="M154" i="23"/>
  <c r="O154" i="23"/>
  <c r="P154" i="23"/>
  <c r="M17" i="22"/>
  <c r="N17" i="22"/>
  <c r="N101" i="11"/>
  <c r="O101" i="11" s="1"/>
  <c r="L101" i="11"/>
  <c r="M20" i="11"/>
  <c r="M21" i="10"/>
  <c r="N21" i="10"/>
  <c r="N102" i="10"/>
  <c r="L102" i="10"/>
  <c r="M20" i="9"/>
  <c r="N20" i="9"/>
  <c r="O20" i="9" s="1"/>
  <c r="N101" i="9"/>
  <c r="L101" i="9"/>
  <c r="N100" i="8"/>
  <c r="O100" i="8" s="1"/>
  <c r="L100" i="8"/>
  <c r="M100" i="8" s="1"/>
  <c r="M19" i="8"/>
  <c r="N102" i="7"/>
  <c r="L102" i="7"/>
  <c r="M102" i="7" s="1"/>
  <c r="M21" i="7"/>
  <c r="N100" i="6"/>
  <c r="O100" i="6" s="1"/>
  <c r="L100" i="6"/>
  <c r="M19" i="6"/>
  <c r="N99" i="5"/>
  <c r="L99" i="5"/>
  <c r="M99" i="5" s="1"/>
  <c r="M18" i="5"/>
  <c r="N99" i="4"/>
  <c r="L99" i="4"/>
  <c r="M18" i="4"/>
  <c r="N18" i="4" s="1"/>
  <c r="N99" i="3"/>
  <c r="L99" i="3"/>
  <c r="D10" i="7"/>
  <c r="L18" i="7"/>
  <c r="B100" i="7"/>
  <c r="B102" i="8"/>
  <c r="B101" i="8"/>
  <c r="B100" i="8"/>
  <c r="B103" i="9"/>
  <c r="B102" i="9"/>
  <c r="B101" i="9"/>
  <c r="B100" i="9"/>
  <c r="B104" i="10"/>
  <c r="B103" i="10"/>
  <c r="B102" i="10"/>
  <c r="B101" i="10"/>
  <c r="B100" i="10"/>
  <c r="B103" i="11"/>
  <c r="B102" i="11"/>
  <c r="B101" i="11"/>
  <c r="B100" i="11"/>
  <c r="B100" i="22"/>
  <c r="B104" i="7"/>
  <c r="B103" i="7"/>
  <c r="B20" i="8"/>
  <c r="B19" i="8"/>
  <c r="B18" i="8"/>
  <c r="B22" i="9"/>
  <c r="B21" i="9"/>
  <c r="B20" i="9"/>
  <c r="B19" i="9"/>
  <c r="B18" i="9"/>
  <c r="B23" i="10"/>
  <c r="B22" i="10"/>
  <c r="B21" i="10"/>
  <c r="B20" i="10"/>
  <c r="B19" i="10"/>
  <c r="B18" i="10"/>
  <c r="B22" i="11"/>
  <c r="B21" i="11"/>
  <c r="B20" i="11"/>
  <c r="B19" i="11"/>
  <c r="B18" i="11"/>
  <c r="B18" i="22"/>
  <c r="I14" i="13"/>
  <c r="B22" i="7"/>
  <c r="B101" i="4"/>
  <c r="B100" i="4"/>
  <c r="B101" i="5"/>
  <c r="B100" i="5"/>
  <c r="B101" i="3"/>
  <c r="B100" i="3"/>
  <c r="B20" i="4"/>
  <c r="B19" i="4"/>
  <c r="B18" i="4"/>
  <c r="B20" i="5"/>
  <c r="B19" i="5"/>
  <c r="B18" i="5"/>
  <c r="B19" i="3"/>
  <c r="B18" i="3"/>
  <c r="B18" i="6"/>
  <c r="B20" i="6"/>
  <c r="B19" i="6"/>
  <c r="B102" i="6"/>
  <c r="B101" i="6"/>
  <c r="B100" i="6"/>
  <c r="I18" i="3"/>
  <c r="I19" i="3"/>
  <c r="D90" i="4"/>
  <c r="D90" i="5"/>
  <c r="D90" i="6"/>
  <c r="D90" i="7"/>
  <c r="D90" i="8"/>
  <c r="D8" i="9"/>
  <c r="D90" i="9" s="1"/>
  <c r="D90" i="10"/>
  <c r="D90" i="11"/>
  <c r="D90" i="22"/>
  <c r="D90" i="13"/>
  <c r="W27" i="17"/>
  <c r="N99" i="6"/>
  <c r="O99" i="6" s="1"/>
  <c r="P99" i="6" s="1"/>
  <c r="P1" i="22"/>
  <c r="P83" i="22" s="1"/>
  <c r="I11" i="22"/>
  <c r="K11" i="22"/>
  <c r="I17" i="22"/>
  <c r="I18" i="22"/>
  <c r="L18" i="22"/>
  <c r="L19" i="22"/>
  <c r="N27" i="22"/>
  <c r="L28" i="22"/>
  <c r="N28" i="22"/>
  <c r="L29" i="22"/>
  <c r="N29" i="22"/>
  <c r="L30" i="22"/>
  <c r="N30" i="22"/>
  <c r="L31" i="22"/>
  <c r="N31" i="22"/>
  <c r="L32" i="22"/>
  <c r="N32" i="22"/>
  <c r="L33" i="22"/>
  <c r="N33" i="22"/>
  <c r="L34" i="22"/>
  <c r="N34" i="22"/>
  <c r="L35" i="22"/>
  <c r="N35" i="22"/>
  <c r="L36" i="22"/>
  <c r="N36" i="22"/>
  <c r="L37" i="22"/>
  <c r="N37" i="22"/>
  <c r="L38" i="22"/>
  <c r="N38" i="22"/>
  <c r="L39" i="22"/>
  <c r="N39" i="22"/>
  <c r="L40" i="22"/>
  <c r="N40" i="22"/>
  <c r="L41" i="22"/>
  <c r="N41" i="22"/>
  <c r="L42" i="22"/>
  <c r="N42" i="22"/>
  <c r="L43" i="22"/>
  <c r="N43" i="22"/>
  <c r="L44" i="22"/>
  <c r="N44" i="22"/>
  <c r="L45" i="22"/>
  <c r="N45" i="22"/>
  <c r="L46" i="22"/>
  <c r="N46" i="22"/>
  <c r="L47" i="22"/>
  <c r="N47" i="22"/>
  <c r="L48" i="22"/>
  <c r="N48" i="22"/>
  <c r="L49" i="22"/>
  <c r="N49" i="22"/>
  <c r="L50" i="22"/>
  <c r="N50" i="22"/>
  <c r="L51" i="22"/>
  <c r="N51" i="22"/>
  <c r="L52" i="22"/>
  <c r="N52" i="22"/>
  <c r="L53" i="22"/>
  <c r="N53" i="22"/>
  <c r="L54" i="22"/>
  <c r="N54" i="22"/>
  <c r="L55" i="22"/>
  <c r="N55" i="22"/>
  <c r="L56" i="22"/>
  <c r="N56" i="22"/>
  <c r="L57" i="22"/>
  <c r="N57" i="22"/>
  <c r="L58" i="22"/>
  <c r="N58" i="22"/>
  <c r="L59" i="22"/>
  <c r="N59" i="22"/>
  <c r="L60" i="22"/>
  <c r="N60" i="22"/>
  <c r="L61" i="22"/>
  <c r="N61" i="22"/>
  <c r="L62" i="22"/>
  <c r="N62" i="22"/>
  <c r="L63" i="22"/>
  <c r="N63" i="22"/>
  <c r="L64" i="22"/>
  <c r="N64" i="22"/>
  <c r="L65" i="22"/>
  <c r="N65" i="22"/>
  <c r="L66" i="22"/>
  <c r="N66" i="22"/>
  <c r="L67" i="22"/>
  <c r="N67" i="22"/>
  <c r="L68" i="22"/>
  <c r="N68" i="22"/>
  <c r="L69" i="22"/>
  <c r="N69" i="22"/>
  <c r="L70" i="22"/>
  <c r="N70" i="22"/>
  <c r="L71" i="22"/>
  <c r="N71" i="22"/>
  <c r="L72" i="22"/>
  <c r="N72" i="22"/>
  <c r="D89" i="22"/>
  <c r="D91" i="22"/>
  <c r="J93" i="22"/>
  <c r="L93" i="22"/>
  <c r="D96" i="22"/>
  <c r="J99" i="22"/>
  <c r="M99" i="22"/>
  <c r="O99" i="22"/>
  <c r="M100" i="22"/>
  <c r="O100" i="22"/>
  <c r="M108" i="22"/>
  <c r="O108" i="22"/>
  <c r="M109" i="22"/>
  <c r="O109" i="22"/>
  <c r="M110" i="22"/>
  <c r="O110" i="22"/>
  <c r="M111" i="22"/>
  <c r="O111" i="22"/>
  <c r="M112" i="22"/>
  <c r="O112" i="22"/>
  <c r="M113" i="22"/>
  <c r="O113" i="22"/>
  <c r="M114" i="22"/>
  <c r="O114" i="22"/>
  <c r="M115" i="22"/>
  <c r="O115" i="22"/>
  <c r="M116" i="22"/>
  <c r="O116" i="22"/>
  <c r="M117" i="22"/>
  <c r="O117" i="22"/>
  <c r="M118" i="22"/>
  <c r="O118" i="22"/>
  <c r="M119" i="22"/>
  <c r="O119" i="22"/>
  <c r="M120" i="22"/>
  <c r="O120" i="22"/>
  <c r="M121" i="22"/>
  <c r="O121" i="22"/>
  <c r="M122" i="22"/>
  <c r="O122" i="22"/>
  <c r="M123" i="22"/>
  <c r="O123" i="22"/>
  <c r="M124" i="22"/>
  <c r="O124" i="22"/>
  <c r="M125" i="22"/>
  <c r="O125" i="22"/>
  <c r="M126" i="22"/>
  <c r="O126" i="22"/>
  <c r="M127" i="22"/>
  <c r="O127" i="22"/>
  <c r="M128" i="22"/>
  <c r="O128" i="22"/>
  <c r="M129" i="22"/>
  <c r="O129" i="22"/>
  <c r="M130" i="22"/>
  <c r="O130" i="22"/>
  <c r="J131" i="22"/>
  <c r="M131" i="22"/>
  <c r="O131" i="22"/>
  <c r="P131" i="22"/>
  <c r="J132" i="22"/>
  <c r="M132" i="22"/>
  <c r="O132" i="22"/>
  <c r="P132" i="22"/>
  <c r="J133" i="22"/>
  <c r="M133" i="22"/>
  <c r="O133" i="22"/>
  <c r="P133" i="22"/>
  <c r="J134" i="22"/>
  <c r="M134" i="22"/>
  <c r="O134" i="22"/>
  <c r="P134" i="22"/>
  <c r="J135" i="22"/>
  <c r="M135" i="22"/>
  <c r="O135" i="22"/>
  <c r="P135" i="22"/>
  <c r="J136" i="22"/>
  <c r="M136" i="22"/>
  <c r="O136" i="22"/>
  <c r="P136" i="22"/>
  <c r="J137" i="22"/>
  <c r="M137" i="22"/>
  <c r="O137" i="22"/>
  <c r="P137" i="22"/>
  <c r="J138" i="22"/>
  <c r="M138" i="22"/>
  <c r="O138" i="22"/>
  <c r="P138" i="22"/>
  <c r="J139" i="22"/>
  <c r="M139" i="22"/>
  <c r="O139" i="22"/>
  <c r="P139" i="22"/>
  <c r="J140" i="22"/>
  <c r="M140" i="22"/>
  <c r="O140" i="22"/>
  <c r="P140" i="22"/>
  <c r="J141" i="22"/>
  <c r="M141" i="22"/>
  <c r="O141" i="22"/>
  <c r="P141" i="22"/>
  <c r="J142" i="22"/>
  <c r="M142" i="22"/>
  <c r="O142" i="22"/>
  <c r="P142" i="22"/>
  <c r="J143" i="22"/>
  <c r="M143" i="22"/>
  <c r="O143" i="22"/>
  <c r="P143" i="22"/>
  <c r="J144" i="22"/>
  <c r="M144" i="22"/>
  <c r="O144" i="22"/>
  <c r="P144" i="22"/>
  <c r="J145" i="22"/>
  <c r="M145" i="22"/>
  <c r="O145" i="22"/>
  <c r="P145" i="22"/>
  <c r="J146" i="22"/>
  <c r="M146" i="22"/>
  <c r="O146" i="22"/>
  <c r="P146" i="22"/>
  <c r="J147" i="22"/>
  <c r="M147" i="22"/>
  <c r="O147" i="22"/>
  <c r="P147" i="22"/>
  <c r="J148" i="22"/>
  <c r="M148" i="22"/>
  <c r="O148" i="22"/>
  <c r="P148" i="22"/>
  <c r="J149" i="22"/>
  <c r="M149" i="22"/>
  <c r="O149" i="22"/>
  <c r="P149" i="22"/>
  <c r="J150" i="22"/>
  <c r="M150" i="22"/>
  <c r="O150" i="22"/>
  <c r="P150" i="22"/>
  <c r="J151" i="22"/>
  <c r="M151" i="22"/>
  <c r="O151" i="22"/>
  <c r="P151" i="22"/>
  <c r="J152" i="22"/>
  <c r="M152" i="22"/>
  <c r="O152" i="22"/>
  <c r="P152" i="22"/>
  <c r="J153" i="22"/>
  <c r="M153" i="22"/>
  <c r="O153" i="22"/>
  <c r="P153" i="22"/>
  <c r="J154" i="22"/>
  <c r="M154" i="22"/>
  <c r="O154" i="22"/>
  <c r="P154" i="22"/>
  <c r="P1" i="8"/>
  <c r="P83" i="8" s="1"/>
  <c r="P1" i="11"/>
  <c r="P83" i="11" s="1"/>
  <c r="G99" i="6"/>
  <c r="P12" i="17"/>
  <c r="L12" i="17"/>
  <c r="R12" i="17" s="1"/>
  <c r="W26" i="17"/>
  <c r="W25" i="17"/>
  <c r="W24" i="17"/>
  <c r="W23" i="17"/>
  <c r="W22" i="17"/>
  <c r="W21" i="17"/>
  <c r="W20" i="17"/>
  <c r="W19" i="17"/>
  <c r="W18" i="17"/>
  <c r="G12" i="17"/>
  <c r="T12" i="17" s="1"/>
  <c r="H3" i="3"/>
  <c r="H3" i="4"/>
  <c r="H3" i="5"/>
  <c r="H3" i="6"/>
  <c r="M101" i="7"/>
  <c r="C12" i="2"/>
  <c r="P1" i="13"/>
  <c r="P83" i="13" s="1"/>
  <c r="P1" i="4"/>
  <c r="P83" i="4" s="1"/>
  <c r="P1" i="5"/>
  <c r="P83" i="5" s="1"/>
  <c r="P1" i="6"/>
  <c r="P83" i="6" s="1"/>
  <c r="P1" i="7"/>
  <c r="P83" i="7" s="1"/>
  <c r="P1" i="9"/>
  <c r="P83" i="9" s="1"/>
  <c r="P1" i="10"/>
  <c r="P83" i="10" s="1"/>
  <c r="P1" i="3"/>
  <c r="P83" i="3" s="1"/>
  <c r="O3" i="3"/>
  <c r="A5" i="2"/>
  <c r="A1" i="2"/>
  <c r="F13" i="2"/>
  <c r="C79" i="2" s="1"/>
  <c r="C89" i="2"/>
  <c r="I11" i="13"/>
  <c r="K11" i="13"/>
  <c r="L17" i="13"/>
  <c r="N17" i="13"/>
  <c r="L18" i="13"/>
  <c r="N18" i="13"/>
  <c r="L19" i="13"/>
  <c r="N19" i="13"/>
  <c r="L20" i="13"/>
  <c r="N20" i="13"/>
  <c r="L21" i="13"/>
  <c r="N21" i="13"/>
  <c r="L22" i="13"/>
  <c r="N22" i="13"/>
  <c r="L23" i="13"/>
  <c r="N23" i="13"/>
  <c r="L24" i="13"/>
  <c r="N24" i="13"/>
  <c r="L25" i="13"/>
  <c r="N25" i="13"/>
  <c r="L26" i="13"/>
  <c r="N26" i="13"/>
  <c r="L27" i="13"/>
  <c r="N27" i="13"/>
  <c r="L28" i="13"/>
  <c r="N28" i="13"/>
  <c r="L29" i="13"/>
  <c r="N29" i="13"/>
  <c r="L30" i="13"/>
  <c r="N30" i="13"/>
  <c r="L31" i="13"/>
  <c r="N31" i="13"/>
  <c r="L32" i="13"/>
  <c r="N32" i="13"/>
  <c r="L33" i="13"/>
  <c r="N33" i="13"/>
  <c r="L34" i="13"/>
  <c r="N34" i="13"/>
  <c r="L35" i="13"/>
  <c r="N35" i="13"/>
  <c r="L36" i="13"/>
  <c r="N36" i="13"/>
  <c r="L37" i="13"/>
  <c r="N37" i="13"/>
  <c r="L38" i="13"/>
  <c r="N38" i="13"/>
  <c r="L39" i="13"/>
  <c r="N39" i="13"/>
  <c r="L40" i="13"/>
  <c r="N40" i="13"/>
  <c r="L41" i="13"/>
  <c r="N41" i="13"/>
  <c r="L42" i="13"/>
  <c r="N42" i="13"/>
  <c r="L43" i="13"/>
  <c r="N43" i="13"/>
  <c r="L44" i="13"/>
  <c r="N44" i="13"/>
  <c r="L45" i="13"/>
  <c r="N45" i="13"/>
  <c r="L46" i="13"/>
  <c r="N46" i="13"/>
  <c r="L47" i="13"/>
  <c r="N47" i="13"/>
  <c r="L48" i="13"/>
  <c r="N48" i="13"/>
  <c r="L49" i="13"/>
  <c r="N49" i="13"/>
  <c r="L50" i="13"/>
  <c r="N50" i="13"/>
  <c r="L51" i="13"/>
  <c r="N51" i="13"/>
  <c r="L52" i="13"/>
  <c r="N52" i="13"/>
  <c r="L53" i="13"/>
  <c r="N53" i="13"/>
  <c r="L54" i="13"/>
  <c r="N54" i="13"/>
  <c r="L55" i="13"/>
  <c r="N55" i="13"/>
  <c r="L56" i="13"/>
  <c r="N56" i="13"/>
  <c r="L57" i="13"/>
  <c r="N57" i="13"/>
  <c r="L58" i="13"/>
  <c r="N58" i="13"/>
  <c r="L59" i="13"/>
  <c r="N59" i="13"/>
  <c r="L60" i="13"/>
  <c r="N60" i="13"/>
  <c r="L61" i="13"/>
  <c r="N61" i="13"/>
  <c r="L62" i="13"/>
  <c r="N62" i="13"/>
  <c r="L63" i="13"/>
  <c r="N63" i="13"/>
  <c r="L64" i="13"/>
  <c r="N64" i="13"/>
  <c r="L65" i="13"/>
  <c r="N65" i="13"/>
  <c r="L66" i="13"/>
  <c r="N66" i="13"/>
  <c r="L67" i="13"/>
  <c r="N67" i="13"/>
  <c r="L68" i="13"/>
  <c r="N68" i="13"/>
  <c r="L69" i="13"/>
  <c r="N69" i="13"/>
  <c r="L70" i="13"/>
  <c r="N70" i="13"/>
  <c r="L71" i="13"/>
  <c r="N71" i="13"/>
  <c r="L72" i="13"/>
  <c r="N72" i="13"/>
  <c r="D89" i="13"/>
  <c r="D91" i="13"/>
  <c r="J93" i="13"/>
  <c r="L93" i="13"/>
  <c r="D96" i="13"/>
  <c r="M99" i="13"/>
  <c r="O99" i="13"/>
  <c r="M100" i="13"/>
  <c r="O100" i="13"/>
  <c r="M101" i="13"/>
  <c r="O101" i="13"/>
  <c r="M102" i="13"/>
  <c r="O102" i="13"/>
  <c r="M103" i="13"/>
  <c r="O103" i="13"/>
  <c r="M104" i="13"/>
  <c r="O104" i="13"/>
  <c r="M105" i="13"/>
  <c r="O105" i="13"/>
  <c r="M106" i="13"/>
  <c r="O106" i="13"/>
  <c r="M107" i="13"/>
  <c r="O107" i="13"/>
  <c r="M108" i="13"/>
  <c r="O108" i="13"/>
  <c r="M109" i="13"/>
  <c r="O109" i="13"/>
  <c r="M110" i="13"/>
  <c r="O110" i="13"/>
  <c r="M111" i="13"/>
  <c r="O111" i="13"/>
  <c r="M112" i="13"/>
  <c r="O112" i="13"/>
  <c r="M113" i="13"/>
  <c r="O113" i="13"/>
  <c r="M114" i="13"/>
  <c r="O114" i="13"/>
  <c r="M115" i="13"/>
  <c r="O115" i="13"/>
  <c r="M116" i="13"/>
  <c r="O116" i="13"/>
  <c r="M117" i="13"/>
  <c r="O117" i="13"/>
  <c r="M118" i="13"/>
  <c r="O118" i="13"/>
  <c r="M119" i="13"/>
  <c r="O119" i="13"/>
  <c r="M120" i="13"/>
  <c r="O120" i="13"/>
  <c r="M121" i="13"/>
  <c r="O121" i="13"/>
  <c r="M122" i="13"/>
  <c r="O122" i="13"/>
  <c r="M123" i="13"/>
  <c r="O123" i="13"/>
  <c r="M124" i="13"/>
  <c r="O124" i="13"/>
  <c r="M125" i="13"/>
  <c r="O125" i="13"/>
  <c r="M126" i="13"/>
  <c r="O126" i="13"/>
  <c r="M127" i="13"/>
  <c r="O127" i="13"/>
  <c r="M128" i="13"/>
  <c r="O128" i="13"/>
  <c r="M129" i="13"/>
  <c r="O129" i="13"/>
  <c r="M130" i="13"/>
  <c r="O130" i="13"/>
  <c r="J131" i="13"/>
  <c r="M131" i="13"/>
  <c r="O131" i="13"/>
  <c r="P131" i="13"/>
  <c r="J132" i="13"/>
  <c r="M132" i="13"/>
  <c r="O132" i="13"/>
  <c r="P132" i="13"/>
  <c r="J133" i="13"/>
  <c r="M133" i="13"/>
  <c r="O133" i="13"/>
  <c r="P133" i="13"/>
  <c r="J134" i="13"/>
  <c r="M134" i="13"/>
  <c r="O134" i="13"/>
  <c r="P134" i="13"/>
  <c r="J135" i="13"/>
  <c r="M135" i="13"/>
  <c r="O135" i="13"/>
  <c r="P135" i="13"/>
  <c r="J136" i="13"/>
  <c r="M136" i="13"/>
  <c r="O136" i="13"/>
  <c r="P136" i="13"/>
  <c r="J137" i="13"/>
  <c r="M137" i="13"/>
  <c r="O137" i="13"/>
  <c r="P137" i="13"/>
  <c r="J138" i="13"/>
  <c r="M138" i="13"/>
  <c r="O138" i="13"/>
  <c r="P138" i="13"/>
  <c r="J139" i="13"/>
  <c r="M139" i="13"/>
  <c r="O139" i="13"/>
  <c r="P139" i="13"/>
  <c r="J140" i="13"/>
  <c r="M140" i="13"/>
  <c r="O140" i="13"/>
  <c r="P140" i="13"/>
  <c r="J141" i="13"/>
  <c r="M141" i="13"/>
  <c r="O141" i="13"/>
  <c r="P141" i="13"/>
  <c r="J142" i="13"/>
  <c r="M142" i="13"/>
  <c r="O142" i="13"/>
  <c r="P142" i="13"/>
  <c r="J143" i="13"/>
  <c r="M143" i="13"/>
  <c r="O143" i="13"/>
  <c r="P143" i="13"/>
  <c r="J144" i="13"/>
  <c r="M144" i="13"/>
  <c r="O144" i="13"/>
  <c r="P144" i="13"/>
  <c r="J145" i="13"/>
  <c r="M145" i="13"/>
  <c r="O145" i="13"/>
  <c r="P145" i="13"/>
  <c r="J146" i="13"/>
  <c r="M146" i="13"/>
  <c r="O146" i="13"/>
  <c r="P146" i="13"/>
  <c r="J147" i="13"/>
  <c r="M147" i="13"/>
  <c r="O147" i="13"/>
  <c r="P147" i="13"/>
  <c r="J148" i="13"/>
  <c r="M148" i="13"/>
  <c r="O148" i="13"/>
  <c r="P148" i="13"/>
  <c r="J149" i="13"/>
  <c r="M149" i="13"/>
  <c r="O149" i="13"/>
  <c r="P149" i="13"/>
  <c r="J150" i="13"/>
  <c r="M150" i="13"/>
  <c r="O150" i="13"/>
  <c r="P150" i="13"/>
  <c r="J151" i="13"/>
  <c r="M151" i="13"/>
  <c r="O151" i="13"/>
  <c r="P151" i="13"/>
  <c r="J152" i="13"/>
  <c r="M152" i="13"/>
  <c r="O152" i="13"/>
  <c r="P152" i="13"/>
  <c r="J153" i="13"/>
  <c r="M153" i="13"/>
  <c r="O153" i="13"/>
  <c r="P153" i="13"/>
  <c r="J154" i="13"/>
  <c r="M154" i="13"/>
  <c r="O154" i="13"/>
  <c r="P154" i="13"/>
  <c r="I11" i="11"/>
  <c r="K11" i="11"/>
  <c r="I17" i="11"/>
  <c r="L17" i="11"/>
  <c r="N17" i="11"/>
  <c r="O17" i="11" s="1"/>
  <c r="I18" i="11"/>
  <c r="L18" i="11"/>
  <c r="N18" i="11"/>
  <c r="I19" i="11"/>
  <c r="L19" i="11"/>
  <c r="N19" i="11"/>
  <c r="I20" i="11"/>
  <c r="L20" i="11"/>
  <c r="N20" i="11"/>
  <c r="I21" i="11"/>
  <c r="N21" i="11"/>
  <c r="L22" i="11"/>
  <c r="N30" i="11"/>
  <c r="L31" i="11"/>
  <c r="N31" i="11"/>
  <c r="L32" i="11"/>
  <c r="N32" i="11"/>
  <c r="L33" i="11"/>
  <c r="N33" i="11"/>
  <c r="L34" i="11"/>
  <c r="N34" i="11"/>
  <c r="L35" i="11"/>
  <c r="N35" i="11"/>
  <c r="L36" i="11"/>
  <c r="N36" i="11"/>
  <c r="L37" i="11"/>
  <c r="N37" i="11"/>
  <c r="L38" i="11"/>
  <c r="N38" i="11"/>
  <c r="L39" i="11"/>
  <c r="N39" i="11"/>
  <c r="L40" i="11"/>
  <c r="N40" i="11"/>
  <c r="L41" i="11"/>
  <c r="N41" i="11"/>
  <c r="L42" i="11"/>
  <c r="N42" i="11"/>
  <c r="L43" i="11"/>
  <c r="N43" i="11"/>
  <c r="L44" i="11"/>
  <c r="N44" i="11"/>
  <c r="L45" i="11"/>
  <c r="N45" i="11"/>
  <c r="L46" i="11"/>
  <c r="N46" i="11"/>
  <c r="L47" i="11"/>
  <c r="N47" i="11"/>
  <c r="L48" i="11"/>
  <c r="N48" i="11"/>
  <c r="L49" i="11"/>
  <c r="N49" i="11"/>
  <c r="L50" i="11"/>
  <c r="N50" i="11"/>
  <c r="L51" i="11"/>
  <c r="N51" i="11"/>
  <c r="L52" i="11"/>
  <c r="N52" i="11"/>
  <c r="L53" i="11"/>
  <c r="N53" i="11"/>
  <c r="L54" i="11"/>
  <c r="N54" i="11"/>
  <c r="L55" i="11"/>
  <c r="N55" i="11"/>
  <c r="L56" i="11"/>
  <c r="N56" i="11"/>
  <c r="L57" i="11"/>
  <c r="N57" i="11"/>
  <c r="L58" i="11"/>
  <c r="N58" i="11"/>
  <c r="L59" i="11"/>
  <c r="N59" i="11"/>
  <c r="L60" i="11"/>
  <c r="N60" i="11"/>
  <c r="L61" i="11"/>
  <c r="N61" i="11"/>
  <c r="L62" i="11"/>
  <c r="N62" i="11"/>
  <c r="L63" i="11"/>
  <c r="N63" i="11"/>
  <c r="L64" i="11"/>
  <c r="N64" i="11"/>
  <c r="L65" i="11"/>
  <c r="N65" i="11"/>
  <c r="L66" i="11"/>
  <c r="N66" i="11"/>
  <c r="L67" i="11"/>
  <c r="N67" i="11"/>
  <c r="L68" i="11"/>
  <c r="N68" i="11"/>
  <c r="L69" i="11"/>
  <c r="N69" i="11"/>
  <c r="L70" i="11"/>
  <c r="N70" i="11"/>
  <c r="L71" i="11"/>
  <c r="N71" i="11"/>
  <c r="L72" i="11"/>
  <c r="N72" i="11"/>
  <c r="D89" i="11"/>
  <c r="D91" i="11"/>
  <c r="J93" i="11"/>
  <c r="L93" i="11"/>
  <c r="D96" i="11"/>
  <c r="J99" i="11"/>
  <c r="M99" i="11"/>
  <c r="O99" i="11"/>
  <c r="J100" i="11"/>
  <c r="M100" i="11"/>
  <c r="O100" i="11"/>
  <c r="J101" i="11"/>
  <c r="M101" i="11"/>
  <c r="J102" i="11"/>
  <c r="O102" i="11"/>
  <c r="O103" i="11"/>
  <c r="M111" i="11"/>
  <c r="O111" i="11"/>
  <c r="M112" i="11"/>
  <c r="O112" i="11"/>
  <c r="M113" i="11"/>
  <c r="O113" i="11"/>
  <c r="M114" i="11"/>
  <c r="O114" i="11"/>
  <c r="M115" i="11"/>
  <c r="O115" i="11"/>
  <c r="M116" i="11"/>
  <c r="O116" i="11"/>
  <c r="M117" i="11"/>
  <c r="O117" i="11"/>
  <c r="M118" i="11"/>
  <c r="O118" i="11"/>
  <c r="M119" i="11"/>
  <c r="O119" i="11"/>
  <c r="M120" i="11"/>
  <c r="O120" i="11"/>
  <c r="M121" i="11"/>
  <c r="O121" i="11"/>
  <c r="M122" i="11"/>
  <c r="O122" i="11"/>
  <c r="M123" i="11"/>
  <c r="O123" i="11"/>
  <c r="M124" i="11"/>
  <c r="O124" i="11"/>
  <c r="M125" i="11"/>
  <c r="O125" i="11"/>
  <c r="M126" i="11"/>
  <c r="O126" i="11"/>
  <c r="M127" i="11"/>
  <c r="O127" i="11"/>
  <c r="M128" i="11"/>
  <c r="O128" i="11"/>
  <c r="M129" i="11"/>
  <c r="O129" i="11"/>
  <c r="M130" i="11"/>
  <c r="O130" i="11"/>
  <c r="J131" i="11"/>
  <c r="M131" i="11"/>
  <c r="O131" i="11"/>
  <c r="P131" i="11"/>
  <c r="J132" i="11"/>
  <c r="M132" i="11"/>
  <c r="O132" i="11"/>
  <c r="P132" i="11"/>
  <c r="J133" i="11"/>
  <c r="M133" i="11"/>
  <c r="O133" i="11"/>
  <c r="P133" i="11"/>
  <c r="J134" i="11"/>
  <c r="M134" i="11"/>
  <c r="O134" i="11"/>
  <c r="P134" i="11"/>
  <c r="J135" i="11"/>
  <c r="M135" i="11"/>
  <c r="O135" i="11"/>
  <c r="P135" i="11"/>
  <c r="J136" i="11"/>
  <c r="M136" i="11"/>
  <c r="O136" i="11"/>
  <c r="P136" i="11"/>
  <c r="J137" i="11"/>
  <c r="M137" i="11"/>
  <c r="O137" i="11"/>
  <c r="P137" i="11"/>
  <c r="J138" i="11"/>
  <c r="M138" i="11"/>
  <c r="O138" i="11"/>
  <c r="P138" i="11"/>
  <c r="J139" i="11"/>
  <c r="M139" i="11"/>
  <c r="O139" i="11"/>
  <c r="P139" i="11"/>
  <c r="J140" i="11"/>
  <c r="M140" i="11"/>
  <c r="O140" i="11"/>
  <c r="P140" i="11"/>
  <c r="J141" i="11"/>
  <c r="M141" i="11"/>
  <c r="O141" i="11"/>
  <c r="P141" i="11"/>
  <c r="J142" i="11"/>
  <c r="M142" i="11"/>
  <c r="O142" i="11"/>
  <c r="P142" i="11"/>
  <c r="J143" i="11"/>
  <c r="M143" i="11"/>
  <c r="O143" i="11"/>
  <c r="P143" i="11"/>
  <c r="J144" i="11"/>
  <c r="M144" i="11"/>
  <c r="O144" i="11"/>
  <c r="P144" i="11"/>
  <c r="J145" i="11"/>
  <c r="M145" i="11"/>
  <c r="O145" i="11"/>
  <c r="P145" i="11"/>
  <c r="J146" i="11"/>
  <c r="M146" i="11"/>
  <c r="O146" i="11"/>
  <c r="P146" i="11"/>
  <c r="J147" i="11"/>
  <c r="M147" i="11"/>
  <c r="O147" i="11"/>
  <c r="P147" i="11"/>
  <c r="J148" i="11"/>
  <c r="M148" i="11"/>
  <c r="O148" i="11"/>
  <c r="P148" i="11"/>
  <c r="J149" i="11"/>
  <c r="M149" i="11"/>
  <c r="O149" i="11"/>
  <c r="P149" i="11"/>
  <c r="J150" i="11"/>
  <c r="M150" i="11"/>
  <c r="O150" i="11"/>
  <c r="P150" i="11"/>
  <c r="J151" i="11"/>
  <c r="M151" i="11"/>
  <c r="O151" i="11"/>
  <c r="P151" i="11"/>
  <c r="J152" i="11"/>
  <c r="M152" i="11"/>
  <c r="O152" i="11"/>
  <c r="P152" i="11"/>
  <c r="J153" i="11"/>
  <c r="M153" i="11"/>
  <c r="O153" i="11"/>
  <c r="P153" i="11"/>
  <c r="J154" i="11"/>
  <c r="M154" i="11"/>
  <c r="O154" i="11"/>
  <c r="P154" i="11"/>
  <c r="I11" i="10"/>
  <c r="K11" i="10"/>
  <c r="I17" i="10"/>
  <c r="L17" i="10"/>
  <c r="O17" i="10" s="1"/>
  <c r="N17" i="10"/>
  <c r="I18" i="10"/>
  <c r="L18" i="10"/>
  <c r="O18" i="10" s="1"/>
  <c r="N18" i="10"/>
  <c r="I19" i="10"/>
  <c r="L19" i="10"/>
  <c r="O19" i="10" s="1"/>
  <c r="N19" i="10"/>
  <c r="I20" i="10"/>
  <c r="L20" i="10"/>
  <c r="O20" i="10" s="1"/>
  <c r="N20" i="10"/>
  <c r="I21" i="10"/>
  <c r="L21" i="10"/>
  <c r="I22" i="10"/>
  <c r="L22" i="10"/>
  <c r="N22" i="10"/>
  <c r="O22" i="10" s="1"/>
  <c r="L23" i="10"/>
  <c r="N31" i="10"/>
  <c r="L32" i="10"/>
  <c r="N32" i="10"/>
  <c r="L33" i="10"/>
  <c r="N33" i="10"/>
  <c r="L34" i="10"/>
  <c r="N34" i="10"/>
  <c r="L35" i="10"/>
  <c r="N35" i="10"/>
  <c r="L36" i="10"/>
  <c r="N36" i="10"/>
  <c r="L37" i="10"/>
  <c r="N37" i="10"/>
  <c r="L38" i="10"/>
  <c r="N38" i="10"/>
  <c r="L39" i="10"/>
  <c r="N39" i="10"/>
  <c r="L40" i="10"/>
  <c r="N40" i="10"/>
  <c r="L41" i="10"/>
  <c r="N41" i="10"/>
  <c r="L42" i="10"/>
  <c r="N42" i="10"/>
  <c r="L43" i="10"/>
  <c r="N43" i="10"/>
  <c r="L44" i="10"/>
  <c r="N44" i="10"/>
  <c r="L45" i="10"/>
  <c r="N45" i="10"/>
  <c r="L46" i="10"/>
  <c r="N46" i="10"/>
  <c r="L47" i="10"/>
  <c r="N47" i="10"/>
  <c r="L48" i="10"/>
  <c r="N48" i="10"/>
  <c r="L49" i="10"/>
  <c r="N49" i="10"/>
  <c r="L50" i="10"/>
  <c r="N50" i="10"/>
  <c r="L51" i="10"/>
  <c r="N51" i="10"/>
  <c r="L52" i="10"/>
  <c r="N52" i="10"/>
  <c r="L53" i="10"/>
  <c r="N53" i="10"/>
  <c r="L54" i="10"/>
  <c r="N54" i="10"/>
  <c r="L55" i="10"/>
  <c r="N55" i="10"/>
  <c r="L56" i="10"/>
  <c r="N56" i="10"/>
  <c r="L57" i="10"/>
  <c r="N57" i="10"/>
  <c r="L58" i="10"/>
  <c r="N58" i="10"/>
  <c r="L59" i="10"/>
  <c r="N59" i="10"/>
  <c r="L60" i="10"/>
  <c r="N60" i="10"/>
  <c r="L61" i="10"/>
  <c r="N61" i="10"/>
  <c r="L62" i="10"/>
  <c r="N62" i="10"/>
  <c r="L63" i="10"/>
  <c r="N63" i="10"/>
  <c r="L64" i="10"/>
  <c r="N64" i="10"/>
  <c r="L65" i="10"/>
  <c r="N65" i="10"/>
  <c r="L66" i="10"/>
  <c r="N66" i="10"/>
  <c r="L67" i="10"/>
  <c r="N67" i="10"/>
  <c r="L68" i="10"/>
  <c r="N68" i="10"/>
  <c r="L69" i="10"/>
  <c r="N69" i="10"/>
  <c r="L70" i="10"/>
  <c r="N70" i="10"/>
  <c r="L71" i="10"/>
  <c r="N71" i="10"/>
  <c r="L72" i="10"/>
  <c r="N72" i="10"/>
  <c r="D89" i="10"/>
  <c r="D91" i="10"/>
  <c r="J93" i="10"/>
  <c r="L93" i="10"/>
  <c r="D96" i="10"/>
  <c r="J99" i="10"/>
  <c r="M99" i="10"/>
  <c r="O99" i="10"/>
  <c r="J100" i="10"/>
  <c r="M100" i="10"/>
  <c r="O100" i="10"/>
  <c r="J101" i="10"/>
  <c r="M101" i="10"/>
  <c r="O101" i="10"/>
  <c r="P101" i="10" s="1"/>
  <c r="J102" i="10"/>
  <c r="M102" i="10"/>
  <c r="O102" i="10"/>
  <c r="J103" i="10"/>
  <c r="M103" i="10"/>
  <c r="O103" i="10"/>
  <c r="M104" i="10"/>
  <c r="O104" i="10"/>
  <c r="M112" i="10"/>
  <c r="O112" i="10"/>
  <c r="M113" i="10"/>
  <c r="O113" i="10"/>
  <c r="M114" i="10"/>
  <c r="O114" i="10"/>
  <c r="M115" i="10"/>
  <c r="O115" i="10"/>
  <c r="M116" i="10"/>
  <c r="O116" i="10"/>
  <c r="M117" i="10"/>
  <c r="O117" i="10"/>
  <c r="M118" i="10"/>
  <c r="O118" i="10"/>
  <c r="M119" i="10"/>
  <c r="O119" i="10"/>
  <c r="M120" i="10"/>
  <c r="O120" i="10"/>
  <c r="M121" i="10"/>
  <c r="O121" i="10"/>
  <c r="M122" i="10"/>
  <c r="O122" i="10"/>
  <c r="M123" i="10"/>
  <c r="O123" i="10"/>
  <c r="M124" i="10"/>
  <c r="O124" i="10"/>
  <c r="M125" i="10"/>
  <c r="O125" i="10"/>
  <c r="M126" i="10"/>
  <c r="O126" i="10"/>
  <c r="M127" i="10"/>
  <c r="O127" i="10"/>
  <c r="M128" i="10"/>
  <c r="O128" i="10"/>
  <c r="M129" i="10"/>
  <c r="O129" i="10"/>
  <c r="M130" i="10"/>
  <c r="O130" i="10"/>
  <c r="M131" i="10"/>
  <c r="O131" i="10"/>
  <c r="M132" i="10"/>
  <c r="O132" i="10"/>
  <c r="M133" i="10"/>
  <c r="O133" i="10"/>
  <c r="M134" i="10"/>
  <c r="O134" i="10"/>
  <c r="M135" i="10"/>
  <c r="O135" i="10"/>
  <c r="M136" i="10"/>
  <c r="O136" i="10"/>
  <c r="M137" i="10"/>
  <c r="O137" i="10"/>
  <c r="M138" i="10"/>
  <c r="O138" i="10"/>
  <c r="M139" i="10"/>
  <c r="O139" i="10"/>
  <c r="M140" i="10"/>
  <c r="O140" i="10"/>
  <c r="M141" i="10"/>
  <c r="O141" i="10"/>
  <c r="M142" i="10"/>
  <c r="O142" i="10"/>
  <c r="M143" i="10"/>
  <c r="O143" i="10"/>
  <c r="M144" i="10"/>
  <c r="O144" i="10"/>
  <c r="M145" i="10"/>
  <c r="O145" i="10"/>
  <c r="M146" i="10"/>
  <c r="O146" i="10"/>
  <c r="M147" i="10"/>
  <c r="O147" i="10"/>
  <c r="M148" i="10"/>
  <c r="O148" i="10"/>
  <c r="M149" i="10"/>
  <c r="O149" i="10"/>
  <c r="M150" i="10"/>
  <c r="O150" i="10"/>
  <c r="M151" i="10"/>
  <c r="O151" i="10"/>
  <c r="M152" i="10"/>
  <c r="O152" i="10"/>
  <c r="M153" i="10"/>
  <c r="O153" i="10"/>
  <c r="M154" i="10"/>
  <c r="O154" i="10"/>
  <c r="I11" i="9"/>
  <c r="K11" i="9"/>
  <c r="I17" i="9"/>
  <c r="L17" i="9"/>
  <c r="N17" i="9"/>
  <c r="O17" i="9"/>
  <c r="I18" i="9"/>
  <c r="L18" i="9"/>
  <c r="N18" i="9"/>
  <c r="O18" i="9"/>
  <c r="I19" i="9"/>
  <c r="L19" i="9"/>
  <c r="N19" i="9"/>
  <c r="O19" i="9"/>
  <c r="I21" i="9"/>
  <c r="N30" i="9"/>
  <c r="L31" i="9"/>
  <c r="N31" i="9"/>
  <c r="L32" i="9"/>
  <c r="N32" i="9"/>
  <c r="L33" i="9"/>
  <c r="N33" i="9"/>
  <c r="L34" i="9"/>
  <c r="N34" i="9"/>
  <c r="L35" i="9"/>
  <c r="N35" i="9"/>
  <c r="L36" i="9"/>
  <c r="N36" i="9"/>
  <c r="L37" i="9"/>
  <c r="N37" i="9"/>
  <c r="L38" i="9"/>
  <c r="N38" i="9"/>
  <c r="L39" i="9"/>
  <c r="N39" i="9"/>
  <c r="L40" i="9"/>
  <c r="N40" i="9"/>
  <c r="L41" i="9"/>
  <c r="N41" i="9"/>
  <c r="L42" i="9"/>
  <c r="N42" i="9"/>
  <c r="L43" i="9"/>
  <c r="N43" i="9"/>
  <c r="L44" i="9"/>
  <c r="N44" i="9"/>
  <c r="L45" i="9"/>
  <c r="N45" i="9"/>
  <c r="L46" i="9"/>
  <c r="N46" i="9"/>
  <c r="L47" i="9"/>
  <c r="N47" i="9"/>
  <c r="L48" i="9"/>
  <c r="N48" i="9"/>
  <c r="L49" i="9"/>
  <c r="N49" i="9"/>
  <c r="L50" i="9"/>
  <c r="N50" i="9"/>
  <c r="L51" i="9"/>
  <c r="N51" i="9"/>
  <c r="L52" i="9"/>
  <c r="N52" i="9"/>
  <c r="L53" i="9"/>
  <c r="N53" i="9"/>
  <c r="L54" i="9"/>
  <c r="N54" i="9"/>
  <c r="L55" i="9"/>
  <c r="N55" i="9"/>
  <c r="L56" i="9"/>
  <c r="N56" i="9"/>
  <c r="L57" i="9"/>
  <c r="N57" i="9"/>
  <c r="L58" i="9"/>
  <c r="N58" i="9"/>
  <c r="L59" i="9"/>
  <c r="N59" i="9"/>
  <c r="L60" i="9"/>
  <c r="N60" i="9"/>
  <c r="L61" i="9"/>
  <c r="N61" i="9"/>
  <c r="L62" i="9"/>
  <c r="N62" i="9"/>
  <c r="L63" i="9"/>
  <c r="N63" i="9"/>
  <c r="L64" i="9"/>
  <c r="N64" i="9"/>
  <c r="L65" i="9"/>
  <c r="N65" i="9"/>
  <c r="L66" i="9"/>
  <c r="N66" i="9"/>
  <c r="L67" i="9"/>
  <c r="N67" i="9"/>
  <c r="L68" i="9"/>
  <c r="N68" i="9"/>
  <c r="L69" i="9"/>
  <c r="N69" i="9"/>
  <c r="L70" i="9"/>
  <c r="N70" i="9"/>
  <c r="L71" i="9"/>
  <c r="N71" i="9"/>
  <c r="L72" i="9"/>
  <c r="N72" i="9"/>
  <c r="D89" i="9"/>
  <c r="D91" i="9"/>
  <c r="J93" i="9"/>
  <c r="L93" i="9"/>
  <c r="D96" i="9"/>
  <c r="J99" i="9"/>
  <c r="M99" i="9"/>
  <c r="O99" i="9"/>
  <c r="J100" i="9"/>
  <c r="M100" i="9"/>
  <c r="O100" i="9"/>
  <c r="J101" i="9"/>
  <c r="M101" i="9"/>
  <c r="O101" i="9"/>
  <c r="P101" i="9" s="1"/>
  <c r="J102" i="9"/>
  <c r="O102" i="9"/>
  <c r="P102" i="9" s="1"/>
  <c r="M103" i="9"/>
  <c r="O103" i="9"/>
  <c r="P103" i="9" s="1"/>
  <c r="M111" i="9"/>
  <c r="O111" i="9"/>
  <c r="M112" i="9"/>
  <c r="O112" i="9"/>
  <c r="M113" i="9"/>
  <c r="O113" i="9"/>
  <c r="M114" i="9"/>
  <c r="O114" i="9"/>
  <c r="M115" i="9"/>
  <c r="O115" i="9"/>
  <c r="M116" i="9"/>
  <c r="O116" i="9"/>
  <c r="M117" i="9"/>
  <c r="O117" i="9"/>
  <c r="M118" i="9"/>
  <c r="O118" i="9"/>
  <c r="M119" i="9"/>
  <c r="O119" i="9"/>
  <c r="M120" i="9"/>
  <c r="O120" i="9"/>
  <c r="M121" i="9"/>
  <c r="O121" i="9"/>
  <c r="M122" i="9"/>
  <c r="O122" i="9"/>
  <c r="M123" i="9"/>
  <c r="O123" i="9"/>
  <c r="M124" i="9"/>
  <c r="O124" i="9"/>
  <c r="M125" i="9"/>
  <c r="O125" i="9"/>
  <c r="M126" i="9"/>
  <c r="O126" i="9"/>
  <c r="M127" i="9"/>
  <c r="O127" i="9"/>
  <c r="M128" i="9"/>
  <c r="O128" i="9"/>
  <c r="M129" i="9"/>
  <c r="O129" i="9"/>
  <c r="M130" i="9"/>
  <c r="O130" i="9"/>
  <c r="J131" i="9"/>
  <c r="M131" i="9"/>
  <c r="O131" i="9"/>
  <c r="P131" i="9"/>
  <c r="J132" i="9"/>
  <c r="M132" i="9"/>
  <c r="O132" i="9"/>
  <c r="P132" i="9"/>
  <c r="J133" i="9"/>
  <c r="M133" i="9"/>
  <c r="O133" i="9"/>
  <c r="P133" i="9"/>
  <c r="J134" i="9"/>
  <c r="M134" i="9"/>
  <c r="O134" i="9"/>
  <c r="P134" i="9"/>
  <c r="J135" i="9"/>
  <c r="M135" i="9"/>
  <c r="O135" i="9"/>
  <c r="P135" i="9"/>
  <c r="J136" i="9"/>
  <c r="M136" i="9"/>
  <c r="O136" i="9"/>
  <c r="P136" i="9"/>
  <c r="J137" i="9"/>
  <c r="M137" i="9"/>
  <c r="O137" i="9"/>
  <c r="P137" i="9"/>
  <c r="J138" i="9"/>
  <c r="M138" i="9"/>
  <c r="O138" i="9"/>
  <c r="P138" i="9"/>
  <c r="J139" i="9"/>
  <c r="M139" i="9"/>
  <c r="O139" i="9"/>
  <c r="P139" i="9"/>
  <c r="J140" i="9"/>
  <c r="M140" i="9"/>
  <c r="O140" i="9"/>
  <c r="P140" i="9"/>
  <c r="J141" i="9"/>
  <c r="M141" i="9"/>
  <c r="O141" i="9"/>
  <c r="P141" i="9"/>
  <c r="J142" i="9"/>
  <c r="M142" i="9"/>
  <c r="O142" i="9"/>
  <c r="P142" i="9"/>
  <c r="J143" i="9"/>
  <c r="M143" i="9"/>
  <c r="O143" i="9"/>
  <c r="P143" i="9"/>
  <c r="J144" i="9"/>
  <c r="M144" i="9"/>
  <c r="O144" i="9"/>
  <c r="P144" i="9"/>
  <c r="J145" i="9"/>
  <c r="M145" i="9"/>
  <c r="O145" i="9"/>
  <c r="P145" i="9"/>
  <c r="J146" i="9"/>
  <c r="M146" i="9"/>
  <c r="O146" i="9"/>
  <c r="P146" i="9"/>
  <c r="J147" i="9"/>
  <c r="M147" i="9"/>
  <c r="O147" i="9"/>
  <c r="P147" i="9"/>
  <c r="J148" i="9"/>
  <c r="M148" i="9"/>
  <c r="O148" i="9"/>
  <c r="P148" i="9"/>
  <c r="J149" i="9"/>
  <c r="M149" i="9"/>
  <c r="O149" i="9"/>
  <c r="P149" i="9"/>
  <c r="J150" i="9"/>
  <c r="M150" i="9"/>
  <c r="O150" i="9"/>
  <c r="P150" i="9"/>
  <c r="J151" i="9"/>
  <c r="M151" i="9"/>
  <c r="O151" i="9"/>
  <c r="P151" i="9"/>
  <c r="J152" i="9"/>
  <c r="M152" i="9"/>
  <c r="O152" i="9"/>
  <c r="P152" i="9"/>
  <c r="J153" i="9"/>
  <c r="M153" i="9"/>
  <c r="O153" i="9"/>
  <c r="P153" i="9"/>
  <c r="J154" i="9"/>
  <c r="M154" i="9"/>
  <c r="O154" i="9"/>
  <c r="P154" i="9"/>
  <c r="I11" i="8"/>
  <c r="K11" i="8"/>
  <c r="I17" i="8"/>
  <c r="L17" i="8"/>
  <c r="O17" i="8" s="1"/>
  <c r="N17" i="8"/>
  <c r="I18" i="8"/>
  <c r="L18" i="8"/>
  <c r="N18" i="8"/>
  <c r="O18" i="8" s="1"/>
  <c r="I19" i="8"/>
  <c r="N19" i="8"/>
  <c r="I20" i="8"/>
  <c r="L20" i="8"/>
  <c r="N20" i="8"/>
  <c r="O20" i="8" s="1"/>
  <c r="L21" i="8"/>
  <c r="N29" i="8"/>
  <c r="L30" i="8"/>
  <c r="N30" i="8"/>
  <c r="L31" i="8"/>
  <c r="N31" i="8"/>
  <c r="L32" i="8"/>
  <c r="N32" i="8"/>
  <c r="L33" i="8"/>
  <c r="N33" i="8"/>
  <c r="L34" i="8"/>
  <c r="N34" i="8"/>
  <c r="L35" i="8"/>
  <c r="N35" i="8"/>
  <c r="L36" i="8"/>
  <c r="N36" i="8"/>
  <c r="L37" i="8"/>
  <c r="N37" i="8"/>
  <c r="L38" i="8"/>
  <c r="N38" i="8"/>
  <c r="L39" i="8"/>
  <c r="N39" i="8"/>
  <c r="L40" i="8"/>
  <c r="N40" i="8"/>
  <c r="L41" i="8"/>
  <c r="N41" i="8"/>
  <c r="L42" i="8"/>
  <c r="N42" i="8"/>
  <c r="L43" i="8"/>
  <c r="N43" i="8"/>
  <c r="L44" i="8"/>
  <c r="N44" i="8"/>
  <c r="L45" i="8"/>
  <c r="N45" i="8"/>
  <c r="C53" i="8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/>
  <c r="C66" i="8" s="1"/>
  <c r="C67" i="8" s="1"/>
  <c r="C68" i="8" s="1"/>
  <c r="C69" i="8" s="1"/>
  <c r="C70" i="8" s="1"/>
  <c r="C71" i="8" s="1"/>
  <c r="C72" i="8" s="1"/>
  <c r="L46" i="8"/>
  <c r="N46" i="8"/>
  <c r="L47" i="8"/>
  <c r="N47" i="8"/>
  <c r="L48" i="8"/>
  <c r="N48" i="8"/>
  <c r="L49" i="8"/>
  <c r="N49" i="8"/>
  <c r="L50" i="8"/>
  <c r="N50" i="8"/>
  <c r="L51" i="8"/>
  <c r="N51" i="8"/>
  <c r="L52" i="8"/>
  <c r="N52" i="8"/>
  <c r="L53" i="8"/>
  <c r="N53" i="8"/>
  <c r="L54" i="8"/>
  <c r="N54" i="8"/>
  <c r="L55" i="8"/>
  <c r="N55" i="8"/>
  <c r="L56" i="8"/>
  <c r="N56" i="8"/>
  <c r="L57" i="8"/>
  <c r="N57" i="8"/>
  <c r="L58" i="8"/>
  <c r="N58" i="8"/>
  <c r="O58" i="8" s="1"/>
  <c r="L59" i="8"/>
  <c r="N59" i="8"/>
  <c r="L60" i="8"/>
  <c r="N60" i="8"/>
  <c r="L61" i="8"/>
  <c r="N61" i="8"/>
  <c r="L62" i="8"/>
  <c r="N62" i="8"/>
  <c r="L63" i="8"/>
  <c r="N63" i="8"/>
  <c r="L64" i="8"/>
  <c r="N64" i="8"/>
  <c r="L65" i="8"/>
  <c r="N65" i="8"/>
  <c r="L66" i="8"/>
  <c r="N66" i="8"/>
  <c r="L67" i="8"/>
  <c r="N67" i="8"/>
  <c r="L68" i="8"/>
  <c r="N68" i="8"/>
  <c r="L69" i="8"/>
  <c r="N69" i="8"/>
  <c r="L70" i="8"/>
  <c r="N70" i="8"/>
  <c r="L71" i="8"/>
  <c r="N71" i="8"/>
  <c r="L72" i="8"/>
  <c r="N72" i="8"/>
  <c r="D89" i="8"/>
  <c r="D91" i="8"/>
  <c r="J93" i="8"/>
  <c r="L93" i="8"/>
  <c r="D96" i="8"/>
  <c r="J99" i="8"/>
  <c r="M99" i="8"/>
  <c r="P99" i="8" s="1"/>
  <c r="O99" i="8"/>
  <c r="J100" i="8"/>
  <c r="J101" i="8"/>
  <c r="O101" i="8"/>
  <c r="P101" i="8" s="1"/>
  <c r="M102" i="8"/>
  <c r="O102" i="8"/>
  <c r="P102" i="8" s="1"/>
  <c r="M110" i="8"/>
  <c r="O110" i="8"/>
  <c r="M111" i="8"/>
  <c r="O111" i="8"/>
  <c r="M112" i="8"/>
  <c r="O112" i="8"/>
  <c r="M113" i="8"/>
  <c r="O113" i="8"/>
  <c r="M114" i="8"/>
  <c r="O114" i="8"/>
  <c r="M115" i="8"/>
  <c r="O115" i="8"/>
  <c r="M116" i="8"/>
  <c r="O116" i="8"/>
  <c r="M117" i="8"/>
  <c r="O117" i="8"/>
  <c r="M118" i="8"/>
  <c r="O118" i="8"/>
  <c r="M119" i="8"/>
  <c r="O119" i="8"/>
  <c r="M120" i="8"/>
  <c r="O120" i="8"/>
  <c r="M121" i="8"/>
  <c r="O121" i="8"/>
  <c r="M122" i="8"/>
  <c r="O122" i="8"/>
  <c r="M123" i="8"/>
  <c r="O123" i="8"/>
  <c r="M124" i="8"/>
  <c r="O124" i="8"/>
  <c r="M125" i="8"/>
  <c r="O125" i="8"/>
  <c r="M126" i="8"/>
  <c r="O126" i="8"/>
  <c r="M127" i="8"/>
  <c r="O127" i="8"/>
  <c r="M128" i="8"/>
  <c r="O128" i="8"/>
  <c r="M129" i="8"/>
  <c r="O129" i="8"/>
  <c r="M130" i="8"/>
  <c r="O130" i="8"/>
  <c r="M131" i="8"/>
  <c r="O131" i="8"/>
  <c r="M132" i="8"/>
  <c r="O132" i="8"/>
  <c r="M133" i="8"/>
  <c r="O133" i="8"/>
  <c r="M134" i="8"/>
  <c r="O134" i="8"/>
  <c r="M135" i="8"/>
  <c r="O135" i="8"/>
  <c r="M136" i="8"/>
  <c r="O136" i="8"/>
  <c r="M137" i="8"/>
  <c r="O137" i="8"/>
  <c r="M138" i="8"/>
  <c r="O138" i="8"/>
  <c r="M139" i="8"/>
  <c r="O139" i="8"/>
  <c r="M140" i="8"/>
  <c r="O140" i="8"/>
  <c r="M141" i="8"/>
  <c r="O141" i="8"/>
  <c r="M142" i="8"/>
  <c r="O142" i="8"/>
  <c r="M143" i="8"/>
  <c r="O143" i="8"/>
  <c r="M144" i="8"/>
  <c r="O144" i="8"/>
  <c r="M145" i="8"/>
  <c r="O145" i="8"/>
  <c r="M146" i="8"/>
  <c r="O146" i="8"/>
  <c r="M147" i="8"/>
  <c r="O147" i="8"/>
  <c r="M148" i="8"/>
  <c r="O148" i="8"/>
  <c r="M149" i="8"/>
  <c r="O149" i="8"/>
  <c r="M150" i="8"/>
  <c r="O150" i="8"/>
  <c r="M151" i="8"/>
  <c r="O151" i="8"/>
  <c r="M152" i="8"/>
  <c r="O152" i="8"/>
  <c r="M153" i="8"/>
  <c r="O153" i="8"/>
  <c r="M154" i="8"/>
  <c r="O154" i="8"/>
  <c r="I11" i="7"/>
  <c r="K11" i="7"/>
  <c r="I17" i="7"/>
  <c r="L17" i="7"/>
  <c r="N17" i="7"/>
  <c r="O17" i="7" s="1"/>
  <c r="I18" i="7"/>
  <c r="N18" i="7"/>
  <c r="I19" i="7"/>
  <c r="L19" i="7"/>
  <c r="N19" i="7"/>
  <c r="I20" i="7"/>
  <c r="L20" i="7"/>
  <c r="N20" i="7"/>
  <c r="I21" i="7"/>
  <c r="L21" i="7"/>
  <c r="N21" i="7"/>
  <c r="O21" i="7" s="1"/>
  <c r="I22" i="7"/>
  <c r="N22" i="7"/>
  <c r="L23" i="7"/>
  <c r="N31" i="7"/>
  <c r="L32" i="7"/>
  <c r="N32" i="7"/>
  <c r="L33" i="7"/>
  <c r="N33" i="7"/>
  <c r="L34" i="7"/>
  <c r="N34" i="7"/>
  <c r="L35" i="7"/>
  <c r="N35" i="7"/>
  <c r="L36" i="7"/>
  <c r="N36" i="7"/>
  <c r="L37" i="7"/>
  <c r="N37" i="7"/>
  <c r="L38" i="7"/>
  <c r="N38" i="7"/>
  <c r="L39" i="7"/>
  <c r="N39" i="7"/>
  <c r="L40" i="7"/>
  <c r="N40" i="7"/>
  <c r="L41" i="7"/>
  <c r="N41" i="7"/>
  <c r="L42" i="7"/>
  <c r="N42" i="7"/>
  <c r="L43" i="7"/>
  <c r="N43" i="7"/>
  <c r="L44" i="7"/>
  <c r="N44" i="7"/>
  <c r="L45" i="7"/>
  <c r="N45" i="7"/>
  <c r="L46" i="7"/>
  <c r="N46" i="7"/>
  <c r="L47" i="7"/>
  <c r="N47" i="7"/>
  <c r="L48" i="7"/>
  <c r="N48" i="7"/>
  <c r="L49" i="7"/>
  <c r="N49" i="7"/>
  <c r="L50" i="7"/>
  <c r="N50" i="7"/>
  <c r="L51" i="7"/>
  <c r="N51" i="7"/>
  <c r="L52" i="7"/>
  <c r="N52" i="7"/>
  <c r="L53" i="7"/>
  <c r="N53" i="7"/>
  <c r="L54" i="7"/>
  <c r="N54" i="7"/>
  <c r="L55" i="7"/>
  <c r="N55" i="7"/>
  <c r="L56" i="7"/>
  <c r="N56" i="7"/>
  <c r="L57" i="7"/>
  <c r="N57" i="7"/>
  <c r="L58" i="7"/>
  <c r="N58" i="7"/>
  <c r="L59" i="7"/>
  <c r="N59" i="7"/>
  <c r="L60" i="7"/>
  <c r="N60" i="7"/>
  <c r="L61" i="7"/>
  <c r="N61" i="7"/>
  <c r="L62" i="7"/>
  <c r="N62" i="7"/>
  <c r="L63" i="7"/>
  <c r="N63" i="7"/>
  <c r="L64" i="7"/>
  <c r="N64" i="7"/>
  <c r="L65" i="7"/>
  <c r="N65" i="7"/>
  <c r="L66" i="7"/>
  <c r="N66" i="7"/>
  <c r="L67" i="7"/>
  <c r="N67" i="7"/>
  <c r="L68" i="7"/>
  <c r="N68" i="7"/>
  <c r="L69" i="7"/>
  <c r="N69" i="7"/>
  <c r="L70" i="7"/>
  <c r="N70" i="7"/>
  <c r="L71" i="7"/>
  <c r="N71" i="7"/>
  <c r="L72" i="7"/>
  <c r="N72" i="7"/>
  <c r="D89" i="7"/>
  <c r="D91" i="7"/>
  <c r="J93" i="7"/>
  <c r="L93" i="7"/>
  <c r="D96" i="7"/>
  <c r="J99" i="7"/>
  <c r="M99" i="7"/>
  <c r="O99" i="7"/>
  <c r="J100" i="7"/>
  <c r="M100" i="7"/>
  <c r="O100" i="7"/>
  <c r="P100" i="7" s="1"/>
  <c r="J101" i="7"/>
  <c r="O101" i="7"/>
  <c r="P101" i="7" s="1"/>
  <c r="J102" i="7"/>
  <c r="O102" i="7"/>
  <c r="P102" i="7" s="1"/>
  <c r="J103" i="7"/>
  <c r="O103" i="7"/>
  <c r="P103" i="7" s="1"/>
  <c r="M104" i="7"/>
  <c r="M112" i="7"/>
  <c r="O112" i="7"/>
  <c r="M113" i="7"/>
  <c r="O113" i="7"/>
  <c r="M114" i="7"/>
  <c r="O114" i="7"/>
  <c r="M115" i="7"/>
  <c r="O115" i="7"/>
  <c r="M116" i="7"/>
  <c r="O116" i="7"/>
  <c r="M117" i="7"/>
  <c r="O117" i="7"/>
  <c r="M118" i="7"/>
  <c r="O118" i="7"/>
  <c r="M119" i="7"/>
  <c r="O119" i="7"/>
  <c r="M120" i="7"/>
  <c r="O120" i="7"/>
  <c r="M121" i="7"/>
  <c r="O121" i="7"/>
  <c r="M122" i="7"/>
  <c r="O122" i="7"/>
  <c r="M123" i="7"/>
  <c r="O123" i="7"/>
  <c r="M124" i="7"/>
  <c r="O124" i="7"/>
  <c r="M125" i="7"/>
  <c r="O125" i="7"/>
  <c r="M126" i="7"/>
  <c r="O126" i="7"/>
  <c r="M127" i="7"/>
  <c r="O127" i="7"/>
  <c r="M128" i="7"/>
  <c r="O128" i="7"/>
  <c r="M129" i="7"/>
  <c r="O129" i="7"/>
  <c r="M130" i="7"/>
  <c r="O130" i="7"/>
  <c r="M131" i="7"/>
  <c r="O131" i="7"/>
  <c r="M132" i="7"/>
  <c r="O132" i="7"/>
  <c r="M133" i="7"/>
  <c r="O133" i="7"/>
  <c r="M134" i="7"/>
  <c r="O134" i="7"/>
  <c r="M135" i="7"/>
  <c r="O135" i="7"/>
  <c r="M136" i="7"/>
  <c r="O136" i="7"/>
  <c r="M137" i="7"/>
  <c r="O137" i="7"/>
  <c r="M138" i="7"/>
  <c r="O138" i="7"/>
  <c r="M139" i="7"/>
  <c r="O139" i="7"/>
  <c r="M140" i="7"/>
  <c r="O140" i="7"/>
  <c r="M141" i="7"/>
  <c r="O141" i="7"/>
  <c r="M142" i="7"/>
  <c r="O142" i="7"/>
  <c r="M143" i="7"/>
  <c r="O143" i="7"/>
  <c r="M144" i="7"/>
  <c r="O144" i="7"/>
  <c r="M145" i="7"/>
  <c r="O145" i="7"/>
  <c r="M146" i="7"/>
  <c r="O146" i="7"/>
  <c r="M147" i="7"/>
  <c r="O147" i="7"/>
  <c r="M148" i="7"/>
  <c r="O148" i="7"/>
  <c r="M149" i="7"/>
  <c r="O149" i="7"/>
  <c r="M150" i="7"/>
  <c r="O150" i="7"/>
  <c r="M151" i="7"/>
  <c r="O151" i="7"/>
  <c r="M152" i="7"/>
  <c r="O152" i="7"/>
  <c r="M153" i="7"/>
  <c r="O153" i="7"/>
  <c r="M154" i="7"/>
  <c r="O154" i="7"/>
  <c r="K11" i="6"/>
  <c r="I17" i="6"/>
  <c r="L17" i="6"/>
  <c r="N17" i="6"/>
  <c r="O17" i="6" s="1"/>
  <c r="I18" i="6"/>
  <c r="L18" i="6"/>
  <c r="N18" i="6"/>
  <c r="O18" i="6" s="1"/>
  <c r="N19" i="6"/>
  <c r="O19" i="6" s="1"/>
  <c r="L20" i="6"/>
  <c r="N20" i="6"/>
  <c r="O20" i="6" s="1"/>
  <c r="L21" i="6"/>
  <c r="N29" i="6"/>
  <c r="L30" i="6"/>
  <c r="N30" i="6"/>
  <c r="L31" i="6"/>
  <c r="N31" i="6"/>
  <c r="L32" i="6"/>
  <c r="N32" i="6"/>
  <c r="L33" i="6"/>
  <c r="N33" i="6"/>
  <c r="L34" i="6"/>
  <c r="N34" i="6"/>
  <c r="L35" i="6"/>
  <c r="N35" i="6"/>
  <c r="L36" i="6"/>
  <c r="N36" i="6"/>
  <c r="L37" i="6"/>
  <c r="N37" i="6"/>
  <c r="L38" i="6"/>
  <c r="N38" i="6"/>
  <c r="L39" i="6"/>
  <c r="N39" i="6"/>
  <c r="L40" i="6"/>
  <c r="N40" i="6"/>
  <c r="L41" i="6"/>
  <c r="N41" i="6"/>
  <c r="L42" i="6"/>
  <c r="N42" i="6"/>
  <c r="L43" i="6"/>
  <c r="N43" i="6"/>
  <c r="L44" i="6"/>
  <c r="N44" i="6"/>
  <c r="C61" i="6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L45" i="6"/>
  <c r="N45" i="6"/>
  <c r="L46" i="6"/>
  <c r="N46" i="6"/>
  <c r="L47" i="6"/>
  <c r="N47" i="6"/>
  <c r="L48" i="6"/>
  <c r="N48" i="6"/>
  <c r="L49" i="6"/>
  <c r="N49" i="6"/>
  <c r="L50" i="6"/>
  <c r="N50" i="6"/>
  <c r="L51" i="6"/>
  <c r="N51" i="6"/>
  <c r="L52" i="6"/>
  <c r="N52" i="6"/>
  <c r="L53" i="6"/>
  <c r="N53" i="6"/>
  <c r="L54" i="6"/>
  <c r="N54" i="6"/>
  <c r="L55" i="6"/>
  <c r="N55" i="6"/>
  <c r="L56" i="6"/>
  <c r="N56" i="6"/>
  <c r="L57" i="6"/>
  <c r="N57" i="6"/>
  <c r="L58" i="6"/>
  <c r="N58" i="6"/>
  <c r="L59" i="6"/>
  <c r="N59" i="6"/>
  <c r="L60" i="6"/>
  <c r="N60" i="6"/>
  <c r="L61" i="6"/>
  <c r="N61" i="6"/>
  <c r="L62" i="6"/>
  <c r="N62" i="6"/>
  <c r="L63" i="6"/>
  <c r="N63" i="6"/>
  <c r="L64" i="6"/>
  <c r="N64" i="6"/>
  <c r="L65" i="6"/>
  <c r="N65" i="6"/>
  <c r="L66" i="6"/>
  <c r="N66" i="6"/>
  <c r="L67" i="6"/>
  <c r="N67" i="6"/>
  <c r="L68" i="6"/>
  <c r="N68" i="6"/>
  <c r="L69" i="6"/>
  <c r="N69" i="6"/>
  <c r="L70" i="6"/>
  <c r="N70" i="6"/>
  <c r="L71" i="6"/>
  <c r="N71" i="6"/>
  <c r="L72" i="6"/>
  <c r="N72" i="6"/>
  <c r="D89" i="6"/>
  <c r="D91" i="6"/>
  <c r="J93" i="6"/>
  <c r="L93" i="6"/>
  <c r="D96" i="6"/>
  <c r="J99" i="6"/>
  <c r="M99" i="6"/>
  <c r="J100" i="6"/>
  <c r="M100" i="6"/>
  <c r="J101" i="6"/>
  <c r="M101" i="6"/>
  <c r="O101" i="6"/>
  <c r="P101" i="6" s="1"/>
  <c r="M102" i="6"/>
  <c r="O102" i="6"/>
  <c r="P102" i="6"/>
  <c r="M110" i="6"/>
  <c r="O110" i="6"/>
  <c r="M111" i="6"/>
  <c r="O111" i="6"/>
  <c r="M112" i="6"/>
  <c r="O112" i="6"/>
  <c r="M113" i="6"/>
  <c r="O113" i="6"/>
  <c r="M114" i="6"/>
  <c r="O114" i="6"/>
  <c r="M115" i="6"/>
  <c r="O115" i="6"/>
  <c r="M116" i="6"/>
  <c r="O116" i="6"/>
  <c r="M117" i="6"/>
  <c r="O117" i="6"/>
  <c r="M118" i="6"/>
  <c r="O118" i="6"/>
  <c r="M119" i="6"/>
  <c r="O119" i="6"/>
  <c r="M120" i="6"/>
  <c r="O120" i="6"/>
  <c r="M121" i="6"/>
  <c r="O121" i="6"/>
  <c r="M122" i="6"/>
  <c r="O122" i="6"/>
  <c r="M123" i="6"/>
  <c r="O123" i="6"/>
  <c r="M124" i="6"/>
  <c r="O124" i="6"/>
  <c r="M125" i="6"/>
  <c r="O125" i="6"/>
  <c r="M126" i="6"/>
  <c r="O126" i="6"/>
  <c r="M127" i="6"/>
  <c r="O127" i="6"/>
  <c r="M128" i="6"/>
  <c r="O128" i="6"/>
  <c r="M129" i="6"/>
  <c r="O129" i="6"/>
  <c r="M130" i="6"/>
  <c r="O130" i="6"/>
  <c r="M131" i="6"/>
  <c r="O131" i="6"/>
  <c r="M132" i="6"/>
  <c r="O132" i="6"/>
  <c r="M133" i="6"/>
  <c r="O133" i="6"/>
  <c r="M134" i="6"/>
  <c r="O134" i="6"/>
  <c r="M135" i="6"/>
  <c r="O135" i="6"/>
  <c r="M136" i="6"/>
  <c r="O136" i="6"/>
  <c r="M137" i="6"/>
  <c r="O137" i="6"/>
  <c r="M138" i="6"/>
  <c r="O138" i="6"/>
  <c r="M139" i="6"/>
  <c r="O139" i="6"/>
  <c r="M140" i="6"/>
  <c r="O140" i="6"/>
  <c r="M141" i="6"/>
  <c r="O141" i="6"/>
  <c r="M142" i="6"/>
  <c r="O142" i="6"/>
  <c r="M143" i="6"/>
  <c r="O143" i="6"/>
  <c r="M144" i="6"/>
  <c r="O144" i="6"/>
  <c r="M145" i="6"/>
  <c r="O145" i="6"/>
  <c r="M146" i="6"/>
  <c r="O146" i="6"/>
  <c r="M147" i="6"/>
  <c r="O147" i="6"/>
  <c r="M148" i="6"/>
  <c r="O148" i="6"/>
  <c r="M149" i="6"/>
  <c r="O149" i="6"/>
  <c r="M150" i="6"/>
  <c r="O150" i="6"/>
  <c r="M151" i="6"/>
  <c r="O151" i="6"/>
  <c r="M152" i="6"/>
  <c r="O152" i="6"/>
  <c r="M153" i="6"/>
  <c r="O153" i="6"/>
  <c r="M154" i="6"/>
  <c r="O154" i="6"/>
  <c r="K11" i="5"/>
  <c r="I17" i="5"/>
  <c r="L17" i="5"/>
  <c r="N17" i="5"/>
  <c r="O17" i="5" s="1"/>
  <c r="I18" i="5"/>
  <c r="L18" i="5"/>
  <c r="N18" i="5"/>
  <c r="O18" i="5" s="1"/>
  <c r="I19" i="5"/>
  <c r="L19" i="5"/>
  <c r="N19" i="5"/>
  <c r="O19" i="5" s="1"/>
  <c r="L20" i="5"/>
  <c r="N28" i="5"/>
  <c r="O28" i="5" s="1"/>
  <c r="L29" i="5"/>
  <c r="N29" i="5"/>
  <c r="L30" i="5"/>
  <c r="N30" i="5"/>
  <c r="L31" i="5"/>
  <c r="N31" i="5"/>
  <c r="L32" i="5"/>
  <c r="N32" i="5"/>
  <c r="L33" i="5"/>
  <c r="N33" i="5"/>
  <c r="L34" i="5"/>
  <c r="N34" i="5"/>
  <c r="L35" i="5"/>
  <c r="N35" i="5"/>
  <c r="L36" i="5"/>
  <c r="N36" i="5"/>
  <c r="L37" i="5"/>
  <c r="N37" i="5"/>
  <c r="L38" i="5"/>
  <c r="N38" i="5"/>
  <c r="L39" i="5"/>
  <c r="N39" i="5"/>
  <c r="L40" i="5"/>
  <c r="N40" i="5"/>
  <c r="L41" i="5"/>
  <c r="N41" i="5"/>
  <c r="L42" i="5"/>
  <c r="N42" i="5"/>
  <c r="L43" i="5"/>
  <c r="N43" i="5"/>
  <c r="L44" i="5"/>
  <c r="N44" i="5"/>
  <c r="L45" i="5"/>
  <c r="N45" i="5"/>
  <c r="L46" i="5"/>
  <c r="N46" i="5"/>
  <c r="L47" i="5"/>
  <c r="N47" i="5"/>
  <c r="L48" i="5"/>
  <c r="N48" i="5"/>
  <c r="I49" i="5"/>
  <c r="L49" i="5"/>
  <c r="N49" i="5"/>
  <c r="O49" i="5"/>
  <c r="I50" i="5"/>
  <c r="L50" i="5"/>
  <c r="N50" i="5"/>
  <c r="O50" i="5"/>
  <c r="I51" i="5"/>
  <c r="L51" i="5"/>
  <c r="N51" i="5"/>
  <c r="O51" i="5"/>
  <c r="I52" i="5"/>
  <c r="L52" i="5"/>
  <c r="N52" i="5"/>
  <c r="O52" i="5"/>
  <c r="I53" i="5"/>
  <c r="L53" i="5"/>
  <c r="N53" i="5"/>
  <c r="O53" i="5"/>
  <c r="I54" i="5"/>
  <c r="L54" i="5"/>
  <c r="N54" i="5"/>
  <c r="O54" i="5"/>
  <c r="I55" i="5"/>
  <c r="L55" i="5"/>
  <c r="N55" i="5"/>
  <c r="O55" i="5"/>
  <c r="I56" i="5"/>
  <c r="L56" i="5"/>
  <c r="N56" i="5"/>
  <c r="O56" i="5"/>
  <c r="I57" i="5"/>
  <c r="L57" i="5"/>
  <c r="N57" i="5"/>
  <c r="O57" i="5"/>
  <c r="I58" i="5"/>
  <c r="L58" i="5"/>
  <c r="N58" i="5"/>
  <c r="O58" i="5"/>
  <c r="I59" i="5"/>
  <c r="L59" i="5"/>
  <c r="N59" i="5"/>
  <c r="O59" i="5"/>
  <c r="I60" i="5"/>
  <c r="L60" i="5"/>
  <c r="N60" i="5"/>
  <c r="O60" i="5"/>
  <c r="I61" i="5"/>
  <c r="L61" i="5"/>
  <c r="N61" i="5"/>
  <c r="O61" i="5"/>
  <c r="I62" i="5"/>
  <c r="L62" i="5"/>
  <c r="N62" i="5"/>
  <c r="O62" i="5"/>
  <c r="I63" i="5"/>
  <c r="L63" i="5"/>
  <c r="N63" i="5"/>
  <c r="O63" i="5"/>
  <c r="I64" i="5"/>
  <c r="L64" i="5"/>
  <c r="N64" i="5"/>
  <c r="O64" i="5"/>
  <c r="I65" i="5"/>
  <c r="L65" i="5"/>
  <c r="N65" i="5"/>
  <c r="O65" i="5"/>
  <c r="I66" i="5"/>
  <c r="L66" i="5"/>
  <c r="N66" i="5"/>
  <c r="O66" i="5"/>
  <c r="I67" i="5"/>
  <c r="L67" i="5"/>
  <c r="N67" i="5"/>
  <c r="O67" i="5"/>
  <c r="I68" i="5"/>
  <c r="L68" i="5"/>
  <c r="N68" i="5"/>
  <c r="O68" i="5"/>
  <c r="I69" i="5"/>
  <c r="L69" i="5"/>
  <c r="N69" i="5"/>
  <c r="O69" i="5"/>
  <c r="I70" i="5"/>
  <c r="L70" i="5"/>
  <c r="N70" i="5"/>
  <c r="O70" i="5"/>
  <c r="I71" i="5"/>
  <c r="L71" i="5"/>
  <c r="N71" i="5"/>
  <c r="O71" i="5"/>
  <c r="I72" i="5"/>
  <c r="L72" i="5"/>
  <c r="N72" i="5"/>
  <c r="O72" i="5"/>
  <c r="D89" i="5"/>
  <c r="D91" i="5"/>
  <c r="J93" i="5"/>
  <c r="L93" i="5"/>
  <c r="D96" i="5"/>
  <c r="J99" i="5"/>
  <c r="O99" i="5"/>
  <c r="J100" i="5"/>
  <c r="M100" i="5"/>
  <c r="O100" i="5"/>
  <c r="M101" i="5"/>
  <c r="O101" i="5"/>
  <c r="P101" i="5"/>
  <c r="M109" i="5"/>
  <c r="O109" i="5"/>
  <c r="M110" i="5"/>
  <c r="O110" i="5"/>
  <c r="M111" i="5"/>
  <c r="O111" i="5"/>
  <c r="M112" i="5"/>
  <c r="O112" i="5"/>
  <c r="M113" i="5"/>
  <c r="O113" i="5"/>
  <c r="M114" i="5"/>
  <c r="O114" i="5"/>
  <c r="M115" i="5"/>
  <c r="O115" i="5"/>
  <c r="M116" i="5"/>
  <c r="O116" i="5"/>
  <c r="M117" i="5"/>
  <c r="O117" i="5"/>
  <c r="M118" i="5"/>
  <c r="O118" i="5"/>
  <c r="M119" i="5"/>
  <c r="O119" i="5"/>
  <c r="M120" i="5"/>
  <c r="O120" i="5"/>
  <c r="M121" i="5"/>
  <c r="O121" i="5"/>
  <c r="M122" i="5"/>
  <c r="O122" i="5"/>
  <c r="M123" i="5"/>
  <c r="O123" i="5"/>
  <c r="M124" i="5"/>
  <c r="O124" i="5"/>
  <c r="M125" i="5"/>
  <c r="O125" i="5"/>
  <c r="M126" i="5"/>
  <c r="O126" i="5"/>
  <c r="M127" i="5"/>
  <c r="O127" i="5"/>
  <c r="M128" i="5"/>
  <c r="O128" i="5"/>
  <c r="M129" i="5"/>
  <c r="O129" i="5"/>
  <c r="M130" i="5"/>
  <c r="O130" i="5"/>
  <c r="M131" i="5"/>
  <c r="O131" i="5"/>
  <c r="M132" i="5"/>
  <c r="O132" i="5"/>
  <c r="M133" i="5"/>
  <c r="O133" i="5"/>
  <c r="M134" i="5"/>
  <c r="O134" i="5"/>
  <c r="M135" i="5"/>
  <c r="O135" i="5"/>
  <c r="M136" i="5"/>
  <c r="O136" i="5"/>
  <c r="M137" i="5"/>
  <c r="O137" i="5"/>
  <c r="M138" i="5"/>
  <c r="O138" i="5"/>
  <c r="M139" i="5"/>
  <c r="O139" i="5"/>
  <c r="M140" i="5"/>
  <c r="O140" i="5"/>
  <c r="M141" i="5"/>
  <c r="O141" i="5"/>
  <c r="M142" i="5"/>
  <c r="O142" i="5"/>
  <c r="M143" i="5"/>
  <c r="O143" i="5"/>
  <c r="M144" i="5"/>
  <c r="O144" i="5"/>
  <c r="M145" i="5"/>
  <c r="O145" i="5"/>
  <c r="M146" i="5"/>
  <c r="O146" i="5"/>
  <c r="M147" i="5"/>
  <c r="O147" i="5"/>
  <c r="M148" i="5"/>
  <c r="O148" i="5"/>
  <c r="M149" i="5"/>
  <c r="O149" i="5"/>
  <c r="M150" i="5"/>
  <c r="O150" i="5"/>
  <c r="M151" i="5"/>
  <c r="O151" i="5"/>
  <c r="M152" i="5"/>
  <c r="O152" i="5"/>
  <c r="M153" i="5"/>
  <c r="O153" i="5"/>
  <c r="M154" i="5"/>
  <c r="O154" i="5"/>
  <c r="K11" i="4"/>
  <c r="I17" i="4"/>
  <c r="L17" i="4"/>
  <c r="N17" i="4"/>
  <c r="I18" i="4"/>
  <c r="L18" i="4"/>
  <c r="O18" i="4"/>
  <c r="I19" i="4"/>
  <c r="L19" i="4"/>
  <c r="N19" i="4"/>
  <c r="O19" i="4"/>
  <c r="L20" i="4"/>
  <c r="N28" i="4"/>
  <c r="L29" i="4"/>
  <c r="N29" i="4"/>
  <c r="L30" i="4"/>
  <c r="N30" i="4"/>
  <c r="L31" i="4"/>
  <c r="N31" i="4"/>
  <c r="L32" i="4"/>
  <c r="N32" i="4"/>
  <c r="L33" i="4"/>
  <c r="N33" i="4"/>
  <c r="L34" i="4"/>
  <c r="N34" i="4"/>
  <c r="L35" i="4"/>
  <c r="N35" i="4"/>
  <c r="L36" i="4"/>
  <c r="N36" i="4"/>
  <c r="L37" i="4"/>
  <c r="N37" i="4"/>
  <c r="L38" i="4"/>
  <c r="N38" i="4"/>
  <c r="L39" i="4"/>
  <c r="N39" i="4"/>
  <c r="L40" i="4"/>
  <c r="N40" i="4"/>
  <c r="L41" i="4"/>
  <c r="N41" i="4"/>
  <c r="L42" i="4"/>
  <c r="N42" i="4"/>
  <c r="L43" i="4"/>
  <c r="N43" i="4"/>
  <c r="L44" i="4"/>
  <c r="N44" i="4"/>
  <c r="L45" i="4"/>
  <c r="N45" i="4"/>
  <c r="L46" i="4"/>
  <c r="N46" i="4"/>
  <c r="L47" i="4"/>
  <c r="N47" i="4"/>
  <c r="L48" i="4"/>
  <c r="N48" i="4"/>
  <c r="L49" i="4"/>
  <c r="N49" i="4"/>
  <c r="L50" i="4"/>
  <c r="N50" i="4"/>
  <c r="L51" i="4"/>
  <c r="N51" i="4"/>
  <c r="L52" i="4"/>
  <c r="N52" i="4"/>
  <c r="L53" i="4"/>
  <c r="N53" i="4"/>
  <c r="L54" i="4"/>
  <c r="N54" i="4"/>
  <c r="L55" i="4"/>
  <c r="N55" i="4"/>
  <c r="L56" i="4"/>
  <c r="N56" i="4"/>
  <c r="L57" i="4"/>
  <c r="N57" i="4"/>
  <c r="L58" i="4"/>
  <c r="N58" i="4"/>
  <c r="L59" i="4"/>
  <c r="N59" i="4"/>
  <c r="L60" i="4"/>
  <c r="N60" i="4"/>
  <c r="L61" i="4"/>
  <c r="N61" i="4"/>
  <c r="L62" i="4"/>
  <c r="N62" i="4"/>
  <c r="L63" i="4"/>
  <c r="N63" i="4"/>
  <c r="L64" i="4"/>
  <c r="N64" i="4"/>
  <c r="L65" i="4"/>
  <c r="N65" i="4"/>
  <c r="L66" i="4"/>
  <c r="N66" i="4"/>
  <c r="L67" i="4"/>
  <c r="N67" i="4"/>
  <c r="L68" i="4"/>
  <c r="N68" i="4"/>
  <c r="L69" i="4"/>
  <c r="N69" i="4"/>
  <c r="L70" i="4"/>
  <c r="N70" i="4"/>
  <c r="L71" i="4"/>
  <c r="N71" i="4"/>
  <c r="L72" i="4"/>
  <c r="N72" i="4"/>
  <c r="D89" i="4"/>
  <c r="D91" i="4"/>
  <c r="J93" i="4"/>
  <c r="L93" i="4"/>
  <c r="D96" i="4"/>
  <c r="J99" i="4"/>
  <c r="M99" i="4"/>
  <c r="O99" i="4"/>
  <c r="J100" i="4"/>
  <c r="M100" i="4"/>
  <c r="O100" i="4"/>
  <c r="P100" i="4" s="1"/>
  <c r="M101" i="4"/>
  <c r="O101" i="4"/>
  <c r="P101" i="4"/>
  <c r="O105" i="4"/>
  <c r="P105" i="4"/>
  <c r="M109" i="4"/>
  <c r="O109" i="4"/>
  <c r="M110" i="4"/>
  <c r="O110" i="4"/>
  <c r="M111" i="4"/>
  <c r="O111" i="4"/>
  <c r="M112" i="4"/>
  <c r="O112" i="4"/>
  <c r="M113" i="4"/>
  <c r="O113" i="4"/>
  <c r="M114" i="4"/>
  <c r="O114" i="4"/>
  <c r="M115" i="4"/>
  <c r="O115" i="4"/>
  <c r="M116" i="4"/>
  <c r="O116" i="4"/>
  <c r="M117" i="4"/>
  <c r="O117" i="4"/>
  <c r="M118" i="4"/>
  <c r="O118" i="4"/>
  <c r="M119" i="4"/>
  <c r="O119" i="4"/>
  <c r="M120" i="4"/>
  <c r="O120" i="4"/>
  <c r="M121" i="4"/>
  <c r="O121" i="4"/>
  <c r="M122" i="4"/>
  <c r="O122" i="4"/>
  <c r="M123" i="4"/>
  <c r="O123" i="4"/>
  <c r="M124" i="4"/>
  <c r="O124" i="4"/>
  <c r="M125" i="4"/>
  <c r="O125" i="4"/>
  <c r="M126" i="4"/>
  <c r="O126" i="4"/>
  <c r="M127" i="4"/>
  <c r="O127" i="4"/>
  <c r="M128" i="4"/>
  <c r="O128" i="4"/>
  <c r="M129" i="4"/>
  <c r="O129" i="4"/>
  <c r="M130" i="4"/>
  <c r="O130" i="4"/>
  <c r="M131" i="4"/>
  <c r="O131" i="4"/>
  <c r="M132" i="4"/>
  <c r="O132" i="4"/>
  <c r="M133" i="4"/>
  <c r="O133" i="4"/>
  <c r="M134" i="4"/>
  <c r="O134" i="4"/>
  <c r="M135" i="4"/>
  <c r="O135" i="4"/>
  <c r="M136" i="4"/>
  <c r="O136" i="4"/>
  <c r="M137" i="4"/>
  <c r="O137" i="4"/>
  <c r="M138" i="4"/>
  <c r="O138" i="4"/>
  <c r="M139" i="4"/>
  <c r="O139" i="4"/>
  <c r="M140" i="4"/>
  <c r="O140" i="4"/>
  <c r="M141" i="4"/>
  <c r="O141" i="4"/>
  <c r="M142" i="4"/>
  <c r="O142" i="4"/>
  <c r="M143" i="4"/>
  <c r="O143" i="4"/>
  <c r="M144" i="4"/>
  <c r="O144" i="4"/>
  <c r="M145" i="4"/>
  <c r="O145" i="4"/>
  <c r="M146" i="4"/>
  <c r="O146" i="4"/>
  <c r="M147" i="4"/>
  <c r="O147" i="4"/>
  <c r="M148" i="4"/>
  <c r="O148" i="4"/>
  <c r="M149" i="4"/>
  <c r="O149" i="4"/>
  <c r="M150" i="4"/>
  <c r="O150" i="4"/>
  <c r="M151" i="4"/>
  <c r="O151" i="4"/>
  <c r="M152" i="4"/>
  <c r="O152" i="4"/>
  <c r="M153" i="4"/>
  <c r="O153" i="4"/>
  <c r="M154" i="4"/>
  <c r="O154" i="4"/>
  <c r="K11" i="3"/>
  <c r="I17" i="3"/>
  <c r="L17" i="3"/>
  <c r="N17" i="3"/>
  <c r="O17" i="3" s="1"/>
  <c r="L18" i="3"/>
  <c r="N19" i="3"/>
  <c r="L20" i="3"/>
  <c r="N28" i="3"/>
  <c r="L29" i="3"/>
  <c r="N29" i="3"/>
  <c r="L30" i="3"/>
  <c r="N30" i="3"/>
  <c r="L31" i="3"/>
  <c r="N31" i="3"/>
  <c r="L32" i="3"/>
  <c r="N32" i="3"/>
  <c r="L33" i="3"/>
  <c r="N33" i="3"/>
  <c r="L34" i="3"/>
  <c r="N34" i="3"/>
  <c r="L35" i="3"/>
  <c r="N35" i="3"/>
  <c r="L36" i="3"/>
  <c r="N36" i="3"/>
  <c r="L37" i="3"/>
  <c r="N37" i="3"/>
  <c r="L38" i="3"/>
  <c r="N38" i="3"/>
  <c r="L39" i="3"/>
  <c r="N39" i="3"/>
  <c r="L40" i="3"/>
  <c r="N40" i="3"/>
  <c r="L41" i="3"/>
  <c r="N41" i="3"/>
  <c r="L42" i="3"/>
  <c r="N42" i="3"/>
  <c r="L43" i="3"/>
  <c r="N43" i="3"/>
  <c r="L44" i="3"/>
  <c r="N44" i="3"/>
  <c r="L45" i="3"/>
  <c r="N45" i="3"/>
  <c r="L46" i="3"/>
  <c r="N46" i="3"/>
  <c r="L47" i="3"/>
  <c r="N47" i="3"/>
  <c r="L48" i="3"/>
  <c r="N48" i="3"/>
  <c r="L49" i="3"/>
  <c r="N49" i="3"/>
  <c r="L50" i="3"/>
  <c r="N50" i="3"/>
  <c r="L51" i="3"/>
  <c r="N51" i="3"/>
  <c r="L52" i="3"/>
  <c r="N52" i="3"/>
  <c r="L53" i="3"/>
  <c r="N53" i="3"/>
  <c r="L54" i="3"/>
  <c r="N54" i="3"/>
  <c r="L55" i="3"/>
  <c r="N55" i="3"/>
  <c r="L56" i="3"/>
  <c r="N56" i="3"/>
  <c r="L57" i="3"/>
  <c r="N57" i="3"/>
  <c r="L58" i="3"/>
  <c r="N58" i="3"/>
  <c r="L59" i="3"/>
  <c r="N59" i="3"/>
  <c r="L60" i="3"/>
  <c r="N60" i="3"/>
  <c r="L61" i="3"/>
  <c r="N61" i="3"/>
  <c r="L62" i="3"/>
  <c r="N62" i="3"/>
  <c r="L63" i="3"/>
  <c r="N63" i="3"/>
  <c r="L64" i="3"/>
  <c r="N64" i="3"/>
  <c r="L65" i="3"/>
  <c r="N65" i="3"/>
  <c r="L66" i="3"/>
  <c r="N66" i="3"/>
  <c r="L67" i="3"/>
  <c r="N67" i="3"/>
  <c r="L68" i="3"/>
  <c r="N68" i="3"/>
  <c r="L69" i="3"/>
  <c r="N69" i="3"/>
  <c r="L70" i="3"/>
  <c r="N70" i="3"/>
  <c r="L71" i="3"/>
  <c r="N71" i="3"/>
  <c r="L72" i="3"/>
  <c r="N72" i="3"/>
  <c r="D89" i="3"/>
  <c r="D91" i="3"/>
  <c r="J93" i="3"/>
  <c r="L93" i="3"/>
  <c r="D96" i="3"/>
  <c r="J99" i="3"/>
  <c r="M99" i="3"/>
  <c r="P99" i="3" s="1"/>
  <c r="O99" i="3"/>
  <c r="J100" i="3"/>
  <c r="M100" i="3"/>
  <c r="O100" i="3"/>
  <c r="P100" i="3" s="1"/>
  <c r="M101" i="3"/>
  <c r="O101" i="3"/>
  <c r="P101" i="3"/>
  <c r="M109" i="3"/>
  <c r="O109" i="3"/>
  <c r="M110" i="3"/>
  <c r="O110" i="3"/>
  <c r="M111" i="3"/>
  <c r="O111" i="3"/>
  <c r="M112" i="3"/>
  <c r="O112" i="3"/>
  <c r="M113" i="3"/>
  <c r="O113" i="3"/>
  <c r="M114" i="3"/>
  <c r="O114" i="3"/>
  <c r="M115" i="3"/>
  <c r="O115" i="3"/>
  <c r="M116" i="3"/>
  <c r="O116" i="3"/>
  <c r="M117" i="3"/>
  <c r="O117" i="3"/>
  <c r="M118" i="3"/>
  <c r="O118" i="3"/>
  <c r="M119" i="3"/>
  <c r="O119" i="3"/>
  <c r="M120" i="3"/>
  <c r="O120" i="3"/>
  <c r="M121" i="3"/>
  <c r="O121" i="3"/>
  <c r="M122" i="3"/>
  <c r="O122" i="3"/>
  <c r="M123" i="3"/>
  <c r="O123" i="3"/>
  <c r="M124" i="3"/>
  <c r="O124" i="3"/>
  <c r="M125" i="3"/>
  <c r="O125" i="3"/>
  <c r="M126" i="3"/>
  <c r="O126" i="3"/>
  <c r="M127" i="3"/>
  <c r="O127" i="3"/>
  <c r="M128" i="3"/>
  <c r="O128" i="3"/>
  <c r="M129" i="3"/>
  <c r="O129" i="3"/>
  <c r="M130" i="3"/>
  <c r="O130" i="3"/>
  <c r="M131" i="3"/>
  <c r="O131" i="3"/>
  <c r="M132" i="3"/>
  <c r="O132" i="3"/>
  <c r="M133" i="3"/>
  <c r="O133" i="3"/>
  <c r="M134" i="3"/>
  <c r="O134" i="3"/>
  <c r="M135" i="3"/>
  <c r="O135" i="3"/>
  <c r="M136" i="3"/>
  <c r="O136" i="3"/>
  <c r="M137" i="3"/>
  <c r="O137" i="3"/>
  <c r="M138" i="3"/>
  <c r="O138" i="3"/>
  <c r="M139" i="3"/>
  <c r="O139" i="3"/>
  <c r="M140" i="3"/>
  <c r="O140" i="3"/>
  <c r="M141" i="3"/>
  <c r="O141" i="3"/>
  <c r="M142" i="3"/>
  <c r="O142" i="3"/>
  <c r="M143" i="3"/>
  <c r="O143" i="3"/>
  <c r="M144" i="3"/>
  <c r="O144" i="3"/>
  <c r="M145" i="3"/>
  <c r="O145" i="3"/>
  <c r="M146" i="3"/>
  <c r="O146" i="3"/>
  <c r="M147" i="3"/>
  <c r="O147" i="3"/>
  <c r="M148" i="3"/>
  <c r="O148" i="3"/>
  <c r="M149" i="3"/>
  <c r="O149" i="3"/>
  <c r="M150" i="3"/>
  <c r="O150" i="3"/>
  <c r="M151" i="3"/>
  <c r="O151" i="3"/>
  <c r="M152" i="3"/>
  <c r="O152" i="3"/>
  <c r="M153" i="3"/>
  <c r="O153" i="3"/>
  <c r="M154" i="3"/>
  <c r="O154" i="3"/>
  <c r="F12" i="2"/>
  <c r="F14" i="2" s="1"/>
  <c r="E19" i="2" s="1"/>
  <c r="D17" i="2"/>
  <c r="F17" i="2" s="1"/>
  <c r="E17" i="2"/>
  <c r="D18" i="2"/>
  <c r="E18" i="2"/>
  <c r="F18" i="2" s="1"/>
  <c r="D19" i="2"/>
  <c r="C24" i="2"/>
  <c r="E24" i="2"/>
  <c r="C31" i="2"/>
  <c r="E31" i="2"/>
  <c r="E34" i="2"/>
  <c r="C40" i="2"/>
  <c r="C44" i="2"/>
  <c r="F44" i="2"/>
  <c r="C45" i="2"/>
  <c r="F45" i="2"/>
  <c r="C46" i="2"/>
  <c r="F46" i="2"/>
  <c r="C47" i="2"/>
  <c r="F47" i="2"/>
  <c r="C52" i="2"/>
  <c r="F64" i="2"/>
  <c r="C58" i="2"/>
  <c r="F58" i="2"/>
  <c r="C64" i="2"/>
  <c r="C75" i="2"/>
  <c r="F75" i="2"/>
  <c r="C81" i="2"/>
  <c r="C90" i="2"/>
  <c r="D17" i="1"/>
  <c r="E18" i="1"/>
  <c r="E24" i="1"/>
  <c r="E31" i="1"/>
  <c r="E34" i="1"/>
  <c r="C40" i="1"/>
  <c r="C44" i="1"/>
  <c r="F44" i="1"/>
  <c r="F45" i="1"/>
  <c r="F46" i="1"/>
  <c r="F47" i="1"/>
  <c r="C52" i="1"/>
  <c r="F64" i="1"/>
  <c r="F58" i="1"/>
  <c r="F75" i="1"/>
  <c r="C89" i="1"/>
  <c r="C90" i="1"/>
  <c r="S132" i="1"/>
  <c r="S133" i="1"/>
  <c r="S134" i="1"/>
  <c r="I20" i="6"/>
  <c r="I19" i="6"/>
  <c r="B21" i="8"/>
  <c r="B21" i="6"/>
  <c r="B19" i="22"/>
  <c r="D8" i="3"/>
  <c r="D90" i="3"/>
  <c r="B23" i="7"/>
  <c r="B21" i="5"/>
  <c r="B21" i="4"/>
  <c r="I21" i="8"/>
  <c r="B20" i="3"/>
  <c r="I20" i="5"/>
  <c r="B23" i="11"/>
  <c r="I23" i="10"/>
  <c r="I19" i="22"/>
  <c r="I22" i="11"/>
  <c r="B22" i="8"/>
  <c r="I18" i="23"/>
  <c r="B20" i="22"/>
  <c r="I23" i="7"/>
  <c r="I17" i="25"/>
  <c r="B24" i="7"/>
  <c r="I20" i="4"/>
  <c r="B22" i="6"/>
  <c r="I20" i="3"/>
  <c r="I22" i="9"/>
  <c r="I17" i="24"/>
  <c r="B100" i="23"/>
  <c r="I21" i="6"/>
  <c r="B105" i="7"/>
  <c r="B101" i="22"/>
  <c r="B103" i="8"/>
  <c r="B103" i="6"/>
  <c r="B105" i="10"/>
  <c r="B102" i="4"/>
  <c r="J104" i="7"/>
  <c r="J99" i="23"/>
  <c r="J103" i="11"/>
  <c r="J103" i="9"/>
  <c r="J104" i="10"/>
  <c r="J101" i="3"/>
  <c r="J101" i="4"/>
  <c r="J102" i="6"/>
  <c r="J100" i="22"/>
  <c r="J102" i="8"/>
  <c r="J101" i="5"/>
  <c r="C51" i="27"/>
  <c r="C52" i="27" s="1"/>
  <c r="C53" i="27" s="1"/>
  <c r="C54" i="27" s="1"/>
  <c r="C55" i="27"/>
  <c r="C56" i="27" s="1"/>
  <c r="C57" i="27" s="1"/>
  <c r="C58" i="27" s="1"/>
  <c r="C59" i="27"/>
  <c r="C60" i="27" s="1"/>
  <c r="C61" i="27" s="1"/>
  <c r="C62" i="27" s="1"/>
  <c r="C63" i="27" s="1"/>
  <c r="C64" i="27" s="1"/>
  <c r="C65" i="27" s="1"/>
  <c r="C66" i="27" s="1"/>
  <c r="C67" i="27" s="1"/>
  <c r="C68" i="27" s="1"/>
  <c r="C69" i="27" s="1"/>
  <c r="C70" i="27" s="1"/>
  <c r="C71" i="27" s="1"/>
  <c r="C72" i="27" s="1"/>
  <c r="B18" i="25"/>
  <c r="P99" i="23"/>
  <c r="O18" i="23"/>
  <c r="P100" i="22"/>
  <c r="B104" i="11"/>
  <c r="P104" i="10"/>
  <c r="B24" i="10"/>
  <c r="B104" i="9"/>
  <c r="B23" i="9"/>
  <c r="B102" i="5"/>
  <c r="O20" i="5"/>
  <c r="O20" i="4"/>
  <c r="B102" i="3"/>
  <c r="B21" i="3"/>
  <c r="O19" i="25"/>
  <c r="O18" i="25"/>
  <c r="B19" i="25"/>
  <c r="B20" i="25"/>
  <c r="C48" i="25"/>
  <c r="C49" i="25" s="1"/>
  <c r="C50" i="25" s="1"/>
  <c r="C51" i="25" s="1"/>
  <c r="C52" i="25"/>
  <c r="C53" i="25" s="1"/>
  <c r="C54" i="25" s="1"/>
  <c r="C55" i="25" s="1"/>
  <c r="C56" i="25"/>
  <c r="C57" i="25" s="1"/>
  <c r="C58" i="25" s="1"/>
  <c r="C59" i="25" s="1"/>
  <c r="C60" i="25" s="1"/>
  <c r="C61" i="25" s="1"/>
  <c r="C62" i="25" s="1"/>
  <c r="C63" i="25" s="1"/>
  <c r="C64" i="25" s="1"/>
  <c r="C65" i="25" s="1"/>
  <c r="C66" i="25" s="1"/>
  <c r="C67" i="25" s="1"/>
  <c r="C68" i="25" s="1"/>
  <c r="C69" i="25" s="1"/>
  <c r="C70" i="25" s="1"/>
  <c r="C71" i="25" s="1"/>
  <c r="C72" i="25" s="1"/>
  <c r="I18" i="25"/>
  <c r="C99" i="27"/>
  <c r="C100" i="27"/>
  <c r="C101" i="27"/>
  <c r="C102" i="27" s="1"/>
  <c r="C103" i="27" s="1"/>
  <c r="C104" i="27" s="1"/>
  <c r="C105" i="27" s="1"/>
  <c r="C106" i="27" s="1"/>
  <c r="C107" i="27" s="1"/>
  <c r="C108" i="27" s="1"/>
  <c r="C109" i="27" s="1"/>
  <c r="C110" i="27" s="1"/>
  <c r="C111" i="27" s="1"/>
  <c r="C112" i="27" s="1"/>
  <c r="C113" i="27" s="1"/>
  <c r="C114" i="27" s="1"/>
  <c r="C115" i="27" s="1"/>
  <c r="C116" i="27" s="1"/>
  <c r="C117" i="27" s="1"/>
  <c r="C118" i="27" s="1"/>
  <c r="C119" i="27" s="1"/>
  <c r="C120" i="27" s="1"/>
  <c r="C121" i="27" s="1"/>
  <c r="C122" i="27" s="1"/>
  <c r="C123" i="27" s="1"/>
  <c r="C124" i="27" s="1"/>
  <c r="C125" i="27" s="1"/>
  <c r="C126" i="27" s="1"/>
  <c r="C127" i="27" s="1"/>
  <c r="C128" i="27" s="1"/>
  <c r="C129" i="27" s="1"/>
  <c r="C130" i="27" s="1"/>
  <c r="C131" i="27" s="1"/>
  <c r="C132" i="27" s="1"/>
  <c r="C133" i="27" s="1"/>
  <c r="C134" i="27" s="1"/>
  <c r="C135" i="27" s="1"/>
  <c r="C136" i="27" s="1"/>
  <c r="C137" i="27" s="1"/>
  <c r="C138" i="27" s="1"/>
  <c r="C139" i="27" s="1"/>
  <c r="C140" i="27" s="1"/>
  <c r="C141" i="27" s="1"/>
  <c r="C142" i="27" s="1"/>
  <c r="C143" i="27" s="1"/>
  <c r="C144" i="27" s="1"/>
  <c r="C145" i="27" s="1"/>
  <c r="C146" i="27" s="1"/>
  <c r="C147" i="27" s="1"/>
  <c r="C148" i="27" s="1"/>
  <c r="C149" i="27" s="1"/>
  <c r="C150" i="27" s="1"/>
  <c r="C151" i="27" s="1"/>
  <c r="C152" i="27" s="1"/>
  <c r="C153" i="27" s="1"/>
  <c r="C154" i="27" s="1"/>
  <c r="B24" i="11"/>
  <c r="B21" i="22"/>
  <c r="B102" i="25"/>
  <c r="B25" i="7"/>
  <c r="B23" i="6"/>
  <c r="B22" i="3"/>
  <c r="B22" i="4"/>
  <c r="B103" i="4"/>
  <c r="B105" i="9"/>
  <c r="B106" i="7"/>
  <c r="B102" i="22"/>
  <c r="B103" i="3"/>
  <c r="B101" i="23"/>
  <c r="B105" i="11"/>
  <c r="B104" i="8"/>
  <c r="B106" i="10"/>
  <c r="B103" i="5"/>
  <c r="B21" i="25"/>
  <c r="B18" i="27"/>
  <c r="I18" i="24"/>
  <c r="B19" i="24"/>
  <c r="K18" i="24"/>
  <c r="L18" i="24"/>
  <c r="B18" i="24"/>
  <c r="P102" i="5"/>
  <c r="C47" i="29"/>
  <c r="C48" i="29"/>
  <c r="C49" i="29" s="1"/>
  <c r="C50" i="29" s="1"/>
  <c r="C51" i="29" s="1"/>
  <c r="C52" i="29" s="1"/>
  <c r="C53" i="29" s="1"/>
  <c r="C54" i="29" s="1"/>
  <c r="C55" i="29" s="1"/>
  <c r="C56" i="29" s="1"/>
  <c r="C57" i="29" s="1"/>
  <c r="C58" i="29" s="1"/>
  <c r="C59" i="29" s="1"/>
  <c r="C60" i="29" s="1"/>
  <c r="C61" i="29" s="1"/>
  <c r="C62" i="29" s="1"/>
  <c r="C63" i="29" s="1"/>
  <c r="C64" i="29" s="1"/>
  <c r="C65" i="29" s="1"/>
  <c r="C66" i="29" s="1"/>
  <c r="C67" i="29" s="1"/>
  <c r="C68" i="29" s="1"/>
  <c r="C69" i="29" s="1"/>
  <c r="C70" i="29" s="1"/>
  <c r="C71" i="29" s="1"/>
  <c r="C72" i="29" s="1"/>
  <c r="C100" i="28"/>
  <c r="C101" i="28" s="1"/>
  <c r="C102" i="28" s="1"/>
  <c r="C103" i="28"/>
  <c r="C104" i="28" s="1"/>
  <c r="C105" i="28" s="1"/>
  <c r="C106" i="28" s="1"/>
  <c r="C107" i="28" s="1"/>
  <c r="C108" i="28" s="1"/>
  <c r="C109" i="28" s="1"/>
  <c r="C110" i="28" s="1"/>
  <c r="C111" i="28" s="1"/>
  <c r="C112" i="28" s="1"/>
  <c r="C113" i="28" s="1"/>
  <c r="C114" i="28" s="1"/>
  <c r="C115" i="28" s="1"/>
  <c r="C116" i="28" s="1"/>
  <c r="C117" i="28" s="1"/>
  <c r="C118" i="28" s="1"/>
  <c r="C119" i="28"/>
  <c r="C120" i="28" s="1"/>
  <c r="C121" i="28" s="1"/>
  <c r="C122" i="28" s="1"/>
  <c r="C123" i="28" s="1"/>
  <c r="C124" i="28" s="1"/>
  <c r="C125" i="28" s="1"/>
  <c r="C126" i="28" s="1"/>
  <c r="C127" i="28" s="1"/>
  <c r="C128" i="28" s="1"/>
  <c r="C129" i="28" s="1"/>
  <c r="C130" i="28" s="1"/>
  <c r="C131" i="28" s="1"/>
  <c r="C132" i="28" s="1"/>
  <c r="C133" i="28" s="1"/>
  <c r="C134" i="28" s="1"/>
  <c r="C135" i="28" s="1"/>
  <c r="C136" i="28" s="1"/>
  <c r="C137" i="28" s="1"/>
  <c r="C138" i="28" s="1"/>
  <c r="C139" i="28" s="1"/>
  <c r="C140" i="28" s="1"/>
  <c r="C141" i="28" s="1"/>
  <c r="C142" i="28" s="1"/>
  <c r="C143" i="28" s="1"/>
  <c r="C144" i="28" s="1"/>
  <c r="C145" i="28" s="1"/>
  <c r="C146" i="28" s="1"/>
  <c r="C147" i="28" s="1"/>
  <c r="C148" i="28" s="1"/>
  <c r="C149" i="28" s="1"/>
  <c r="C150" i="28" s="1"/>
  <c r="C151" i="28" s="1"/>
  <c r="C152" i="28" s="1"/>
  <c r="C153" i="28" s="1"/>
  <c r="C154" i="28" s="1"/>
  <c r="C99" i="24"/>
  <c r="P100" i="23"/>
  <c r="P101" i="22"/>
  <c r="O20" i="22"/>
  <c r="P104" i="11"/>
  <c r="P105" i="10"/>
  <c r="O24" i="10"/>
  <c r="B25" i="10"/>
  <c r="B24" i="9"/>
  <c r="P103" i="8"/>
  <c r="B23" i="8"/>
  <c r="P105" i="7"/>
  <c r="B104" i="6"/>
  <c r="O22" i="6"/>
  <c r="B22" i="5"/>
  <c r="O21" i="4"/>
  <c r="P102" i="3"/>
  <c r="M18" i="24"/>
  <c r="N18" i="24" s="1"/>
  <c r="B100" i="24"/>
  <c r="N99" i="24"/>
  <c r="O99" i="24" s="1"/>
  <c r="P99" i="24" s="1"/>
  <c r="L99" i="24"/>
  <c r="M99" i="24"/>
  <c r="J99" i="24"/>
  <c r="D8" i="23"/>
  <c r="D90" i="23"/>
  <c r="B20" i="23"/>
  <c r="B23" i="5"/>
  <c r="B18" i="29"/>
  <c r="B18" i="28"/>
  <c r="B106" i="9"/>
  <c r="B103" i="22"/>
  <c r="B104" i="3"/>
  <c r="B105" i="6"/>
  <c r="B106" i="11"/>
  <c r="B104" i="5"/>
  <c r="B21" i="23"/>
  <c r="B22" i="25"/>
  <c r="B20" i="24"/>
  <c r="B23" i="3"/>
  <c r="B101" i="24"/>
  <c r="B103" i="25"/>
  <c r="B105" i="8"/>
  <c r="B23" i="4"/>
  <c r="B25" i="11"/>
  <c r="B25" i="9"/>
  <c r="B102" i="23"/>
  <c r="B22" i="22"/>
  <c r="N24" i="11"/>
  <c r="O24" i="11"/>
  <c r="B107" i="10"/>
  <c r="B26" i="10"/>
  <c r="B24" i="8"/>
  <c r="B107" i="7"/>
  <c r="B26" i="7"/>
  <c r="B24" i="6"/>
  <c r="B104" i="4"/>
  <c r="N22" i="3"/>
  <c r="O22" i="3" s="1"/>
  <c r="C54" i="31"/>
  <c r="C55" i="31"/>
  <c r="C56" i="31"/>
  <c r="C57" i="31" s="1"/>
  <c r="C58" i="31" s="1"/>
  <c r="C59" i="31" s="1"/>
  <c r="C60" i="31" s="1"/>
  <c r="C61" i="31" s="1"/>
  <c r="C62" i="31" s="1"/>
  <c r="C63" i="31" s="1"/>
  <c r="C64" i="31" s="1"/>
  <c r="C65" i="31" s="1"/>
  <c r="C66" i="31" s="1"/>
  <c r="C67" i="31" s="1"/>
  <c r="C68" i="31" s="1"/>
  <c r="C69" i="31" s="1"/>
  <c r="C70" i="31" s="1"/>
  <c r="C71" i="31" s="1"/>
  <c r="C72" i="31" s="1"/>
  <c r="B18" i="31"/>
  <c r="B19" i="28"/>
  <c r="B25" i="6"/>
  <c r="B23" i="25"/>
  <c r="B22" i="23"/>
  <c r="B23" i="22"/>
  <c r="B102" i="24"/>
  <c r="B105" i="4"/>
  <c r="B104" i="25"/>
  <c r="B106" i="8"/>
  <c r="B105" i="5"/>
  <c r="B104" i="22"/>
  <c r="B26" i="11"/>
  <c r="B21" i="24"/>
  <c r="B25" i="8"/>
  <c r="B24" i="3"/>
  <c r="B27" i="10"/>
  <c r="B24" i="5"/>
  <c r="B107" i="11"/>
  <c r="B107" i="9"/>
  <c r="B108" i="7"/>
  <c r="B19" i="31"/>
  <c r="O18" i="31"/>
  <c r="P99" i="29"/>
  <c r="B100" i="29"/>
  <c r="B19" i="29"/>
  <c r="O18" i="28"/>
  <c r="O22" i="25"/>
  <c r="P101" i="24"/>
  <c r="O21" i="23"/>
  <c r="P102" i="23"/>
  <c r="P103" i="22"/>
  <c r="O22" i="22"/>
  <c r="P106" i="11"/>
  <c r="O25" i="11"/>
  <c r="B108" i="10"/>
  <c r="P107" i="10"/>
  <c r="O26" i="10"/>
  <c r="O25" i="9"/>
  <c r="B26" i="9"/>
  <c r="P105" i="8"/>
  <c r="P107" i="7"/>
  <c r="O26" i="7"/>
  <c r="B27" i="7"/>
  <c r="P105" i="6"/>
  <c r="B106" i="6"/>
  <c r="O24" i="6"/>
  <c r="P104" i="5"/>
  <c r="O23" i="5"/>
  <c r="P104" i="4"/>
  <c r="O23" i="4"/>
  <c r="B24" i="4"/>
  <c r="B105" i="3"/>
  <c r="K18" i="27"/>
  <c r="B103" i="23"/>
  <c r="B100" i="27"/>
  <c r="B19" i="27"/>
  <c r="L18" i="27"/>
  <c r="I18" i="27"/>
  <c r="M18" i="27"/>
  <c r="N18" i="27"/>
  <c r="O18" i="27"/>
  <c r="I19" i="27"/>
  <c r="B101" i="27"/>
  <c r="J100" i="27"/>
  <c r="B100" i="28"/>
  <c r="B18" i="30"/>
  <c r="P99" i="31"/>
  <c r="B100" i="31"/>
  <c r="B106" i="4"/>
  <c r="J105" i="4"/>
  <c r="B107" i="6"/>
  <c r="J106" i="6"/>
  <c r="B106" i="5"/>
  <c r="B102" i="27"/>
  <c r="B101" i="28"/>
  <c r="B104" i="23"/>
  <c r="B100" i="30"/>
  <c r="B106" i="3"/>
  <c r="B101" i="31"/>
  <c r="B105" i="25"/>
  <c r="B25" i="5"/>
  <c r="B24" i="22"/>
  <c r="B20" i="31"/>
  <c r="B20" i="27"/>
  <c r="B25" i="4"/>
  <c r="B20" i="29"/>
  <c r="B19" i="30"/>
  <c r="B27" i="9"/>
  <c r="B25" i="3"/>
  <c r="B23" i="23"/>
  <c r="J101" i="27"/>
  <c r="B105" i="22"/>
  <c r="J105" i="5"/>
  <c r="J108" i="10"/>
  <c r="B107" i="8"/>
  <c r="J100" i="28"/>
  <c r="B109" i="7"/>
  <c r="J105" i="3"/>
  <c r="I18" i="30"/>
  <c r="I27" i="7"/>
  <c r="I26" i="9"/>
  <c r="B27" i="11"/>
  <c r="B26" i="8"/>
  <c r="I23" i="22"/>
  <c r="B22" i="24"/>
  <c r="I24" i="5"/>
  <c r="I23" i="25"/>
  <c r="I19" i="28"/>
  <c r="B26" i="6"/>
  <c r="I22" i="23"/>
  <c r="I24" i="3"/>
  <c r="I26" i="11"/>
  <c r="I25" i="8"/>
  <c r="I19" i="29"/>
  <c r="I24" i="4"/>
  <c r="I27" i="10"/>
  <c r="I19" i="31"/>
  <c r="I21" i="24"/>
  <c r="I25" i="6"/>
  <c r="J102" i="24"/>
  <c r="J106" i="8"/>
  <c r="J104" i="22"/>
  <c r="J100" i="29"/>
  <c r="J104" i="25"/>
  <c r="J108" i="7"/>
  <c r="J107" i="9"/>
  <c r="J100" i="31"/>
  <c r="J99" i="30"/>
  <c r="J107" i="11"/>
  <c r="J103" i="23"/>
  <c r="I20" i="27"/>
  <c r="B101" i="29"/>
  <c r="B108" i="9"/>
  <c r="B24" i="25"/>
  <c r="B20" i="28"/>
  <c r="B103" i="24"/>
  <c r="B108" i="11"/>
  <c r="B109" i="10"/>
  <c r="B28" i="10"/>
  <c r="L24" i="8"/>
  <c r="O24" i="8"/>
  <c r="B28" i="7"/>
  <c r="P99" i="30"/>
  <c r="C99" i="13"/>
  <c r="C100" i="13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28" i="13" s="1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C153" i="13" s="1"/>
  <c r="C154" i="13" s="1"/>
  <c r="D18" i="1"/>
  <c r="C12" i="1"/>
  <c r="D19" i="1"/>
  <c r="B29" i="10"/>
  <c r="I12" i="37"/>
  <c r="I13" i="37" s="1"/>
  <c r="I12" i="24"/>
  <c r="I13" i="24" s="1"/>
  <c r="I24" i="25"/>
  <c r="B27" i="6"/>
  <c r="B20" i="30"/>
  <c r="B21" i="27"/>
  <c r="I17" i="39"/>
  <c r="B21" i="29"/>
  <c r="I27" i="9"/>
  <c r="B23" i="24"/>
  <c r="I22" i="24"/>
  <c r="B28" i="9"/>
  <c r="I23" i="23"/>
  <c r="B21" i="28"/>
  <c r="I20" i="28"/>
  <c r="I26" i="8"/>
  <c r="B24" i="23"/>
  <c r="I19" i="30"/>
  <c r="I26" i="6"/>
  <c r="I24" i="22"/>
  <c r="I28" i="10"/>
  <c r="I21" i="27"/>
  <c r="I20" i="29"/>
  <c r="B27" i="8"/>
  <c r="B102" i="29"/>
  <c r="B29" i="7"/>
  <c r="B26" i="4"/>
  <c r="I25" i="3"/>
  <c r="I27" i="11"/>
  <c r="B26" i="3"/>
  <c r="I25" i="4"/>
  <c r="I17" i="37"/>
  <c r="I28" i="7"/>
  <c r="B26" i="5"/>
  <c r="I25" i="5"/>
  <c r="J102" i="27"/>
  <c r="B107" i="3"/>
  <c r="B106" i="25"/>
  <c r="J105" i="25"/>
  <c r="J101" i="29"/>
  <c r="B106" i="22"/>
  <c r="B108" i="8"/>
  <c r="J106" i="3"/>
  <c r="J100" i="30"/>
  <c r="B107" i="4"/>
  <c r="J108" i="9"/>
  <c r="B110" i="10"/>
  <c r="B109" i="11"/>
  <c r="B104" i="24"/>
  <c r="B105" i="23"/>
  <c r="B102" i="28"/>
  <c r="J109" i="10"/>
  <c r="J104" i="23"/>
  <c r="J108" i="11"/>
  <c r="J106" i="4"/>
  <c r="J105" i="22"/>
  <c r="J107" i="8"/>
  <c r="J107" i="6"/>
  <c r="J101" i="28"/>
  <c r="J103" i="24"/>
  <c r="C18" i="13"/>
  <c r="C19" i="13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18" i="41"/>
  <c r="C19" i="41"/>
  <c r="C20" i="41" s="1"/>
  <c r="C21" i="41" s="1"/>
  <c r="C22" i="41" s="1"/>
  <c r="C23" i="41"/>
  <c r="C24" i="41" s="1"/>
  <c r="C25" i="41" s="1"/>
  <c r="C26" i="41" s="1"/>
  <c r="C27" i="41"/>
  <c r="C28" i="41" s="1"/>
  <c r="C29" i="41" s="1"/>
  <c r="C30" i="41" s="1"/>
  <c r="C31" i="41" s="1"/>
  <c r="C32" i="41" s="1"/>
  <c r="C33" i="41" s="1"/>
  <c r="C34" i="41" s="1"/>
  <c r="C35" i="41" s="1"/>
  <c r="C36" i="41" s="1"/>
  <c r="C37" i="41" s="1"/>
  <c r="C38" i="41" s="1"/>
  <c r="C39" i="41" s="1"/>
  <c r="C40" i="41" s="1"/>
  <c r="C41" i="41" s="1"/>
  <c r="C42" i="41" s="1"/>
  <c r="C43" i="41" s="1"/>
  <c r="C44" i="41" s="1"/>
  <c r="B18" i="39"/>
  <c r="B18" i="37"/>
  <c r="P100" i="30"/>
  <c r="B103" i="27"/>
  <c r="B25" i="25"/>
  <c r="O24" i="25"/>
  <c r="B25" i="22"/>
  <c r="B28" i="11"/>
  <c r="B109" i="9"/>
  <c r="B107" i="5"/>
  <c r="A2" i="2"/>
  <c r="I10" i="7"/>
  <c r="I10" i="25"/>
  <c r="D93" i="25" s="1"/>
  <c r="C99" i="25" s="1"/>
  <c r="C100" i="25" s="1"/>
  <c r="C101" i="25" s="1"/>
  <c r="C102" i="25" s="1"/>
  <c r="C103" i="25" s="1"/>
  <c r="C104" i="25" s="1"/>
  <c r="C105" i="25" s="1"/>
  <c r="C106" i="25" s="1"/>
  <c r="C107" i="25" s="1"/>
  <c r="C108" i="25" s="1"/>
  <c r="C109" i="25" s="1"/>
  <c r="C110" i="25" s="1"/>
  <c r="C111" i="25" s="1"/>
  <c r="C112" i="25" s="1"/>
  <c r="C113" i="25" s="1"/>
  <c r="C114" i="25" s="1"/>
  <c r="C115" i="25" s="1"/>
  <c r="C116" i="25" s="1"/>
  <c r="C117" i="25" s="1"/>
  <c r="C118" i="25" s="1"/>
  <c r="C119" i="25" s="1"/>
  <c r="C120" i="25" s="1"/>
  <c r="C121" i="25" s="1"/>
  <c r="C122" i="25" s="1"/>
  <c r="C123" i="25" s="1"/>
  <c r="C124" i="25" s="1"/>
  <c r="C125" i="25" s="1"/>
  <c r="C126" i="25" s="1"/>
  <c r="C127" i="25" s="1"/>
  <c r="C128" i="25" s="1"/>
  <c r="C129" i="25" s="1"/>
  <c r="C130" i="25" s="1"/>
  <c r="C131" i="25" s="1"/>
  <c r="C132" i="25" s="1"/>
  <c r="C133" i="25" s="1"/>
  <c r="C134" i="25" s="1"/>
  <c r="C135" i="25" s="1"/>
  <c r="C136" i="25" s="1"/>
  <c r="C137" i="25" s="1"/>
  <c r="C138" i="25" s="1"/>
  <c r="C139" i="25" s="1"/>
  <c r="C140" i="25" s="1"/>
  <c r="C141" i="25" s="1"/>
  <c r="C142" i="25" s="1"/>
  <c r="C143" i="25" s="1"/>
  <c r="C144" i="25" s="1"/>
  <c r="C145" i="25" s="1"/>
  <c r="C146" i="25" s="1"/>
  <c r="C147" i="25" s="1"/>
  <c r="C148" i="25" s="1"/>
  <c r="C149" i="25" s="1"/>
  <c r="C150" i="25" s="1"/>
  <c r="C151" i="25" s="1"/>
  <c r="C152" i="25" s="1"/>
  <c r="C153" i="25" s="1"/>
  <c r="C154" i="25" s="1"/>
  <c r="I10" i="31"/>
  <c r="D94" i="31" s="1"/>
  <c r="C18" i="42"/>
  <c r="C19" i="42" s="1"/>
  <c r="C20" i="42" s="1"/>
  <c r="C21" i="42" s="1"/>
  <c r="C22" i="42"/>
  <c r="C23" i="42" s="1"/>
  <c r="C24" i="42" s="1"/>
  <c r="C25" i="42" s="1"/>
  <c r="C26" i="42" s="1"/>
  <c r="C27" i="42" s="1"/>
  <c r="C28" i="42" s="1"/>
  <c r="C29" i="42" s="1"/>
  <c r="C30" i="42" s="1"/>
  <c r="C31" i="42" s="1"/>
  <c r="C32" i="42" s="1"/>
  <c r="C33" i="42" s="1"/>
  <c r="C34" i="42" s="1"/>
  <c r="C35" i="42" s="1"/>
  <c r="C36" i="42" s="1"/>
  <c r="C37" i="42" s="1"/>
  <c r="C38" i="42"/>
  <c r="C39" i="42" s="1"/>
  <c r="C40" i="42" s="1"/>
  <c r="C41" i="42" s="1"/>
  <c r="C42" i="42" s="1"/>
  <c r="C43" i="42" s="1"/>
  <c r="C44" i="42" s="1"/>
  <c r="C100" i="42"/>
  <c r="C101" i="42"/>
  <c r="C102" i="42" s="1"/>
  <c r="C103" i="42" s="1"/>
  <c r="C104" i="42" s="1"/>
  <c r="C105" i="42"/>
  <c r="C106" i="42" s="1"/>
  <c r="C107" i="42" s="1"/>
  <c r="C108" i="42" s="1"/>
  <c r="C109" i="42"/>
  <c r="C110" i="42" s="1"/>
  <c r="C111" i="42" s="1"/>
  <c r="C112" i="42" s="1"/>
  <c r="C113" i="42" s="1"/>
  <c r="C114" i="42" s="1"/>
  <c r="C115" i="42" s="1"/>
  <c r="C116" i="42" s="1"/>
  <c r="C117" i="42" s="1"/>
  <c r="C118" i="42" s="1"/>
  <c r="C119" i="42" s="1"/>
  <c r="C120" i="42" s="1"/>
  <c r="C121" i="42" s="1"/>
  <c r="C122" i="42" s="1"/>
  <c r="C123" i="42" s="1"/>
  <c r="C124" i="42" s="1"/>
  <c r="C125" i="42"/>
  <c r="C126" i="42" s="1"/>
  <c r="C127" i="42" s="1"/>
  <c r="C128" i="42" s="1"/>
  <c r="C129" i="42" s="1"/>
  <c r="C130" i="42" s="1"/>
  <c r="C131" i="42" s="1"/>
  <c r="C132" i="42" s="1"/>
  <c r="C133" i="42" s="1"/>
  <c r="C134" i="42" s="1"/>
  <c r="C135" i="42" s="1"/>
  <c r="C136" i="42" s="1"/>
  <c r="C137" i="42" s="1"/>
  <c r="C138" i="42" s="1"/>
  <c r="C139" i="42" s="1"/>
  <c r="C140" i="42" s="1"/>
  <c r="C141" i="42"/>
  <c r="C142" i="42" s="1"/>
  <c r="C143" i="42" s="1"/>
  <c r="C144" i="42" s="1"/>
  <c r="C145" i="42" s="1"/>
  <c r="C146" i="42" s="1"/>
  <c r="C147" i="42" s="1"/>
  <c r="C148" i="42" s="1"/>
  <c r="C149" i="42" s="1"/>
  <c r="C150" i="42" s="1"/>
  <c r="C151" i="42" s="1"/>
  <c r="C152" i="42" s="1"/>
  <c r="C153" i="42" s="1"/>
  <c r="C154" i="42" s="1"/>
  <c r="C100" i="41"/>
  <c r="C101" i="41"/>
  <c r="C102" i="41"/>
  <c r="C103" i="41" s="1"/>
  <c r="C104" i="41" s="1"/>
  <c r="C105" i="41" s="1"/>
  <c r="C106" i="41"/>
  <c r="C107" i="41" s="1"/>
  <c r="C108" i="41" s="1"/>
  <c r="C109" i="41" s="1"/>
  <c r="C110" i="41"/>
  <c r="C111" i="41" s="1"/>
  <c r="C112" i="41" s="1"/>
  <c r="C113" i="41" s="1"/>
  <c r="C114" i="41" s="1"/>
  <c r="C115" i="41" s="1"/>
  <c r="C116" i="41" s="1"/>
  <c r="C117" i="41" s="1"/>
  <c r="C118" i="41" s="1"/>
  <c r="C119" i="41" s="1"/>
  <c r="C120" i="41" s="1"/>
  <c r="C121" i="41" s="1"/>
  <c r="C122" i="41" s="1"/>
  <c r="C123" i="41" s="1"/>
  <c r="C124" i="41" s="1"/>
  <c r="C125" i="41" s="1"/>
  <c r="C126" i="41"/>
  <c r="C127" i="41" s="1"/>
  <c r="C128" i="41" s="1"/>
  <c r="C129" i="41" s="1"/>
  <c r="C130" i="41" s="1"/>
  <c r="C131" i="41" s="1"/>
  <c r="C132" i="41" s="1"/>
  <c r="C133" i="41" s="1"/>
  <c r="C134" i="41" s="1"/>
  <c r="C135" i="41" s="1"/>
  <c r="C136" i="41" s="1"/>
  <c r="C137" i="41" s="1"/>
  <c r="C138" i="41" s="1"/>
  <c r="C139" i="41" s="1"/>
  <c r="C140" i="41" s="1"/>
  <c r="C141" i="41" s="1"/>
  <c r="C142" i="41"/>
  <c r="C143" i="41" s="1"/>
  <c r="C144" i="41" s="1"/>
  <c r="C145" i="41" s="1"/>
  <c r="C146" i="41" s="1"/>
  <c r="C147" i="41" s="1"/>
  <c r="C148" i="41" s="1"/>
  <c r="C149" i="41" s="1"/>
  <c r="C150" i="41" s="1"/>
  <c r="C151" i="41" s="1"/>
  <c r="C152" i="41" s="1"/>
  <c r="C153" i="41" s="1"/>
  <c r="C154" i="41" s="1"/>
  <c r="B110" i="7"/>
  <c r="J109" i="7"/>
  <c r="J106" i="5"/>
  <c r="C99" i="40"/>
  <c r="C100" i="40" s="1"/>
  <c r="C101" i="40" s="1"/>
  <c r="C102" i="40" s="1"/>
  <c r="C103" i="40" s="1"/>
  <c r="C104" i="40" s="1"/>
  <c r="C105" i="40" s="1"/>
  <c r="C106" i="40" s="1"/>
  <c r="C107" i="40" s="1"/>
  <c r="C108" i="40" s="1"/>
  <c r="C109" i="40" s="1"/>
  <c r="C110" i="40" s="1"/>
  <c r="C111" i="40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/>
  <c r="C128" i="40" s="1"/>
  <c r="C129" i="40" s="1"/>
  <c r="C130" i="40" s="1"/>
  <c r="C131" i="40" s="1"/>
  <c r="C132" i="40" s="1"/>
  <c r="C133" i="40" s="1"/>
  <c r="C134" i="40" s="1"/>
  <c r="C135" i="40" s="1"/>
  <c r="C136" i="40" s="1"/>
  <c r="C137" i="40" s="1"/>
  <c r="C138" i="40" s="1"/>
  <c r="C139" i="40" s="1"/>
  <c r="C140" i="40" s="1"/>
  <c r="C141" i="40" s="1"/>
  <c r="C142" i="40" s="1"/>
  <c r="C143" i="40"/>
  <c r="C144" i="40" s="1"/>
  <c r="C145" i="40" s="1"/>
  <c r="C146" i="40" s="1"/>
  <c r="C147" i="40" s="1"/>
  <c r="C148" i="40" s="1"/>
  <c r="C149" i="40" s="1"/>
  <c r="C150" i="40" s="1"/>
  <c r="C151" i="40" s="1"/>
  <c r="C152" i="40" s="1"/>
  <c r="C153" i="40" s="1"/>
  <c r="C154" i="40" s="1"/>
  <c r="I10" i="40"/>
  <c r="I10" i="8"/>
  <c r="I10" i="41"/>
  <c r="I10" i="22"/>
  <c r="D94" i="22" s="1"/>
  <c r="I10" i="6"/>
  <c r="D93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I10" i="37"/>
  <c r="D93" i="37" s="1"/>
  <c r="C99" i="37" s="1"/>
  <c r="C100" i="37" s="1"/>
  <c r="C101" i="37" s="1"/>
  <c r="C102" i="37" s="1"/>
  <c r="C103" i="37" s="1"/>
  <c r="C104" i="37" s="1"/>
  <c r="I10" i="28"/>
  <c r="I10" i="39"/>
  <c r="D93" i="39" s="1"/>
  <c r="C99" i="39" s="1"/>
  <c r="C100" i="39" s="1"/>
  <c r="C101" i="39" s="1"/>
  <c r="C102" i="39" s="1"/>
  <c r="C103" i="39" s="1"/>
  <c r="C104" i="39" s="1"/>
  <c r="C105" i="39" s="1"/>
  <c r="C106" i="39" s="1"/>
  <c r="C107" i="39" s="1"/>
  <c r="C108" i="39" s="1"/>
  <c r="C109" i="39" s="1"/>
  <c r="C110" i="39" s="1"/>
  <c r="C111" i="39" s="1"/>
  <c r="C112" i="39" s="1"/>
  <c r="C113" i="39" s="1"/>
  <c r="C114" i="39" s="1"/>
  <c r="C115" i="39" s="1"/>
  <c r="C116" i="39" s="1"/>
  <c r="C117" i="39" s="1"/>
  <c r="C118" i="39" s="1"/>
  <c r="C119" i="39" s="1"/>
  <c r="C120" i="39" s="1"/>
  <c r="C121" i="39" s="1"/>
  <c r="C122" i="39" s="1"/>
  <c r="C123" i="39" s="1"/>
  <c r="C124" i="39" s="1"/>
  <c r="C125" i="39" s="1"/>
  <c r="C126" i="39" s="1"/>
  <c r="C127" i="39" s="1"/>
  <c r="C128" i="39" s="1"/>
  <c r="C129" i="39" s="1"/>
  <c r="C130" i="39" s="1"/>
  <c r="C131" i="39" s="1"/>
  <c r="C132" i="39" s="1"/>
  <c r="C133" i="39" s="1"/>
  <c r="C134" i="39" s="1"/>
  <c r="C135" i="39" s="1"/>
  <c r="C136" i="39" s="1"/>
  <c r="C137" i="39" s="1"/>
  <c r="C138" i="39" s="1"/>
  <c r="C139" i="39" s="1"/>
  <c r="C140" i="39" s="1"/>
  <c r="C141" i="39" s="1"/>
  <c r="C142" i="39" s="1"/>
  <c r="C143" i="39" s="1"/>
  <c r="C144" i="39" s="1"/>
  <c r="C145" i="39" s="1"/>
  <c r="C146" i="39" s="1"/>
  <c r="C147" i="39" s="1"/>
  <c r="C148" i="39" s="1"/>
  <c r="C149" i="39" s="1"/>
  <c r="C150" i="39" s="1"/>
  <c r="C151" i="39" s="1"/>
  <c r="C152" i="39" s="1"/>
  <c r="C153" i="39" s="1"/>
  <c r="C154" i="39" s="1"/>
  <c r="I10" i="3"/>
  <c r="D94" i="3" s="1"/>
  <c r="I10" i="10"/>
  <c r="D94" i="10" s="1"/>
  <c r="I10" i="23"/>
  <c r="D93" i="23" s="1"/>
  <c r="I10" i="24"/>
  <c r="I10" i="5"/>
  <c r="D93" i="5" s="1"/>
  <c r="I10" i="11"/>
  <c r="D93" i="11" s="1"/>
  <c r="I10" i="42"/>
  <c r="I10" i="4"/>
  <c r="D93" i="4" s="1"/>
  <c r="I10" i="29"/>
  <c r="D94" i="29" s="1"/>
  <c r="I10" i="38"/>
  <c r="I10" i="30"/>
  <c r="D93" i="30" s="1"/>
  <c r="C99" i="30" s="1"/>
  <c r="I10" i="9"/>
  <c r="I10" i="13"/>
  <c r="D92" i="13" s="1"/>
  <c r="E99" i="13" s="1"/>
  <c r="F99" i="13" s="1"/>
  <c r="G99" i="13" s="1"/>
  <c r="B108" i="6"/>
  <c r="B21" i="31"/>
  <c r="I20" i="31"/>
  <c r="J101" i="31"/>
  <c r="B102" i="31"/>
  <c r="J92" i="41"/>
  <c r="L86" i="41" s="1"/>
  <c r="C76" i="2"/>
  <c r="C61" i="2"/>
  <c r="J94" i="31"/>
  <c r="J95" i="31" s="1"/>
  <c r="J94" i="22"/>
  <c r="J95" i="22" s="1"/>
  <c r="J94" i="37"/>
  <c r="J95" i="37" s="1"/>
  <c r="J94" i="5"/>
  <c r="J95" i="5" s="1"/>
  <c r="J94" i="23"/>
  <c r="J95" i="23" s="1"/>
  <c r="J94" i="41"/>
  <c r="J95" i="41" s="1"/>
  <c r="J94" i="24"/>
  <c r="J95" i="24" s="1"/>
  <c r="J94" i="10"/>
  <c r="J95" i="10" s="1"/>
  <c r="J94" i="29"/>
  <c r="J95" i="29" s="1"/>
  <c r="J94" i="39"/>
  <c r="J95" i="39" s="1"/>
  <c r="J94" i="42"/>
  <c r="J95" i="42" s="1"/>
  <c r="J94" i="40"/>
  <c r="J95" i="40" s="1"/>
  <c r="D94" i="23"/>
  <c r="B109" i="6"/>
  <c r="B110" i="11"/>
  <c r="O26" i="6"/>
  <c r="L20" i="31"/>
  <c r="O20" i="31"/>
  <c r="B18" i="38"/>
  <c r="I17" i="38"/>
  <c r="D93" i="3"/>
  <c r="C99" i="3" s="1"/>
  <c r="B108" i="5"/>
  <c r="B107" i="22"/>
  <c r="J103" i="27"/>
  <c r="J107" i="5"/>
  <c r="J108" i="6"/>
  <c r="B28" i="6"/>
  <c r="B27" i="4"/>
  <c r="B25" i="23"/>
  <c r="B22" i="31"/>
  <c r="B26" i="25"/>
  <c r="B18" i="40"/>
  <c r="B29" i="11"/>
  <c r="B27" i="5"/>
  <c r="B22" i="29"/>
  <c r="B30" i="7"/>
  <c r="B19" i="39"/>
  <c r="B18" i="41"/>
  <c r="J106" i="22"/>
  <c r="J102" i="28"/>
  <c r="J108" i="8"/>
  <c r="I20" i="30"/>
  <c r="I21" i="31"/>
  <c r="I27" i="8"/>
  <c r="I28" i="9"/>
  <c r="I27" i="6"/>
  <c r="I29" i="10"/>
  <c r="I26" i="3"/>
  <c r="I26" i="4"/>
  <c r="I18" i="39"/>
  <c r="I29" i="7"/>
  <c r="I17" i="40"/>
  <c r="I17" i="42"/>
  <c r="I18" i="37"/>
  <c r="B29" i="9"/>
  <c r="I23" i="24"/>
  <c r="I18" i="38"/>
  <c r="I28" i="11"/>
  <c r="I25" i="25"/>
  <c r="I21" i="28"/>
  <c r="I26" i="5"/>
  <c r="I17" i="41"/>
  <c r="I21" i="29"/>
  <c r="B21" i="30"/>
  <c r="B19" i="37"/>
  <c r="I24" i="23"/>
  <c r="I25" i="22"/>
  <c r="C18" i="43"/>
  <c r="C19" i="43" s="1"/>
  <c r="C20" i="43" s="1"/>
  <c r="C21" i="43" s="1"/>
  <c r="C22" i="43" s="1"/>
  <c r="C23" i="43" s="1"/>
  <c r="C24" i="43" s="1"/>
  <c r="C25" i="43" s="1"/>
  <c r="C26" i="43" s="1"/>
  <c r="C27" i="43" s="1"/>
  <c r="C28" i="43" s="1"/>
  <c r="C29" i="43" s="1"/>
  <c r="C30" i="43" s="1"/>
  <c r="C31" i="43" s="1"/>
  <c r="C32" i="43" s="1"/>
  <c r="C33" i="43" s="1"/>
  <c r="C34" i="43" s="1"/>
  <c r="C35" i="43" s="1"/>
  <c r="C36" i="43" s="1"/>
  <c r="C37" i="43" s="1"/>
  <c r="C38" i="43" s="1"/>
  <c r="C39" i="43" s="1"/>
  <c r="C40" i="43" s="1"/>
  <c r="C41" i="43" s="1"/>
  <c r="C42" i="43" s="1"/>
  <c r="C43" i="43" s="1"/>
  <c r="C44" i="43" s="1"/>
  <c r="C45" i="43" s="1"/>
  <c r="C46" i="43" s="1"/>
  <c r="C47" i="43" s="1"/>
  <c r="C48" i="43" s="1"/>
  <c r="C49" i="43" s="1"/>
  <c r="C50" i="43" s="1"/>
  <c r="C51" i="43" s="1"/>
  <c r="C52" i="43" s="1"/>
  <c r="C53" i="43" s="1"/>
  <c r="C54" i="43" s="1"/>
  <c r="C55" i="43" s="1"/>
  <c r="C56" i="43" s="1"/>
  <c r="C57" i="43" s="1"/>
  <c r="C58" i="43" s="1"/>
  <c r="C59" i="43" s="1"/>
  <c r="C60" i="43" s="1"/>
  <c r="C61" i="43" s="1"/>
  <c r="C62" i="43" s="1"/>
  <c r="C63" i="43" s="1"/>
  <c r="C64" i="43" s="1"/>
  <c r="C65" i="43" s="1"/>
  <c r="C66" i="43" s="1"/>
  <c r="C67" i="43" s="1"/>
  <c r="C68" i="43" s="1"/>
  <c r="C69" i="43" s="1"/>
  <c r="C70" i="43" s="1"/>
  <c r="C71" i="43" s="1"/>
  <c r="C72" i="43" s="1"/>
  <c r="C100" i="43"/>
  <c r="C101" i="43" s="1"/>
  <c r="C102" i="43" s="1"/>
  <c r="C103" i="43" s="1"/>
  <c r="C104" i="43" s="1"/>
  <c r="C105" i="43" s="1"/>
  <c r="C106" i="43" s="1"/>
  <c r="C107" i="43" s="1"/>
  <c r="C108" i="43" s="1"/>
  <c r="C109" i="43" s="1"/>
  <c r="C110" i="43" s="1"/>
  <c r="C111" i="43" s="1"/>
  <c r="C112" i="43" s="1"/>
  <c r="C113" i="43" s="1"/>
  <c r="C114" i="43" s="1"/>
  <c r="C115" i="43" s="1"/>
  <c r="C116" i="43" s="1"/>
  <c r="C117" i="43" s="1"/>
  <c r="C118" i="43" s="1"/>
  <c r="C119" i="43" s="1"/>
  <c r="C120" i="43" s="1"/>
  <c r="C121" i="43" s="1"/>
  <c r="C122" i="43" s="1"/>
  <c r="C123" i="43" s="1"/>
  <c r="C124" i="43" s="1"/>
  <c r="C125" i="43" s="1"/>
  <c r="C126" i="43" s="1"/>
  <c r="C127" i="43" s="1"/>
  <c r="C128" i="43" s="1"/>
  <c r="C129" i="43" s="1"/>
  <c r="C130" i="43" s="1"/>
  <c r="C131" i="43" s="1"/>
  <c r="C132" i="43" s="1"/>
  <c r="C133" i="43" s="1"/>
  <c r="C134" i="43" s="1"/>
  <c r="C135" i="43" s="1"/>
  <c r="C136" i="43" s="1"/>
  <c r="C137" i="43" s="1"/>
  <c r="C138" i="43" s="1"/>
  <c r="C139" i="43" s="1"/>
  <c r="C140" i="43" s="1"/>
  <c r="C141" i="43" s="1"/>
  <c r="C142" i="43" s="1"/>
  <c r="C143" i="43" s="1"/>
  <c r="C144" i="43" s="1"/>
  <c r="C145" i="43" s="1"/>
  <c r="C146" i="43" s="1"/>
  <c r="C147" i="43" s="1"/>
  <c r="C148" i="43" s="1"/>
  <c r="C149" i="43" s="1"/>
  <c r="C150" i="43" s="1"/>
  <c r="C151" i="43" s="1"/>
  <c r="C152" i="43" s="1"/>
  <c r="C153" i="43" s="1"/>
  <c r="C154" i="43" s="1"/>
  <c r="O17" i="40"/>
  <c r="P99" i="39"/>
  <c r="O18" i="39"/>
  <c r="B19" i="38"/>
  <c r="P99" i="37"/>
  <c r="O17" i="37"/>
  <c r="O20" i="37"/>
  <c r="B103" i="28"/>
  <c r="B22" i="28"/>
  <c r="B109" i="8"/>
  <c r="B27" i="3"/>
  <c r="C45" i="13"/>
  <c r="C46" i="13" s="1"/>
  <c r="C47" i="13" s="1"/>
  <c r="C48" i="13" s="1"/>
  <c r="C49" i="13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/>
  <c r="C66" i="13" s="1"/>
  <c r="C67" i="13" s="1"/>
  <c r="C68" i="13" s="1"/>
  <c r="C69" i="13" s="1"/>
  <c r="C70" i="13" s="1"/>
  <c r="C71" i="13" s="1"/>
  <c r="C72" i="13" s="1"/>
  <c r="B101" i="30"/>
  <c r="O23" i="7"/>
  <c r="B104" i="27"/>
  <c r="C45" i="4"/>
  <c r="C46" i="4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45" i="3"/>
  <c r="C46" i="3" s="1"/>
  <c r="C47" i="3" s="1"/>
  <c r="C48" i="3" s="1"/>
  <c r="C49" i="3" s="1"/>
  <c r="C50" i="3" s="1"/>
  <c r="C51" i="3" s="1"/>
  <c r="C52" i="3" s="1"/>
  <c r="C53" i="3"/>
  <c r="C54" i="3" s="1"/>
  <c r="C55" i="3" s="1"/>
  <c r="C56" i="3" s="1"/>
  <c r="C57" i="3" s="1"/>
  <c r="C58" i="3" s="1"/>
  <c r="C59" i="3" s="1"/>
  <c r="C60" i="3" s="1"/>
  <c r="C61" i="3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O19" i="3"/>
  <c r="O21" i="11"/>
  <c r="P103" i="11"/>
  <c r="P101" i="11"/>
  <c r="C100" i="24"/>
  <c r="C101" i="24"/>
  <c r="C102" i="24" s="1"/>
  <c r="C103" i="24" s="1"/>
  <c r="C104" i="24"/>
  <c r="C105" i="24" s="1"/>
  <c r="C106" i="24" s="1"/>
  <c r="C107" i="24" s="1"/>
  <c r="C108" i="24" s="1"/>
  <c r="C109" i="24" s="1"/>
  <c r="C110" i="24" s="1"/>
  <c r="C111" i="24" s="1"/>
  <c r="C112" i="24" s="1"/>
  <c r="C113" i="24" s="1"/>
  <c r="C114" i="24" s="1"/>
  <c r="C115" i="24" s="1"/>
  <c r="C116" i="24" s="1"/>
  <c r="C117" i="24" s="1"/>
  <c r="C118" i="24" s="1"/>
  <c r="C119" i="24" s="1"/>
  <c r="C120" i="24" s="1"/>
  <c r="C121" i="24" s="1"/>
  <c r="C122" i="24" s="1"/>
  <c r="C123" i="24" s="1"/>
  <c r="C124" i="24" s="1"/>
  <c r="C125" i="24" s="1"/>
  <c r="C126" i="24" s="1"/>
  <c r="C127" i="24" s="1"/>
  <c r="C128" i="24" s="1"/>
  <c r="C129" i="24" s="1"/>
  <c r="C130" i="24" s="1"/>
  <c r="C131" i="24" s="1"/>
  <c r="C132" i="24" s="1"/>
  <c r="C133" i="24" s="1"/>
  <c r="C134" i="24" s="1"/>
  <c r="C135" i="24" s="1"/>
  <c r="C136" i="24" s="1"/>
  <c r="C137" i="24" s="1"/>
  <c r="C138" i="24" s="1"/>
  <c r="D99" i="24"/>
  <c r="P99" i="4"/>
  <c r="P100" i="6"/>
  <c r="P104" i="7"/>
  <c r="P99" i="7"/>
  <c r="O20" i="7"/>
  <c r="P103" i="10"/>
  <c r="P99" i="10"/>
  <c r="O18" i="22"/>
  <c r="P99" i="5"/>
  <c r="O22" i="7"/>
  <c r="P102" i="11"/>
  <c r="O21" i="10"/>
  <c r="O17" i="4"/>
  <c r="P100" i="5"/>
  <c r="O19" i="7"/>
  <c r="P100" i="11"/>
  <c r="O20" i="11"/>
  <c r="P99" i="22"/>
  <c r="O22" i="4"/>
  <c r="O23" i="6"/>
  <c r="P100" i="24"/>
  <c r="O17" i="28"/>
  <c r="O27" i="7"/>
  <c r="P102" i="10"/>
  <c r="P99" i="11"/>
  <c r="O19" i="11"/>
  <c r="P99" i="25"/>
  <c r="P100" i="25"/>
  <c r="P106" i="7"/>
  <c r="O24" i="9"/>
  <c r="O25" i="10"/>
  <c r="P99" i="27"/>
  <c r="P103" i="6"/>
  <c r="P103" i="5"/>
  <c r="P99" i="28"/>
  <c r="O24" i="4"/>
  <c r="O27" i="9"/>
  <c r="P107" i="8"/>
  <c r="O27" i="11"/>
  <c r="O23" i="23"/>
  <c r="O20" i="28"/>
  <c r="P101" i="29"/>
  <c r="P109" i="10"/>
  <c r="P105" i="22"/>
  <c r="P103" i="24"/>
  <c r="P102" i="27"/>
  <c r="P103" i="23"/>
  <c r="O19" i="29"/>
  <c r="C139" i="24"/>
  <c r="C140" i="24" s="1"/>
  <c r="C141" i="24" s="1"/>
  <c r="C142" i="24" s="1"/>
  <c r="C143" i="24" s="1"/>
  <c r="C144" i="24" s="1"/>
  <c r="C145" i="24" s="1"/>
  <c r="C146" i="24" s="1"/>
  <c r="C147" i="24" s="1"/>
  <c r="C148" i="24" s="1"/>
  <c r="C149" i="24" s="1"/>
  <c r="C150" i="24" s="1"/>
  <c r="C151" i="24" s="1"/>
  <c r="C152" i="24" s="1"/>
  <c r="C153" i="24" s="1"/>
  <c r="C154" i="24" s="1"/>
  <c r="B111" i="10"/>
  <c r="B100" i="38"/>
  <c r="J109" i="11"/>
  <c r="B103" i="29"/>
  <c r="J102" i="29"/>
  <c r="B22" i="27"/>
  <c r="B102" i="30"/>
  <c r="J110" i="10"/>
  <c r="B100" i="39"/>
  <c r="B103" i="31"/>
  <c r="J99" i="37"/>
  <c r="B105" i="24"/>
  <c r="J99" i="38"/>
  <c r="B111" i="7"/>
  <c r="B107" i="25"/>
  <c r="B108" i="3"/>
  <c r="B108" i="4"/>
  <c r="B106" i="23"/>
  <c r="I22" i="27"/>
  <c r="B110" i="9"/>
  <c r="J99" i="39"/>
  <c r="J109" i="9"/>
  <c r="J105" i="23"/>
  <c r="J106" i="25"/>
  <c r="J110" i="7"/>
  <c r="J104" i="24"/>
  <c r="J107" i="4"/>
  <c r="J107" i="3"/>
  <c r="J102" i="31"/>
  <c r="J101" i="30"/>
  <c r="O19" i="39"/>
  <c r="C45" i="38"/>
  <c r="C46" i="38" s="1"/>
  <c r="C47" i="38" s="1"/>
  <c r="C48" i="38" s="1"/>
  <c r="C49" i="38" s="1"/>
  <c r="C50" i="38" s="1"/>
  <c r="C51" i="38" s="1"/>
  <c r="C52" i="38" s="1"/>
  <c r="C53" i="38" s="1"/>
  <c r="C54" i="38" s="1"/>
  <c r="C55" i="38" s="1"/>
  <c r="C56" i="38" s="1"/>
  <c r="C57" i="38" s="1"/>
  <c r="C58" i="38" s="1"/>
  <c r="C59" i="38" s="1"/>
  <c r="C60" i="38" s="1"/>
  <c r="C61" i="38" s="1"/>
  <c r="C62" i="38" s="1"/>
  <c r="C63" i="38" s="1"/>
  <c r="C64" i="38" s="1"/>
  <c r="C65" i="38" s="1"/>
  <c r="C66" i="38" s="1"/>
  <c r="C67" i="38" s="1"/>
  <c r="C68" i="38" s="1"/>
  <c r="C69" i="38" s="1"/>
  <c r="C70" i="38" s="1"/>
  <c r="C71" i="38" s="1"/>
  <c r="C72" i="38" s="1"/>
  <c r="I10" i="44"/>
  <c r="I10" i="46"/>
  <c r="I10" i="43"/>
  <c r="O54" i="17"/>
  <c r="C54" i="17"/>
  <c r="N54" i="17"/>
  <c r="F54" i="17"/>
  <c r="D54" i="17"/>
  <c r="E54" i="17"/>
  <c r="I12" i="22" l="1"/>
  <c r="I13" i="22" s="1"/>
  <c r="I12" i="23"/>
  <c r="I13" i="23" s="1"/>
  <c r="I12" i="30"/>
  <c r="I13" i="30" s="1"/>
  <c r="I12" i="11"/>
  <c r="I13" i="11" s="1"/>
  <c r="O29" i="5"/>
  <c r="O26" i="37"/>
  <c r="O45" i="40"/>
  <c r="O67" i="45"/>
  <c r="I12" i="31"/>
  <c r="I13" i="31" s="1"/>
  <c r="I12" i="8"/>
  <c r="I13" i="8" s="1"/>
  <c r="I12" i="29"/>
  <c r="I13" i="29" s="1"/>
  <c r="I12" i="27"/>
  <c r="I13" i="27" s="1"/>
  <c r="I12" i="5"/>
  <c r="I13" i="5" s="1"/>
  <c r="I12" i="10"/>
  <c r="I13" i="10" s="1"/>
  <c r="F18" i="1"/>
  <c r="I12" i="39"/>
  <c r="I13" i="39" s="1"/>
  <c r="I12" i="7"/>
  <c r="I13" i="7" s="1"/>
  <c r="I12" i="41"/>
  <c r="I13" i="41" s="1"/>
  <c r="I12" i="9"/>
  <c r="I13" i="9" s="1"/>
  <c r="I12" i="6"/>
  <c r="I13" i="6" s="1"/>
  <c r="I12" i="4"/>
  <c r="I13" i="4" s="1"/>
  <c r="C77" i="1"/>
  <c r="I12" i="40"/>
  <c r="I13" i="40" s="1"/>
  <c r="I12" i="38"/>
  <c r="I13" i="38" s="1"/>
  <c r="I12" i="13"/>
  <c r="I13" i="13" s="1"/>
  <c r="I12" i="28"/>
  <c r="I13" i="28" s="1"/>
  <c r="I12" i="3"/>
  <c r="I13" i="3" s="1"/>
  <c r="I12" i="25"/>
  <c r="I13" i="25" s="1"/>
  <c r="C59" i="1"/>
  <c r="O46" i="23"/>
  <c r="O31" i="9"/>
  <c r="O25" i="27"/>
  <c r="O29" i="27"/>
  <c r="O37" i="27"/>
  <c r="O39" i="27"/>
  <c r="O45" i="27"/>
  <c r="O47" i="27"/>
  <c r="O51" i="27"/>
  <c r="O53" i="27"/>
  <c r="O55" i="27"/>
  <c r="O57" i="27"/>
  <c r="O61" i="27"/>
  <c r="O65" i="27"/>
  <c r="O67" i="27"/>
  <c r="O39" i="28"/>
  <c r="O43" i="22"/>
  <c r="O37" i="22"/>
  <c r="O31" i="22"/>
  <c r="O64" i="29"/>
  <c r="O48" i="5"/>
  <c r="O40" i="5"/>
  <c r="O38" i="5"/>
  <c r="O39" i="6"/>
  <c r="O54" i="13"/>
  <c r="O50" i="13"/>
  <c r="O46" i="13"/>
  <c r="O38" i="38"/>
  <c r="O25" i="44"/>
  <c r="O51" i="45"/>
  <c r="O55" i="45"/>
  <c r="O71" i="45"/>
  <c r="O57" i="44"/>
  <c r="O31" i="39"/>
  <c r="O35" i="39"/>
  <c r="O45" i="39"/>
  <c r="O67" i="39"/>
  <c r="O22" i="37"/>
  <c r="O24" i="37"/>
  <c r="O28" i="37"/>
  <c r="O30" i="37"/>
  <c r="O32" i="37"/>
  <c r="O36" i="37"/>
  <c r="O38" i="37"/>
  <c r="O50" i="37"/>
  <c r="O54" i="37"/>
  <c r="O58" i="37"/>
  <c r="O60" i="37"/>
  <c r="O62" i="37"/>
  <c r="O66" i="37"/>
  <c r="O68" i="37"/>
  <c r="O70" i="37"/>
  <c r="O25" i="31"/>
  <c r="O35" i="31"/>
  <c r="O37" i="31"/>
  <c r="O41" i="31"/>
  <c r="O51" i="31"/>
  <c r="O59" i="31"/>
  <c r="O67" i="31"/>
  <c r="O69" i="31"/>
  <c r="O71" i="31"/>
  <c r="O52" i="30"/>
  <c r="O70" i="23"/>
  <c r="O64" i="23"/>
  <c r="O60" i="23"/>
  <c r="O58" i="23"/>
  <c r="O54" i="23"/>
  <c r="O50" i="23"/>
  <c r="O42" i="23"/>
  <c r="O62" i="8"/>
  <c r="O58" i="9"/>
  <c r="O33" i="23"/>
  <c r="O38" i="9"/>
  <c r="O53" i="28"/>
  <c r="O57" i="28"/>
  <c r="O71" i="28"/>
  <c r="O52" i="29"/>
  <c r="O72" i="31"/>
  <c r="O49" i="42"/>
  <c r="O51" i="42"/>
  <c r="O33" i="27"/>
  <c r="O69" i="44"/>
  <c r="F17" i="1"/>
  <c r="O55" i="7"/>
  <c r="O49" i="7"/>
  <c r="O71" i="13"/>
  <c r="O69" i="13"/>
  <c r="O65" i="13"/>
  <c r="O63" i="13"/>
  <c r="O61" i="13"/>
  <c r="O59" i="13"/>
  <c r="O57" i="13"/>
  <c r="O45" i="13"/>
  <c r="O41" i="13"/>
  <c r="O35" i="13"/>
  <c r="O25" i="13"/>
  <c r="O23" i="13"/>
  <c r="O21" i="13"/>
  <c r="O19" i="13"/>
  <c r="O71" i="22"/>
  <c r="O67" i="22"/>
  <c r="O59" i="22"/>
  <c r="O47" i="22"/>
  <c r="O41" i="22"/>
  <c r="O39" i="22"/>
  <c r="O29" i="22"/>
  <c r="O72" i="25"/>
  <c r="O68" i="25"/>
  <c r="O64" i="25"/>
  <c r="O62" i="25"/>
  <c r="O60" i="25"/>
  <c r="O56" i="25"/>
  <c r="O54" i="25"/>
  <c r="O50" i="25"/>
  <c r="O48" i="25"/>
  <c r="O44" i="25"/>
  <c r="O36" i="25"/>
  <c r="O34" i="25"/>
  <c r="O30" i="25"/>
  <c r="O28" i="25"/>
  <c r="O23" i="30"/>
  <c r="O47" i="30"/>
  <c r="O54" i="40"/>
  <c r="O60" i="40"/>
  <c r="O52" i="44"/>
  <c r="D94" i="5"/>
  <c r="D94" i="13"/>
  <c r="F91" i="1"/>
  <c r="F92" i="1" s="1"/>
  <c r="F93" i="1" s="1"/>
  <c r="D13" i="27" s="1"/>
  <c r="I14" i="27" s="1"/>
  <c r="O33" i="44"/>
  <c r="O41" i="44"/>
  <c r="O65" i="44"/>
  <c r="D94" i="6"/>
  <c r="O69" i="11"/>
  <c r="O37" i="11"/>
  <c r="O71" i="24"/>
  <c r="O61" i="24"/>
  <c r="O37" i="24"/>
  <c r="O67" i="29"/>
  <c r="O23" i="31"/>
  <c r="O27" i="31"/>
  <c r="O47" i="31"/>
  <c r="O59" i="45"/>
  <c r="O49" i="44"/>
  <c r="O33" i="41"/>
  <c r="O57" i="41"/>
  <c r="O24" i="40"/>
  <c r="O26" i="40"/>
  <c r="O28" i="40"/>
  <c r="O30" i="40"/>
  <c r="O32" i="40"/>
  <c r="O34" i="40"/>
  <c r="O36" i="40"/>
  <c r="O38" i="40"/>
  <c r="O40" i="40"/>
  <c r="O42" i="40"/>
  <c r="O44" i="40"/>
  <c r="O46" i="40"/>
  <c r="O50" i="40"/>
  <c r="O52" i="40"/>
  <c r="O56" i="40"/>
  <c r="O58" i="40"/>
  <c r="O62" i="40"/>
  <c r="O64" i="40"/>
  <c r="O66" i="40"/>
  <c r="O70" i="40"/>
  <c r="O72" i="40"/>
  <c r="O25" i="39"/>
  <c r="O41" i="39"/>
  <c r="O51" i="39"/>
  <c r="O55" i="39"/>
  <c r="O31" i="38"/>
  <c r="O65" i="38"/>
  <c r="O26" i="29"/>
  <c r="O34" i="29"/>
  <c r="O36" i="29"/>
  <c r="O40" i="29"/>
  <c r="O50" i="29"/>
  <c r="O56" i="29"/>
  <c r="O43" i="27"/>
  <c r="O53" i="9"/>
  <c r="O69" i="7"/>
  <c r="O65" i="7"/>
  <c r="O57" i="7"/>
  <c r="O51" i="7"/>
  <c r="O45" i="7"/>
  <c r="O39" i="7"/>
  <c r="O31" i="7"/>
  <c r="O67" i="6"/>
  <c r="O47" i="6"/>
  <c r="O71" i="4"/>
  <c r="O55" i="4"/>
  <c r="O62" i="3"/>
  <c r="O34" i="3"/>
  <c r="J92" i="25"/>
  <c r="M87" i="25" s="1"/>
  <c r="J92" i="10"/>
  <c r="J92" i="42"/>
  <c r="L86" i="42" s="1"/>
  <c r="J92" i="30"/>
  <c r="L86" i="30" s="1"/>
  <c r="J92" i="40"/>
  <c r="L86" i="40" s="1"/>
  <c r="M19" i="2"/>
  <c r="J92" i="8"/>
  <c r="L86" i="8" s="1"/>
  <c r="J92" i="24"/>
  <c r="L86" i="24" s="1"/>
  <c r="J92" i="7"/>
  <c r="L86" i="7" s="1"/>
  <c r="J92" i="4"/>
  <c r="L86" i="4" s="1"/>
  <c r="J92" i="3"/>
  <c r="M87" i="3" s="1"/>
  <c r="J92" i="31"/>
  <c r="L86" i="31" s="1"/>
  <c r="J92" i="5"/>
  <c r="L86" i="5" s="1"/>
  <c r="J92" i="11"/>
  <c r="M87" i="11" s="1"/>
  <c r="J92" i="29"/>
  <c r="L86" i="29" s="1"/>
  <c r="J92" i="27"/>
  <c r="L86" i="27" s="1"/>
  <c r="J92" i="44"/>
  <c r="N87" i="44" s="1"/>
  <c r="J92" i="37"/>
  <c r="L86" i="37" s="1"/>
  <c r="J92" i="28"/>
  <c r="J92" i="13"/>
  <c r="L86" i="13" s="1"/>
  <c r="J92" i="43"/>
  <c r="N87" i="43" s="1"/>
  <c r="J92" i="9"/>
  <c r="N87" i="9" s="1"/>
  <c r="J92" i="23"/>
  <c r="L86" i="23" s="1"/>
  <c r="A4" i="2"/>
  <c r="J92" i="6"/>
  <c r="L86" i="6" s="1"/>
  <c r="J92" i="38"/>
  <c r="L86" i="38" s="1"/>
  <c r="J92" i="22"/>
  <c r="M87" i="22" s="1"/>
  <c r="J92" i="39"/>
  <c r="N87" i="39" s="1"/>
  <c r="O22" i="46"/>
  <c r="O26" i="46"/>
  <c r="O28" i="46"/>
  <c r="O30" i="46"/>
  <c r="O32" i="46"/>
  <c r="O46" i="46"/>
  <c r="O58" i="46"/>
  <c r="O62" i="46"/>
  <c r="D18" i="46"/>
  <c r="O34" i="46"/>
  <c r="O35" i="46"/>
  <c r="O43" i="46"/>
  <c r="O51" i="46"/>
  <c r="O69" i="46"/>
  <c r="C45" i="46"/>
  <c r="C46" i="46" s="1"/>
  <c r="C47" i="46" s="1"/>
  <c r="C48" i="46" s="1"/>
  <c r="C49" i="46" s="1"/>
  <c r="C50" i="46" s="1"/>
  <c r="C51" i="46" s="1"/>
  <c r="C52" i="46" s="1"/>
  <c r="C53" i="46" s="1"/>
  <c r="C54" i="46" s="1"/>
  <c r="C55" i="46" s="1"/>
  <c r="C56" i="46" s="1"/>
  <c r="C57" i="46" s="1"/>
  <c r="C58" i="46" s="1"/>
  <c r="C59" i="46" s="1"/>
  <c r="C60" i="46" s="1"/>
  <c r="C61" i="46" s="1"/>
  <c r="C62" i="46" s="1"/>
  <c r="C63" i="46" s="1"/>
  <c r="C64" i="46" s="1"/>
  <c r="C65" i="46" s="1"/>
  <c r="C66" i="46" s="1"/>
  <c r="C67" i="46" s="1"/>
  <c r="C68" i="46" s="1"/>
  <c r="C69" i="46" s="1"/>
  <c r="C70" i="46" s="1"/>
  <c r="C71" i="46" s="1"/>
  <c r="C72" i="46" s="1"/>
  <c r="P47" i="17"/>
  <c r="O17" i="46"/>
  <c r="O33" i="46"/>
  <c r="O39" i="46"/>
  <c r="O41" i="46"/>
  <c r="O49" i="46"/>
  <c r="O57" i="46"/>
  <c r="O65" i="46"/>
  <c r="O71" i="46"/>
  <c r="O55" i="41"/>
  <c r="O20" i="39"/>
  <c r="O24" i="39"/>
  <c r="O26" i="39"/>
  <c r="O32" i="39"/>
  <c r="O34" i="39"/>
  <c r="O38" i="39"/>
  <c r="O40" i="39"/>
  <c r="O44" i="39"/>
  <c r="O56" i="39"/>
  <c r="O58" i="39"/>
  <c r="O60" i="39"/>
  <c r="O64" i="39"/>
  <c r="O72" i="39"/>
  <c r="O28" i="43"/>
  <c r="O44" i="43"/>
  <c r="O17" i="41"/>
  <c r="O48" i="39"/>
  <c r="O21" i="28"/>
  <c r="O23" i="28"/>
  <c r="O25" i="28"/>
  <c r="O27" i="28"/>
  <c r="O29" i="28"/>
  <c r="O31" i="28"/>
  <c r="O35" i="28"/>
  <c r="O45" i="28"/>
  <c r="O47" i="28"/>
  <c r="O59" i="28"/>
  <c r="O61" i="28"/>
  <c r="O65" i="28"/>
  <c r="O67" i="28"/>
  <c r="O71" i="25"/>
  <c r="O65" i="25"/>
  <c r="O63" i="25"/>
  <c r="O57" i="25"/>
  <c r="O55" i="25"/>
  <c r="O53" i="25"/>
  <c r="O51" i="25"/>
  <c r="O71" i="23"/>
  <c r="O69" i="23"/>
  <c r="O65" i="23"/>
  <c r="O63" i="23"/>
  <c r="O61" i="23"/>
  <c r="O59" i="23"/>
  <c r="O57" i="23"/>
  <c r="O55" i="23"/>
  <c r="O47" i="23"/>
  <c r="O43" i="23"/>
  <c r="O37" i="23"/>
  <c r="O28" i="11"/>
  <c r="O35" i="10"/>
  <c r="O29" i="10"/>
  <c r="O28" i="9"/>
  <c r="O44" i="4"/>
  <c r="O26" i="3"/>
  <c r="P154" i="6"/>
  <c r="P150" i="6"/>
  <c r="P146" i="6"/>
  <c r="P144" i="6"/>
  <c r="P138" i="6"/>
  <c r="P136" i="6"/>
  <c r="P134" i="6"/>
  <c r="P132" i="6"/>
  <c r="P122" i="6"/>
  <c r="P116" i="6"/>
  <c r="P114" i="6"/>
  <c r="O31" i="45"/>
  <c r="O33" i="45"/>
  <c r="O41" i="45"/>
  <c r="B18" i="44"/>
  <c r="O17" i="42"/>
  <c r="O21" i="42"/>
  <c r="O45" i="42"/>
  <c r="O22" i="43"/>
  <c r="O60" i="43"/>
  <c r="O18" i="43"/>
  <c r="O26" i="43"/>
  <c r="O32" i="43"/>
  <c r="O36" i="43"/>
  <c r="O38" i="43"/>
  <c r="O48" i="43"/>
  <c r="O52" i="43"/>
  <c r="O54" i="43"/>
  <c r="O64" i="43"/>
  <c r="O68" i="43"/>
  <c r="O20" i="43"/>
  <c r="O40" i="43"/>
  <c r="O56" i="43"/>
  <c r="O70" i="43"/>
  <c r="O72" i="43"/>
  <c r="O37" i="42"/>
  <c r="O43" i="42"/>
  <c r="O53" i="42"/>
  <c r="O55" i="42"/>
  <c r="O59" i="42"/>
  <c r="O61" i="42"/>
  <c r="O21" i="41"/>
  <c r="O25" i="41"/>
  <c r="O27" i="41"/>
  <c r="O29" i="41"/>
  <c r="O31" i="41"/>
  <c r="O35" i="41"/>
  <c r="O45" i="41"/>
  <c r="O47" i="41"/>
  <c r="O59" i="41"/>
  <c r="O61" i="41"/>
  <c r="O63" i="41"/>
  <c r="O65" i="41"/>
  <c r="O67" i="41"/>
  <c r="O71" i="41"/>
  <c r="O19" i="38"/>
  <c r="O21" i="38"/>
  <c r="O29" i="38"/>
  <c r="O35" i="38"/>
  <c r="O39" i="38"/>
  <c r="O59" i="38"/>
  <c r="O61" i="38"/>
  <c r="O63" i="38"/>
  <c r="O67" i="38"/>
  <c r="O69" i="38"/>
  <c r="O71" i="38"/>
  <c r="O31" i="31"/>
  <c r="O33" i="31"/>
  <c r="O39" i="31"/>
  <c r="O43" i="31"/>
  <c r="O45" i="31"/>
  <c r="O49" i="28"/>
  <c r="O69" i="28"/>
  <c r="O72" i="28"/>
  <c r="O27" i="27"/>
  <c r="O49" i="27"/>
  <c r="O67" i="24"/>
  <c r="O65" i="24"/>
  <c r="O63" i="24"/>
  <c r="O55" i="24"/>
  <c r="O53" i="24"/>
  <c r="O47" i="24"/>
  <c r="O35" i="24"/>
  <c r="O33" i="24"/>
  <c r="O27" i="24"/>
  <c r="O25" i="24"/>
  <c r="O41" i="23"/>
  <c r="O39" i="23"/>
  <c r="O35" i="23"/>
  <c r="O31" i="23"/>
  <c r="O27" i="23"/>
  <c r="O67" i="11"/>
  <c r="O63" i="9"/>
  <c r="O61" i="9"/>
  <c r="O57" i="9"/>
  <c r="O51" i="9"/>
  <c r="O47" i="9"/>
  <c r="O72" i="8"/>
  <c r="O70" i="8"/>
  <c r="O68" i="8"/>
  <c r="O66" i="8"/>
  <c r="O60" i="8"/>
  <c r="O56" i="8"/>
  <c r="O54" i="8"/>
  <c r="O52" i="8"/>
  <c r="O50" i="8"/>
  <c r="O39" i="8"/>
  <c r="O57" i="6"/>
  <c r="O55" i="6"/>
  <c r="O51" i="6"/>
  <c r="O49" i="6"/>
  <c r="O45" i="6"/>
  <c r="O72" i="10"/>
  <c r="O66" i="10"/>
  <c r="O62" i="10"/>
  <c r="O60" i="10"/>
  <c r="O58" i="10"/>
  <c r="O56" i="10"/>
  <c r="O52" i="10"/>
  <c r="O46" i="10"/>
  <c r="O40" i="10"/>
  <c r="O38" i="10"/>
  <c r="O36" i="10"/>
  <c r="O32" i="10"/>
  <c r="O67" i="9"/>
  <c r="O65" i="9"/>
  <c r="O59" i="9"/>
  <c r="O49" i="9"/>
  <c r="O48" i="8"/>
  <c r="O67" i="7"/>
  <c r="O59" i="7"/>
  <c r="O53" i="7"/>
  <c r="O35" i="6"/>
  <c r="O33" i="6"/>
  <c r="O31" i="6"/>
  <c r="O71" i="6"/>
  <c r="O65" i="6"/>
  <c r="O53" i="6"/>
  <c r="O68" i="3"/>
  <c r="O66" i="3"/>
  <c r="P130" i="45"/>
  <c r="P111" i="43"/>
  <c r="P115" i="43"/>
  <c r="P121" i="43"/>
  <c r="P112" i="29"/>
  <c r="P124" i="10"/>
  <c r="P123" i="5"/>
  <c r="P111" i="5"/>
  <c r="P153" i="5"/>
  <c r="P147" i="5"/>
  <c r="P145" i="5"/>
  <c r="P139" i="5"/>
  <c r="P131" i="5"/>
  <c r="P113" i="5"/>
  <c r="D94" i="4"/>
  <c r="D94" i="25"/>
  <c r="M87" i="23"/>
  <c r="P129" i="4"/>
  <c r="P113" i="4"/>
  <c r="C82" i="2"/>
  <c r="C59" i="2"/>
  <c r="C14" i="2"/>
  <c r="C39" i="2"/>
  <c r="C77" i="2"/>
  <c r="C80" i="2"/>
  <c r="N87" i="42"/>
  <c r="C28" i="2"/>
  <c r="C62" i="2"/>
  <c r="C10" i="2"/>
  <c r="C56" i="2"/>
  <c r="C8" i="2"/>
  <c r="C55" i="2"/>
  <c r="C73" i="2"/>
  <c r="L86" i="25"/>
  <c r="C50" i="2"/>
  <c r="C22" i="2"/>
  <c r="P107" i="38"/>
  <c r="P128" i="25"/>
  <c r="O45" i="3"/>
  <c r="O51" i="29"/>
  <c r="O69" i="29"/>
  <c r="O71" i="29"/>
  <c r="O58" i="30"/>
  <c r="O52" i="31"/>
  <c r="O20" i="38"/>
  <c r="O63" i="11"/>
  <c r="O57" i="11"/>
  <c r="O62" i="13"/>
  <c r="O44" i="6"/>
  <c r="O42" i="6"/>
  <c r="O40" i="6"/>
  <c r="O38" i="6"/>
  <c r="O36" i="6"/>
  <c r="O34" i="6"/>
  <c r="O32" i="6"/>
  <c r="O30" i="6"/>
  <c r="O49" i="25"/>
  <c r="O47" i="25"/>
  <c r="O45" i="25"/>
  <c r="O43" i="25"/>
  <c r="O54" i="46"/>
  <c r="O64" i="3"/>
  <c r="O60" i="3"/>
  <c r="O50" i="3"/>
  <c r="O46" i="3"/>
  <c r="O44" i="5"/>
  <c r="O41" i="7"/>
  <c r="O37" i="7"/>
  <c r="O35" i="7"/>
  <c r="O45" i="9"/>
  <c r="O43" i="9"/>
  <c r="O41" i="9"/>
  <c r="O37" i="9"/>
  <c r="O35" i="9"/>
  <c r="O33" i="9"/>
  <c r="O40" i="37"/>
  <c r="O25" i="46"/>
  <c r="O37" i="5"/>
  <c r="O48" i="7"/>
  <c r="O32" i="7"/>
  <c r="O64" i="7"/>
  <c r="O68" i="9"/>
  <c r="O62" i="9"/>
  <c r="O56" i="9"/>
  <c r="O42" i="9"/>
  <c r="O30" i="9"/>
  <c r="O36" i="23"/>
  <c r="O34" i="23"/>
  <c r="O32" i="23"/>
  <c r="O30" i="23"/>
  <c r="O39" i="25"/>
  <c r="O37" i="25"/>
  <c r="O33" i="25"/>
  <c r="O29" i="25"/>
  <c r="O24" i="27"/>
  <c r="O26" i="27"/>
  <c r="O28" i="27"/>
  <c r="O30" i="27"/>
  <c r="O32" i="27"/>
  <c r="O34" i="27"/>
  <c r="O36" i="27"/>
  <c r="O38" i="27"/>
  <c r="O40" i="27"/>
  <c r="O42" i="27"/>
  <c r="O44" i="27"/>
  <c r="O46" i="27"/>
  <c r="O52" i="27"/>
  <c r="O54" i="27"/>
  <c r="O56" i="27"/>
  <c r="O58" i="27"/>
  <c r="O60" i="27"/>
  <c r="O62" i="27"/>
  <c r="O64" i="27"/>
  <c r="O66" i="27"/>
  <c r="O68" i="27"/>
  <c r="O70" i="27"/>
  <c r="O72" i="27"/>
  <c r="O19" i="37"/>
  <c r="O21" i="37"/>
  <c r="O25" i="37"/>
  <c r="O27" i="37"/>
  <c r="O33" i="37"/>
  <c r="O37" i="37"/>
  <c r="O41" i="37"/>
  <c r="O43" i="37"/>
  <c r="O45" i="37"/>
  <c r="O47" i="37"/>
  <c r="O49" i="37"/>
  <c r="O51" i="37"/>
  <c r="O53" i="37"/>
  <c r="O55" i="37"/>
  <c r="O57" i="37"/>
  <c r="O63" i="37"/>
  <c r="O65" i="37"/>
  <c r="O67" i="37"/>
  <c r="O69" i="37"/>
  <c r="O71" i="37"/>
  <c r="O22" i="38"/>
  <c r="O26" i="38"/>
  <c r="O30" i="38"/>
  <c r="O44" i="38"/>
  <c r="O54" i="38"/>
  <c r="O58" i="38"/>
  <c r="O60" i="38"/>
  <c r="O72" i="38"/>
  <c r="O69" i="41"/>
  <c r="O42" i="3"/>
  <c r="O38" i="3"/>
  <c r="O42" i="5"/>
  <c r="O32" i="5"/>
  <c r="O30" i="5"/>
  <c r="O33" i="7"/>
  <c r="O72" i="11"/>
  <c r="O59" i="10"/>
  <c r="O55" i="10"/>
  <c r="O39" i="10"/>
  <c r="O69" i="22"/>
  <c r="O65" i="22"/>
  <c r="O55" i="22"/>
  <c r="O27" i="22"/>
  <c r="O72" i="23"/>
  <c r="O68" i="23"/>
  <c r="O66" i="23"/>
  <c r="O62" i="23"/>
  <c r="O40" i="23"/>
  <c r="O38" i="23"/>
  <c r="O58" i="25"/>
  <c r="O52" i="25"/>
  <c r="O42" i="25"/>
  <c r="O40" i="25"/>
  <c r="O38" i="25"/>
  <c r="O32" i="25"/>
  <c r="O26" i="25"/>
  <c r="O25" i="30"/>
  <c r="O39" i="30"/>
  <c r="O45" i="30"/>
  <c r="O49" i="30"/>
  <c r="O61" i="30"/>
  <c r="O65" i="30"/>
  <c r="O67" i="30"/>
  <c r="O65" i="40"/>
  <c r="O49" i="45"/>
  <c r="O19" i="43"/>
  <c r="O23" i="43"/>
  <c r="O39" i="43"/>
  <c r="O45" i="43"/>
  <c r="O71" i="43"/>
  <c r="O20" i="42"/>
  <c r="O22" i="42"/>
  <c r="O26" i="42"/>
  <c r="O28" i="42"/>
  <c r="O32" i="42"/>
  <c r="O36" i="42"/>
  <c r="O38" i="42"/>
  <c r="O40" i="42"/>
  <c r="O42" i="42"/>
  <c r="O44" i="42"/>
  <c r="O46" i="42"/>
  <c r="O48" i="42"/>
  <c r="O60" i="42"/>
  <c r="O64" i="42"/>
  <c r="O66" i="42"/>
  <c r="O72" i="42"/>
  <c r="O58" i="42"/>
  <c r="O68" i="42"/>
  <c r="O23" i="42"/>
  <c r="O31" i="42"/>
  <c r="O33" i="42"/>
  <c r="O35" i="42"/>
  <c r="O57" i="42"/>
  <c r="O63" i="42"/>
  <c r="O71" i="42"/>
  <c r="O22" i="41"/>
  <c r="O28" i="41"/>
  <c r="O38" i="41"/>
  <c r="O44" i="41"/>
  <c r="O46" i="41"/>
  <c r="O50" i="41"/>
  <c r="O56" i="41"/>
  <c r="O58" i="41"/>
  <c r="O64" i="41"/>
  <c r="O68" i="41"/>
  <c r="O70" i="41"/>
  <c r="O72" i="41"/>
  <c r="O19" i="40"/>
  <c r="O21" i="40"/>
  <c r="O23" i="40"/>
  <c r="O25" i="40"/>
  <c r="O27" i="40"/>
  <c r="O29" i="40"/>
  <c r="O31" i="40"/>
  <c r="O33" i="40"/>
  <c r="O35" i="40"/>
  <c r="O37" i="40"/>
  <c r="O39" i="40"/>
  <c r="O41" i="40"/>
  <c r="O43" i="40"/>
  <c r="O47" i="40"/>
  <c r="O49" i="40"/>
  <c r="O51" i="40"/>
  <c r="O53" i="40"/>
  <c r="O57" i="40"/>
  <c r="O59" i="40"/>
  <c r="O61" i="40"/>
  <c r="O63" i="40"/>
  <c r="O67" i="40"/>
  <c r="O69" i="40"/>
  <c r="O71" i="40"/>
  <c r="O41" i="30"/>
  <c r="O43" i="30"/>
  <c r="O51" i="30"/>
  <c r="O53" i="30"/>
  <c r="O57" i="30"/>
  <c r="O59" i="30"/>
  <c r="O63" i="30"/>
  <c r="O69" i="30"/>
  <c r="L20" i="30"/>
  <c r="O20" i="30" s="1"/>
  <c r="N87" i="25"/>
  <c r="O87" i="25" s="1"/>
  <c r="O69" i="24"/>
  <c r="O59" i="24"/>
  <c r="O49" i="24"/>
  <c r="O41" i="24"/>
  <c r="O72" i="24"/>
  <c r="O70" i="24"/>
  <c r="O64" i="24"/>
  <c r="O62" i="24"/>
  <c r="O60" i="24"/>
  <c r="O54" i="24"/>
  <c r="O52" i="24"/>
  <c r="O50" i="24"/>
  <c r="O46" i="24"/>
  <c r="O44" i="24"/>
  <c r="O42" i="24"/>
  <c r="O40" i="24"/>
  <c r="O38" i="24"/>
  <c r="O36" i="24"/>
  <c r="O34" i="24"/>
  <c r="O30" i="24"/>
  <c r="O28" i="24"/>
  <c r="O26" i="24"/>
  <c r="O24" i="23"/>
  <c r="O72" i="22"/>
  <c r="O70" i="22"/>
  <c r="O68" i="22"/>
  <c r="O66" i="22"/>
  <c r="O64" i="22"/>
  <c r="O62" i="22"/>
  <c r="O54" i="22"/>
  <c r="O44" i="22"/>
  <c r="O42" i="22"/>
  <c r="O40" i="22"/>
  <c r="O38" i="22"/>
  <c r="O36" i="22"/>
  <c r="O30" i="22"/>
  <c r="O70" i="11"/>
  <c r="O64" i="11"/>
  <c r="O62" i="11"/>
  <c r="O60" i="11"/>
  <c r="O58" i="11"/>
  <c r="O56" i="11"/>
  <c r="O54" i="11"/>
  <c r="O50" i="11"/>
  <c r="O40" i="11"/>
  <c r="O38" i="11"/>
  <c r="O36" i="11"/>
  <c r="O30" i="11"/>
  <c r="O71" i="10"/>
  <c r="O69" i="10"/>
  <c r="O47" i="10"/>
  <c r="O45" i="10"/>
  <c r="O37" i="10"/>
  <c r="O31" i="10"/>
  <c r="O71" i="8"/>
  <c r="O63" i="8"/>
  <c r="O57" i="8"/>
  <c r="O53" i="8"/>
  <c r="O51" i="8"/>
  <c r="O49" i="8"/>
  <c r="O44" i="8"/>
  <c r="O40" i="8"/>
  <c r="O64" i="8"/>
  <c r="O43" i="8"/>
  <c r="O29" i="7"/>
  <c r="O40" i="7"/>
  <c r="O70" i="6"/>
  <c r="O26" i="4"/>
  <c r="O72" i="3"/>
  <c r="O58" i="3"/>
  <c r="O48" i="3"/>
  <c r="O36" i="3"/>
  <c r="O69" i="6"/>
  <c r="O55" i="9"/>
  <c r="O64" i="4"/>
  <c r="O62" i="4"/>
  <c r="O60" i="4"/>
  <c r="O58" i="4"/>
  <c r="O56" i="4"/>
  <c r="O54" i="4"/>
  <c r="O52" i="4"/>
  <c r="O50" i="4"/>
  <c r="O48" i="4"/>
  <c r="O46" i="4"/>
  <c r="O42" i="4"/>
  <c r="O40" i="4"/>
  <c r="O38" i="4"/>
  <c r="O36" i="4"/>
  <c r="O34" i="4"/>
  <c r="O30" i="4"/>
  <c r="O67" i="10"/>
  <c r="O65" i="10"/>
  <c r="O63" i="10"/>
  <c r="O61" i="10"/>
  <c r="O53" i="10"/>
  <c r="O49" i="10"/>
  <c r="O61" i="11"/>
  <c r="O51" i="11"/>
  <c r="O49" i="11"/>
  <c r="O41" i="11"/>
  <c r="O39" i="11"/>
  <c r="O33" i="11"/>
  <c r="O70" i="13"/>
  <c r="O68" i="13"/>
  <c r="O66" i="13"/>
  <c r="O64" i="13"/>
  <c r="O60" i="13"/>
  <c r="O58" i="13"/>
  <c r="O56" i="13"/>
  <c r="O52" i="13"/>
  <c r="O48" i="13"/>
  <c r="O42" i="13"/>
  <c r="O36" i="13"/>
  <c r="O34" i="13"/>
  <c r="O28" i="13"/>
  <c r="O26" i="13"/>
  <c r="O22" i="13"/>
  <c r="O20" i="13"/>
  <c r="O19" i="42"/>
  <c r="O71" i="3"/>
  <c r="O69" i="3"/>
  <c r="O67" i="3"/>
  <c r="O61" i="3"/>
  <c r="O57" i="3"/>
  <c r="O55" i="3"/>
  <c r="O53" i="3"/>
  <c r="O51" i="3"/>
  <c r="O47" i="3"/>
  <c r="O43" i="3"/>
  <c r="O41" i="3"/>
  <c r="O39" i="3"/>
  <c r="O37" i="3"/>
  <c r="O33" i="28"/>
  <c r="O63" i="28"/>
  <c r="O24" i="29"/>
  <c r="O42" i="29"/>
  <c r="O46" i="29"/>
  <c r="O48" i="29"/>
  <c r="O54" i="29"/>
  <c r="O58" i="29"/>
  <c r="O60" i="29"/>
  <c r="O62" i="29"/>
  <c r="O66" i="29"/>
  <c r="O70" i="29"/>
  <c r="O21" i="30"/>
  <c r="O29" i="30"/>
  <c r="O31" i="30"/>
  <c r="O33" i="30"/>
  <c r="O35" i="30"/>
  <c r="O37" i="30"/>
  <c r="O47" i="45"/>
  <c r="O68" i="6"/>
  <c r="O66" i="6"/>
  <c r="O36" i="28"/>
  <c r="O40" i="28"/>
  <c r="O24" i="30"/>
  <c r="O32" i="30"/>
  <c r="O40" i="30"/>
  <c r="O42" i="30"/>
  <c r="O50" i="30"/>
  <c r="O54" i="30"/>
  <c r="O56" i="30"/>
  <c r="O60" i="30"/>
  <c r="O62" i="30"/>
  <c r="O64" i="30"/>
  <c r="O66" i="30"/>
  <c r="O70" i="30"/>
  <c r="O22" i="31"/>
  <c r="O24" i="31"/>
  <c r="O26" i="31"/>
  <c r="O30" i="31"/>
  <c r="O42" i="31"/>
  <c r="O44" i="31"/>
  <c r="O48" i="31"/>
  <c r="O50" i="31"/>
  <c r="O54" i="31"/>
  <c r="O64" i="31"/>
  <c r="O66" i="31"/>
  <c r="O68" i="31"/>
  <c r="O21" i="43"/>
  <c r="O29" i="43"/>
  <c r="O31" i="43"/>
  <c r="O37" i="43"/>
  <c r="O47" i="43"/>
  <c r="O53" i="43"/>
  <c r="O55" i="43"/>
  <c r="O61" i="43"/>
  <c r="O63" i="43"/>
  <c r="O69" i="43"/>
  <c r="O20" i="44"/>
  <c r="O43" i="6"/>
  <c r="C10" i="1"/>
  <c r="C28" i="1"/>
  <c r="C61" i="1"/>
  <c r="C79" i="1"/>
  <c r="C73" i="1"/>
  <c r="C55" i="1"/>
  <c r="C8" i="1"/>
  <c r="C62" i="1"/>
  <c r="F14" i="1"/>
  <c r="E19" i="1" s="1"/>
  <c r="F19" i="1" s="1"/>
  <c r="C82" i="1"/>
  <c r="C76" i="1"/>
  <c r="C39" i="1"/>
  <c r="C50" i="1"/>
  <c r="C22" i="1"/>
  <c r="C56" i="1"/>
  <c r="C14" i="1"/>
  <c r="O24" i="28"/>
  <c r="O26" i="28"/>
  <c r="O28" i="28"/>
  <c r="O30" i="28"/>
  <c r="O34" i="28"/>
  <c r="O38" i="28"/>
  <c r="O42" i="28"/>
  <c r="O52" i="28"/>
  <c r="O54" i="28"/>
  <c r="O58" i="28"/>
  <c r="O60" i="28"/>
  <c r="O62" i="28"/>
  <c r="O64" i="28"/>
  <c r="O66" i="28"/>
  <c r="O68" i="28"/>
  <c r="O70" i="28"/>
  <c r="O23" i="29"/>
  <c r="O33" i="29"/>
  <c r="O35" i="29"/>
  <c r="O37" i="29"/>
  <c r="O39" i="29"/>
  <c r="O41" i="29"/>
  <c r="O43" i="29"/>
  <c r="O45" i="29"/>
  <c r="O47" i="29"/>
  <c r="O49" i="29"/>
  <c r="O53" i="29"/>
  <c r="O57" i="29"/>
  <c r="O59" i="29"/>
  <c r="O61" i="29"/>
  <c r="O63" i="29"/>
  <c r="O65" i="29"/>
  <c r="O30" i="30"/>
  <c r="O68" i="30"/>
  <c r="O28" i="31"/>
  <c r="O32" i="31"/>
  <c r="O36" i="31"/>
  <c r="O56" i="31"/>
  <c r="O60" i="31"/>
  <c r="O62" i="31"/>
  <c r="O70" i="31"/>
  <c r="O28" i="38"/>
  <c r="O32" i="38"/>
  <c r="O34" i="38"/>
  <c r="O40" i="38"/>
  <c r="O52" i="39"/>
  <c r="O68" i="39"/>
  <c r="O70" i="39"/>
  <c r="O41" i="43"/>
  <c r="O49" i="43"/>
  <c r="O51" i="43"/>
  <c r="O34" i="44"/>
  <c r="O62" i="44"/>
  <c r="O68" i="44"/>
  <c r="O72" i="44"/>
  <c r="O28" i="45"/>
  <c r="O44" i="45"/>
  <c r="O58" i="45"/>
  <c r="O60" i="45"/>
  <c r="O72" i="45"/>
  <c r="P153" i="4"/>
  <c r="P131" i="4"/>
  <c r="P121" i="4"/>
  <c r="P119" i="4"/>
  <c r="P117" i="4"/>
  <c r="P111" i="4"/>
  <c r="P114" i="5"/>
  <c r="O31" i="5"/>
  <c r="O72" i="6"/>
  <c r="O18" i="13"/>
  <c r="F17" i="13"/>
  <c r="H17" i="13" s="1"/>
  <c r="O63" i="27"/>
  <c r="O65" i="4"/>
  <c r="O63" i="4"/>
  <c r="O61" i="4"/>
  <c r="O59" i="4"/>
  <c r="O57" i="4"/>
  <c r="O53" i="4"/>
  <c r="O51" i="4"/>
  <c r="O64" i="6"/>
  <c r="O56" i="6"/>
  <c r="O54" i="6"/>
  <c r="O52" i="6"/>
  <c r="O50" i="6"/>
  <c r="O48" i="6"/>
  <c r="O46" i="6"/>
  <c r="O68" i="7"/>
  <c r="O54" i="7"/>
  <c r="O52" i="7"/>
  <c r="O50" i="7"/>
  <c r="O46" i="7"/>
  <c r="O44" i="7"/>
  <c r="O42" i="7"/>
  <c r="O38" i="7"/>
  <c r="O36" i="7"/>
  <c r="O69" i="8"/>
  <c r="O65" i="8"/>
  <c r="O61" i="8"/>
  <c r="O59" i="8"/>
  <c r="O55" i="8"/>
  <c r="O38" i="8"/>
  <c r="O36" i="8"/>
  <c r="O34" i="8"/>
  <c r="O32" i="8"/>
  <c r="O30" i="8"/>
  <c r="O70" i="9"/>
  <c r="O66" i="9"/>
  <c r="O64" i="9"/>
  <c r="O60" i="9"/>
  <c r="O52" i="9"/>
  <c r="O46" i="9"/>
  <c r="O44" i="9"/>
  <c r="O40" i="9"/>
  <c r="O36" i="9"/>
  <c r="O34" i="9"/>
  <c r="O32" i="9"/>
  <c r="O49" i="31"/>
  <c r="O53" i="31"/>
  <c r="O57" i="31"/>
  <c r="O61" i="31"/>
  <c r="O63" i="31"/>
  <c r="O65" i="31"/>
  <c r="O23" i="38"/>
  <c r="O23" i="39"/>
  <c r="O33" i="39"/>
  <c r="O37" i="39"/>
  <c r="O39" i="39"/>
  <c r="O43" i="39"/>
  <c r="O53" i="39"/>
  <c r="O57" i="39"/>
  <c r="O59" i="39"/>
  <c r="O61" i="39"/>
  <c r="O63" i="39"/>
  <c r="O69" i="39"/>
  <c r="O71" i="39"/>
  <c r="P121" i="41"/>
  <c r="P125" i="42"/>
  <c r="O53" i="44"/>
  <c r="O25" i="45"/>
  <c r="O55" i="46"/>
  <c r="O59" i="46"/>
  <c r="O26" i="41"/>
  <c r="O30" i="41"/>
  <c r="O40" i="41"/>
  <c r="O48" i="41"/>
  <c r="O50" i="42"/>
  <c r="O56" i="24"/>
  <c r="O61" i="25"/>
  <c r="O35" i="45"/>
  <c r="O37" i="45"/>
  <c r="O32" i="4"/>
  <c r="O28" i="4"/>
  <c r="O22" i="40"/>
  <c r="O44" i="44"/>
  <c r="O35" i="3"/>
  <c r="O33" i="3"/>
  <c r="O29" i="3"/>
  <c r="O52" i="3"/>
  <c r="O33" i="10"/>
  <c r="O51" i="22"/>
  <c r="O46" i="38"/>
  <c r="O50" i="38"/>
  <c r="O62" i="38"/>
  <c r="O68" i="38"/>
  <c r="O70" i="38"/>
  <c r="O23" i="41"/>
  <c r="O25" i="42"/>
  <c r="O39" i="42"/>
  <c r="O65" i="42"/>
  <c r="O67" i="42"/>
  <c r="O18" i="46"/>
  <c r="O39" i="4"/>
  <c r="O33" i="8"/>
  <c r="O72" i="37"/>
  <c r="O62" i="43"/>
  <c r="O37" i="44"/>
  <c r="O61" i="44"/>
  <c r="O19" i="45"/>
  <c r="O21" i="45"/>
  <c r="O62" i="45"/>
  <c r="O38" i="46"/>
  <c r="O56" i="46"/>
  <c r="O63" i="3"/>
  <c r="O70" i="4"/>
  <c r="O66" i="4"/>
  <c r="O50" i="10"/>
  <c r="O55" i="13"/>
  <c r="O53" i="13"/>
  <c r="O51" i="13"/>
  <c r="O49" i="13"/>
  <c r="O47" i="13"/>
  <c r="O33" i="13"/>
  <c r="O31" i="13"/>
  <c r="O39" i="24"/>
  <c r="O45" i="38"/>
  <c r="O53" i="38"/>
  <c r="O68" i="46"/>
  <c r="O27" i="29"/>
  <c r="O49" i="39"/>
  <c r="O43" i="43"/>
  <c r="O48" i="44"/>
  <c r="O54" i="44"/>
  <c r="O29" i="46"/>
  <c r="O72" i="46"/>
  <c r="D93" i="10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O67" i="4"/>
  <c r="O72" i="7"/>
  <c r="O70" i="7"/>
  <c r="O41" i="8"/>
  <c r="O37" i="8"/>
  <c r="O53" i="22"/>
  <c r="O38" i="31"/>
  <c r="O27" i="38"/>
  <c r="O52" i="38"/>
  <c r="O53" i="46"/>
  <c r="J96" i="13"/>
  <c r="F48" i="1"/>
  <c r="F52" i="1" s="1"/>
  <c r="O30" i="3"/>
  <c r="O36" i="5"/>
  <c r="O34" i="7"/>
  <c r="O59" i="11"/>
  <c r="O35" i="22"/>
  <c r="O53" i="23"/>
  <c r="O51" i="23"/>
  <c r="O45" i="23"/>
  <c r="O29" i="23"/>
  <c r="O51" i="24"/>
  <c r="O48" i="24"/>
  <c r="O32" i="24"/>
  <c r="O69" i="25"/>
  <c r="O37" i="28"/>
  <c r="O41" i="28"/>
  <c r="O55" i="28"/>
  <c r="O29" i="29"/>
  <c r="O31" i="29"/>
  <c r="O43" i="38"/>
  <c r="O22" i="39"/>
  <c r="O28" i="39"/>
  <c r="O30" i="39"/>
  <c r="O36" i="39"/>
  <c r="O24" i="41"/>
  <c r="O54" i="42"/>
  <c r="O36" i="44"/>
  <c r="O56" i="44"/>
  <c r="O58" i="44"/>
  <c r="O23" i="45"/>
  <c r="O27" i="45"/>
  <c r="O29" i="45"/>
  <c r="O36" i="45"/>
  <c r="O52" i="45"/>
  <c r="O63" i="45"/>
  <c r="O19" i="46"/>
  <c r="O42" i="46"/>
  <c r="O44" i="46"/>
  <c r="O52" i="46"/>
  <c r="O60" i="46"/>
  <c r="O64" i="46"/>
  <c r="O70" i="46"/>
  <c r="O56" i="3"/>
  <c r="O31" i="3"/>
  <c r="O72" i="4"/>
  <c r="O68" i="4"/>
  <c r="O47" i="4"/>
  <c r="O43" i="4"/>
  <c r="O41" i="4"/>
  <c r="O37" i="4"/>
  <c r="O33" i="4"/>
  <c r="O41" i="5"/>
  <c r="O39" i="5"/>
  <c r="O71" i="7"/>
  <c r="O68" i="10"/>
  <c r="O40" i="13"/>
  <c r="O38" i="13"/>
  <c r="O60" i="22"/>
  <c r="O58" i="22"/>
  <c r="O56" i="22"/>
  <c r="O52" i="22"/>
  <c r="O50" i="22"/>
  <c r="O48" i="22"/>
  <c r="O46" i="22"/>
  <c r="O34" i="22"/>
  <c r="O32" i="22"/>
  <c r="O47" i="38"/>
  <c r="O19" i="41"/>
  <c r="O34" i="41"/>
  <c r="O36" i="41"/>
  <c r="O52" i="41"/>
  <c r="O17" i="43"/>
  <c r="O25" i="43"/>
  <c r="O27" i="43"/>
  <c r="O35" i="43"/>
  <c r="O19" i="44"/>
  <c r="O21" i="44"/>
  <c r="O66" i="46"/>
  <c r="O33" i="5"/>
  <c r="O63" i="6"/>
  <c r="O42" i="8"/>
  <c r="O48" i="11"/>
  <c r="O44" i="11"/>
  <c r="O43" i="13"/>
  <c r="O29" i="13"/>
  <c r="O31" i="24"/>
  <c r="O29" i="24"/>
  <c r="O70" i="25"/>
  <c r="O66" i="25"/>
  <c r="O41" i="27"/>
  <c r="O32" i="28"/>
  <c r="O44" i="28"/>
  <c r="O46" i="28"/>
  <c r="O48" i="28"/>
  <c r="O25" i="29"/>
  <c r="O22" i="30"/>
  <c r="O28" i="30"/>
  <c r="O21" i="39"/>
  <c r="O42" i="39"/>
  <c r="O46" i="39"/>
  <c r="O50" i="39"/>
  <c r="O62" i="39"/>
  <c r="O18" i="41"/>
  <c r="O20" i="41"/>
  <c r="O37" i="41"/>
  <c r="O51" i="41"/>
  <c r="O53" i="41"/>
  <c r="O24" i="42"/>
  <c r="O34" i="42"/>
  <c r="O34" i="43"/>
  <c r="O22" i="44"/>
  <c r="O30" i="44"/>
  <c r="O20" i="45"/>
  <c r="O39" i="45"/>
  <c r="O43" i="45"/>
  <c r="O45" i="45"/>
  <c r="O57" i="45"/>
  <c r="O64" i="45"/>
  <c r="O66" i="45"/>
  <c r="O68" i="45"/>
  <c r="O70" i="45"/>
  <c r="O20" i="46"/>
  <c r="O24" i="46"/>
  <c r="O45" i="46"/>
  <c r="O47" i="46"/>
  <c r="O61" i="46"/>
  <c r="O67" i="46"/>
  <c r="O35" i="8"/>
  <c r="O54" i="3"/>
  <c r="O47" i="5"/>
  <c r="D94" i="37"/>
  <c r="D92" i="37"/>
  <c r="B100" i="37" s="1"/>
  <c r="O70" i="3"/>
  <c r="O44" i="3"/>
  <c r="O40" i="3"/>
  <c r="O32" i="3"/>
  <c r="O45" i="4"/>
  <c r="O35" i="4"/>
  <c r="O46" i="5"/>
  <c r="O35" i="5"/>
  <c r="O62" i="6"/>
  <c r="O60" i="6"/>
  <c r="O58" i="6"/>
  <c r="O66" i="7"/>
  <c r="O62" i="7"/>
  <c r="O60" i="7"/>
  <c r="O58" i="7"/>
  <c r="O56" i="7"/>
  <c r="O43" i="7"/>
  <c r="O67" i="8"/>
  <c r="O47" i="8"/>
  <c r="O72" i="9"/>
  <c r="O50" i="9"/>
  <c r="O48" i="9"/>
  <c r="O57" i="10"/>
  <c r="O51" i="10"/>
  <c r="O41" i="10"/>
  <c r="O71" i="11"/>
  <c r="O65" i="11"/>
  <c r="O52" i="11"/>
  <c r="O47" i="11"/>
  <c r="O45" i="11"/>
  <c r="O43" i="11"/>
  <c r="O34" i="11"/>
  <c r="O32" i="11"/>
  <c r="O44" i="13"/>
  <c r="O39" i="13"/>
  <c r="O37" i="13"/>
  <c r="O32" i="13"/>
  <c r="O30" i="13"/>
  <c r="O27" i="13"/>
  <c r="O67" i="23"/>
  <c r="O56" i="23"/>
  <c r="O28" i="23"/>
  <c r="O59" i="25"/>
  <c r="O35" i="27"/>
  <c r="O50" i="27"/>
  <c r="O71" i="27"/>
  <c r="O30" i="29"/>
  <c r="O32" i="29"/>
  <c r="O34" i="31"/>
  <c r="O40" i="31"/>
  <c r="O35" i="37"/>
  <c r="O64" i="37"/>
  <c r="O51" i="38"/>
  <c r="O27" i="39"/>
  <c r="O70" i="42"/>
  <c r="O46" i="43"/>
  <c r="O21" i="46"/>
  <c r="O43" i="10"/>
  <c r="O61" i="22"/>
  <c r="O49" i="22"/>
  <c r="O28" i="22"/>
  <c r="O48" i="23"/>
  <c r="O41" i="25"/>
  <c r="O35" i="25"/>
  <c r="O31" i="25"/>
  <c r="O27" i="25"/>
  <c r="O43" i="28"/>
  <c r="O51" i="28"/>
  <c r="O22" i="29"/>
  <c r="O59" i="37"/>
  <c r="O65" i="3"/>
  <c r="O28" i="3"/>
  <c r="O69" i="4"/>
  <c r="O31" i="4"/>
  <c r="O29" i="4"/>
  <c r="O45" i="5"/>
  <c r="O43" i="5"/>
  <c r="O34" i="5"/>
  <c r="O61" i="6"/>
  <c r="O59" i="6"/>
  <c r="O41" i="6"/>
  <c r="O37" i="6"/>
  <c r="O29" i="6"/>
  <c r="O63" i="7"/>
  <c r="O61" i="7"/>
  <c r="O46" i="8"/>
  <c r="O45" i="8"/>
  <c r="O31" i="8"/>
  <c r="O29" i="8"/>
  <c r="O71" i="9"/>
  <c r="O69" i="9"/>
  <c r="O54" i="9"/>
  <c r="O54" i="10"/>
  <c r="O44" i="10"/>
  <c r="O42" i="10"/>
  <c r="O34" i="10"/>
  <c r="O68" i="11"/>
  <c r="O55" i="11"/>
  <c r="O42" i="11"/>
  <c r="O31" i="11"/>
  <c r="O72" i="13"/>
  <c r="O24" i="13"/>
  <c r="O33" i="22"/>
  <c r="O66" i="24"/>
  <c r="O57" i="24"/>
  <c r="O22" i="28"/>
  <c r="O50" i="28"/>
  <c r="O56" i="28"/>
  <c r="O28" i="29"/>
  <c r="O26" i="30"/>
  <c r="O55" i="30"/>
  <c r="O33" i="38"/>
  <c r="O55" i="44"/>
  <c r="O47" i="39"/>
  <c r="O54" i="39"/>
  <c r="O20" i="40"/>
  <c r="O55" i="40"/>
  <c r="O49" i="41"/>
  <c r="O30" i="42"/>
  <c r="O41" i="42"/>
  <c r="O47" i="42"/>
  <c r="O57" i="43"/>
  <c r="O59" i="43"/>
  <c r="O65" i="43"/>
  <c r="O67" i="43"/>
  <c r="O23" i="44"/>
  <c r="O27" i="44"/>
  <c r="O31" i="44"/>
  <c r="O38" i="44"/>
  <c r="O40" i="44"/>
  <c r="O42" i="44"/>
  <c r="O46" i="44"/>
  <c r="O66" i="44"/>
  <c r="O17" i="45"/>
  <c r="O22" i="45"/>
  <c r="O30" i="45"/>
  <c r="O38" i="45"/>
  <c r="O46" i="45"/>
  <c r="O53" i="45"/>
  <c r="O36" i="46"/>
  <c r="O50" i="46"/>
  <c r="O38" i="29"/>
  <c r="O44" i="29"/>
  <c r="O55" i="29"/>
  <c r="O68" i="29"/>
  <c r="O72" i="29"/>
  <c r="O34" i="30"/>
  <c r="O36" i="30"/>
  <c r="O38" i="30"/>
  <c r="O44" i="30"/>
  <c r="O46" i="30"/>
  <c r="O48" i="30"/>
  <c r="O71" i="30"/>
  <c r="O29" i="31"/>
  <c r="O46" i="31"/>
  <c r="O58" i="31"/>
  <c r="O29" i="37"/>
  <c r="O31" i="37"/>
  <c r="O44" i="37"/>
  <c r="O46" i="37"/>
  <c r="O48" i="37"/>
  <c r="O61" i="37"/>
  <c r="O24" i="38"/>
  <c r="O41" i="38"/>
  <c r="O48" i="38"/>
  <c r="O55" i="38"/>
  <c r="O64" i="38"/>
  <c r="O66" i="38"/>
  <c r="O29" i="39"/>
  <c r="O66" i="39"/>
  <c r="O60" i="41"/>
  <c r="O69" i="42"/>
  <c r="O24" i="43"/>
  <c r="O30" i="43"/>
  <c r="O50" i="43"/>
  <c r="O35" i="44"/>
  <c r="O59" i="44"/>
  <c r="O70" i="44"/>
  <c r="O24" i="45"/>
  <c r="O32" i="45"/>
  <c r="O40" i="45"/>
  <c r="O48" i="45"/>
  <c r="O50" i="45"/>
  <c r="O69" i="45"/>
  <c r="O27" i="46"/>
  <c r="O40" i="46"/>
  <c r="O27" i="30"/>
  <c r="O72" i="30"/>
  <c r="O25" i="38"/>
  <c r="O36" i="38"/>
  <c r="O42" i="38"/>
  <c r="O49" i="38"/>
  <c r="O56" i="38"/>
  <c r="O65" i="39"/>
  <c r="O48" i="40"/>
  <c r="O32" i="41"/>
  <c r="O39" i="41"/>
  <c r="O41" i="41"/>
  <c r="O43" i="41"/>
  <c r="O27" i="42"/>
  <c r="O52" i="42"/>
  <c r="O56" i="42"/>
  <c r="O62" i="42"/>
  <c r="O42" i="43"/>
  <c r="O58" i="43"/>
  <c r="O66" i="43"/>
  <c r="O17" i="44"/>
  <c r="O24" i="44"/>
  <c r="O26" i="44"/>
  <c r="O32" i="44"/>
  <c r="O39" i="44"/>
  <c r="O43" i="44"/>
  <c r="O45" i="44"/>
  <c r="O47" i="44"/>
  <c r="O51" i="44"/>
  <c r="O63" i="44"/>
  <c r="O71" i="44"/>
  <c r="O26" i="45"/>
  <c r="O34" i="45"/>
  <c r="O42" i="45"/>
  <c r="O54" i="45"/>
  <c r="O56" i="45"/>
  <c r="O48" i="46"/>
  <c r="O63" i="46"/>
  <c r="C105" i="37"/>
  <c r="C106" i="37" s="1"/>
  <c r="C107" i="37" s="1"/>
  <c r="C108" i="37" s="1"/>
  <c r="C109" i="37" s="1"/>
  <c r="C110" i="37" s="1"/>
  <c r="C111" i="37" s="1"/>
  <c r="C112" i="37" s="1"/>
  <c r="C113" i="37" s="1"/>
  <c r="C114" i="37" s="1"/>
  <c r="C115" i="37" s="1"/>
  <c r="C116" i="37" s="1"/>
  <c r="C117" i="37" s="1"/>
  <c r="C118" i="37" s="1"/>
  <c r="C119" i="37" s="1"/>
  <c r="C120" i="37" s="1"/>
  <c r="C121" i="37" s="1"/>
  <c r="C122" i="37" s="1"/>
  <c r="C123" i="37" s="1"/>
  <c r="C124" i="37" s="1"/>
  <c r="C125" i="37" s="1"/>
  <c r="C126" i="37" s="1"/>
  <c r="C127" i="37" s="1"/>
  <c r="C128" i="37" s="1"/>
  <c r="C129" i="37" s="1"/>
  <c r="C130" i="37" s="1"/>
  <c r="C131" i="37" s="1"/>
  <c r="C132" i="37" s="1"/>
  <c r="C133" i="37" s="1"/>
  <c r="C134" i="37" s="1"/>
  <c r="C135" i="37" s="1"/>
  <c r="C136" i="37" s="1"/>
  <c r="C137" i="37" s="1"/>
  <c r="C138" i="37" s="1"/>
  <c r="C139" i="37" s="1"/>
  <c r="C140" i="37" s="1"/>
  <c r="C141" i="37" s="1"/>
  <c r="C142" i="37" s="1"/>
  <c r="C143" i="37" s="1"/>
  <c r="C144" i="37" s="1"/>
  <c r="C145" i="37" s="1"/>
  <c r="C146" i="37" s="1"/>
  <c r="C147" i="37" s="1"/>
  <c r="C148" i="37" s="1"/>
  <c r="C149" i="37" s="1"/>
  <c r="C150" i="37" s="1"/>
  <c r="C151" i="37" s="1"/>
  <c r="C152" i="37" s="1"/>
  <c r="C153" i="37" s="1"/>
  <c r="C154" i="37" s="1"/>
  <c r="C99" i="38"/>
  <c r="D94" i="39"/>
  <c r="C100" i="30"/>
  <c r="C101" i="30" s="1"/>
  <c r="C102" i="30" s="1"/>
  <c r="C103" i="30" s="1"/>
  <c r="C104" i="30" s="1"/>
  <c r="C105" i="30" s="1"/>
  <c r="C106" i="30" s="1"/>
  <c r="C107" i="30" s="1"/>
  <c r="C108" i="30" s="1"/>
  <c r="C109" i="30" s="1"/>
  <c r="C110" i="30" s="1"/>
  <c r="C111" i="30" s="1"/>
  <c r="C112" i="30" s="1"/>
  <c r="C113" i="30" s="1"/>
  <c r="C114" i="30" s="1"/>
  <c r="C115" i="30" s="1"/>
  <c r="C116" i="30" s="1"/>
  <c r="C117" i="30" s="1"/>
  <c r="C118" i="30" s="1"/>
  <c r="C119" i="30" s="1"/>
  <c r="C120" i="30" s="1"/>
  <c r="C121" i="30" s="1"/>
  <c r="C122" i="30" s="1"/>
  <c r="C123" i="30" s="1"/>
  <c r="C124" i="30" s="1"/>
  <c r="C125" i="30" s="1"/>
  <c r="C126" i="30" s="1"/>
  <c r="C127" i="30" s="1"/>
  <c r="C128" i="30" s="1"/>
  <c r="C129" i="30" s="1"/>
  <c r="C130" i="30" s="1"/>
  <c r="C131" i="30" s="1"/>
  <c r="C132" i="30" s="1"/>
  <c r="C133" i="30" s="1"/>
  <c r="C134" i="30" s="1"/>
  <c r="C135" i="30" s="1"/>
  <c r="C136" i="30" s="1"/>
  <c r="C137" i="30" s="1"/>
  <c r="C138" i="30" s="1"/>
  <c r="C139" i="30" s="1"/>
  <c r="C140" i="30" s="1"/>
  <c r="C141" i="30" s="1"/>
  <c r="C142" i="30" s="1"/>
  <c r="C143" i="30" s="1"/>
  <c r="C144" i="30" s="1"/>
  <c r="C145" i="30" s="1"/>
  <c r="C146" i="30" s="1"/>
  <c r="C147" i="30" s="1"/>
  <c r="C148" i="30" s="1"/>
  <c r="C149" i="30" s="1"/>
  <c r="C150" i="30" s="1"/>
  <c r="C151" i="30" s="1"/>
  <c r="C152" i="30" s="1"/>
  <c r="C153" i="30" s="1"/>
  <c r="C154" i="30" s="1"/>
  <c r="D94" i="30"/>
  <c r="D93" i="22"/>
  <c r="D93" i="31"/>
  <c r="C99" i="31" s="1"/>
  <c r="C100" i="31" s="1"/>
  <c r="C101" i="31" s="1"/>
  <c r="C102" i="31" s="1"/>
  <c r="C103" i="31" s="1"/>
  <c r="C104" i="31" s="1"/>
  <c r="C105" i="31" s="1"/>
  <c r="C106" i="31" s="1"/>
  <c r="C107" i="31" s="1"/>
  <c r="C108" i="31" s="1"/>
  <c r="C109" i="31" s="1"/>
  <c r="C110" i="31" s="1"/>
  <c r="C111" i="31" s="1"/>
  <c r="C112" i="31" s="1"/>
  <c r="C113" i="31" s="1"/>
  <c r="C114" i="31" s="1"/>
  <c r="C115" i="31" s="1"/>
  <c r="C116" i="31" s="1"/>
  <c r="C117" i="31" s="1"/>
  <c r="C118" i="31" s="1"/>
  <c r="C119" i="31" s="1"/>
  <c r="C120" i="31" s="1"/>
  <c r="C121" i="31" s="1"/>
  <c r="C122" i="31" s="1"/>
  <c r="C123" i="31" s="1"/>
  <c r="C124" i="31" s="1"/>
  <c r="C125" i="31" s="1"/>
  <c r="C126" i="31" s="1"/>
  <c r="C127" i="31" s="1"/>
  <c r="C128" i="31" s="1"/>
  <c r="C129" i="31" s="1"/>
  <c r="C130" i="31" s="1"/>
  <c r="C131" i="31" s="1"/>
  <c r="C132" i="31" s="1"/>
  <c r="C133" i="31" s="1"/>
  <c r="C134" i="31" s="1"/>
  <c r="C135" i="31" s="1"/>
  <c r="C136" i="31" s="1"/>
  <c r="C137" i="31" s="1"/>
  <c r="C138" i="31" s="1"/>
  <c r="C139" i="31" s="1"/>
  <c r="C140" i="31" s="1"/>
  <c r="C141" i="31" s="1"/>
  <c r="C142" i="31" s="1"/>
  <c r="C143" i="31" s="1"/>
  <c r="C144" i="31" s="1"/>
  <c r="C145" i="31" s="1"/>
  <c r="C146" i="31" s="1"/>
  <c r="C147" i="31" s="1"/>
  <c r="C148" i="31" s="1"/>
  <c r="C149" i="31" s="1"/>
  <c r="C150" i="31" s="1"/>
  <c r="C151" i="31" s="1"/>
  <c r="C152" i="31" s="1"/>
  <c r="C153" i="31" s="1"/>
  <c r="C154" i="31" s="1"/>
  <c r="C99" i="5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99" i="23"/>
  <c r="C100" i="23" s="1"/>
  <c r="C101" i="23" s="1"/>
  <c r="C102" i="23" s="1"/>
  <c r="C103" i="23" s="1"/>
  <c r="C104" i="23" s="1"/>
  <c r="C105" i="23" s="1"/>
  <c r="C106" i="23" s="1"/>
  <c r="C107" i="23" s="1"/>
  <c r="C108" i="23" s="1"/>
  <c r="C109" i="23" s="1"/>
  <c r="C110" i="23" s="1"/>
  <c r="C111" i="23" s="1"/>
  <c r="C112" i="23" s="1"/>
  <c r="C113" i="23" s="1"/>
  <c r="C114" i="23" s="1"/>
  <c r="C115" i="23" s="1"/>
  <c r="C116" i="23" s="1"/>
  <c r="C117" i="23" s="1"/>
  <c r="C118" i="23" s="1"/>
  <c r="C119" i="23" s="1"/>
  <c r="C120" i="23" s="1"/>
  <c r="C121" i="23" s="1"/>
  <c r="C122" i="23" s="1"/>
  <c r="C123" i="23" s="1"/>
  <c r="C124" i="23" s="1"/>
  <c r="C125" i="23" s="1"/>
  <c r="C126" i="23" s="1"/>
  <c r="C127" i="23" s="1"/>
  <c r="C128" i="23" s="1"/>
  <c r="C129" i="23" s="1"/>
  <c r="C130" i="23" s="1"/>
  <c r="C131" i="23" s="1"/>
  <c r="C132" i="23" s="1"/>
  <c r="C133" i="23" s="1"/>
  <c r="C134" i="23" s="1"/>
  <c r="C135" i="23" s="1"/>
  <c r="C136" i="23" s="1"/>
  <c r="C137" i="23" s="1"/>
  <c r="C138" i="23" s="1"/>
  <c r="C139" i="23" s="1"/>
  <c r="C140" i="23" s="1"/>
  <c r="C141" i="23" s="1"/>
  <c r="C142" i="23" s="1"/>
  <c r="C143" i="23" s="1"/>
  <c r="C144" i="23" s="1"/>
  <c r="C145" i="23" s="1"/>
  <c r="C146" i="23" s="1"/>
  <c r="C147" i="23" s="1"/>
  <c r="C148" i="23" s="1"/>
  <c r="C149" i="23" s="1"/>
  <c r="C150" i="23" s="1"/>
  <c r="C151" i="23" s="1"/>
  <c r="C152" i="23" s="1"/>
  <c r="C153" i="23" s="1"/>
  <c r="C154" i="23" s="1"/>
  <c r="D100" i="13"/>
  <c r="B100" i="13" s="1"/>
  <c r="P130" i="31"/>
  <c r="P104" i="41"/>
  <c r="P120" i="11"/>
  <c r="P104" i="28"/>
  <c r="P116" i="28"/>
  <c r="P126" i="28"/>
  <c r="P126" i="31"/>
  <c r="P102" i="39"/>
  <c r="P104" i="39"/>
  <c r="P106" i="39"/>
  <c r="P114" i="39"/>
  <c r="P120" i="39"/>
  <c r="P124" i="39"/>
  <c r="P126" i="39"/>
  <c r="P128" i="39"/>
  <c r="P130" i="39"/>
  <c r="P100" i="40"/>
  <c r="P102" i="40"/>
  <c r="P106" i="40"/>
  <c r="P128" i="40"/>
  <c r="P110" i="41"/>
  <c r="P112" i="41"/>
  <c r="P114" i="41"/>
  <c r="P116" i="41"/>
  <c r="P118" i="41"/>
  <c r="P100" i="42"/>
  <c r="P102" i="42"/>
  <c r="P114" i="42"/>
  <c r="P126" i="42"/>
  <c r="P128" i="42"/>
  <c r="P130" i="42"/>
  <c r="P110" i="43"/>
  <c r="P109" i="44"/>
  <c r="P125" i="44"/>
  <c r="P137" i="3"/>
  <c r="P113" i="3"/>
  <c r="P111" i="3"/>
  <c r="P109" i="3"/>
  <c r="P139" i="4"/>
  <c r="P135" i="4"/>
  <c r="P133" i="4"/>
  <c r="P127" i="4"/>
  <c r="P125" i="4"/>
  <c r="P123" i="4"/>
  <c r="P115" i="4"/>
  <c r="P133" i="7"/>
  <c r="P138" i="8"/>
  <c r="P136" i="8"/>
  <c r="P134" i="8"/>
  <c r="P132" i="8"/>
  <c r="P130" i="8"/>
  <c r="P128" i="8"/>
  <c r="P124" i="8"/>
  <c r="P122" i="8"/>
  <c r="P120" i="8"/>
  <c r="P118" i="8"/>
  <c r="P116" i="8"/>
  <c r="P112" i="8"/>
  <c r="P110" i="8"/>
  <c r="P152" i="10"/>
  <c r="P125" i="13"/>
  <c r="P126" i="22"/>
  <c r="P151" i="4"/>
  <c r="P149" i="4"/>
  <c r="P141" i="4"/>
  <c r="P109" i="4"/>
  <c r="P126" i="8"/>
  <c r="P134" i="3"/>
  <c r="P130" i="3"/>
  <c r="P132" i="7"/>
  <c r="P118" i="28"/>
  <c r="P118" i="39"/>
  <c r="P122" i="39"/>
  <c r="P104" i="40"/>
  <c r="P120" i="40"/>
  <c r="P104" i="42"/>
  <c r="P119" i="22"/>
  <c r="P118" i="9"/>
  <c r="P130" i="11"/>
  <c r="P124" i="46"/>
  <c r="P117" i="5"/>
  <c r="P126" i="24"/>
  <c r="P122" i="24"/>
  <c r="P114" i="24"/>
  <c r="P112" i="24"/>
  <c r="P108" i="24"/>
  <c r="N87" i="23"/>
  <c r="N87" i="13"/>
  <c r="P129" i="22"/>
  <c r="P125" i="22"/>
  <c r="P117" i="22"/>
  <c r="P115" i="22"/>
  <c r="P117" i="25"/>
  <c r="P112" i="27"/>
  <c r="P122" i="27"/>
  <c r="P111" i="29"/>
  <c r="P117" i="29"/>
  <c r="P129" i="29"/>
  <c r="P118" i="30"/>
  <c r="P126" i="30"/>
  <c r="P106" i="38"/>
  <c r="P108" i="38"/>
  <c r="P112" i="38"/>
  <c r="P114" i="38"/>
  <c r="P116" i="38"/>
  <c r="P118" i="38"/>
  <c r="P122" i="38"/>
  <c r="P124" i="38"/>
  <c r="P128" i="5"/>
  <c r="P126" i="5"/>
  <c r="P120" i="5"/>
  <c r="P118" i="5"/>
  <c r="P116" i="5"/>
  <c r="P128" i="11"/>
  <c r="P126" i="11"/>
  <c r="P124" i="11"/>
  <c r="P122" i="11"/>
  <c r="P118" i="11"/>
  <c r="P114" i="11"/>
  <c r="P112" i="11"/>
  <c r="P125" i="24"/>
  <c r="P119" i="24"/>
  <c r="P117" i="24"/>
  <c r="P115" i="24"/>
  <c r="P113" i="24"/>
  <c r="P111" i="24"/>
  <c r="P109" i="24"/>
  <c r="P101" i="37"/>
  <c r="P109" i="37"/>
  <c r="P154" i="3"/>
  <c r="P150" i="3"/>
  <c r="P146" i="3"/>
  <c r="P144" i="3"/>
  <c r="P142" i="3"/>
  <c r="P140" i="3"/>
  <c r="P136" i="3"/>
  <c r="P132" i="3"/>
  <c r="P128" i="3"/>
  <c r="P126" i="3"/>
  <c r="P124" i="3"/>
  <c r="P120" i="3"/>
  <c r="P112" i="3"/>
  <c r="P150" i="7"/>
  <c r="P138" i="7"/>
  <c r="P128" i="7"/>
  <c r="P126" i="7"/>
  <c r="P122" i="7"/>
  <c r="P114" i="7"/>
  <c r="P137" i="8"/>
  <c r="P137" i="10"/>
  <c r="P126" i="13"/>
  <c r="P117" i="23"/>
  <c r="P129" i="25"/>
  <c r="P123" i="25"/>
  <c r="P115" i="25"/>
  <c r="P117" i="28"/>
  <c r="P122" i="37"/>
  <c r="P128" i="37"/>
  <c r="P105" i="39"/>
  <c r="P115" i="39"/>
  <c r="P101" i="40"/>
  <c r="P105" i="40"/>
  <c r="P109" i="40"/>
  <c r="P113" i="40"/>
  <c r="P127" i="40"/>
  <c r="P129" i="40"/>
  <c r="P109" i="27"/>
  <c r="P110" i="29"/>
  <c r="P109" i="38"/>
  <c r="P111" i="38"/>
  <c r="P113" i="38"/>
  <c r="P117" i="38"/>
  <c r="P119" i="38"/>
  <c r="P123" i="38"/>
  <c r="P109" i="42"/>
  <c r="P108" i="28"/>
  <c r="P114" i="28"/>
  <c r="P124" i="28"/>
  <c r="P128" i="28"/>
  <c r="P104" i="31"/>
  <c r="P116" i="31"/>
  <c r="P120" i="31"/>
  <c r="P124" i="31"/>
  <c r="P128" i="31"/>
  <c r="P103" i="37"/>
  <c r="P105" i="37"/>
  <c r="P107" i="37"/>
  <c r="P111" i="37"/>
  <c r="P113" i="37"/>
  <c r="P115" i="37"/>
  <c r="P119" i="37"/>
  <c r="P125" i="37"/>
  <c r="P129" i="37"/>
  <c r="P126" i="45"/>
  <c r="P101" i="46"/>
  <c r="P129" i="46"/>
  <c r="J92" i="46"/>
  <c r="P105" i="28"/>
  <c r="P111" i="28"/>
  <c r="P111" i="40"/>
  <c r="P121" i="40"/>
  <c r="P102" i="37"/>
  <c r="P125" i="9"/>
  <c r="P115" i="31"/>
  <c r="P110" i="37"/>
  <c r="P114" i="37"/>
  <c r="P118" i="37"/>
  <c r="P126" i="37"/>
  <c r="P149" i="7"/>
  <c r="P145" i="7"/>
  <c r="P141" i="7"/>
  <c r="P137" i="7"/>
  <c r="P117" i="7"/>
  <c r="P105" i="27"/>
  <c r="P111" i="27"/>
  <c r="P113" i="27"/>
  <c r="P115" i="27"/>
  <c r="P119" i="27"/>
  <c r="P121" i="27"/>
  <c r="P125" i="27"/>
  <c r="P127" i="27"/>
  <c r="P129" i="27"/>
  <c r="P106" i="29"/>
  <c r="P108" i="29"/>
  <c r="P116" i="29"/>
  <c r="P118" i="29"/>
  <c r="P120" i="29"/>
  <c r="P118" i="31"/>
  <c r="P122" i="44"/>
  <c r="P104" i="37"/>
  <c r="P108" i="37"/>
  <c r="P120" i="37"/>
  <c r="P124" i="37"/>
  <c r="P130" i="37"/>
  <c r="P148" i="3"/>
  <c r="P138" i="3"/>
  <c r="P122" i="3"/>
  <c r="P110" i="3"/>
  <c r="P144" i="4"/>
  <c r="P140" i="4"/>
  <c r="P136" i="4"/>
  <c r="P124" i="4"/>
  <c r="P129" i="10"/>
  <c r="P127" i="10"/>
  <c r="P125" i="10"/>
  <c r="P123" i="10"/>
  <c r="P121" i="10"/>
  <c r="P119" i="10"/>
  <c r="P117" i="10"/>
  <c r="P115" i="10"/>
  <c r="P130" i="13"/>
  <c r="P128" i="13"/>
  <c r="P120" i="13"/>
  <c r="P116" i="13"/>
  <c r="P114" i="13"/>
  <c r="P112" i="13"/>
  <c r="P110" i="13"/>
  <c r="P108" i="13"/>
  <c r="P106" i="13"/>
  <c r="P104" i="13"/>
  <c r="P102" i="13"/>
  <c r="P100" i="13"/>
  <c r="P118" i="27"/>
  <c r="P124" i="27"/>
  <c r="P112" i="30"/>
  <c r="P116" i="30"/>
  <c r="P120" i="30"/>
  <c r="P124" i="30"/>
  <c r="P128" i="30"/>
  <c r="P100" i="41"/>
  <c r="P106" i="41"/>
  <c r="P122" i="41"/>
  <c r="P107" i="44"/>
  <c r="P111" i="44"/>
  <c r="C99" i="1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 s="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M87" i="5"/>
  <c r="C45" i="5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45" i="37"/>
  <c r="C46" i="37" s="1"/>
  <c r="C47" i="37" s="1"/>
  <c r="C48" i="37" s="1"/>
  <c r="C49" i="37" s="1"/>
  <c r="C50" i="37" s="1"/>
  <c r="C51" i="37" s="1"/>
  <c r="C52" i="37" s="1"/>
  <c r="C53" i="37" s="1"/>
  <c r="C54" i="37" s="1"/>
  <c r="C55" i="37" s="1"/>
  <c r="C56" i="37" s="1"/>
  <c r="C57" i="37" s="1"/>
  <c r="C58" i="37" s="1"/>
  <c r="C59" i="37" s="1"/>
  <c r="C60" i="37" s="1"/>
  <c r="C61" i="37" s="1"/>
  <c r="C62" i="37" s="1"/>
  <c r="C63" i="37" s="1"/>
  <c r="C64" i="37" s="1"/>
  <c r="C65" i="37" s="1"/>
  <c r="C66" i="37" s="1"/>
  <c r="C67" i="37" s="1"/>
  <c r="C68" i="37" s="1"/>
  <c r="C69" i="37" s="1"/>
  <c r="C70" i="37" s="1"/>
  <c r="C71" i="37" s="1"/>
  <c r="C72" i="37" s="1"/>
  <c r="N87" i="37"/>
  <c r="D92" i="46"/>
  <c r="C45" i="1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N87" i="11"/>
  <c r="C45" i="7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45" i="40"/>
  <c r="C46" i="40" s="1"/>
  <c r="C47" i="40" s="1"/>
  <c r="C48" i="40" s="1"/>
  <c r="C49" i="40" s="1"/>
  <c r="C50" i="40" s="1"/>
  <c r="C51" i="40" s="1"/>
  <c r="C52" i="40" s="1"/>
  <c r="C53" i="40" s="1"/>
  <c r="C54" i="40" s="1"/>
  <c r="C55" i="40" s="1"/>
  <c r="C56" i="40" s="1"/>
  <c r="C57" i="40" s="1"/>
  <c r="C58" i="40" s="1"/>
  <c r="C59" i="40" s="1"/>
  <c r="C60" i="40" s="1"/>
  <c r="C61" i="40" s="1"/>
  <c r="C62" i="40" s="1"/>
  <c r="C63" i="40" s="1"/>
  <c r="C64" i="40" s="1"/>
  <c r="C65" i="40" s="1"/>
  <c r="C66" i="40" s="1"/>
  <c r="C67" i="40" s="1"/>
  <c r="C68" i="40" s="1"/>
  <c r="C69" i="40" s="1"/>
  <c r="C70" i="40" s="1"/>
  <c r="C71" i="40" s="1"/>
  <c r="C72" i="40" s="1"/>
  <c r="M87" i="40"/>
  <c r="N87" i="41"/>
  <c r="C45" i="41"/>
  <c r="C46" i="41" s="1"/>
  <c r="C47" i="41" s="1"/>
  <c r="C48" i="41" s="1"/>
  <c r="C49" i="41" s="1"/>
  <c r="C50" i="41" s="1"/>
  <c r="C51" i="41" s="1"/>
  <c r="C52" i="41" s="1"/>
  <c r="C53" i="41" s="1"/>
  <c r="C54" i="41" s="1"/>
  <c r="C55" i="41" s="1"/>
  <c r="C56" i="41" s="1"/>
  <c r="C57" i="41" s="1"/>
  <c r="C58" i="41" s="1"/>
  <c r="C59" i="41" s="1"/>
  <c r="C60" i="41" s="1"/>
  <c r="C61" i="41" s="1"/>
  <c r="C62" i="41" s="1"/>
  <c r="C63" i="41" s="1"/>
  <c r="C64" i="41" s="1"/>
  <c r="C65" i="41" s="1"/>
  <c r="C66" i="41" s="1"/>
  <c r="C67" i="41" s="1"/>
  <c r="C68" i="41" s="1"/>
  <c r="C69" i="41" s="1"/>
  <c r="C70" i="41" s="1"/>
  <c r="C71" i="41" s="1"/>
  <c r="C72" i="41" s="1"/>
  <c r="M87" i="41"/>
  <c r="B18" i="46"/>
  <c r="C45" i="42"/>
  <c r="C46" i="42" s="1"/>
  <c r="C47" i="42" s="1"/>
  <c r="C48" i="42" s="1"/>
  <c r="C49" i="42" s="1"/>
  <c r="C50" i="42" s="1"/>
  <c r="C51" i="42" s="1"/>
  <c r="C52" i="42" s="1"/>
  <c r="C53" i="42" s="1"/>
  <c r="C54" i="42" s="1"/>
  <c r="C55" i="42" s="1"/>
  <c r="C56" i="42" s="1"/>
  <c r="C57" i="42" s="1"/>
  <c r="C58" i="42" s="1"/>
  <c r="C59" i="42" s="1"/>
  <c r="C60" i="42" s="1"/>
  <c r="C61" i="42" s="1"/>
  <c r="C62" i="42" s="1"/>
  <c r="C63" i="42" s="1"/>
  <c r="C64" i="42" s="1"/>
  <c r="C65" i="42" s="1"/>
  <c r="C66" i="42" s="1"/>
  <c r="C67" i="42" s="1"/>
  <c r="C68" i="42" s="1"/>
  <c r="C69" i="42" s="1"/>
  <c r="C70" i="42" s="1"/>
  <c r="C71" i="42" s="1"/>
  <c r="C72" i="42" s="1"/>
  <c r="D94" i="11"/>
  <c r="C99" i="4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B30" i="10"/>
  <c r="D93" i="29"/>
  <c r="C45" i="22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C45" i="10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B24" i="24"/>
  <c r="B18" i="42"/>
  <c r="N87" i="10"/>
  <c r="L86" i="10"/>
  <c r="M87" i="10"/>
  <c r="D94" i="9"/>
  <c r="D93" i="9"/>
  <c r="D94" i="8"/>
  <c r="D93" i="8"/>
  <c r="D93" i="7"/>
  <c r="D94" i="7"/>
  <c r="O18" i="24"/>
  <c r="O19" i="8"/>
  <c r="B28" i="8"/>
  <c r="B26" i="22"/>
  <c r="D13" i="29"/>
  <c r="I14" i="29" s="1"/>
  <c r="O59" i="3"/>
  <c r="O49" i="3"/>
  <c r="O49" i="4"/>
  <c r="F19" i="2"/>
  <c r="F20" i="2" s="1"/>
  <c r="O20" i="3"/>
  <c r="C100" i="3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N87" i="4"/>
  <c r="P99" i="9"/>
  <c r="O39" i="9"/>
  <c r="O70" i="10"/>
  <c r="O64" i="10"/>
  <c r="O18" i="11"/>
  <c r="O67" i="13"/>
  <c r="O17" i="13"/>
  <c r="O63" i="22"/>
  <c r="O45" i="22"/>
  <c r="P100" i="8"/>
  <c r="O47" i="7"/>
  <c r="O18" i="7"/>
  <c r="P100" i="9"/>
  <c r="P100" i="10"/>
  <c r="O48" i="10"/>
  <c r="O66" i="11"/>
  <c r="O53" i="11"/>
  <c r="O46" i="11"/>
  <c r="O35" i="11"/>
  <c r="O29" i="11"/>
  <c r="O57" i="22"/>
  <c r="P124" i="6"/>
  <c r="P118" i="6"/>
  <c r="O17" i="22"/>
  <c r="O21" i="6"/>
  <c r="P112" i="5"/>
  <c r="P110" i="5"/>
  <c r="P153" i="6"/>
  <c r="P151" i="6"/>
  <c r="P149" i="6"/>
  <c r="P143" i="6"/>
  <c r="P137" i="6"/>
  <c r="P117" i="6"/>
  <c r="P115" i="6"/>
  <c r="P113" i="6"/>
  <c r="P111" i="6"/>
  <c r="P151" i="8"/>
  <c r="P147" i="8"/>
  <c r="P145" i="8"/>
  <c r="P141" i="8"/>
  <c r="P139" i="8"/>
  <c r="P133" i="8"/>
  <c r="P131" i="8"/>
  <c r="P154" i="10"/>
  <c r="P150" i="10"/>
  <c r="P148" i="10"/>
  <c r="P144" i="10"/>
  <c r="P142" i="10"/>
  <c r="P140" i="10"/>
  <c r="P136" i="10"/>
  <c r="P118" i="10"/>
  <c r="P129" i="11"/>
  <c r="P117" i="11"/>
  <c r="P119" i="13"/>
  <c r="P109" i="13"/>
  <c r="P101" i="13"/>
  <c r="P127" i="23"/>
  <c r="P119" i="23"/>
  <c r="P107" i="23"/>
  <c r="O44" i="23"/>
  <c r="O58" i="24"/>
  <c r="O21" i="8"/>
  <c r="O22" i="9"/>
  <c r="O23" i="10"/>
  <c r="O31" i="27"/>
  <c r="O48" i="27"/>
  <c r="O69" i="27"/>
  <c r="P154" i="7"/>
  <c r="P152" i="7"/>
  <c r="P146" i="7"/>
  <c r="P144" i="7"/>
  <c r="P142" i="7"/>
  <c r="P140" i="7"/>
  <c r="P136" i="7"/>
  <c r="P124" i="7"/>
  <c r="P116" i="7"/>
  <c r="P122" i="23"/>
  <c r="P118" i="23"/>
  <c r="P110" i="23"/>
  <c r="O49" i="23"/>
  <c r="O26" i="23"/>
  <c r="O68" i="24"/>
  <c r="O45" i="24"/>
  <c r="O43" i="24"/>
  <c r="O67" i="25"/>
  <c r="O46" i="25"/>
  <c r="O22" i="11"/>
  <c r="O19" i="22"/>
  <c r="P119" i="25"/>
  <c r="I12" i="46"/>
  <c r="I12" i="45"/>
  <c r="I12" i="43"/>
  <c r="I13" i="43" s="1"/>
  <c r="P114" i="27"/>
  <c r="P116" i="27"/>
  <c r="P120" i="27"/>
  <c r="P126" i="27"/>
  <c r="P128" i="27"/>
  <c r="P130" i="27"/>
  <c r="O23" i="11"/>
  <c r="P104" i="6"/>
  <c r="O19" i="24"/>
  <c r="O21" i="25"/>
  <c r="O18" i="29"/>
  <c r="O17" i="30"/>
  <c r="O23" i="37"/>
  <c r="O42" i="37"/>
  <c r="P100" i="28"/>
  <c r="I12" i="44"/>
  <c r="J94" i="46"/>
  <c r="J95" i="46" s="1"/>
  <c r="J94" i="45"/>
  <c r="J95" i="45" s="1"/>
  <c r="J94" i="44"/>
  <c r="J95" i="44" s="1"/>
  <c r="O19" i="23"/>
  <c r="P103" i="25"/>
  <c r="O39" i="37"/>
  <c r="P109" i="28"/>
  <c r="P113" i="28"/>
  <c r="P119" i="28"/>
  <c r="P125" i="28"/>
  <c r="P113" i="29"/>
  <c r="P119" i="29"/>
  <c r="P121" i="29"/>
  <c r="P108" i="10"/>
  <c r="O22" i="23"/>
  <c r="O21" i="24"/>
  <c r="O19" i="28"/>
  <c r="O18" i="30"/>
  <c r="P100" i="31"/>
  <c r="O42" i="41"/>
  <c r="O54" i="41"/>
  <c r="P106" i="3"/>
  <c r="O28" i="7"/>
  <c r="O26" i="8"/>
  <c r="O68" i="40"/>
  <c r="P105" i="3"/>
  <c r="O25" i="6"/>
  <c r="O25" i="8"/>
  <c r="P107" i="9"/>
  <c r="P104" i="22"/>
  <c r="O20" i="27"/>
  <c r="P100" i="29"/>
  <c r="O62" i="41"/>
  <c r="O66" i="41"/>
  <c r="O18" i="42"/>
  <c r="P107" i="6"/>
  <c r="O25" i="25"/>
  <c r="P106" i="28"/>
  <c r="P112" i="28"/>
  <c r="P122" i="28"/>
  <c r="O37" i="38"/>
  <c r="O57" i="38"/>
  <c r="O29" i="42"/>
  <c r="O27" i="6"/>
  <c r="P101" i="30"/>
  <c r="P108" i="6"/>
  <c r="P110" i="7"/>
  <c r="P109" i="11"/>
  <c r="O21" i="31"/>
  <c r="O33" i="43"/>
  <c r="O18" i="44"/>
  <c r="P128" i="38"/>
  <c r="P130" i="38"/>
  <c r="P101" i="41"/>
  <c r="P127" i="41"/>
  <c r="P101" i="42"/>
  <c r="P113" i="42"/>
  <c r="P119" i="42"/>
  <c r="P123" i="42"/>
  <c r="P105" i="25"/>
  <c r="P101" i="28"/>
  <c r="P107" i="4"/>
  <c r="P109" i="9"/>
  <c r="P105" i="23"/>
  <c r="O21" i="29"/>
  <c r="P106" i="43"/>
  <c r="P112" i="43"/>
  <c r="P116" i="43"/>
  <c r="P122" i="43"/>
  <c r="O28" i="44"/>
  <c r="O50" i="44"/>
  <c r="O60" i="44"/>
  <c r="O67" i="44"/>
  <c r="O61" i="45"/>
  <c r="O23" i="46"/>
  <c r="O37" i="46"/>
  <c r="O29" i="44"/>
  <c r="O64" i="44"/>
  <c r="O65" i="45"/>
  <c r="O31" i="46"/>
  <c r="C18" i="45"/>
  <c r="C19" i="45" s="1"/>
  <c r="C20" i="45" s="1"/>
  <c r="C21" i="45" s="1"/>
  <c r="C22" i="45" s="1"/>
  <c r="C23" i="45" s="1"/>
  <c r="C24" i="45" s="1"/>
  <c r="C25" i="45" s="1"/>
  <c r="C26" i="45" s="1"/>
  <c r="C27" i="45" s="1"/>
  <c r="C28" i="45" s="1"/>
  <c r="C29" i="45" s="1"/>
  <c r="C30" i="45" s="1"/>
  <c r="C31" i="45" s="1"/>
  <c r="C32" i="45" s="1"/>
  <c r="C33" i="45" s="1"/>
  <c r="C34" i="45" s="1"/>
  <c r="C35" i="45" s="1"/>
  <c r="C36" i="45" s="1"/>
  <c r="C37" i="45" s="1"/>
  <c r="C38" i="45" s="1"/>
  <c r="C39" i="45" s="1"/>
  <c r="C40" i="45" s="1"/>
  <c r="C41" i="45" s="1"/>
  <c r="C42" i="45" s="1"/>
  <c r="C43" i="45" s="1"/>
  <c r="C44" i="45" s="1"/>
  <c r="P123" i="46"/>
  <c r="P122" i="45"/>
  <c r="P125" i="46"/>
  <c r="P120" i="28"/>
  <c r="P124" i="43"/>
  <c r="P114" i="45"/>
  <c r="P116" i="45"/>
  <c r="P118" i="45"/>
  <c r="P120" i="45"/>
  <c r="P128" i="45"/>
  <c r="P118" i="3"/>
  <c r="P148" i="6"/>
  <c r="P140" i="6"/>
  <c r="P112" i="7"/>
  <c r="P130" i="9"/>
  <c r="P126" i="9"/>
  <c r="P124" i="9"/>
  <c r="P120" i="9"/>
  <c r="P116" i="9"/>
  <c r="P114" i="9"/>
  <c r="P112" i="9"/>
  <c r="P124" i="22"/>
  <c r="P122" i="22"/>
  <c r="P125" i="25"/>
  <c r="P130" i="28"/>
  <c r="P115" i="44"/>
  <c r="P119" i="44"/>
  <c r="P121" i="44"/>
  <c r="P123" i="44"/>
  <c r="P127" i="44"/>
  <c r="P129" i="44"/>
  <c r="P123" i="28"/>
  <c r="P127" i="28"/>
  <c r="P122" i="29"/>
  <c r="P124" i="29"/>
  <c r="P126" i="29"/>
  <c r="P130" i="29"/>
  <c r="P107" i="30"/>
  <c r="P109" i="30"/>
  <c r="P113" i="30"/>
  <c r="P117" i="30"/>
  <c r="P119" i="30"/>
  <c r="P123" i="30"/>
  <c r="P125" i="30"/>
  <c r="P127" i="30"/>
  <c r="P129" i="30"/>
  <c r="P105" i="31"/>
  <c r="P107" i="31"/>
  <c r="P109" i="31"/>
  <c r="P119" i="43"/>
  <c r="P123" i="43"/>
  <c r="P149" i="3"/>
  <c r="P130" i="46"/>
  <c r="P147" i="3"/>
  <c r="P145" i="3"/>
  <c r="P143" i="3"/>
  <c r="P135" i="3"/>
  <c r="P133" i="3"/>
  <c r="P131" i="3"/>
  <c r="P127" i="3"/>
  <c r="P125" i="3"/>
  <c r="P121" i="3"/>
  <c r="P117" i="3"/>
  <c r="P115" i="3"/>
  <c r="P154" i="4"/>
  <c r="P152" i="4"/>
  <c r="P150" i="4"/>
  <c r="P148" i="4"/>
  <c r="P130" i="4"/>
  <c r="P122" i="4"/>
  <c r="P118" i="4"/>
  <c r="P116" i="4"/>
  <c r="P114" i="4"/>
  <c r="P112" i="4"/>
  <c r="P110" i="4"/>
  <c r="P142" i="5"/>
  <c r="P140" i="5"/>
  <c r="P136" i="5"/>
  <c r="P130" i="5"/>
  <c r="P148" i="7"/>
  <c r="P153" i="8"/>
  <c r="P130" i="10"/>
  <c r="P116" i="10"/>
  <c r="P127" i="11"/>
  <c r="P119" i="11"/>
  <c r="P115" i="11"/>
  <c r="P113" i="11"/>
  <c r="P111" i="13"/>
  <c r="P103" i="13"/>
  <c r="P116" i="22"/>
  <c r="P114" i="22"/>
  <c r="P110" i="22"/>
  <c r="P116" i="23"/>
  <c r="P120" i="25"/>
  <c r="P116" i="25"/>
  <c r="P114" i="25"/>
  <c r="P110" i="25"/>
  <c r="P108" i="25"/>
  <c r="P110" i="28"/>
  <c r="P103" i="41"/>
  <c r="P105" i="41"/>
  <c r="P107" i="41"/>
  <c r="P111" i="41"/>
  <c r="P113" i="41"/>
  <c r="P125" i="41"/>
  <c r="P129" i="41"/>
  <c r="P105" i="42"/>
  <c r="P121" i="42"/>
  <c r="P127" i="42"/>
  <c r="P102" i="43"/>
  <c r="P104" i="43"/>
  <c r="P114" i="43"/>
  <c r="P118" i="43"/>
  <c r="P127" i="43"/>
  <c r="P99" i="44"/>
  <c r="P100" i="44"/>
  <c r="P102" i="44"/>
  <c r="P103" i="44"/>
  <c r="P104" i="44"/>
  <c r="P106" i="44"/>
  <c r="P108" i="44"/>
  <c r="P110" i="44"/>
  <c r="P112" i="44"/>
  <c r="P114" i="44"/>
  <c r="P116" i="44"/>
  <c r="P120" i="44"/>
  <c r="P128" i="44"/>
  <c r="P130" i="44"/>
  <c r="P100" i="46"/>
  <c r="P106" i="46"/>
  <c r="P108" i="46"/>
  <c r="P120" i="46"/>
  <c r="P126" i="46"/>
  <c r="P145" i="4"/>
  <c r="P123" i="7"/>
  <c r="P121" i="7"/>
  <c r="P119" i="7"/>
  <c r="P113" i="7"/>
  <c r="P154" i="8"/>
  <c r="P150" i="8"/>
  <c r="P146" i="8"/>
  <c r="P144" i="8"/>
  <c r="P142" i="8"/>
  <c r="P121" i="9"/>
  <c r="P119" i="9"/>
  <c r="P115" i="9"/>
  <c r="P111" i="9"/>
  <c r="P107" i="39"/>
  <c r="P123" i="39"/>
  <c r="P127" i="39"/>
  <c r="P120" i="41"/>
  <c r="P124" i="41"/>
  <c r="P126" i="41"/>
  <c r="P128" i="41"/>
  <c r="P130" i="41"/>
  <c r="P106" i="42"/>
  <c r="P108" i="42"/>
  <c r="P110" i="42"/>
  <c r="P118" i="42"/>
  <c r="P120" i="42"/>
  <c r="P122" i="42"/>
  <c r="P99" i="46"/>
  <c r="P117" i="46"/>
  <c r="P147" i="4"/>
  <c r="P147" i="6"/>
  <c r="P145" i="6"/>
  <c r="P141" i="6"/>
  <c r="P139" i="6"/>
  <c r="P135" i="6"/>
  <c r="P133" i="6"/>
  <c r="P131" i="6"/>
  <c r="P129" i="6"/>
  <c r="P127" i="6"/>
  <c r="P125" i="6"/>
  <c r="P123" i="6"/>
  <c r="P121" i="6"/>
  <c r="P145" i="10"/>
  <c r="P112" i="22"/>
  <c r="P111" i="31"/>
  <c r="P117" i="31"/>
  <c r="P119" i="31"/>
  <c r="P121" i="31"/>
  <c r="P129" i="31"/>
  <c r="P102" i="38"/>
  <c r="P104" i="38"/>
  <c r="P126" i="38"/>
  <c r="P110" i="39"/>
  <c r="P112" i="39"/>
  <c r="P116" i="39"/>
  <c r="P115" i="42"/>
  <c r="P117" i="42"/>
  <c r="P109" i="46"/>
  <c r="P152" i="3"/>
  <c r="P116" i="3"/>
  <c r="P114" i="3"/>
  <c r="P137" i="4"/>
  <c r="P141" i="5"/>
  <c r="P149" i="8"/>
  <c r="P127" i="9"/>
  <c r="P121" i="22"/>
  <c r="P129" i="23"/>
  <c r="P125" i="23"/>
  <c r="P123" i="23"/>
  <c r="P121" i="23"/>
  <c r="P113" i="23"/>
  <c r="P108" i="27"/>
  <c r="P152" i="5"/>
  <c r="P148" i="5"/>
  <c r="P138" i="5"/>
  <c r="P134" i="5"/>
  <c r="P132" i="5"/>
  <c r="P127" i="5"/>
  <c r="P121" i="5"/>
  <c r="P119" i="5"/>
  <c r="P115" i="5"/>
  <c r="P152" i="6"/>
  <c r="P153" i="7"/>
  <c r="P143" i="7"/>
  <c r="P139" i="7"/>
  <c r="P125" i="7"/>
  <c r="P120" i="7"/>
  <c r="P118" i="7"/>
  <c r="P152" i="8"/>
  <c r="P148" i="8"/>
  <c r="P140" i="8"/>
  <c r="P129" i="8"/>
  <c r="P115" i="8"/>
  <c r="P128" i="9"/>
  <c r="P122" i="9"/>
  <c r="P146" i="10"/>
  <c r="P128" i="22"/>
  <c r="P120" i="22"/>
  <c r="P118" i="22"/>
  <c r="P101" i="38"/>
  <c r="P103" i="38"/>
  <c r="P105" i="38"/>
  <c r="P127" i="38"/>
  <c r="P129" i="38"/>
  <c r="P101" i="39"/>
  <c r="P103" i="39"/>
  <c r="P111" i="39"/>
  <c r="P117" i="39"/>
  <c r="P119" i="39"/>
  <c r="P121" i="39"/>
  <c r="P125" i="39"/>
  <c r="P129" i="39"/>
  <c r="P108" i="40"/>
  <c r="P110" i="40"/>
  <c r="P112" i="40"/>
  <c r="P114" i="40"/>
  <c r="P116" i="40"/>
  <c r="P118" i="40"/>
  <c r="P122" i="40"/>
  <c r="P115" i="41"/>
  <c r="P117" i="41"/>
  <c r="P119" i="45"/>
  <c r="M87" i="9"/>
  <c r="N87" i="28"/>
  <c r="L86" i="28"/>
  <c r="M87" i="45"/>
  <c r="N87" i="3"/>
  <c r="L86" i="45"/>
  <c r="M87" i="28"/>
  <c r="F48" i="2"/>
  <c r="F52" i="2" s="1"/>
  <c r="P120" i="6"/>
  <c r="P127" i="8"/>
  <c r="P123" i="8"/>
  <c r="P121" i="8"/>
  <c r="P117" i="8"/>
  <c r="P113" i="8"/>
  <c r="P113" i="9"/>
  <c r="P138" i="10"/>
  <c r="P123" i="11"/>
  <c r="P121" i="11"/>
  <c r="P129" i="13"/>
  <c r="P127" i="13"/>
  <c r="P115" i="13"/>
  <c r="P107" i="13"/>
  <c r="P105" i="13"/>
  <c r="P99" i="13"/>
  <c r="P113" i="22"/>
  <c r="P111" i="22"/>
  <c r="P109" i="22"/>
  <c r="P114" i="23"/>
  <c r="P125" i="38"/>
  <c r="P113" i="39"/>
  <c r="P109" i="45"/>
  <c r="P113" i="45"/>
  <c r="P121" i="45"/>
  <c r="P123" i="45"/>
  <c r="P125" i="45"/>
  <c r="P127" i="45"/>
  <c r="P153" i="3"/>
  <c r="P151" i="3"/>
  <c r="P141" i="3"/>
  <c r="P139" i="3"/>
  <c r="P129" i="3"/>
  <c r="P123" i="3"/>
  <c r="P119" i="3"/>
  <c r="P146" i="4"/>
  <c r="P138" i="4"/>
  <c r="P134" i="4"/>
  <c r="P128" i="4"/>
  <c r="P126" i="4"/>
  <c r="P120" i="4"/>
  <c r="P135" i="7"/>
  <c r="P147" i="10"/>
  <c r="P141" i="10"/>
  <c r="P139" i="10"/>
  <c r="P126" i="25"/>
  <c r="P124" i="25"/>
  <c r="P122" i="25"/>
  <c r="P118" i="25"/>
  <c r="J94" i="43"/>
  <c r="J94" i="13"/>
  <c r="J94" i="30"/>
  <c r="J95" i="30" s="1"/>
  <c r="J94" i="27"/>
  <c r="J95" i="27" s="1"/>
  <c r="J94" i="8"/>
  <c r="J95" i="8" s="1"/>
  <c r="J94" i="3"/>
  <c r="J95" i="3" s="1"/>
  <c r="J94" i="38"/>
  <c r="J94" i="25"/>
  <c r="J95" i="25" s="1"/>
  <c r="J94" i="28"/>
  <c r="J95" i="28" s="1"/>
  <c r="J94" i="7"/>
  <c r="J95" i="7" s="1"/>
  <c r="J94" i="9"/>
  <c r="J95" i="9" s="1"/>
  <c r="J94" i="4"/>
  <c r="J95" i="4" s="1"/>
  <c r="J94" i="6"/>
  <c r="J95" i="6" s="1"/>
  <c r="J94" i="11"/>
  <c r="J95" i="11" s="1"/>
  <c r="P107" i="27"/>
  <c r="P114" i="29"/>
  <c r="P110" i="30"/>
  <c r="P114" i="31"/>
  <c r="P100" i="43"/>
  <c r="P108" i="43"/>
  <c r="P108" i="45"/>
  <c r="P144" i="5"/>
  <c r="P108" i="23"/>
  <c r="P129" i="24"/>
  <c r="P113" i="25"/>
  <c r="P111" i="25"/>
  <c r="P109" i="25"/>
  <c r="P128" i="29"/>
  <c r="P105" i="30"/>
  <c r="P123" i="37"/>
  <c r="P103" i="40"/>
  <c r="P107" i="40"/>
  <c r="P115" i="40"/>
  <c r="P117" i="40"/>
  <c r="P108" i="41"/>
  <c r="P124" i="42"/>
  <c r="P101" i="43"/>
  <c r="P103" i="43"/>
  <c r="P107" i="43"/>
  <c r="P109" i="43"/>
  <c r="P128" i="43"/>
  <c r="P124" i="44"/>
  <c r="P126" i="44"/>
  <c r="P100" i="45"/>
  <c r="P102" i="45"/>
  <c r="P104" i="45"/>
  <c r="P106" i="45"/>
  <c r="P105" i="46"/>
  <c r="P107" i="46"/>
  <c r="P113" i="46"/>
  <c r="P115" i="46"/>
  <c r="P149" i="5"/>
  <c r="P133" i="5"/>
  <c r="P129" i="5"/>
  <c r="P124" i="5"/>
  <c r="P110" i="6"/>
  <c r="P143" i="8"/>
  <c r="P129" i="9"/>
  <c r="P153" i="10"/>
  <c r="P151" i="10"/>
  <c r="P149" i="10"/>
  <c r="P134" i="10"/>
  <c r="P126" i="10"/>
  <c r="P125" i="11"/>
  <c r="P124" i="13"/>
  <c r="P122" i="13"/>
  <c r="P127" i="22"/>
  <c r="P123" i="22"/>
  <c r="P108" i="22"/>
  <c r="P126" i="23"/>
  <c r="P128" i="24"/>
  <c r="P124" i="24"/>
  <c r="P120" i="24"/>
  <c r="P118" i="24"/>
  <c r="P116" i="24"/>
  <c r="P105" i="29"/>
  <c r="P107" i="29"/>
  <c r="P109" i="29"/>
  <c r="P115" i="29"/>
  <c r="P106" i="30"/>
  <c r="P123" i="31"/>
  <c r="P106" i="37"/>
  <c r="P116" i="37"/>
  <c r="P120" i="38"/>
  <c r="P107" i="42"/>
  <c r="P129" i="42"/>
  <c r="P129" i="43"/>
  <c r="P103" i="45"/>
  <c r="P107" i="45"/>
  <c r="P116" i="46"/>
  <c r="P143" i="4"/>
  <c r="P108" i="31"/>
  <c r="P130" i="6"/>
  <c r="P127" i="25"/>
  <c r="P106" i="24"/>
  <c r="P105" i="44"/>
  <c r="P112" i="45"/>
  <c r="P142" i="4"/>
  <c r="P132" i="4"/>
  <c r="P154" i="5"/>
  <c r="P112" i="25"/>
  <c r="P125" i="29"/>
  <c r="P124" i="40"/>
  <c r="P130" i="40"/>
  <c r="P143" i="5"/>
  <c r="P122" i="5"/>
  <c r="P109" i="5"/>
  <c r="P134" i="7"/>
  <c r="P130" i="7"/>
  <c r="P125" i="8"/>
  <c r="P114" i="8"/>
  <c r="P143" i="10"/>
  <c r="P132" i="10"/>
  <c r="P128" i="10"/>
  <c r="P123" i="13"/>
  <c r="P121" i="13"/>
  <c r="P117" i="13"/>
  <c r="P130" i="23"/>
  <c r="P128" i="23"/>
  <c r="P124" i="23"/>
  <c r="P107" i="24"/>
  <c r="P130" i="25"/>
  <c r="P123" i="29"/>
  <c r="P127" i="29"/>
  <c r="P111" i="30"/>
  <c r="P115" i="30"/>
  <c r="P110" i="31"/>
  <c r="P112" i="31"/>
  <c r="P125" i="31"/>
  <c r="P127" i="31"/>
  <c r="P112" i="37"/>
  <c r="P109" i="39"/>
  <c r="P119" i="40"/>
  <c r="P123" i="40"/>
  <c r="P126" i="40"/>
  <c r="P109" i="41"/>
  <c r="P103" i="42"/>
  <c r="P112" i="42"/>
  <c r="P116" i="42"/>
  <c r="P105" i="43"/>
  <c r="P101" i="44"/>
  <c r="P113" i="44"/>
  <c r="P101" i="45"/>
  <c r="P110" i="45"/>
  <c r="P117" i="45"/>
  <c r="P124" i="45"/>
  <c r="P103" i="46"/>
  <c r="P110" i="46"/>
  <c r="P112" i="46"/>
  <c r="P119" i="46"/>
  <c r="P121" i="46"/>
  <c r="P150" i="5"/>
  <c r="P115" i="7"/>
  <c r="P110" i="24"/>
  <c r="F88" i="2"/>
  <c r="F89" i="2" s="1"/>
  <c r="P117" i="27"/>
  <c r="P104" i="30"/>
  <c r="P121" i="30"/>
  <c r="P113" i="43"/>
  <c r="P117" i="43"/>
  <c r="P117" i="44"/>
  <c r="P105" i="45"/>
  <c r="P111" i="45"/>
  <c r="P114" i="46"/>
  <c r="P127" i="46"/>
  <c r="P151" i="5"/>
  <c r="P146" i="5"/>
  <c r="P137" i="5"/>
  <c r="P135" i="5"/>
  <c r="P125" i="5"/>
  <c r="P142" i="6"/>
  <c r="P128" i="6"/>
  <c r="P119" i="6"/>
  <c r="P112" i="6"/>
  <c r="P151" i="7"/>
  <c r="P147" i="7"/>
  <c r="P131" i="7"/>
  <c r="P127" i="7"/>
  <c r="P135" i="8"/>
  <c r="P119" i="8"/>
  <c r="P111" i="8"/>
  <c r="P117" i="9"/>
  <c r="P135" i="10"/>
  <c r="P133" i="10"/>
  <c r="P114" i="10"/>
  <c r="P112" i="10"/>
  <c r="P130" i="22"/>
  <c r="P111" i="23"/>
  <c r="P109" i="23"/>
  <c r="P130" i="24"/>
  <c r="P127" i="24"/>
  <c r="P123" i="24"/>
  <c r="P121" i="24"/>
  <c r="P121" i="25"/>
  <c r="P106" i="27"/>
  <c r="P110" i="27"/>
  <c r="P115" i="28"/>
  <c r="P103" i="30"/>
  <c r="P114" i="30"/>
  <c r="P122" i="30"/>
  <c r="P130" i="30"/>
  <c r="P106" i="31"/>
  <c r="P113" i="31"/>
  <c r="P122" i="31"/>
  <c r="P117" i="37"/>
  <c r="P121" i="37"/>
  <c r="P127" i="37"/>
  <c r="P115" i="38"/>
  <c r="P121" i="38"/>
  <c r="P125" i="40"/>
  <c r="P119" i="41"/>
  <c r="P123" i="41"/>
  <c r="P125" i="43"/>
  <c r="P99" i="45"/>
  <c r="P115" i="45"/>
  <c r="P129" i="45"/>
  <c r="P102" i="46"/>
  <c r="P104" i="46"/>
  <c r="P111" i="46"/>
  <c r="P118" i="46"/>
  <c r="P122" i="46"/>
  <c r="P128" i="46"/>
  <c r="P126" i="6"/>
  <c r="P129" i="7"/>
  <c r="P123" i="9"/>
  <c r="P131" i="10"/>
  <c r="P120" i="23"/>
  <c r="P123" i="27"/>
  <c r="P121" i="28"/>
  <c r="P108" i="39"/>
  <c r="P102" i="41"/>
  <c r="P126" i="43"/>
  <c r="P122" i="10"/>
  <c r="P120" i="10"/>
  <c r="P113" i="10"/>
  <c r="P118" i="13"/>
  <c r="P113" i="13"/>
  <c r="P104" i="29"/>
  <c r="P111" i="42"/>
  <c r="P116" i="11"/>
  <c r="P111" i="11"/>
  <c r="P115" i="23"/>
  <c r="P112" i="23"/>
  <c r="P107" i="28"/>
  <c r="P129" i="28"/>
  <c r="P108" i="30"/>
  <c r="P110" i="38"/>
  <c r="P120" i="43"/>
  <c r="P130" i="43"/>
  <c r="P118" i="44"/>
  <c r="C39" i="17"/>
  <c r="D44" i="17"/>
  <c r="D32" i="17"/>
  <c r="C19" i="17"/>
  <c r="D36" i="17"/>
  <c r="C29" i="17"/>
  <c r="C20" i="17"/>
  <c r="C27" i="17"/>
  <c r="C38" i="17"/>
  <c r="C23" i="17"/>
  <c r="C28" i="17"/>
  <c r="D45" i="17"/>
  <c r="D19" i="17"/>
  <c r="C45" i="17"/>
  <c r="C30" i="17"/>
  <c r="C33" i="17"/>
  <c r="C37" i="17"/>
  <c r="D37" i="17"/>
  <c r="D29" i="17"/>
  <c r="D26" i="17"/>
  <c r="C44" i="17"/>
  <c r="C36" i="17"/>
  <c r="C35" i="17"/>
  <c r="C26" i="17"/>
  <c r="D40" i="17"/>
  <c r="C18" i="17"/>
  <c r="D43" i="17"/>
  <c r="D20" i="17"/>
  <c r="C32" i="17"/>
  <c r="D13" i="45" l="1"/>
  <c r="I14" i="45" s="1"/>
  <c r="D13" i="28"/>
  <c r="I14" i="28" s="1"/>
  <c r="D13" i="23"/>
  <c r="I14" i="23" s="1"/>
  <c r="D13" i="4"/>
  <c r="I14" i="4" s="1"/>
  <c r="D13" i="9"/>
  <c r="I14" i="9" s="1"/>
  <c r="D13" i="22"/>
  <c r="I14" i="22" s="1"/>
  <c r="F20" i="1"/>
  <c r="D13" i="41"/>
  <c r="I14" i="41" s="1"/>
  <c r="D13" i="24"/>
  <c r="I14" i="24" s="1"/>
  <c r="D13" i="13"/>
  <c r="D13" i="8"/>
  <c r="I14" i="8" s="1"/>
  <c r="D13" i="46"/>
  <c r="I14" i="46" s="1"/>
  <c r="E18" i="46" s="1"/>
  <c r="F18" i="46" s="1"/>
  <c r="D13" i="25"/>
  <c r="I14" i="25" s="1"/>
  <c r="D13" i="40"/>
  <c r="I14" i="40" s="1"/>
  <c r="D13" i="42"/>
  <c r="I14" i="42" s="1"/>
  <c r="D13" i="5"/>
  <c r="I14" i="5" s="1"/>
  <c r="D13" i="6"/>
  <c r="I14" i="6" s="1"/>
  <c r="D13" i="43"/>
  <c r="I14" i="43" s="1"/>
  <c r="D13" i="10"/>
  <c r="I14" i="10" s="1"/>
  <c r="D13" i="31"/>
  <c r="I14" i="31" s="1"/>
  <c r="D13" i="39"/>
  <c r="I14" i="39" s="1"/>
  <c r="D13" i="37"/>
  <c r="I14" i="37" s="1"/>
  <c r="D13" i="11"/>
  <c r="I14" i="11" s="1"/>
  <c r="D13" i="38"/>
  <c r="I14" i="38" s="1"/>
  <c r="D13" i="3"/>
  <c r="I14" i="3" s="1"/>
  <c r="D13" i="7"/>
  <c r="I14" i="7" s="1"/>
  <c r="D13" i="30"/>
  <c r="I14" i="30" s="1"/>
  <c r="E23" i="30" s="1"/>
  <c r="F23" i="30" s="1"/>
  <c r="G23" i="30" s="1"/>
  <c r="D13" i="44"/>
  <c r="I14" i="44" s="1"/>
  <c r="M87" i="31"/>
  <c r="N87" i="22"/>
  <c r="O87" i="22" s="1"/>
  <c r="L86" i="3"/>
  <c r="N87" i="31"/>
  <c r="M87" i="42"/>
  <c r="L86" i="39"/>
  <c r="M87" i="8"/>
  <c r="N87" i="8"/>
  <c r="M87" i="29"/>
  <c r="N87" i="29"/>
  <c r="L86" i="22"/>
  <c r="M87" i="13"/>
  <c r="O87" i="13" s="1"/>
  <c r="L86" i="44"/>
  <c r="M87" i="7"/>
  <c r="N87" i="5"/>
  <c r="O87" i="5" s="1"/>
  <c r="N87" i="27"/>
  <c r="M87" i="27"/>
  <c r="N87" i="24"/>
  <c r="N87" i="30"/>
  <c r="N87" i="40"/>
  <c r="O87" i="40" s="1"/>
  <c r="M87" i="44"/>
  <c r="O87" i="44" s="1"/>
  <c r="N87" i="7"/>
  <c r="O87" i="7" s="1"/>
  <c r="M87" i="43"/>
  <c r="O87" i="43" s="1"/>
  <c r="M87" i="24"/>
  <c r="L86" i="43"/>
  <c r="M87" i="30"/>
  <c r="M87" i="39"/>
  <c r="O87" i="39" s="1"/>
  <c r="L86" i="9"/>
  <c r="O87" i="23"/>
  <c r="N87" i="38"/>
  <c r="M87" i="38"/>
  <c r="M87" i="6"/>
  <c r="N87" i="6"/>
  <c r="L86" i="11"/>
  <c r="M87" i="37"/>
  <c r="O87" i="37" s="1"/>
  <c r="M87" i="4"/>
  <c r="O87" i="4" s="1"/>
  <c r="O87" i="42"/>
  <c r="E100" i="13"/>
  <c r="F100" i="13" s="1"/>
  <c r="D101" i="13" s="1"/>
  <c r="E101" i="13" s="1"/>
  <c r="D19" i="44"/>
  <c r="B19" i="44" s="1"/>
  <c r="D18" i="13"/>
  <c r="G17" i="13"/>
  <c r="I17" i="13" s="1"/>
  <c r="B18" i="45"/>
  <c r="C100" i="38"/>
  <c r="C101" i="38" s="1"/>
  <c r="C102" i="38" s="1"/>
  <c r="C103" i="38" s="1"/>
  <c r="C104" i="38" s="1"/>
  <c r="C105" i="38" s="1"/>
  <c r="C106" i="38" s="1"/>
  <c r="C107" i="38" s="1"/>
  <c r="C108" i="38" s="1"/>
  <c r="C109" i="38" s="1"/>
  <c r="C110" i="38" s="1"/>
  <c r="C111" i="38" s="1"/>
  <c r="C112" i="38" s="1"/>
  <c r="C113" i="38" s="1"/>
  <c r="C114" i="38" s="1"/>
  <c r="C115" i="38" s="1"/>
  <c r="C116" i="38" s="1"/>
  <c r="C117" i="38" s="1"/>
  <c r="C118" i="38" s="1"/>
  <c r="C119" i="38" s="1"/>
  <c r="C120" i="38" s="1"/>
  <c r="C121" i="38" s="1"/>
  <c r="C122" i="38" s="1"/>
  <c r="C123" i="38" s="1"/>
  <c r="C124" i="38" s="1"/>
  <c r="C125" i="38" s="1"/>
  <c r="C126" i="38" s="1"/>
  <c r="C127" i="38" s="1"/>
  <c r="C128" i="38" s="1"/>
  <c r="C129" i="38" s="1"/>
  <c r="C130" i="38" s="1"/>
  <c r="C131" i="38" s="1"/>
  <c r="C132" i="38" s="1"/>
  <c r="C133" i="38" s="1"/>
  <c r="C134" i="38" s="1"/>
  <c r="C135" i="38" s="1"/>
  <c r="C136" i="38" s="1"/>
  <c r="C137" i="38" s="1"/>
  <c r="C138" i="38" s="1"/>
  <c r="C139" i="38" s="1"/>
  <c r="C140" i="38" s="1"/>
  <c r="C141" i="38" s="1"/>
  <c r="C142" i="38" s="1"/>
  <c r="C143" i="38" s="1"/>
  <c r="C144" i="38" s="1"/>
  <c r="C145" i="38" s="1"/>
  <c r="C146" i="38" s="1"/>
  <c r="C147" i="38" s="1"/>
  <c r="C148" i="38" s="1"/>
  <c r="C149" i="38" s="1"/>
  <c r="C150" i="38" s="1"/>
  <c r="C151" i="38" s="1"/>
  <c r="C152" i="38" s="1"/>
  <c r="C153" i="38" s="1"/>
  <c r="C154" i="38" s="1"/>
  <c r="E19" i="27"/>
  <c r="C99" i="22"/>
  <c r="C100" i="22" s="1"/>
  <c r="C101" i="22" s="1"/>
  <c r="C102" i="22" s="1"/>
  <c r="C103" i="22" s="1"/>
  <c r="C104" i="22" s="1"/>
  <c r="C105" i="22" s="1"/>
  <c r="C106" i="22" s="1"/>
  <c r="C107" i="22" s="1"/>
  <c r="C108" i="22" s="1"/>
  <c r="C109" i="22" s="1"/>
  <c r="C110" i="22" s="1"/>
  <c r="C111" i="22" s="1"/>
  <c r="C112" i="22" s="1"/>
  <c r="C113" i="22" s="1"/>
  <c r="C114" i="22" s="1"/>
  <c r="C115" i="22" s="1"/>
  <c r="C116" i="22" s="1"/>
  <c r="C117" i="22" s="1"/>
  <c r="C118" i="22" s="1"/>
  <c r="C119" i="22" s="1"/>
  <c r="C120" i="22" s="1"/>
  <c r="C121" i="22" s="1"/>
  <c r="C122" i="22" s="1"/>
  <c r="C123" i="22" s="1"/>
  <c r="C124" i="22" s="1"/>
  <c r="C125" i="22" s="1"/>
  <c r="C126" i="22" s="1"/>
  <c r="C127" i="22" s="1"/>
  <c r="C128" i="22" s="1"/>
  <c r="C129" i="22" s="1"/>
  <c r="C130" i="22" s="1"/>
  <c r="C131" i="22" s="1"/>
  <c r="C132" i="22" s="1"/>
  <c r="C133" i="22" s="1"/>
  <c r="C134" i="22" s="1"/>
  <c r="C135" i="22" s="1"/>
  <c r="C136" i="22" s="1"/>
  <c r="C137" i="22" s="1"/>
  <c r="C138" i="22" s="1"/>
  <c r="C139" i="22" s="1"/>
  <c r="C140" i="22" s="1"/>
  <c r="C141" i="22" s="1"/>
  <c r="C142" i="22" s="1"/>
  <c r="C143" i="22" s="1"/>
  <c r="C144" i="22" s="1"/>
  <c r="C145" i="22" s="1"/>
  <c r="C146" i="22" s="1"/>
  <c r="C147" i="22" s="1"/>
  <c r="C148" i="22" s="1"/>
  <c r="C149" i="22" s="1"/>
  <c r="C150" i="22" s="1"/>
  <c r="C151" i="22" s="1"/>
  <c r="C152" i="22" s="1"/>
  <c r="C153" i="22" s="1"/>
  <c r="C154" i="22" s="1"/>
  <c r="O87" i="9"/>
  <c r="O87" i="11"/>
  <c r="M87" i="46"/>
  <c r="N87" i="46"/>
  <c r="L86" i="46"/>
  <c r="O87" i="10"/>
  <c r="O87" i="41"/>
  <c r="E25" i="2"/>
  <c r="E26" i="2" s="1"/>
  <c r="E30" i="2" s="1"/>
  <c r="E32" i="2"/>
  <c r="E32" i="1"/>
  <c r="E25" i="1"/>
  <c r="E26" i="1" s="1"/>
  <c r="C99" i="29"/>
  <c r="C100" i="29" s="1"/>
  <c r="C101" i="29" s="1"/>
  <c r="C102" i="29" s="1"/>
  <c r="C103" i="29" s="1"/>
  <c r="C104" i="29" s="1"/>
  <c r="C105" i="29" s="1"/>
  <c r="C106" i="29" s="1"/>
  <c r="C107" i="29" s="1"/>
  <c r="C108" i="29" s="1"/>
  <c r="C109" i="29" s="1"/>
  <c r="C110" i="29" s="1"/>
  <c r="C111" i="29" s="1"/>
  <c r="C112" i="29" s="1"/>
  <c r="C113" i="29" s="1"/>
  <c r="C114" i="29" s="1"/>
  <c r="C115" i="29" s="1"/>
  <c r="C116" i="29" s="1"/>
  <c r="C117" i="29" s="1"/>
  <c r="C118" i="29" s="1"/>
  <c r="C119" i="29" s="1"/>
  <c r="C120" i="29" s="1"/>
  <c r="C121" i="29" s="1"/>
  <c r="C122" i="29" s="1"/>
  <c r="C123" i="29" s="1"/>
  <c r="C124" i="29" s="1"/>
  <c r="C125" i="29" s="1"/>
  <c r="C126" i="29" s="1"/>
  <c r="C127" i="29" s="1"/>
  <c r="C128" i="29" s="1"/>
  <c r="C129" i="29" s="1"/>
  <c r="C130" i="29" s="1"/>
  <c r="C131" i="29" s="1"/>
  <c r="C132" i="29" s="1"/>
  <c r="C133" i="29" s="1"/>
  <c r="C134" i="29" s="1"/>
  <c r="C135" i="29" s="1"/>
  <c r="C136" i="29" s="1"/>
  <c r="C137" i="29" s="1"/>
  <c r="C138" i="29" s="1"/>
  <c r="C139" i="29" s="1"/>
  <c r="C140" i="29" s="1"/>
  <c r="C141" i="29" s="1"/>
  <c r="C142" i="29" s="1"/>
  <c r="C143" i="29" s="1"/>
  <c r="C144" i="29" s="1"/>
  <c r="C145" i="29" s="1"/>
  <c r="C146" i="29" s="1"/>
  <c r="C147" i="29" s="1"/>
  <c r="C148" i="29" s="1"/>
  <c r="C149" i="29" s="1"/>
  <c r="C150" i="29" s="1"/>
  <c r="C151" i="29" s="1"/>
  <c r="C152" i="29" s="1"/>
  <c r="C153" i="29" s="1"/>
  <c r="C154" i="29" s="1"/>
  <c r="I13" i="44"/>
  <c r="I13" i="45"/>
  <c r="C99" i="7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C99" i="8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45" i="45"/>
  <c r="C46" i="45" s="1"/>
  <c r="C47" i="45" s="1"/>
  <c r="C48" i="45" s="1"/>
  <c r="C49" i="45" s="1"/>
  <c r="C50" i="45" s="1"/>
  <c r="C51" i="45" s="1"/>
  <c r="C52" i="45" s="1"/>
  <c r="C53" i="45" s="1"/>
  <c r="C54" i="45" s="1"/>
  <c r="C55" i="45" s="1"/>
  <c r="C56" i="45" s="1"/>
  <c r="C57" i="45" s="1"/>
  <c r="C58" i="45" s="1"/>
  <c r="C59" i="45" s="1"/>
  <c r="C60" i="45" s="1"/>
  <c r="C61" i="45" s="1"/>
  <c r="C62" i="45" s="1"/>
  <c r="C63" i="45" s="1"/>
  <c r="C64" i="45" s="1"/>
  <c r="C65" i="45" s="1"/>
  <c r="C66" i="45" s="1"/>
  <c r="C67" i="45" s="1"/>
  <c r="C68" i="45" s="1"/>
  <c r="C69" i="45" s="1"/>
  <c r="C70" i="45" s="1"/>
  <c r="C71" i="45" s="1"/>
  <c r="C72" i="45" s="1"/>
  <c r="N87" i="45"/>
  <c r="I13" i="46"/>
  <c r="C99" i="9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J95" i="43"/>
  <c r="J95" i="38"/>
  <c r="O87" i="3"/>
  <c r="J95" i="13"/>
  <c r="I99" i="13" s="1"/>
  <c r="H99" i="13"/>
  <c r="O87" i="28"/>
  <c r="D21" i="17"/>
  <c r="C21" i="17"/>
  <c r="D35" i="17"/>
  <c r="C34" i="17"/>
  <c r="D38" i="17"/>
  <c r="D22" i="17"/>
  <c r="D28" i="17"/>
  <c r="D34" i="17"/>
  <c r="C40" i="17"/>
  <c r="C41" i="17"/>
  <c r="D41" i="17"/>
  <c r="D33" i="17"/>
  <c r="D42" i="17"/>
  <c r="D23" i="17"/>
  <c r="D39" i="17"/>
  <c r="C22" i="17"/>
  <c r="C42" i="17"/>
  <c r="D18" i="17"/>
  <c r="C24" i="17"/>
  <c r="D24" i="17"/>
  <c r="D31" i="17"/>
  <c r="C31" i="17"/>
  <c r="D27" i="17"/>
  <c r="C43" i="17"/>
  <c r="D25" i="17"/>
  <c r="D30" i="17"/>
  <c r="C25" i="17"/>
  <c r="H23" i="30" l="1"/>
  <c r="O87" i="29"/>
  <c r="O87" i="30"/>
  <c r="O87" i="24"/>
  <c r="O87" i="27"/>
  <c r="O87" i="8"/>
  <c r="O87" i="31"/>
  <c r="O87" i="6"/>
  <c r="O87" i="38"/>
  <c r="N17" i="2"/>
  <c r="R132" i="2" s="1"/>
  <c r="B101" i="13"/>
  <c r="F101" i="13"/>
  <c r="G101" i="13" s="1"/>
  <c r="E33" i="2"/>
  <c r="E37" i="2" s="1"/>
  <c r="F54" i="2" s="1"/>
  <c r="F53" i="2"/>
  <c r="O17" i="2"/>
  <c r="R133" i="2" s="1"/>
  <c r="G100" i="13"/>
  <c r="H100" i="13" s="1"/>
  <c r="E19" i="44"/>
  <c r="F19" i="44" s="1"/>
  <c r="H19" i="44" s="1"/>
  <c r="D19" i="45"/>
  <c r="B19" i="45" s="1"/>
  <c r="K18" i="45"/>
  <c r="L18" i="45" s="1"/>
  <c r="B18" i="13"/>
  <c r="E18" i="13"/>
  <c r="F18" i="13" s="1"/>
  <c r="D19" i="13" s="1"/>
  <c r="B23" i="27"/>
  <c r="D99" i="7"/>
  <c r="O87" i="46"/>
  <c r="O87" i="45"/>
  <c r="B20" i="37"/>
  <c r="I17" i="46"/>
  <c r="I19" i="37"/>
  <c r="M18" i="45"/>
  <c r="N18" i="45" s="1"/>
  <c r="B31" i="10"/>
  <c r="I30" i="10"/>
  <c r="E30" i="1"/>
  <c r="E33" i="1" s="1"/>
  <c r="F53" i="1"/>
  <c r="D19" i="46"/>
  <c r="E19" i="46" s="1"/>
  <c r="G18" i="46"/>
  <c r="N5" i="46" s="1"/>
  <c r="H18" i="46"/>
  <c r="N6" i="46" s="1"/>
  <c r="J99" i="13"/>
  <c r="E45" i="17"/>
  <c r="E37" i="1" l="1"/>
  <c r="F54" i="1" s="1"/>
  <c r="F55" i="1" s="1"/>
  <c r="O18" i="45"/>
  <c r="N29" i="2"/>
  <c r="I18" i="45"/>
  <c r="P17" i="2"/>
  <c r="I100" i="13"/>
  <c r="J100" i="13" s="1"/>
  <c r="D102" i="13"/>
  <c r="B102" i="13" s="1"/>
  <c r="F55" i="2"/>
  <c r="F62" i="2" s="1"/>
  <c r="F65" i="2" s="1"/>
  <c r="F67" i="2" s="1"/>
  <c r="F69" i="2" s="1"/>
  <c r="F70" i="2" s="1"/>
  <c r="F71" i="2" s="1"/>
  <c r="F56" i="2" s="1"/>
  <c r="F57" i="2" s="1"/>
  <c r="G18" i="13"/>
  <c r="D20" i="44"/>
  <c r="G19" i="44"/>
  <c r="E19" i="45"/>
  <c r="F19" i="45" s="1"/>
  <c r="H18" i="13"/>
  <c r="I18" i="13" s="1"/>
  <c r="I18" i="46"/>
  <c r="E19" i="13"/>
  <c r="F19" i="13" s="1"/>
  <c r="B19" i="13"/>
  <c r="N6" i="44"/>
  <c r="B30" i="9"/>
  <c r="E32" i="10"/>
  <c r="D32" i="10"/>
  <c r="B19" i="46"/>
  <c r="F19" i="46"/>
  <c r="G19" i="46" s="1"/>
  <c r="I29" i="9"/>
  <c r="I17" i="45"/>
  <c r="E21" i="37"/>
  <c r="D21" i="37"/>
  <c r="I20" i="37"/>
  <c r="H101" i="13"/>
  <c r="I101" i="13"/>
  <c r="D20" i="45" l="1"/>
  <c r="E20" i="45" s="1"/>
  <c r="H19" i="45"/>
  <c r="I19" i="44"/>
  <c r="N5" i="44"/>
  <c r="E102" i="13"/>
  <c r="F102" i="13" s="1"/>
  <c r="E20" i="44"/>
  <c r="F20" i="44" s="1"/>
  <c r="B20" i="44"/>
  <c r="G19" i="45"/>
  <c r="N5" i="45" s="1"/>
  <c r="G19" i="13"/>
  <c r="D20" i="13"/>
  <c r="H19" i="13"/>
  <c r="I23" i="27"/>
  <c r="B24" i="27"/>
  <c r="B28" i="5"/>
  <c r="I19" i="38"/>
  <c r="B23" i="31"/>
  <c r="I26" i="25"/>
  <c r="I24" i="24"/>
  <c r="B19" i="41"/>
  <c r="F20" i="45"/>
  <c r="H20" i="45" s="1"/>
  <c r="I28" i="6"/>
  <c r="I28" i="8"/>
  <c r="I29" i="11"/>
  <c r="I27" i="5"/>
  <c r="I19" i="39"/>
  <c r="I22" i="29"/>
  <c r="I27" i="3"/>
  <c r="I18" i="42"/>
  <c r="B23" i="28"/>
  <c r="B22" i="30"/>
  <c r="D20" i="46"/>
  <c r="E20" i="46" s="1"/>
  <c r="I26" i="22"/>
  <c r="B25" i="24"/>
  <c r="I25" i="23"/>
  <c r="I18" i="41"/>
  <c r="I17" i="43"/>
  <c r="I30" i="7"/>
  <c r="H19" i="46"/>
  <c r="B20" i="39"/>
  <c r="B19" i="40"/>
  <c r="B19" i="42"/>
  <c r="B32" i="10"/>
  <c r="F32" i="10"/>
  <c r="B28" i="4"/>
  <c r="B18" i="43"/>
  <c r="B29" i="6"/>
  <c r="B27" i="25"/>
  <c r="B26" i="23"/>
  <c r="I27" i="4"/>
  <c r="N6" i="45"/>
  <c r="B21" i="37"/>
  <c r="F21" i="37"/>
  <c r="H21" i="37" s="1"/>
  <c r="N6" i="37" s="1"/>
  <c r="B31" i="7"/>
  <c r="B29" i="8"/>
  <c r="B30" i="11"/>
  <c r="F62" i="1"/>
  <c r="F65" i="1" s="1"/>
  <c r="F67" i="1" s="1"/>
  <c r="F69" i="1" s="1"/>
  <c r="F76" i="1"/>
  <c r="F77" i="1" s="1"/>
  <c r="B23" i="29"/>
  <c r="B28" i="3"/>
  <c r="I18" i="40"/>
  <c r="I31" i="10"/>
  <c r="I22" i="28"/>
  <c r="D31" i="9"/>
  <c r="E31" i="9"/>
  <c r="B20" i="38"/>
  <c r="B27" i="22"/>
  <c r="I22" i="31"/>
  <c r="I21" i="30"/>
  <c r="F59" i="2"/>
  <c r="F79" i="2" s="1"/>
  <c r="F80" i="2" s="1"/>
  <c r="F82" i="2" s="1"/>
  <c r="F76" i="2"/>
  <c r="F77" i="2" s="1"/>
  <c r="J101" i="13"/>
  <c r="E43" i="17"/>
  <c r="E44" i="17"/>
  <c r="B20" i="45" l="1"/>
  <c r="I19" i="45"/>
  <c r="N7" i="44"/>
  <c r="N7" i="45"/>
  <c r="H20" i="44"/>
  <c r="G20" i="44"/>
  <c r="D21" i="44"/>
  <c r="G20" i="45"/>
  <c r="I20" i="45" s="1"/>
  <c r="I19" i="13"/>
  <c r="E20" i="13"/>
  <c r="B20" i="13"/>
  <c r="F20" i="13"/>
  <c r="I18" i="43"/>
  <c r="I20" i="38"/>
  <c r="I20" i="39"/>
  <c r="E25" i="27"/>
  <c r="D25" i="27"/>
  <c r="D28" i="22"/>
  <c r="E28" i="22"/>
  <c r="D21" i="38"/>
  <c r="E21" i="38"/>
  <c r="D29" i="3"/>
  <c r="E29" i="3"/>
  <c r="F70" i="1"/>
  <c r="F71" i="1" s="1"/>
  <c r="F56" i="1" s="1"/>
  <c r="F57" i="1" s="1"/>
  <c r="F59" i="1" s="1"/>
  <c r="F79" i="1" s="1"/>
  <c r="F80" i="1" s="1"/>
  <c r="F82" i="1" s="1"/>
  <c r="D30" i="8"/>
  <c r="E30" i="8"/>
  <c r="D32" i="7"/>
  <c r="E32" i="7"/>
  <c r="D29" i="4"/>
  <c r="E29" i="4"/>
  <c r="D20" i="42"/>
  <c r="E20" i="42"/>
  <c r="I19" i="46"/>
  <c r="N7" i="46"/>
  <c r="N5" i="30"/>
  <c r="N6" i="30"/>
  <c r="D24" i="28"/>
  <c r="E24" i="28"/>
  <c r="D24" i="29"/>
  <c r="E24" i="29"/>
  <c r="D30" i="6"/>
  <c r="E30" i="6"/>
  <c r="D20" i="40"/>
  <c r="E20" i="40"/>
  <c r="D20" i="41"/>
  <c r="E20" i="41"/>
  <c r="D31" i="11"/>
  <c r="E31" i="11"/>
  <c r="D27" i="23"/>
  <c r="E27" i="23"/>
  <c r="D28" i="25"/>
  <c r="E28" i="25"/>
  <c r="D21" i="39"/>
  <c r="E21" i="39"/>
  <c r="D24" i="31"/>
  <c r="E24" i="31"/>
  <c r="B31" i="9"/>
  <c r="F31" i="9"/>
  <c r="E22" i="37"/>
  <c r="D22" i="37"/>
  <c r="D26" i="24"/>
  <c r="E26" i="24"/>
  <c r="I30" i="9"/>
  <c r="G21" i="37"/>
  <c r="N5" i="37" s="1"/>
  <c r="E33" i="10"/>
  <c r="D33" i="10"/>
  <c r="G32" i="10"/>
  <c r="N5" i="10" s="1"/>
  <c r="H32" i="10"/>
  <c r="N6" i="10" s="1"/>
  <c r="F20" i="46"/>
  <c r="H20" i="46" s="1"/>
  <c r="B20" i="46"/>
  <c r="D21" i="45"/>
  <c r="E21" i="45" s="1"/>
  <c r="D29" i="5"/>
  <c r="E29" i="5"/>
  <c r="G102" i="13"/>
  <c r="D103" i="13"/>
  <c r="F43" i="17"/>
  <c r="F45" i="17"/>
  <c r="E34" i="17"/>
  <c r="F44" i="17"/>
  <c r="E36" i="17"/>
  <c r="E25" i="17"/>
  <c r="N7" i="10" l="1"/>
  <c r="N7" i="37"/>
  <c r="G45" i="17"/>
  <c r="N7" i="30"/>
  <c r="G43" i="17"/>
  <c r="G44" i="17"/>
  <c r="I20" i="44"/>
  <c r="E21" i="44"/>
  <c r="F21" i="44" s="1"/>
  <c r="B21" i="44"/>
  <c r="G20" i="46"/>
  <c r="I20" i="46" s="1"/>
  <c r="D21" i="13"/>
  <c r="H20" i="13"/>
  <c r="G20" i="13"/>
  <c r="F25" i="27"/>
  <c r="B25" i="27"/>
  <c r="I24" i="27"/>
  <c r="B20" i="41"/>
  <c r="F20" i="41"/>
  <c r="G20" i="41" s="1"/>
  <c r="N5" i="41" s="1"/>
  <c r="F24" i="29"/>
  <c r="B24" i="29"/>
  <c r="I31" i="7"/>
  <c r="I29" i="8"/>
  <c r="F29" i="5"/>
  <c r="B29" i="5"/>
  <c r="F21" i="45"/>
  <c r="G21" i="45" s="1"/>
  <c r="B21" i="45"/>
  <c r="B33" i="10"/>
  <c r="F33" i="10"/>
  <c r="B26" i="24"/>
  <c r="F26" i="24"/>
  <c r="I27" i="25"/>
  <c r="I26" i="23"/>
  <c r="I30" i="11"/>
  <c r="B30" i="6"/>
  <c r="F30" i="6"/>
  <c r="I23" i="28"/>
  <c r="I22" i="30"/>
  <c r="I28" i="4"/>
  <c r="B30" i="8"/>
  <c r="F30" i="8"/>
  <c r="F28" i="22"/>
  <c r="B28" i="22"/>
  <c r="I19" i="41"/>
  <c r="B19" i="43"/>
  <c r="I23" i="31"/>
  <c r="I28" i="3"/>
  <c r="I19" i="42"/>
  <c r="I25" i="24"/>
  <c r="H31" i="9"/>
  <c r="N6" i="9" s="1"/>
  <c r="D32" i="9"/>
  <c r="G31" i="9"/>
  <c r="N5" i="9" s="1"/>
  <c r="E32" i="9"/>
  <c r="B24" i="31"/>
  <c r="F24" i="31"/>
  <c r="B21" i="39"/>
  <c r="F21" i="39"/>
  <c r="B27" i="23"/>
  <c r="F27" i="23"/>
  <c r="B23" i="30"/>
  <c r="F20" i="42"/>
  <c r="G20" i="42" s="1"/>
  <c r="N5" i="42" s="1"/>
  <c r="B20" i="42"/>
  <c r="F29" i="4"/>
  <c r="B29" i="4"/>
  <c r="B32" i="7"/>
  <c r="F32" i="7"/>
  <c r="F22" i="37"/>
  <c r="H22" i="37" s="1"/>
  <c r="B22" i="37"/>
  <c r="I28" i="5"/>
  <c r="D21" i="46"/>
  <c r="E21" i="46" s="1"/>
  <c r="I32" i="10"/>
  <c r="B28" i="25"/>
  <c r="F28" i="25"/>
  <c r="F31" i="11"/>
  <c r="B31" i="11"/>
  <c r="B20" i="40"/>
  <c r="F20" i="40"/>
  <c r="G20" i="40" s="1"/>
  <c r="N5" i="40" s="1"/>
  <c r="I29" i="6"/>
  <c r="I23" i="29"/>
  <c r="F24" i="28"/>
  <c r="B24" i="28"/>
  <c r="F29" i="3"/>
  <c r="B29" i="3"/>
  <c r="B21" i="38"/>
  <c r="F21" i="38"/>
  <c r="H21" i="38" s="1"/>
  <c r="N6" i="38" s="1"/>
  <c r="I27" i="22"/>
  <c r="I19" i="40"/>
  <c r="I21" i="37"/>
  <c r="B103" i="13"/>
  <c r="E103" i="13"/>
  <c r="F103" i="13" s="1"/>
  <c r="I102" i="13"/>
  <c r="H102" i="13"/>
  <c r="F34" i="17"/>
  <c r="F25" i="17"/>
  <c r="E41" i="17"/>
  <c r="E40" i="17"/>
  <c r="E39" i="17"/>
  <c r="E24" i="17"/>
  <c r="F36" i="17"/>
  <c r="G25" i="17" l="1"/>
  <c r="G36" i="17"/>
  <c r="N7" i="9"/>
  <c r="G34" i="17"/>
  <c r="H20" i="40"/>
  <c r="H21" i="44"/>
  <c r="D22" i="44"/>
  <c r="G21" i="44"/>
  <c r="I20" i="13"/>
  <c r="E21" i="13"/>
  <c r="F21" i="13" s="1"/>
  <c r="G21" i="13" s="1"/>
  <c r="N5" i="13" s="1"/>
  <c r="B21" i="13"/>
  <c r="H20" i="42"/>
  <c r="H20" i="41"/>
  <c r="G25" i="27"/>
  <c r="N5" i="27" s="1"/>
  <c r="H25" i="27"/>
  <c r="N6" i="27" s="1"/>
  <c r="E26" i="27"/>
  <c r="D26" i="27"/>
  <c r="D22" i="38"/>
  <c r="E22" i="38"/>
  <c r="D32" i="11"/>
  <c r="G31" i="11"/>
  <c r="N5" i="11" s="1"/>
  <c r="H31" i="11"/>
  <c r="N6" i="11" s="1"/>
  <c r="E32" i="11"/>
  <c r="D22" i="39"/>
  <c r="E22" i="39"/>
  <c r="H30" i="8"/>
  <c r="N6" i="8" s="1"/>
  <c r="G30" i="8"/>
  <c r="N5" i="8" s="1"/>
  <c r="D31" i="8"/>
  <c r="E31" i="8"/>
  <c r="D25" i="29"/>
  <c r="G24" i="29"/>
  <c r="N5" i="29" s="1"/>
  <c r="H24" i="29"/>
  <c r="N6" i="29" s="1"/>
  <c r="E25" i="29"/>
  <c r="D30" i="3"/>
  <c r="G29" i="3"/>
  <c r="N5" i="3" s="1"/>
  <c r="H29" i="3"/>
  <c r="N6" i="3" s="1"/>
  <c r="E30" i="3"/>
  <c r="G24" i="28"/>
  <c r="N5" i="28" s="1"/>
  <c r="D25" i="28"/>
  <c r="H24" i="28"/>
  <c r="N6" i="28" s="1"/>
  <c r="E25" i="28"/>
  <c r="F21" i="46"/>
  <c r="H21" i="46" s="1"/>
  <c r="B21" i="46"/>
  <c r="G29" i="4"/>
  <c r="N5" i="4" s="1"/>
  <c r="H29" i="4"/>
  <c r="N6" i="4" s="1"/>
  <c r="D30" i="4"/>
  <c r="E30" i="4"/>
  <c r="D21" i="42"/>
  <c r="E21" i="42"/>
  <c r="D28" i="23"/>
  <c r="G27" i="23"/>
  <c r="N5" i="23" s="1"/>
  <c r="H27" i="23"/>
  <c r="N6" i="23" s="1"/>
  <c r="E28" i="23"/>
  <c r="H21" i="39"/>
  <c r="N6" i="39" s="1"/>
  <c r="H24" i="31"/>
  <c r="N6" i="31" s="1"/>
  <c r="D25" i="31"/>
  <c r="G24" i="31"/>
  <c r="N5" i="31" s="1"/>
  <c r="E25" i="31"/>
  <c r="B32" i="9"/>
  <c r="F32" i="9"/>
  <c r="D20" i="43"/>
  <c r="E20" i="43"/>
  <c r="H26" i="24"/>
  <c r="N6" i="24" s="1"/>
  <c r="D27" i="24"/>
  <c r="G26" i="24"/>
  <c r="N5" i="24" s="1"/>
  <c r="E27" i="24"/>
  <c r="H33" i="10"/>
  <c r="D34" i="10"/>
  <c r="E34" i="10"/>
  <c r="G33" i="10"/>
  <c r="D21" i="41"/>
  <c r="E21" i="41"/>
  <c r="E23" i="37"/>
  <c r="D23" i="37"/>
  <c r="D24" i="30"/>
  <c r="E24" i="30"/>
  <c r="D22" i="45"/>
  <c r="E22" i="45" s="1"/>
  <c r="G21" i="38"/>
  <c r="N5" i="38" s="1"/>
  <c r="N7" i="38" s="1"/>
  <c r="D21" i="40"/>
  <c r="E21" i="40"/>
  <c r="G28" i="25"/>
  <c r="N5" i="25" s="1"/>
  <c r="D29" i="25"/>
  <c r="H28" i="25"/>
  <c r="N6" i="25" s="1"/>
  <c r="E29" i="25"/>
  <c r="G22" i="37"/>
  <c r="I22" i="37" s="1"/>
  <c r="G32" i="7"/>
  <c r="N5" i="7" s="1"/>
  <c r="D33" i="7"/>
  <c r="H32" i="7"/>
  <c r="N6" i="7" s="1"/>
  <c r="E33" i="7"/>
  <c r="G21" i="39"/>
  <c r="N5" i="39" s="1"/>
  <c r="I31" i="9"/>
  <c r="H28" i="22"/>
  <c r="N6" i="22" s="1"/>
  <c r="D29" i="22"/>
  <c r="G28" i="22"/>
  <c r="N5" i="22" s="1"/>
  <c r="E29" i="22"/>
  <c r="H30" i="6"/>
  <c r="N6" i="6" s="1"/>
  <c r="N7" i="6" s="1"/>
  <c r="D31" i="6"/>
  <c r="G30" i="6"/>
  <c r="N5" i="6" s="1"/>
  <c r="E31" i="6"/>
  <c r="H21" i="45"/>
  <c r="G29" i="5"/>
  <c r="N5" i="5" s="1"/>
  <c r="D30" i="5"/>
  <c r="H29" i="5"/>
  <c r="N6" i="5" s="1"/>
  <c r="E30" i="5"/>
  <c r="G103" i="13"/>
  <c r="D104" i="13"/>
  <c r="E104" i="13" s="1"/>
  <c r="J102" i="13"/>
  <c r="E21" i="17"/>
  <c r="E31" i="17"/>
  <c r="E22" i="17"/>
  <c r="E35" i="17"/>
  <c r="E33" i="17"/>
  <c r="F24" i="17"/>
  <c r="E27" i="17"/>
  <c r="E18" i="17"/>
  <c r="E30" i="17"/>
  <c r="E28" i="17"/>
  <c r="E23" i="17"/>
  <c r="E26" i="17"/>
  <c r="E38" i="17"/>
  <c r="F37" i="17"/>
  <c r="E20" i="17"/>
  <c r="F21" i="17"/>
  <c r="E37" i="17"/>
  <c r="E29" i="17"/>
  <c r="E19" i="17"/>
  <c r="E32" i="17"/>
  <c r="N7" i="31" l="1"/>
  <c r="N7" i="11"/>
  <c r="N7" i="8"/>
  <c r="N7" i="22"/>
  <c r="N7" i="23"/>
  <c r="N7" i="5"/>
  <c r="G21" i="17"/>
  <c r="G24" i="17"/>
  <c r="G37" i="17"/>
  <c r="N7" i="7"/>
  <c r="N7" i="39"/>
  <c r="N7" i="25"/>
  <c r="N7" i="24"/>
  <c r="N7" i="4"/>
  <c r="I20" i="41"/>
  <c r="N6" i="41"/>
  <c r="N7" i="41" s="1"/>
  <c r="I20" i="40"/>
  <c r="N6" i="40"/>
  <c r="N7" i="40" s="1"/>
  <c r="N7" i="28"/>
  <c r="N7" i="3"/>
  <c r="N7" i="29"/>
  <c r="I20" i="42"/>
  <c r="N6" i="42"/>
  <c r="N7" i="42" s="1"/>
  <c r="N7" i="27"/>
  <c r="E22" i="44"/>
  <c r="F22" i="44" s="1"/>
  <c r="B22" i="44"/>
  <c r="I21" i="44"/>
  <c r="H21" i="13"/>
  <c r="D22" i="13"/>
  <c r="I25" i="27"/>
  <c r="F26" i="27"/>
  <c r="B26" i="27"/>
  <c r="B31" i="6"/>
  <c r="F31" i="6"/>
  <c r="B25" i="31"/>
  <c r="F25" i="31"/>
  <c r="F25" i="28"/>
  <c r="B25" i="28"/>
  <c r="I21" i="45"/>
  <c r="I30" i="6"/>
  <c r="I28" i="22"/>
  <c r="I24" i="31"/>
  <c r="I29" i="4"/>
  <c r="B30" i="3"/>
  <c r="F30" i="3"/>
  <c r="I30" i="8"/>
  <c r="F22" i="39"/>
  <c r="H22" i="39" s="1"/>
  <c r="B22" i="39"/>
  <c r="F23" i="37"/>
  <c r="H23" i="37" s="1"/>
  <c r="B23" i="37"/>
  <c r="H32" i="9"/>
  <c r="D33" i="9"/>
  <c r="G32" i="9"/>
  <c r="E33" i="9"/>
  <c r="B30" i="4"/>
  <c r="F30" i="4"/>
  <c r="I28" i="25"/>
  <c r="B21" i="40"/>
  <c r="F21" i="40"/>
  <c r="G21" i="40" s="1"/>
  <c r="B22" i="45"/>
  <c r="F22" i="45"/>
  <c r="H22" i="45" s="1"/>
  <c r="B24" i="30"/>
  <c r="F24" i="30"/>
  <c r="F21" i="41"/>
  <c r="H21" i="41" s="1"/>
  <c r="B21" i="41"/>
  <c r="F34" i="10"/>
  <c r="B34" i="10"/>
  <c r="F27" i="24"/>
  <c r="B27" i="24"/>
  <c r="I21" i="39"/>
  <c r="B28" i="23"/>
  <c r="F28" i="23"/>
  <c r="B21" i="42"/>
  <c r="F21" i="42"/>
  <c r="H21" i="42" s="1"/>
  <c r="I24" i="29"/>
  <c r="I31" i="11"/>
  <c r="B22" i="38"/>
  <c r="F22" i="38"/>
  <c r="G22" i="38" s="1"/>
  <c r="F29" i="22"/>
  <c r="B29" i="22"/>
  <c r="F33" i="7"/>
  <c r="B33" i="7"/>
  <c r="I21" i="38"/>
  <c r="I27" i="23"/>
  <c r="D22" i="46"/>
  <c r="F25" i="29"/>
  <c r="B25" i="29"/>
  <c r="I19" i="43"/>
  <c r="B32" i="11"/>
  <c r="F32" i="11"/>
  <c r="I29" i="5"/>
  <c r="B30" i="5"/>
  <c r="F30" i="5"/>
  <c r="I32" i="7"/>
  <c r="F29" i="25"/>
  <c r="B29" i="25"/>
  <c r="I23" i="30"/>
  <c r="I33" i="10"/>
  <c r="I26" i="24"/>
  <c r="B20" i="43"/>
  <c r="F20" i="43"/>
  <c r="H20" i="43" s="1"/>
  <c r="N6" i="43" s="1"/>
  <c r="G21" i="46"/>
  <c r="I21" i="46" s="1"/>
  <c r="I24" i="28"/>
  <c r="I29" i="3"/>
  <c r="F31" i="8"/>
  <c r="B31" i="8"/>
  <c r="I103" i="13"/>
  <c r="N88" i="13" s="1"/>
  <c r="H103" i="13"/>
  <c r="M88" i="13" s="1"/>
  <c r="M89" i="13" s="1"/>
  <c r="F104" i="13"/>
  <c r="B104" i="13"/>
  <c r="F39" i="17"/>
  <c r="F28" i="17"/>
  <c r="F38" i="17"/>
  <c r="F18" i="17"/>
  <c r="F40" i="17"/>
  <c r="F31" i="17"/>
  <c r="F35" i="17"/>
  <c r="F41" i="17"/>
  <c r="F29" i="17"/>
  <c r="F27" i="17"/>
  <c r="F26" i="17"/>
  <c r="F30" i="17"/>
  <c r="F22" i="17"/>
  <c r="F32" i="17"/>
  <c r="F19" i="17"/>
  <c r="F23" i="17"/>
  <c r="F33" i="17"/>
  <c r="F20" i="17"/>
  <c r="G26" i="17" l="1"/>
  <c r="G35" i="17"/>
  <c r="G23" i="17"/>
  <c r="G28" i="17"/>
  <c r="G27" i="17"/>
  <c r="G20" i="17"/>
  <c r="G18" i="17"/>
  <c r="G29" i="17"/>
  <c r="G41" i="17"/>
  <c r="G32" i="17"/>
  <c r="G40" i="17"/>
  <c r="G30" i="17"/>
  <c r="G38" i="17"/>
  <c r="G31" i="17"/>
  <c r="G33" i="17"/>
  <c r="G39" i="17"/>
  <c r="G19" i="17"/>
  <c r="G22" i="17"/>
  <c r="I21" i="13"/>
  <c r="N6" i="13"/>
  <c r="N7" i="13" s="1"/>
  <c r="O88" i="13"/>
  <c r="O89" i="13" s="1"/>
  <c r="N89" i="13"/>
  <c r="G22" i="44"/>
  <c r="D23" i="44"/>
  <c r="H22" i="44"/>
  <c r="B22" i="13"/>
  <c r="E22" i="13"/>
  <c r="F22" i="13" s="1"/>
  <c r="G22" i="39"/>
  <c r="I22" i="39" s="1"/>
  <c r="G21" i="41"/>
  <c r="I21" i="41" s="1"/>
  <c r="H22" i="38"/>
  <c r="I22" i="38" s="1"/>
  <c r="G20" i="43"/>
  <c r="N5" i="43" s="1"/>
  <c r="G21" i="42"/>
  <c r="I21" i="42" s="1"/>
  <c r="H21" i="40"/>
  <c r="I21" i="40" s="1"/>
  <c r="D27" i="27"/>
  <c r="E27" i="27"/>
  <c r="G26" i="27"/>
  <c r="H26" i="27"/>
  <c r="D26" i="29"/>
  <c r="H25" i="29"/>
  <c r="G25" i="29"/>
  <c r="E26" i="29"/>
  <c r="D30" i="22"/>
  <c r="G29" i="22"/>
  <c r="H29" i="22"/>
  <c r="E30" i="22"/>
  <c r="F33" i="9"/>
  <c r="B33" i="9"/>
  <c r="G25" i="28"/>
  <c r="D26" i="28"/>
  <c r="H25" i="28"/>
  <c r="E26" i="28"/>
  <c r="G22" i="45"/>
  <c r="I22" i="45" s="1"/>
  <c r="I32" i="9"/>
  <c r="D24" i="37"/>
  <c r="E24" i="37"/>
  <c r="D23" i="39"/>
  <c r="E23" i="39"/>
  <c r="D26" i="31"/>
  <c r="G25" i="31"/>
  <c r="H25" i="31"/>
  <c r="E26" i="31"/>
  <c r="H31" i="6"/>
  <c r="D32" i="6"/>
  <c r="G31" i="6"/>
  <c r="E32" i="6"/>
  <c r="D33" i="11"/>
  <c r="G32" i="11"/>
  <c r="H32" i="11"/>
  <c r="E33" i="11"/>
  <c r="B22" i="46"/>
  <c r="G30" i="4"/>
  <c r="D31" i="4"/>
  <c r="H30" i="4"/>
  <c r="E31" i="4"/>
  <c r="D31" i="3"/>
  <c r="H30" i="3"/>
  <c r="G30" i="3"/>
  <c r="E31" i="3"/>
  <c r="D21" i="43"/>
  <c r="E21" i="43"/>
  <c r="H33" i="7"/>
  <c r="D34" i="7"/>
  <c r="G33" i="7"/>
  <c r="E34" i="7"/>
  <c r="E35" i="10"/>
  <c r="H34" i="10"/>
  <c r="D35" i="10"/>
  <c r="G34" i="10"/>
  <c r="D22" i="41"/>
  <c r="E22" i="41"/>
  <c r="D22" i="40"/>
  <c r="E22" i="40"/>
  <c r="G23" i="37"/>
  <c r="I23" i="37" s="1"/>
  <c r="H30" i="5"/>
  <c r="D31" i="5"/>
  <c r="G30" i="5"/>
  <c r="E31" i="5"/>
  <c r="G27" i="24"/>
  <c r="D28" i="24"/>
  <c r="H27" i="24"/>
  <c r="E28" i="24"/>
  <c r="D32" i="8"/>
  <c r="H31" i="8"/>
  <c r="G31" i="8"/>
  <c r="E32" i="8"/>
  <c r="D30" i="25"/>
  <c r="G29" i="25"/>
  <c r="H29" i="25"/>
  <c r="E30" i="25"/>
  <c r="E22" i="46"/>
  <c r="F22" i="46" s="1"/>
  <c r="D23" i="38"/>
  <c r="E23" i="38"/>
  <c r="D22" i="42"/>
  <c r="E22" i="42"/>
  <c r="D29" i="23"/>
  <c r="H28" i="23"/>
  <c r="G28" i="23"/>
  <c r="E29" i="23"/>
  <c r="H24" i="30"/>
  <c r="D25" i="30"/>
  <c r="G24" i="30"/>
  <c r="E25" i="30"/>
  <c r="D23" i="45"/>
  <c r="E23" i="45" s="1"/>
  <c r="J103" i="13"/>
  <c r="G104" i="13"/>
  <c r="D105" i="13"/>
  <c r="E105" i="13" s="1"/>
  <c r="E42" i="17"/>
  <c r="E47" i="17" l="1"/>
  <c r="M19" i="1"/>
  <c r="N19" i="1"/>
  <c r="R133" i="1" s="1"/>
  <c r="I20" i="43"/>
  <c r="N7" i="43"/>
  <c r="I22" i="44"/>
  <c r="E23" i="44"/>
  <c r="F23" i="44" s="1"/>
  <c r="B23" i="44"/>
  <c r="G22" i="13"/>
  <c r="H22" i="13"/>
  <c r="D23" i="13"/>
  <c r="B23" i="13" s="1"/>
  <c r="I26" i="27"/>
  <c r="B27" i="27"/>
  <c r="F27" i="27"/>
  <c r="D23" i="46"/>
  <c r="E23" i="46" s="1"/>
  <c r="G22" i="46"/>
  <c r="H22" i="46"/>
  <c r="B28" i="24"/>
  <c r="F28" i="24"/>
  <c r="I32" i="11"/>
  <c r="B26" i="29"/>
  <c r="F26" i="29"/>
  <c r="B22" i="42"/>
  <c r="F22" i="42"/>
  <c r="H22" i="42" s="1"/>
  <c r="B30" i="25"/>
  <c r="F30" i="25"/>
  <c r="B32" i="8"/>
  <c r="F32" i="8"/>
  <c r="B22" i="40"/>
  <c r="F22" i="40"/>
  <c r="H22" i="40" s="1"/>
  <c r="B35" i="10"/>
  <c r="F35" i="10"/>
  <c r="F21" i="43"/>
  <c r="H21" i="43" s="1"/>
  <c r="B21" i="43"/>
  <c r="B32" i="6"/>
  <c r="F32" i="6"/>
  <c r="B24" i="37"/>
  <c r="F24" i="37"/>
  <c r="G24" i="37" s="1"/>
  <c r="F26" i="28"/>
  <c r="B26" i="28"/>
  <c r="D34" i="9"/>
  <c r="H33" i="9"/>
  <c r="G33" i="9"/>
  <c r="E34" i="9"/>
  <c r="F25" i="30"/>
  <c r="B25" i="30"/>
  <c r="I28" i="23"/>
  <c r="B23" i="38"/>
  <c r="F23" i="38"/>
  <c r="G23" i="38" s="1"/>
  <c r="F31" i="5"/>
  <c r="B31" i="5"/>
  <c r="I34" i="10"/>
  <c r="I30" i="4"/>
  <c r="F33" i="11"/>
  <c r="B33" i="11"/>
  <c r="I31" i="6"/>
  <c r="B26" i="31"/>
  <c r="F26" i="31"/>
  <c r="F23" i="39"/>
  <c r="B23" i="39"/>
  <c r="I29" i="22"/>
  <c r="I31" i="8"/>
  <c r="I33" i="7"/>
  <c r="B31" i="3"/>
  <c r="F31" i="3"/>
  <c r="I25" i="31"/>
  <c r="F30" i="22"/>
  <c r="B30" i="22"/>
  <c r="F23" i="45"/>
  <c r="H23" i="45" s="1"/>
  <c r="B23" i="45"/>
  <c r="I24" i="30"/>
  <c r="B29" i="23"/>
  <c r="F29" i="23"/>
  <c r="I29" i="25"/>
  <c r="I27" i="24"/>
  <c r="I30" i="5"/>
  <c r="B22" i="41"/>
  <c r="F22" i="41"/>
  <c r="B34" i="7"/>
  <c r="F34" i="7"/>
  <c r="I30" i="3"/>
  <c r="F31" i="4"/>
  <c r="B31" i="4"/>
  <c r="I25" i="28"/>
  <c r="I25" i="29"/>
  <c r="H104" i="13"/>
  <c r="I104" i="13"/>
  <c r="B105" i="13"/>
  <c r="F105" i="13"/>
  <c r="F42" i="17"/>
  <c r="M20" i="1" l="1"/>
  <c r="R132" i="1"/>
  <c r="E23" i="13"/>
  <c r="F23" i="13" s="1"/>
  <c r="F47" i="17"/>
  <c r="G42" i="17"/>
  <c r="G47" i="17" s="1"/>
  <c r="O19" i="1"/>
  <c r="N20" i="1"/>
  <c r="I22" i="46"/>
  <c r="G21" i="43"/>
  <c r="H23" i="44"/>
  <c r="D24" i="44"/>
  <c r="G23" i="44"/>
  <c r="H23" i="38"/>
  <c r="I23" i="38" s="1"/>
  <c r="I22" i="13"/>
  <c r="H23" i="13"/>
  <c r="G22" i="42"/>
  <c r="I22" i="42" s="1"/>
  <c r="H24" i="37"/>
  <c r="I24" i="37" s="1"/>
  <c r="D28" i="27"/>
  <c r="G27" i="27"/>
  <c r="E28" i="27"/>
  <c r="H27" i="27"/>
  <c r="D24" i="39"/>
  <c r="E24" i="39"/>
  <c r="D35" i="7"/>
  <c r="G34" i="7"/>
  <c r="H34" i="7"/>
  <c r="E35" i="7"/>
  <c r="G29" i="23"/>
  <c r="H29" i="23"/>
  <c r="D30" i="23"/>
  <c r="E30" i="23"/>
  <c r="G31" i="3"/>
  <c r="H31" i="3"/>
  <c r="D32" i="3"/>
  <c r="E32" i="3"/>
  <c r="G23" i="39"/>
  <c r="D27" i="31"/>
  <c r="G26" i="31"/>
  <c r="H26" i="31"/>
  <c r="E27" i="31"/>
  <c r="D24" i="38"/>
  <c r="E24" i="38"/>
  <c r="G32" i="6"/>
  <c r="H32" i="6"/>
  <c r="D33" i="6"/>
  <c r="E33" i="6"/>
  <c r="D22" i="43"/>
  <c r="E22" i="43"/>
  <c r="G22" i="40"/>
  <c r="I22" i="40" s="1"/>
  <c r="H32" i="8"/>
  <c r="D33" i="8"/>
  <c r="G32" i="8"/>
  <c r="E33" i="8"/>
  <c r="D23" i="42"/>
  <c r="E23" i="42"/>
  <c r="G26" i="29"/>
  <c r="H26" i="29"/>
  <c r="D27" i="29"/>
  <c r="E27" i="29"/>
  <c r="D29" i="24"/>
  <c r="G28" i="24"/>
  <c r="H28" i="24"/>
  <c r="E29" i="24"/>
  <c r="D23" i="41"/>
  <c r="E23" i="41"/>
  <c r="D24" i="45"/>
  <c r="F34" i="9"/>
  <c r="B34" i="9"/>
  <c r="I21" i="43"/>
  <c r="H31" i="4"/>
  <c r="D32" i="4"/>
  <c r="G31" i="4"/>
  <c r="E32" i="4"/>
  <c r="H22" i="41"/>
  <c r="G23" i="45"/>
  <c r="I23" i="45" s="1"/>
  <c r="D31" i="22"/>
  <c r="G30" i="22"/>
  <c r="H30" i="22"/>
  <c r="E31" i="22"/>
  <c r="D34" i="11"/>
  <c r="G33" i="11"/>
  <c r="H33" i="11"/>
  <c r="E34" i="11"/>
  <c r="G31" i="5"/>
  <c r="D32" i="5"/>
  <c r="H31" i="5"/>
  <c r="E32" i="5"/>
  <c r="G25" i="30"/>
  <c r="D26" i="30"/>
  <c r="H25" i="30"/>
  <c r="E26" i="30"/>
  <c r="G26" i="28"/>
  <c r="D27" i="28"/>
  <c r="H26" i="28"/>
  <c r="E27" i="28"/>
  <c r="D25" i="37"/>
  <c r="E25" i="37"/>
  <c r="F23" i="46"/>
  <c r="G23" i="46" s="1"/>
  <c r="B23" i="46"/>
  <c r="G22" i="41"/>
  <c r="H23" i="39"/>
  <c r="I33" i="9"/>
  <c r="H35" i="10"/>
  <c r="G35" i="10"/>
  <c r="D36" i="10"/>
  <c r="E36" i="10"/>
  <c r="D23" i="40"/>
  <c r="E23" i="40"/>
  <c r="H30" i="25"/>
  <c r="D31" i="25"/>
  <c r="G30" i="25"/>
  <c r="E31" i="25"/>
  <c r="J104" i="13"/>
  <c r="G105" i="13"/>
  <c r="D106" i="13"/>
  <c r="E106" i="13" s="1"/>
  <c r="G23" i="13" l="1"/>
  <c r="I23" i="13" s="1"/>
  <c r="D24" i="13"/>
  <c r="R134" i="1"/>
  <c r="O20" i="1"/>
  <c r="F48" i="17"/>
  <c r="I27" i="27"/>
  <c r="E24" i="44"/>
  <c r="F24" i="44" s="1"/>
  <c r="B24" i="44"/>
  <c r="I23" i="44"/>
  <c r="F28" i="27"/>
  <c r="B28" i="27"/>
  <c r="I23" i="39"/>
  <c r="B27" i="28"/>
  <c r="F27" i="28"/>
  <c r="G34" i="9"/>
  <c r="E35" i="9"/>
  <c r="D35" i="9"/>
  <c r="H34" i="9"/>
  <c r="B23" i="41"/>
  <c r="F23" i="41"/>
  <c r="G23" i="41" s="1"/>
  <c r="I32" i="6"/>
  <c r="F35" i="7"/>
  <c r="B35" i="7"/>
  <c r="B36" i="10"/>
  <c r="F36" i="10"/>
  <c r="B25" i="37"/>
  <c r="F25" i="37"/>
  <c r="H25" i="37" s="1"/>
  <c r="B34" i="11"/>
  <c r="F34" i="11"/>
  <c r="F31" i="22"/>
  <c r="B31" i="22"/>
  <c r="B24" i="45"/>
  <c r="F33" i="8"/>
  <c r="B33" i="8"/>
  <c r="B22" i="43"/>
  <c r="F22" i="43"/>
  <c r="H22" i="43" s="1"/>
  <c r="I26" i="31"/>
  <c r="B31" i="25"/>
  <c r="F31" i="25"/>
  <c r="F32" i="5"/>
  <c r="B32" i="5"/>
  <c r="I30" i="25"/>
  <c r="B32" i="4"/>
  <c r="F32" i="4"/>
  <c r="E24" i="45"/>
  <c r="F24" i="45" s="1"/>
  <c r="I28" i="24"/>
  <c r="F27" i="29"/>
  <c r="B27" i="29"/>
  <c r="B23" i="42"/>
  <c r="F23" i="42"/>
  <c r="I32" i="8"/>
  <c r="F32" i="3"/>
  <c r="B32" i="3"/>
  <c r="B30" i="23"/>
  <c r="F30" i="23"/>
  <c r="I34" i="7"/>
  <c r="B24" i="39"/>
  <c r="F24" i="39"/>
  <c r="G24" i="39" s="1"/>
  <c r="D24" i="46"/>
  <c r="E24" i="46" s="1"/>
  <c r="F26" i="30"/>
  <c r="B26" i="30"/>
  <c r="B29" i="24"/>
  <c r="F29" i="24"/>
  <c r="B23" i="40"/>
  <c r="F23" i="40"/>
  <c r="H23" i="40" s="1"/>
  <c r="I35" i="10"/>
  <c r="H23" i="46"/>
  <c r="I23" i="46" s="1"/>
  <c r="I26" i="28"/>
  <c r="I25" i="30"/>
  <c r="I31" i="5"/>
  <c r="I33" i="11"/>
  <c r="I30" i="22"/>
  <c r="I22" i="41"/>
  <c r="I31" i="4"/>
  <c r="I26" i="29"/>
  <c r="B33" i="6"/>
  <c r="F33" i="6"/>
  <c r="B24" i="38"/>
  <c r="F24" i="38"/>
  <c r="H24" i="38" s="1"/>
  <c r="F27" i="31"/>
  <c r="B27" i="31"/>
  <c r="I31" i="3"/>
  <c r="I29" i="23"/>
  <c r="I105" i="13"/>
  <c r="H105" i="13"/>
  <c r="B106" i="13"/>
  <c r="F106" i="13"/>
  <c r="E24" i="13" l="1"/>
  <c r="F24" i="13" s="1"/>
  <c r="B24" i="13"/>
  <c r="H23" i="41"/>
  <c r="I23" i="41" s="1"/>
  <c r="G24" i="44"/>
  <c r="H24" i="44"/>
  <c r="D25" i="44"/>
  <c r="G25" i="37"/>
  <c r="I25" i="37" s="1"/>
  <c r="E29" i="27"/>
  <c r="H28" i="27"/>
  <c r="D29" i="27"/>
  <c r="G28" i="27"/>
  <c r="D25" i="45"/>
  <c r="G24" i="45"/>
  <c r="H24" i="45"/>
  <c r="D33" i="5"/>
  <c r="G32" i="5"/>
  <c r="H32" i="5"/>
  <c r="E33" i="5"/>
  <c r="D32" i="22"/>
  <c r="G31" i="22"/>
  <c r="H31" i="22"/>
  <c r="E32" i="22"/>
  <c r="D24" i="40"/>
  <c r="E24" i="40"/>
  <c r="D25" i="39"/>
  <c r="E25" i="39"/>
  <c r="D24" i="42"/>
  <c r="E24" i="42"/>
  <c r="H31" i="25"/>
  <c r="G31" i="25"/>
  <c r="D32" i="25"/>
  <c r="E32" i="25"/>
  <c r="D35" i="11"/>
  <c r="G34" i="11"/>
  <c r="H34" i="11"/>
  <c r="E35" i="11"/>
  <c r="I34" i="9"/>
  <c r="H27" i="28"/>
  <c r="D28" i="28"/>
  <c r="G27" i="28"/>
  <c r="E28" i="28"/>
  <c r="G27" i="31"/>
  <c r="H27" i="31"/>
  <c r="D28" i="31"/>
  <c r="E28" i="31"/>
  <c r="D25" i="38"/>
  <c r="E25" i="38"/>
  <c r="D34" i="6"/>
  <c r="G33" i="6"/>
  <c r="H33" i="6"/>
  <c r="E34" i="6"/>
  <c r="G26" i="30"/>
  <c r="D27" i="30"/>
  <c r="H26" i="30"/>
  <c r="E27" i="30"/>
  <c r="H24" i="39"/>
  <c r="D33" i="3"/>
  <c r="G32" i="3"/>
  <c r="H32" i="3"/>
  <c r="E33" i="3"/>
  <c r="G23" i="42"/>
  <c r="G27" i="29"/>
  <c r="D28" i="29"/>
  <c r="H27" i="29"/>
  <c r="E28" i="29"/>
  <c r="D23" i="43"/>
  <c r="E23" i="43"/>
  <c r="D34" i="8"/>
  <c r="G33" i="8"/>
  <c r="H33" i="8"/>
  <c r="E34" i="8"/>
  <c r="H35" i="7"/>
  <c r="D36" i="7"/>
  <c r="G35" i="7"/>
  <c r="E36" i="7"/>
  <c r="B35" i="9"/>
  <c r="F35" i="9"/>
  <c r="G24" i="38"/>
  <c r="I24" i="38" s="1"/>
  <c r="G23" i="40"/>
  <c r="I23" i="40" s="1"/>
  <c r="D30" i="24"/>
  <c r="H29" i="24"/>
  <c r="G29" i="24"/>
  <c r="E30" i="24"/>
  <c r="B24" i="46"/>
  <c r="F24" i="46"/>
  <c r="G24" i="46" s="1"/>
  <c r="D31" i="23"/>
  <c r="G30" i="23"/>
  <c r="H30" i="23"/>
  <c r="E31" i="23"/>
  <c r="H23" i="42"/>
  <c r="D33" i="4"/>
  <c r="H32" i="4"/>
  <c r="G32" i="4"/>
  <c r="E33" i="4"/>
  <c r="G22" i="43"/>
  <c r="I22" i="43" s="1"/>
  <c r="D26" i="37"/>
  <c r="E26" i="37"/>
  <c r="E37" i="10"/>
  <c r="H36" i="10"/>
  <c r="D37" i="10"/>
  <c r="G36" i="10"/>
  <c r="D24" i="41"/>
  <c r="E24" i="41"/>
  <c r="D107" i="13"/>
  <c r="E107" i="13" s="1"/>
  <c r="G106" i="13"/>
  <c r="J105" i="13"/>
  <c r="I24" i="44" l="1"/>
  <c r="G24" i="13"/>
  <c r="H24" i="13"/>
  <c r="D25" i="13"/>
  <c r="I31" i="22"/>
  <c r="B25" i="44"/>
  <c r="E25" i="44"/>
  <c r="F25" i="44" s="1"/>
  <c r="I28" i="27"/>
  <c r="I36" i="10"/>
  <c r="I31" i="25"/>
  <c r="I27" i="29"/>
  <c r="I34" i="11"/>
  <c r="I29" i="24"/>
  <c r="I32" i="4"/>
  <c r="I27" i="28"/>
  <c r="I24" i="45"/>
  <c r="I35" i="7"/>
  <c r="I32" i="5"/>
  <c r="F29" i="27"/>
  <c r="B29" i="27"/>
  <c r="B33" i="3"/>
  <c r="F33" i="3"/>
  <c r="F28" i="28"/>
  <c r="B28" i="28"/>
  <c r="B31" i="23"/>
  <c r="F31" i="23"/>
  <c r="B30" i="24"/>
  <c r="F30" i="24"/>
  <c r="F34" i="8"/>
  <c r="B34" i="8"/>
  <c r="I24" i="39"/>
  <c r="B34" i="6"/>
  <c r="F34" i="6"/>
  <c r="B28" i="31"/>
  <c r="F28" i="31"/>
  <c r="B32" i="25"/>
  <c r="F32" i="25"/>
  <c r="F24" i="42"/>
  <c r="G24" i="42" s="1"/>
  <c r="B24" i="42"/>
  <c r="F24" i="40"/>
  <c r="H24" i="40" s="1"/>
  <c r="B24" i="40"/>
  <c r="F27" i="30"/>
  <c r="B27" i="30"/>
  <c r="B24" i="41"/>
  <c r="F24" i="41"/>
  <c r="I23" i="42"/>
  <c r="B28" i="29"/>
  <c r="F28" i="29"/>
  <c r="I32" i="3"/>
  <c r="I27" i="31"/>
  <c r="B35" i="11"/>
  <c r="F35" i="11"/>
  <c r="B25" i="45"/>
  <c r="F33" i="4"/>
  <c r="B33" i="4"/>
  <c r="D25" i="46"/>
  <c r="E25" i="46" s="1"/>
  <c r="F37" i="10"/>
  <c r="B37" i="10"/>
  <c r="F26" i="37"/>
  <c r="B26" i="37"/>
  <c r="I30" i="23"/>
  <c r="H24" i="46"/>
  <c r="I24" i="46" s="1"/>
  <c r="E36" i="9"/>
  <c r="D36" i="9"/>
  <c r="G35" i="9"/>
  <c r="H35" i="9"/>
  <c r="B36" i="7"/>
  <c r="F36" i="7"/>
  <c r="I33" i="8"/>
  <c r="B23" i="43"/>
  <c r="F23" i="43"/>
  <c r="I26" i="30"/>
  <c r="I33" i="6"/>
  <c r="F25" i="38"/>
  <c r="G25" i="38" s="1"/>
  <c r="B25" i="38"/>
  <c r="F25" i="39"/>
  <c r="H25" i="39" s="1"/>
  <c r="B25" i="39"/>
  <c r="F32" i="22"/>
  <c r="B32" i="22"/>
  <c r="B33" i="5"/>
  <c r="F33" i="5"/>
  <c r="E25" i="45"/>
  <c r="F25" i="45" s="1"/>
  <c r="H106" i="13"/>
  <c r="I106" i="13"/>
  <c r="F107" i="13"/>
  <c r="B107" i="13"/>
  <c r="I24" i="13" l="1"/>
  <c r="B25" i="13"/>
  <c r="E25" i="13"/>
  <c r="F25" i="13" s="1"/>
  <c r="D26" i="44"/>
  <c r="H25" i="44"/>
  <c r="G25" i="44"/>
  <c r="G24" i="40"/>
  <c r="I24" i="40" s="1"/>
  <c r="H24" i="42"/>
  <c r="I24" i="42" s="1"/>
  <c r="G29" i="27"/>
  <c r="E30" i="27"/>
  <c r="H29" i="27"/>
  <c r="D30" i="27"/>
  <c r="D26" i="45"/>
  <c r="E26" i="45" s="1"/>
  <c r="H25" i="45"/>
  <c r="G25" i="45"/>
  <c r="D24" i="43"/>
  <c r="E24" i="43"/>
  <c r="D27" i="37"/>
  <c r="E27" i="37"/>
  <c r="D34" i="4"/>
  <c r="G33" i="4"/>
  <c r="H33" i="4"/>
  <c r="E34" i="4"/>
  <c r="G28" i="31"/>
  <c r="H28" i="31"/>
  <c r="D29" i="31"/>
  <c r="E29" i="31"/>
  <c r="D31" i="24"/>
  <c r="G30" i="24"/>
  <c r="H30" i="24"/>
  <c r="E31" i="24"/>
  <c r="D33" i="22"/>
  <c r="G32" i="22"/>
  <c r="H32" i="22"/>
  <c r="E33" i="22"/>
  <c r="D26" i="39"/>
  <c r="E26" i="39"/>
  <c r="D26" i="38"/>
  <c r="E26" i="38"/>
  <c r="H23" i="43"/>
  <c r="D37" i="7"/>
  <c r="G36" i="7"/>
  <c r="H36" i="7"/>
  <c r="E37" i="7"/>
  <c r="B36" i="9"/>
  <c r="F36" i="9"/>
  <c r="H26" i="37"/>
  <c r="D36" i="11"/>
  <c r="G35" i="11"/>
  <c r="H35" i="11"/>
  <c r="E36" i="11"/>
  <c r="D29" i="29"/>
  <c r="G28" i="29"/>
  <c r="H28" i="29"/>
  <c r="E29" i="29"/>
  <c r="G27" i="30"/>
  <c r="D28" i="30"/>
  <c r="H27" i="30"/>
  <c r="E28" i="30"/>
  <c r="D25" i="42"/>
  <c r="E25" i="42"/>
  <c r="H28" i="28"/>
  <c r="G28" i="28"/>
  <c r="D29" i="28"/>
  <c r="E29" i="28"/>
  <c r="D25" i="41"/>
  <c r="E25" i="41"/>
  <c r="G33" i="5"/>
  <c r="H33" i="5"/>
  <c r="D34" i="5"/>
  <c r="E34" i="5"/>
  <c r="G25" i="39"/>
  <c r="I25" i="39" s="1"/>
  <c r="H25" i="38"/>
  <c r="I25" i="38" s="1"/>
  <c r="E38" i="10"/>
  <c r="D38" i="10"/>
  <c r="G37" i="10"/>
  <c r="H37" i="10"/>
  <c r="F25" i="46"/>
  <c r="G25" i="46" s="1"/>
  <c r="B25" i="46"/>
  <c r="H24" i="41"/>
  <c r="D25" i="40"/>
  <c r="E25" i="40"/>
  <c r="D35" i="6"/>
  <c r="G34" i="6"/>
  <c r="H34" i="6"/>
  <c r="E35" i="6"/>
  <c r="H31" i="23"/>
  <c r="D32" i="23"/>
  <c r="G31" i="23"/>
  <c r="E32" i="23"/>
  <c r="D34" i="3"/>
  <c r="G33" i="3"/>
  <c r="H33" i="3"/>
  <c r="E34" i="3"/>
  <c r="G23" i="43"/>
  <c r="I35" i="9"/>
  <c r="G26" i="37"/>
  <c r="G24" i="41"/>
  <c r="G32" i="25"/>
  <c r="D33" i="25"/>
  <c r="H32" i="25"/>
  <c r="E33" i="25"/>
  <c r="D35" i="8"/>
  <c r="G34" i="8"/>
  <c r="H34" i="8"/>
  <c r="E35" i="8"/>
  <c r="J106" i="13"/>
  <c r="G107" i="13"/>
  <c r="D108" i="13"/>
  <c r="E108" i="13" s="1"/>
  <c r="D26" i="13" l="1"/>
  <c r="H25" i="13"/>
  <c r="G25" i="13"/>
  <c r="I36" i="7"/>
  <c r="I25" i="44"/>
  <c r="E26" i="44"/>
  <c r="F26" i="44" s="1"/>
  <c r="B26" i="44"/>
  <c r="I29" i="27"/>
  <c r="I28" i="31"/>
  <c r="I32" i="22"/>
  <c r="I34" i="8"/>
  <c r="B30" i="27"/>
  <c r="F30" i="27"/>
  <c r="I26" i="37"/>
  <c r="I37" i="10"/>
  <c r="I33" i="5"/>
  <c r="I27" i="30"/>
  <c r="I28" i="29"/>
  <c r="I35" i="11"/>
  <c r="I33" i="3"/>
  <c r="I34" i="6"/>
  <c r="I24" i="41"/>
  <c r="B35" i="8"/>
  <c r="F35" i="8"/>
  <c r="F32" i="23"/>
  <c r="B32" i="23"/>
  <c r="F25" i="40"/>
  <c r="H25" i="40" s="1"/>
  <c r="B25" i="40"/>
  <c r="I28" i="28"/>
  <c r="G36" i="9"/>
  <c r="E37" i="9"/>
  <c r="H36" i="9"/>
  <c r="D37" i="9"/>
  <c r="B26" i="38"/>
  <c r="F26" i="38"/>
  <c r="H26" i="38" s="1"/>
  <c r="B31" i="24"/>
  <c r="F31" i="24"/>
  <c r="B34" i="4"/>
  <c r="F34" i="4"/>
  <c r="F24" i="43"/>
  <c r="B24" i="43"/>
  <c r="B26" i="45"/>
  <c r="F26" i="45"/>
  <c r="F34" i="5"/>
  <c r="B34" i="5"/>
  <c r="I32" i="25"/>
  <c r="F34" i="3"/>
  <c r="B34" i="3"/>
  <c r="I31" i="23"/>
  <c r="B35" i="6"/>
  <c r="F35" i="6"/>
  <c r="F28" i="30"/>
  <c r="B28" i="30"/>
  <c r="B37" i="7"/>
  <c r="F37" i="7"/>
  <c r="D26" i="46"/>
  <c r="B25" i="41"/>
  <c r="F25" i="41"/>
  <c r="H25" i="41" s="1"/>
  <c r="B33" i="25"/>
  <c r="F33" i="25"/>
  <c r="H25" i="46"/>
  <c r="I25" i="46" s="1"/>
  <c r="B38" i="10"/>
  <c r="F38" i="10"/>
  <c r="B29" i="28"/>
  <c r="F29" i="28"/>
  <c r="F25" i="42"/>
  <c r="B25" i="42"/>
  <c r="F29" i="29"/>
  <c r="B29" i="29"/>
  <c r="F36" i="11"/>
  <c r="B36" i="11"/>
  <c r="I23" i="43"/>
  <c r="F26" i="39"/>
  <c r="H26" i="39" s="1"/>
  <c r="B26" i="39"/>
  <c r="F33" i="22"/>
  <c r="B33" i="22"/>
  <c r="I30" i="24"/>
  <c r="F29" i="31"/>
  <c r="B29" i="31"/>
  <c r="I33" i="4"/>
  <c r="F27" i="37"/>
  <c r="B27" i="37"/>
  <c r="I25" i="45"/>
  <c r="H107" i="13"/>
  <c r="I107" i="13"/>
  <c r="B108" i="13"/>
  <c r="F108" i="13"/>
  <c r="I25" i="13" l="1"/>
  <c r="E26" i="13"/>
  <c r="F26" i="13" s="1"/>
  <c r="B26" i="13"/>
  <c r="H26" i="44"/>
  <c r="G26" i="44"/>
  <c r="I26" i="44" s="1"/>
  <c r="D27" i="44"/>
  <c r="G26" i="38"/>
  <c r="I26" i="38" s="1"/>
  <c r="G26" i="39"/>
  <c r="I26" i="39" s="1"/>
  <c r="H30" i="27"/>
  <c r="E31" i="27"/>
  <c r="D31" i="27"/>
  <c r="G30" i="27"/>
  <c r="E28" i="37"/>
  <c r="D28" i="37"/>
  <c r="H37" i="7"/>
  <c r="D38" i="7"/>
  <c r="G37" i="7"/>
  <c r="E38" i="7"/>
  <c r="H34" i="3"/>
  <c r="G34" i="3"/>
  <c r="D35" i="3"/>
  <c r="E35" i="3"/>
  <c r="D25" i="43"/>
  <c r="E25" i="43"/>
  <c r="G27" i="37"/>
  <c r="D37" i="11"/>
  <c r="G36" i="11"/>
  <c r="H36" i="11"/>
  <c r="E37" i="11"/>
  <c r="D26" i="42"/>
  <c r="E26" i="42"/>
  <c r="G33" i="25"/>
  <c r="H33" i="25"/>
  <c r="D34" i="25"/>
  <c r="E34" i="25"/>
  <c r="D26" i="41"/>
  <c r="E26" i="41"/>
  <c r="D27" i="45"/>
  <c r="G24" i="43"/>
  <c r="G34" i="4"/>
  <c r="D35" i="4"/>
  <c r="H34" i="4"/>
  <c r="E35" i="4"/>
  <c r="B37" i="9"/>
  <c r="F37" i="9"/>
  <c r="D26" i="40"/>
  <c r="E26" i="40"/>
  <c r="G29" i="28"/>
  <c r="H29" i="28"/>
  <c r="D30" i="28"/>
  <c r="E30" i="28"/>
  <c r="B26" i="46"/>
  <c r="G35" i="6"/>
  <c r="D36" i="6"/>
  <c r="H35" i="6"/>
  <c r="E36" i="6"/>
  <c r="G34" i="5"/>
  <c r="D35" i="5"/>
  <c r="H34" i="5"/>
  <c r="E35" i="5"/>
  <c r="H27" i="37"/>
  <c r="G33" i="22"/>
  <c r="D34" i="22"/>
  <c r="H33" i="22"/>
  <c r="E34" i="22"/>
  <c r="D27" i="39"/>
  <c r="E27" i="39"/>
  <c r="G25" i="42"/>
  <c r="E39" i="10"/>
  <c r="G38" i="10"/>
  <c r="H38" i="10"/>
  <c r="D39" i="10"/>
  <c r="H26" i="45"/>
  <c r="D27" i="38"/>
  <c r="E27" i="38"/>
  <c r="I36" i="9"/>
  <c r="G25" i="40"/>
  <c r="I25" i="40" s="1"/>
  <c r="H35" i="8"/>
  <c r="D36" i="8"/>
  <c r="G35" i="8"/>
  <c r="E36" i="8"/>
  <c r="H29" i="31"/>
  <c r="D30" i="31"/>
  <c r="G29" i="31"/>
  <c r="E30" i="31"/>
  <c r="D30" i="29"/>
  <c r="H29" i="29"/>
  <c r="G29" i="29"/>
  <c r="E30" i="29"/>
  <c r="H25" i="42"/>
  <c r="G25" i="41"/>
  <c r="I25" i="41" s="1"/>
  <c r="E26" i="46"/>
  <c r="F26" i="46" s="1"/>
  <c r="D29" i="30"/>
  <c r="H28" i="30"/>
  <c r="G28" i="30"/>
  <c r="E29" i="30"/>
  <c r="G26" i="45"/>
  <c r="H24" i="43"/>
  <c r="G31" i="24"/>
  <c r="D32" i="24"/>
  <c r="H31" i="24"/>
  <c r="E32" i="24"/>
  <c r="D33" i="23"/>
  <c r="G32" i="23"/>
  <c r="H32" i="23"/>
  <c r="E33" i="23"/>
  <c r="J107" i="13"/>
  <c r="G108" i="13"/>
  <c r="D109" i="13"/>
  <c r="E109" i="13" s="1"/>
  <c r="G26" i="13" l="1"/>
  <c r="D27" i="13"/>
  <c r="H26" i="13"/>
  <c r="I26" i="13" s="1"/>
  <c r="I33" i="22"/>
  <c r="I34" i="4"/>
  <c r="E27" i="44"/>
  <c r="F27" i="44" s="1"/>
  <c r="B27" i="44"/>
  <c r="I25" i="42"/>
  <c r="I27" i="37"/>
  <c r="I34" i="5"/>
  <c r="I37" i="7"/>
  <c r="I29" i="31"/>
  <c r="I35" i="6"/>
  <c r="I30" i="27"/>
  <c r="I29" i="29"/>
  <c r="I36" i="11"/>
  <c r="I26" i="45"/>
  <c r="I38" i="10"/>
  <c r="I29" i="28"/>
  <c r="F31" i="27"/>
  <c r="B31" i="27"/>
  <c r="D27" i="46"/>
  <c r="G26" i="46"/>
  <c r="H26" i="46"/>
  <c r="B32" i="24"/>
  <c r="F32" i="24"/>
  <c r="F30" i="29"/>
  <c r="B30" i="29"/>
  <c r="F39" i="10"/>
  <c r="B39" i="10"/>
  <c r="F30" i="28"/>
  <c r="B30" i="28"/>
  <c r="B26" i="40"/>
  <c r="F26" i="40"/>
  <c r="H26" i="40" s="1"/>
  <c r="B27" i="45"/>
  <c r="B25" i="43"/>
  <c r="F25" i="43"/>
  <c r="I34" i="3"/>
  <c r="I24" i="43"/>
  <c r="I28" i="30"/>
  <c r="B36" i="8"/>
  <c r="F36" i="8"/>
  <c r="B34" i="22"/>
  <c r="F34" i="22"/>
  <c r="F35" i="5"/>
  <c r="B35" i="5"/>
  <c r="F36" i="6"/>
  <c r="B36" i="6"/>
  <c r="G37" i="9"/>
  <c r="E38" i="9"/>
  <c r="H37" i="9"/>
  <c r="D38" i="9"/>
  <c r="B35" i="4"/>
  <c r="F35" i="4"/>
  <c r="E27" i="45"/>
  <c r="F27" i="45" s="1"/>
  <c r="F34" i="25"/>
  <c r="B34" i="25"/>
  <c r="B26" i="42"/>
  <c r="F26" i="42"/>
  <c r="H26" i="42" s="1"/>
  <c r="F37" i="11"/>
  <c r="B37" i="11"/>
  <c r="F30" i="31"/>
  <c r="B30" i="31"/>
  <c r="B26" i="41"/>
  <c r="F26" i="41"/>
  <c r="H26" i="41" s="1"/>
  <c r="B38" i="7"/>
  <c r="F38" i="7"/>
  <c r="B33" i="23"/>
  <c r="F33" i="23"/>
  <c r="I32" i="23"/>
  <c r="I31" i="24"/>
  <c r="F29" i="30"/>
  <c r="B29" i="30"/>
  <c r="I35" i="8"/>
  <c r="B27" i="38"/>
  <c r="F27" i="38"/>
  <c r="G27" i="38" s="1"/>
  <c r="B27" i="39"/>
  <c r="F27" i="39"/>
  <c r="H27" i="39" s="1"/>
  <c r="I33" i="25"/>
  <c r="F35" i="3"/>
  <c r="B35" i="3"/>
  <c r="B28" i="37"/>
  <c r="F28" i="37"/>
  <c r="I108" i="13"/>
  <c r="H108" i="13"/>
  <c r="F109" i="13"/>
  <c r="B109" i="13"/>
  <c r="E27" i="13" l="1"/>
  <c r="F27" i="13" s="1"/>
  <c r="B27" i="13"/>
  <c r="G26" i="42"/>
  <c r="I26" i="42" s="1"/>
  <c r="H27" i="44"/>
  <c r="D28" i="44"/>
  <c r="G27" i="44"/>
  <c r="I26" i="46"/>
  <c r="D32" i="27"/>
  <c r="E32" i="27"/>
  <c r="H31" i="27"/>
  <c r="G31" i="27"/>
  <c r="D28" i="45"/>
  <c r="E28" i="45" s="1"/>
  <c r="H27" i="45"/>
  <c r="G27" i="45"/>
  <c r="D38" i="11"/>
  <c r="G37" i="11"/>
  <c r="H37" i="11"/>
  <c r="E38" i="11"/>
  <c r="D26" i="43"/>
  <c r="E26" i="43"/>
  <c r="D28" i="39"/>
  <c r="E28" i="39"/>
  <c r="D28" i="38"/>
  <c r="E28" i="38"/>
  <c r="G35" i="5"/>
  <c r="D36" i="5"/>
  <c r="H35" i="5"/>
  <c r="E36" i="5"/>
  <c r="G25" i="43"/>
  <c r="G26" i="40"/>
  <c r="I26" i="40" s="1"/>
  <c r="G30" i="28"/>
  <c r="D31" i="28"/>
  <c r="H30" i="28"/>
  <c r="E31" i="28"/>
  <c r="G30" i="29"/>
  <c r="D31" i="29"/>
  <c r="H30" i="29"/>
  <c r="E31" i="29"/>
  <c r="G35" i="4"/>
  <c r="H35" i="4"/>
  <c r="D36" i="4"/>
  <c r="E36" i="4"/>
  <c r="D37" i="8"/>
  <c r="H36" i="8"/>
  <c r="G36" i="8"/>
  <c r="E37" i="8"/>
  <c r="D29" i="37"/>
  <c r="E29" i="37"/>
  <c r="G28" i="37"/>
  <c r="H35" i="3"/>
  <c r="D36" i="3"/>
  <c r="G35" i="3"/>
  <c r="E36" i="3"/>
  <c r="H27" i="38"/>
  <c r="I27" i="38" s="1"/>
  <c r="H33" i="23"/>
  <c r="G33" i="23"/>
  <c r="D34" i="23"/>
  <c r="E34" i="23"/>
  <c r="D27" i="41"/>
  <c r="E27" i="41"/>
  <c r="G34" i="25"/>
  <c r="D35" i="25"/>
  <c r="H34" i="25"/>
  <c r="E35" i="25"/>
  <c r="B38" i="9"/>
  <c r="F38" i="9"/>
  <c r="G34" i="22"/>
  <c r="D35" i="22"/>
  <c r="H34" i="22"/>
  <c r="E35" i="22"/>
  <c r="H32" i="24"/>
  <c r="D33" i="24"/>
  <c r="G32" i="24"/>
  <c r="E33" i="24"/>
  <c r="B27" i="46"/>
  <c r="D39" i="7"/>
  <c r="G38" i="7"/>
  <c r="H38" i="7"/>
  <c r="E39" i="7"/>
  <c r="D27" i="40"/>
  <c r="E27" i="40"/>
  <c r="H28" i="37"/>
  <c r="G27" i="39"/>
  <c r="I27" i="39" s="1"/>
  <c r="D30" i="30"/>
  <c r="G29" i="30"/>
  <c r="H29" i="30"/>
  <c r="E30" i="30"/>
  <c r="G26" i="41"/>
  <c r="I26" i="41" s="1"/>
  <c r="H30" i="31"/>
  <c r="D31" i="31"/>
  <c r="G30" i="31"/>
  <c r="E31" i="31"/>
  <c r="D27" i="42"/>
  <c r="E27" i="42"/>
  <c r="I37" i="9"/>
  <c r="H36" i="6"/>
  <c r="G36" i="6"/>
  <c r="D37" i="6"/>
  <c r="E37" i="6"/>
  <c r="H25" i="43"/>
  <c r="D40" i="10"/>
  <c r="H39" i="10"/>
  <c r="G39" i="10"/>
  <c r="E40" i="10"/>
  <c r="E27" i="46"/>
  <c r="F27" i="46" s="1"/>
  <c r="G109" i="13"/>
  <c r="D110" i="13"/>
  <c r="E110" i="13" s="1"/>
  <c r="J108" i="13"/>
  <c r="I25" i="43" l="1"/>
  <c r="G27" i="13"/>
  <c r="H27" i="13"/>
  <c r="I27" i="13" s="1"/>
  <c r="D28" i="13"/>
  <c r="I27" i="44"/>
  <c r="E28" i="44"/>
  <c r="B28" i="44"/>
  <c r="F28" i="44"/>
  <c r="G28" i="44" s="1"/>
  <c r="I39" i="10"/>
  <c r="I30" i="31"/>
  <c r="I34" i="22"/>
  <c r="I35" i="4"/>
  <c r="I28" i="37"/>
  <c r="I32" i="24"/>
  <c r="I37" i="11"/>
  <c r="F32" i="27"/>
  <c r="B32" i="27"/>
  <c r="I33" i="23"/>
  <c r="I30" i="29"/>
  <c r="I30" i="28"/>
  <c r="I35" i="3"/>
  <c r="I31" i="27"/>
  <c r="D28" i="46"/>
  <c r="E28" i="46" s="1"/>
  <c r="H27" i="46"/>
  <c r="G27" i="46"/>
  <c r="B40" i="10"/>
  <c r="F40" i="10"/>
  <c r="F27" i="42"/>
  <c r="H27" i="42" s="1"/>
  <c r="B27" i="42"/>
  <c r="B28" i="39"/>
  <c r="F28" i="39"/>
  <c r="B30" i="30"/>
  <c r="F30" i="30"/>
  <c r="F35" i="22"/>
  <c r="B35" i="22"/>
  <c r="B34" i="23"/>
  <c r="F34" i="23"/>
  <c r="B36" i="4"/>
  <c r="F36" i="4"/>
  <c r="I27" i="45"/>
  <c r="B27" i="40"/>
  <c r="F27" i="40"/>
  <c r="G27" i="40" s="1"/>
  <c r="B36" i="5"/>
  <c r="F36" i="5"/>
  <c r="I36" i="6"/>
  <c r="I38" i="7"/>
  <c r="I34" i="25"/>
  <c r="I36" i="8"/>
  <c r="F31" i="29"/>
  <c r="B31" i="29"/>
  <c r="B31" i="28"/>
  <c r="F31" i="28"/>
  <c r="F28" i="38"/>
  <c r="G28" i="38" s="1"/>
  <c r="B28" i="38"/>
  <c r="F26" i="43"/>
  <c r="H26" i="43" s="1"/>
  <c r="B26" i="43"/>
  <c r="F38" i="11"/>
  <c r="B38" i="11"/>
  <c r="B39" i="7"/>
  <c r="F39" i="7"/>
  <c r="B37" i="6"/>
  <c r="F37" i="6"/>
  <c r="F31" i="31"/>
  <c r="B31" i="31"/>
  <c r="I29" i="30"/>
  <c r="F33" i="24"/>
  <c r="B33" i="24"/>
  <c r="D39" i="9"/>
  <c r="E39" i="9"/>
  <c r="G38" i="9"/>
  <c r="H38" i="9"/>
  <c r="F35" i="25"/>
  <c r="B35" i="25"/>
  <c r="F27" i="41"/>
  <c r="G27" i="41" s="1"/>
  <c r="B27" i="41"/>
  <c r="B36" i="3"/>
  <c r="F36" i="3"/>
  <c r="B29" i="37"/>
  <c r="F29" i="37"/>
  <c r="H29" i="37" s="1"/>
  <c r="F37" i="8"/>
  <c r="B37" i="8"/>
  <c r="I35" i="5"/>
  <c r="B28" i="45"/>
  <c r="F28" i="45"/>
  <c r="H28" i="45" s="1"/>
  <c r="F110" i="13"/>
  <c r="B110" i="13"/>
  <c r="H109" i="13"/>
  <c r="I109" i="13"/>
  <c r="E28" i="13" l="1"/>
  <c r="F28" i="13" s="1"/>
  <c r="B28" i="13"/>
  <c r="H28" i="44"/>
  <c r="I28" i="44" s="1"/>
  <c r="D29" i="44"/>
  <c r="I38" i="9"/>
  <c r="H28" i="38"/>
  <c r="I28" i="38" s="1"/>
  <c r="G29" i="37"/>
  <c r="H27" i="41"/>
  <c r="I27" i="41" s="1"/>
  <c r="H27" i="40"/>
  <c r="I27" i="40" s="1"/>
  <c r="D33" i="27"/>
  <c r="E33" i="27"/>
  <c r="G32" i="27"/>
  <c r="H32" i="27"/>
  <c r="H36" i="3"/>
  <c r="G36" i="3"/>
  <c r="D37" i="3"/>
  <c r="E37" i="3"/>
  <c r="G36" i="5"/>
  <c r="H36" i="5"/>
  <c r="D37" i="5"/>
  <c r="E37" i="5"/>
  <c r="H35" i="22"/>
  <c r="G35" i="22"/>
  <c r="D36" i="22"/>
  <c r="E36" i="22"/>
  <c r="D29" i="45"/>
  <c r="E29" i="45" s="1"/>
  <c r="I29" i="37"/>
  <c r="G33" i="24"/>
  <c r="D34" i="24"/>
  <c r="H33" i="24"/>
  <c r="E34" i="24"/>
  <c r="D32" i="31"/>
  <c r="G31" i="31"/>
  <c r="H31" i="31"/>
  <c r="E32" i="31"/>
  <c r="G38" i="11"/>
  <c r="D39" i="11"/>
  <c r="H38" i="11"/>
  <c r="E39" i="11"/>
  <c r="D27" i="43"/>
  <c r="E27" i="43"/>
  <c r="G31" i="29"/>
  <c r="D32" i="29"/>
  <c r="H31" i="29"/>
  <c r="E32" i="29"/>
  <c r="H34" i="23"/>
  <c r="G34" i="23"/>
  <c r="D35" i="23"/>
  <c r="E35" i="23"/>
  <c r="H30" i="30"/>
  <c r="G30" i="30"/>
  <c r="D31" i="30"/>
  <c r="E31" i="30"/>
  <c r="G40" i="10"/>
  <c r="H40" i="10"/>
  <c r="E41" i="10"/>
  <c r="D41" i="10"/>
  <c r="I27" i="46"/>
  <c r="D29" i="39"/>
  <c r="E29" i="39"/>
  <c r="G28" i="45"/>
  <c r="I28" i="45" s="1"/>
  <c r="E30" i="37"/>
  <c r="D30" i="37"/>
  <c r="G37" i="6"/>
  <c r="D38" i="6"/>
  <c r="H37" i="6"/>
  <c r="E38" i="6"/>
  <c r="H39" i="7"/>
  <c r="D40" i="7"/>
  <c r="G39" i="7"/>
  <c r="E40" i="7"/>
  <c r="H31" i="28"/>
  <c r="G31" i="28"/>
  <c r="D32" i="28"/>
  <c r="E32" i="28"/>
  <c r="H28" i="39"/>
  <c r="D28" i="42"/>
  <c r="E28" i="42"/>
  <c r="H37" i="8"/>
  <c r="D38" i="8"/>
  <c r="G37" i="8"/>
  <c r="E38" i="8"/>
  <c r="D28" i="41"/>
  <c r="E28" i="41"/>
  <c r="H35" i="25"/>
  <c r="G35" i="25"/>
  <c r="D36" i="25"/>
  <c r="E36" i="25"/>
  <c r="F39" i="9"/>
  <c r="B39" i="9"/>
  <c r="G26" i="43"/>
  <c r="I26" i="43" s="1"/>
  <c r="D29" i="38"/>
  <c r="E29" i="38"/>
  <c r="D28" i="40"/>
  <c r="E28" i="40"/>
  <c r="G36" i="4"/>
  <c r="D37" i="4"/>
  <c r="H36" i="4"/>
  <c r="E37" i="4"/>
  <c r="G28" i="39"/>
  <c r="G27" i="42"/>
  <c r="I27" i="42" s="1"/>
  <c r="F28" i="46"/>
  <c r="G28" i="46" s="1"/>
  <c r="B28" i="46"/>
  <c r="J109" i="13"/>
  <c r="G110" i="13"/>
  <c r="D111" i="13"/>
  <c r="E111" i="13" s="1"/>
  <c r="H28" i="13" l="1"/>
  <c r="G28" i="13"/>
  <c r="D29" i="13"/>
  <c r="B29" i="44"/>
  <c r="E29" i="44"/>
  <c r="F29" i="44" s="1"/>
  <c r="I36" i="4"/>
  <c r="I36" i="5"/>
  <c r="I35" i="25"/>
  <c r="I30" i="30"/>
  <c r="I34" i="23"/>
  <c r="I32" i="27"/>
  <c r="I39" i="7"/>
  <c r="B33" i="27"/>
  <c r="F33" i="27"/>
  <c r="I31" i="29"/>
  <c r="I31" i="31"/>
  <c r="I36" i="3"/>
  <c r="I28" i="39"/>
  <c r="I31" i="28"/>
  <c r="F37" i="4"/>
  <c r="B37" i="4"/>
  <c r="E40" i="9"/>
  <c r="H39" i="9"/>
  <c r="D40" i="9"/>
  <c r="G39" i="9"/>
  <c r="B31" i="30"/>
  <c r="F31" i="30"/>
  <c r="B27" i="43"/>
  <c r="F27" i="43"/>
  <c r="H27" i="43" s="1"/>
  <c r="B37" i="3"/>
  <c r="F37" i="3"/>
  <c r="F29" i="38"/>
  <c r="B29" i="38"/>
  <c r="F38" i="8"/>
  <c r="B38" i="8"/>
  <c r="B30" i="37"/>
  <c r="F30" i="37"/>
  <c r="H30" i="37" s="1"/>
  <c r="I40" i="10"/>
  <c r="B32" i="29"/>
  <c r="F32" i="29"/>
  <c r="I35" i="22"/>
  <c r="D29" i="46"/>
  <c r="E29" i="46" s="1"/>
  <c r="H28" i="46"/>
  <c r="I28" i="46" s="1"/>
  <c r="B36" i="25"/>
  <c r="F36" i="25"/>
  <c r="B28" i="41"/>
  <c r="F28" i="41"/>
  <c r="G28" i="41" s="1"/>
  <c r="I37" i="8"/>
  <c r="B32" i="28"/>
  <c r="F32" i="28"/>
  <c r="I37" i="6"/>
  <c r="I38" i="11"/>
  <c r="I33" i="24"/>
  <c r="F29" i="39"/>
  <c r="G29" i="39" s="1"/>
  <c r="B29" i="39"/>
  <c r="B35" i="23"/>
  <c r="F35" i="23"/>
  <c r="B32" i="31"/>
  <c r="F32" i="31"/>
  <c r="B28" i="40"/>
  <c r="F28" i="40"/>
  <c r="H28" i="40" s="1"/>
  <c r="B28" i="42"/>
  <c r="F28" i="42"/>
  <c r="G28" i="42" s="1"/>
  <c r="B40" i="7"/>
  <c r="F40" i="7"/>
  <c r="F38" i="6"/>
  <c r="B38" i="6"/>
  <c r="B41" i="10"/>
  <c r="F41" i="10"/>
  <c r="F39" i="11"/>
  <c r="B39" i="11"/>
  <c r="F34" i="24"/>
  <c r="B34" i="24"/>
  <c r="F29" i="45"/>
  <c r="B29" i="45"/>
  <c r="B36" i="22"/>
  <c r="F36" i="22"/>
  <c r="F37" i="5"/>
  <c r="B37" i="5"/>
  <c r="H110" i="13"/>
  <c r="I110" i="13"/>
  <c r="B111" i="13"/>
  <c r="F111" i="13"/>
  <c r="I28" i="13" l="1"/>
  <c r="E29" i="13"/>
  <c r="B29" i="13"/>
  <c r="F29" i="13"/>
  <c r="H29" i="44"/>
  <c r="D30" i="44"/>
  <c r="G29" i="44"/>
  <c r="G30" i="37"/>
  <c r="I30" i="37" s="1"/>
  <c r="H28" i="41"/>
  <c r="G27" i="43"/>
  <c r="I27" i="43" s="1"/>
  <c r="H29" i="39"/>
  <c r="I29" i="39" s="1"/>
  <c r="E34" i="27"/>
  <c r="G33" i="27"/>
  <c r="H33" i="27"/>
  <c r="D34" i="27"/>
  <c r="D30" i="45"/>
  <c r="E30" i="45" s="1"/>
  <c r="I28" i="41"/>
  <c r="G39" i="11"/>
  <c r="H39" i="11"/>
  <c r="D40" i="11"/>
  <c r="E40" i="11"/>
  <c r="D39" i="6"/>
  <c r="H38" i="6"/>
  <c r="G38" i="6"/>
  <c r="E39" i="6"/>
  <c r="D29" i="42"/>
  <c r="E29" i="42"/>
  <c r="G32" i="29"/>
  <c r="D33" i="29"/>
  <c r="H32" i="29"/>
  <c r="E33" i="29"/>
  <c r="G38" i="8"/>
  <c r="D39" i="8"/>
  <c r="H38" i="8"/>
  <c r="E39" i="8"/>
  <c r="D30" i="38"/>
  <c r="E30" i="38"/>
  <c r="F40" i="9"/>
  <c r="B40" i="9"/>
  <c r="H37" i="4"/>
  <c r="D38" i="4"/>
  <c r="G37" i="4"/>
  <c r="E38" i="4"/>
  <c r="D33" i="31"/>
  <c r="H32" i="31"/>
  <c r="G32" i="31"/>
  <c r="E33" i="31"/>
  <c r="D33" i="28"/>
  <c r="G32" i="28"/>
  <c r="H32" i="28"/>
  <c r="E33" i="28"/>
  <c r="D38" i="5"/>
  <c r="H37" i="5"/>
  <c r="G37" i="5"/>
  <c r="E38" i="5"/>
  <c r="G29" i="45"/>
  <c r="H34" i="24"/>
  <c r="G34" i="24"/>
  <c r="D35" i="24"/>
  <c r="E35" i="24"/>
  <c r="G41" i="10"/>
  <c r="D42" i="10"/>
  <c r="E42" i="10" s="1"/>
  <c r="H41" i="10"/>
  <c r="D41" i="7"/>
  <c r="G40" i="7"/>
  <c r="H40" i="7"/>
  <c r="E41" i="7"/>
  <c r="D36" i="23"/>
  <c r="H35" i="23"/>
  <c r="G35" i="23"/>
  <c r="E36" i="23"/>
  <c r="D30" i="39"/>
  <c r="E30" i="39"/>
  <c r="E31" i="37"/>
  <c r="D31" i="37"/>
  <c r="H29" i="38"/>
  <c r="H37" i="3"/>
  <c r="D38" i="3"/>
  <c r="G37" i="3"/>
  <c r="E38" i="3"/>
  <c r="D28" i="43"/>
  <c r="E28" i="43"/>
  <c r="H31" i="30"/>
  <c r="D32" i="30"/>
  <c r="G31" i="30"/>
  <c r="E32" i="30"/>
  <c r="I39" i="9"/>
  <c r="D29" i="40"/>
  <c r="E29" i="40"/>
  <c r="H36" i="22"/>
  <c r="D37" i="22"/>
  <c r="G36" i="22"/>
  <c r="E37" i="22"/>
  <c r="H29" i="45"/>
  <c r="H28" i="42"/>
  <c r="I28" i="42" s="1"/>
  <c r="G28" i="40"/>
  <c r="I28" i="40" s="1"/>
  <c r="D29" i="41"/>
  <c r="E29" i="41"/>
  <c r="H36" i="25"/>
  <c r="D37" i="25"/>
  <c r="G36" i="25"/>
  <c r="E37" i="25"/>
  <c r="F29" i="46"/>
  <c r="G29" i="46" s="1"/>
  <c r="B29" i="46"/>
  <c r="G29" i="38"/>
  <c r="J110" i="13"/>
  <c r="G111" i="13"/>
  <c r="D112" i="13"/>
  <c r="E112" i="13" s="1"/>
  <c r="I29" i="45" l="1"/>
  <c r="H29" i="13"/>
  <c r="D30" i="13"/>
  <c r="G29" i="13"/>
  <c r="I39" i="11"/>
  <c r="I32" i="28"/>
  <c r="E30" i="44"/>
  <c r="F30" i="44" s="1"/>
  <c r="B30" i="44"/>
  <c r="I29" i="44"/>
  <c r="I36" i="22"/>
  <c r="I37" i="3"/>
  <c r="I34" i="24"/>
  <c r="I37" i="5"/>
  <c r="H29" i="46"/>
  <c r="I29" i="46" s="1"/>
  <c r="I40" i="7"/>
  <c r="I33" i="27"/>
  <c r="F34" i="27"/>
  <c r="B34" i="27"/>
  <c r="I37" i="4"/>
  <c r="B38" i="3"/>
  <c r="F38" i="3"/>
  <c r="F30" i="39"/>
  <c r="H30" i="39" s="1"/>
  <c r="B30" i="39"/>
  <c r="F30" i="38"/>
  <c r="H30" i="38" s="1"/>
  <c r="B30" i="38"/>
  <c r="B37" i="25"/>
  <c r="F37" i="25"/>
  <c r="F28" i="43"/>
  <c r="H28" i="43" s="1"/>
  <c r="B28" i="43"/>
  <c r="I41" i="10"/>
  <c r="F38" i="5"/>
  <c r="B38" i="5"/>
  <c r="I32" i="31"/>
  <c r="B40" i="11"/>
  <c r="F40" i="11"/>
  <c r="B36" i="23"/>
  <c r="F36" i="23"/>
  <c r="D30" i="46"/>
  <c r="E30" i="46" s="1"/>
  <c r="I36" i="25"/>
  <c r="B32" i="30"/>
  <c r="F32" i="30"/>
  <c r="I29" i="38"/>
  <c r="F42" i="10"/>
  <c r="B42" i="10"/>
  <c r="B35" i="24"/>
  <c r="F35" i="24"/>
  <c r="F33" i="28"/>
  <c r="B33" i="28"/>
  <c r="F33" i="31"/>
  <c r="B33" i="31"/>
  <c r="G40" i="9"/>
  <c r="E41" i="9"/>
  <c r="H40" i="9"/>
  <c r="D41" i="9"/>
  <c r="I38" i="8"/>
  <c r="I38" i="6"/>
  <c r="F30" i="45"/>
  <c r="G30" i="45" s="1"/>
  <c r="B30" i="45"/>
  <c r="B29" i="41"/>
  <c r="F29" i="41"/>
  <c r="F41" i="7"/>
  <c r="B41" i="7"/>
  <c r="B33" i="29"/>
  <c r="F33" i="29"/>
  <c r="B37" i="22"/>
  <c r="F37" i="22"/>
  <c r="F29" i="40"/>
  <c r="H29" i="40" s="1"/>
  <c r="B29" i="40"/>
  <c r="I31" i="30"/>
  <c r="F31" i="37"/>
  <c r="H31" i="37" s="1"/>
  <c r="B31" i="37"/>
  <c r="I35" i="23"/>
  <c r="B38" i="4"/>
  <c r="F38" i="4"/>
  <c r="F39" i="8"/>
  <c r="B39" i="8"/>
  <c r="I32" i="29"/>
  <c r="B29" i="42"/>
  <c r="F29" i="42"/>
  <c r="G29" i="42" s="1"/>
  <c r="F39" i="6"/>
  <c r="B39" i="6"/>
  <c r="B112" i="13"/>
  <c r="F112" i="13"/>
  <c r="I111" i="13"/>
  <c r="H111" i="13"/>
  <c r="E30" i="13" l="1"/>
  <c r="F30" i="13" s="1"/>
  <c r="B30" i="13"/>
  <c r="I29" i="13"/>
  <c r="G30" i="44"/>
  <c r="H30" i="44"/>
  <c r="D31" i="44"/>
  <c r="G29" i="40"/>
  <c r="I29" i="40" s="1"/>
  <c r="G34" i="27"/>
  <c r="E35" i="27"/>
  <c r="H34" i="27"/>
  <c r="D35" i="27"/>
  <c r="D38" i="22"/>
  <c r="G37" i="22"/>
  <c r="H37" i="22"/>
  <c r="E38" i="22"/>
  <c r="G33" i="28"/>
  <c r="D34" i="28"/>
  <c r="H33" i="28"/>
  <c r="E34" i="28"/>
  <c r="E43" i="10"/>
  <c r="G42" i="10"/>
  <c r="D43" i="10"/>
  <c r="H42" i="10"/>
  <c r="D38" i="25"/>
  <c r="G37" i="25"/>
  <c r="H37" i="25"/>
  <c r="E38" i="25"/>
  <c r="D30" i="42"/>
  <c r="E30" i="42"/>
  <c r="D32" i="37"/>
  <c r="E32" i="37"/>
  <c r="H41" i="7"/>
  <c r="D42" i="7"/>
  <c r="E42" i="7" s="1"/>
  <c r="G41" i="7"/>
  <c r="B41" i="9"/>
  <c r="F41" i="9"/>
  <c r="G35" i="24"/>
  <c r="D36" i="24"/>
  <c r="H35" i="24"/>
  <c r="E36" i="24"/>
  <c r="D29" i="43"/>
  <c r="E29" i="43"/>
  <c r="D31" i="38"/>
  <c r="E31" i="38"/>
  <c r="D31" i="39"/>
  <c r="E31" i="39"/>
  <c r="D30" i="41"/>
  <c r="E30" i="41"/>
  <c r="D31" i="45"/>
  <c r="E31" i="45" s="1"/>
  <c r="G36" i="23"/>
  <c r="D37" i="23"/>
  <c r="H36" i="23"/>
  <c r="E37" i="23"/>
  <c r="D39" i="5"/>
  <c r="H38" i="5"/>
  <c r="G38" i="5"/>
  <c r="E39" i="5"/>
  <c r="D40" i="8"/>
  <c r="G39" i="8"/>
  <c r="H39" i="8"/>
  <c r="E40" i="8"/>
  <c r="G31" i="37"/>
  <c r="I31" i="37" s="1"/>
  <c r="H33" i="29"/>
  <c r="D34" i="29"/>
  <c r="G33" i="29"/>
  <c r="E34" i="29"/>
  <c r="H29" i="41"/>
  <c r="I40" i="9"/>
  <c r="D34" i="31"/>
  <c r="G33" i="31"/>
  <c r="H33" i="31"/>
  <c r="E34" i="31"/>
  <c r="G32" i="30"/>
  <c r="H32" i="30"/>
  <c r="D33" i="30"/>
  <c r="E33" i="30"/>
  <c r="F30" i="46"/>
  <c r="H30" i="46" s="1"/>
  <c r="B30" i="46"/>
  <c r="H40" i="11"/>
  <c r="D41" i="11"/>
  <c r="G40" i="11"/>
  <c r="E41" i="11"/>
  <c r="G38" i="3"/>
  <c r="H38" i="3"/>
  <c r="D39" i="3"/>
  <c r="E39" i="3"/>
  <c r="H39" i="6"/>
  <c r="G39" i="6"/>
  <c r="D40" i="6"/>
  <c r="E40" i="6"/>
  <c r="H29" i="42"/>
  <c r="I29" i="42" s="1"/>
  <c r="G38" i="4"/>
  <c r="H38" i="4"/>
  <c r="D39" i="4"/>
  <c r="E39" i="4"/>
  <c r="D30" i="40"/>
  <c r="E30" i="40"/>
  <c r="G29" i="41"/>
  <c r="H30" i="45"/>
  <c r="I30" i="45" s="1"/>
  <c r="G28" i="43"/>
  <c r="I28" i="43" s="1"/>
  <c r="G30" i="38"/>
  <c r="I30" i="38" s="1"/>
  <c r="G30" i="39"/>
  <c r="I30" i="39" s="1"/>
  <c r="J111" i="13"/>
  <c r="G112" i="13"/>
  <c r="D113" i="13"/>
  <c r="E113" i="13" s="1"/>
  <c r="I30" i="44" l="1"/>
  <c r="H30" i="13"/>
  <c r="G30" i="13"/>
  <c r="I30" i="13" s="1"/>
  <c r="D31" i="13"/>
  <c r="E31" i="44"/>
  <c r="F31" i="44" s="1"/>
  <c r="B31" i="44"/>
  <c r="I41" i="7"/>
  <c r="I38" i="3"/>
  <c r="I35" i="24"/>
  <c r="I40" i="11"/>
  <c r="I38" i="5"/>
  <c r="F35" i="27"/>
  <c r="B35" i="27"/>
  <c r="I32" i="30"/>
  <c r="I37" i="25"/>
  <c r="I33" i="28"/>
  <c r="I37" i="22"/>
  <c r="I34" i="27"/>
  <c r="I39" i="6"/>
  <c r="D31" i="46"/>
  <c r="F34" i="31"/>
  <c r="B34" i="31"/>
  <c r="B39" i="5"/>
  <c r="F39" i="5"/>
  <c r="B30" i="41"/>
  <c r="F30" i="41"/>
  <c r="G30" i="41" s="1"/>
  <c r="B31" i="38"/>
  <c r="F31" i="38"/>
  <c r="G31" i="38" s="1"/>
  <c r="B30" i="42"/>
  <c r="F30" i="42"/>
  <c r="H30" i="42" s="1"/>
  <c r="B34" i="28"/>
  <c r="F34" i="28"/>
  <c r="F30" i="40"/>
  <c r="B30" i="40"/>
  <c r="F41" i="11"/>
  <c r="B41" i="11"/>
  <c r="F40" i="8"/>
  <c r="B40" i="8"/>
  <c r="B42" i="7"/>
  <c r="F42" i="7"/>
  <c r="F39" i="4"/>
  <c r="B39" i="4"/>
  <c r="G30" i="46"/>
  <c r="I30" i="46" s="1"/>
  <c r="F34" i="29"/>
  <c r="B34" i="29"/>
  <c r="I39" i="8"/>
  <c r="B36" i="24"/>
  <c r="F36" i="24"/>
  <c r="F38" i="25"/>
  <c r="B38" i="25"/>
  <c r="B38" i="22"/>
  <c r="F38" i="22"/>
  <c r="F37" i="23"/>
  <c r="B37" i="23"/>
  <c r="G41" i="9"/>
  <c r="D42" i="9"/>
  <c r="E42" i="9" s="1"/>
  <c r="H41" i="9"/>
  <c r="B43" i="10"/>
  <c r="F43" i="10"/>
  <c r="I38" i="4"/>
  <c r="B40" i="6"/>
  <c r="F40" i="6"/>
  <c r="F39" i="3"/>
  <c r="B39" i="3"/>
  <c r="F33" i="30"/>
  <c r="B33" i="30"/>
  <c r="I33" i="31"/>
  <c r="I29" i="41"/>
  <c r="I33" i="29"/>
  <c r="I36" i="23"/>
  <c r="F31" i="45"/>
  <c r="H31" i="45" s="1"/>
  <c r="B31" i="45"/>
  <c r="B31" i="39"/>
  <c r="F31" i="39"/>
  <c r="G31" i="39" s="1"/>
  <c r="F29" i="43"/>
  <c r="H29" i="43" s="1"/>
  <c r="B29" i="43"/>
  <c r="F32" i="37"/>
  <c r="B32" i="37"/>
  <c r="I42" i="10"/>
  <c r="I112" i="13"/>
  <c r="H112" i="13"/>
  <c r="B113" i="13"/>
  <c r="F113" i="13"/>
  <c r="E31" i="13" l="1"/>
  <c r="F31" i="13" s="1"/>
  <c r="B31" i="13"/>
  <c r="D32" i="44"/>
  <c r="H31" i="44"/>
  <c r="G31" i="44"/>
  <c r="H31" i="38"/>
  <c r="I31" i="38" s="1"/>
  <c r="G31" i="45"/>
  <c r="I31" i="45" s="1"/>
  <c r="H35" i="27"/>
  <c r="D36" i="27"/>
  <c r="G35" i="27"/>
  <c r="D33" i="37"/>
  <c r="E33" i="37"/>
  <c r="D40" i="3"/>
  <c r="G39" i="3"/>
  <c r="H39" i="3"/>
  <c r="E40" i="3"/>
  <c r="D31" i="40"/>
  <c r="E31" i="40"/>
  <c r="G29" i="43"/>
  <c r="I29" i="43" s="1"/>
  <c r="D32" i="39"/>
  <c r="E32" i="39"/>
  <c r="H40" i="6"/>
  <c r="D41" i="6"/>
  <c r="E41" i="6" s="1"/>
  <c r="G40" i="6"/>
  <c r="G38" i="25"/>
  <c r="H38" i="25"/>
  <c r="D39" i="25"/>
  <c r="E39" i="25"/>
  <c r="G30" i="40"/>
  <c r="G30" i="42"/>
  <c r="I30" i="42" s="1"/>
  <c r="D35" i="31"/>
  <c r="G34" i="31"/>
  <c r="H34" i="31"/>
  <c r="E35" i="31"/>
  <c r="D44" i="10"/>
  <c r="E44" i="10"/>
  <c r="H43" i="10"/>
  <c r="G43" i="10"/>
  <c r="H32" i="37"/>
  <c r="H31" i="39"/>
  <c r="I31" i="39" s="1"/>
  <c r="G33" i="30"/>
  <c r="D34" i="30"/>
  <c r="H33" i="30"/>
  <c r="E34" i="30"/>
  <c r="I41" i="9"/>
  <c r="G38" i="22"/>
  <c r="H38" i="22"/>
  <c r="D39" i="22"/>
  <c r="E39" i="22"/>
  <c r="G36" i="24"/>
  <c r="D37" i="24"/>
  <c r="H36" i="24"/>
  <c r="E37" i="24"/>
  <c r="H39" i="4"/>
  <c r="G39" i="4"/>
  <c r="D40" i="4"/>
  <c r="E40" i="4" s="1"/>
  <c r="G40" i="8"/>
  <c r="D41" i="8"/>
  <c r="E41" i="8" s="1"/>
  <c r="H40" i="8"/>
  <c r="H34" i="28"/>
  <c r="G34" i="28"/>
  <c r="D35" i="28"/>
  <c r="E35" i="28"/>
  <c r="D31" i="41"/>
  <c r="E31" i="41"/>
  <c r="D40" i="5"/>
  <c r="G39" i="5"/>
  <c r="H39" i="5"/>
  <c r="E40" i="5"/>
  <c r="B31" i="46"/>
  <c r="D30" i="43"/>
  <c r="E30" i="43"/>
  <c r="H37" i="23"/>
  <c r="D38" i="23"/>
  <c r="G37" i="23"/>
  <c r="E38" i="23"/>
  <c r="G41" i="11"/>
  <c r="H41" i="11"/>
  <c r="D42" i="11"/>
  <c r="E42" i="11" s="1"/>
  <c r="D31" i="42"/>
  <c r="E31" i="42"/>
  <c r="G32" i="37"/>
  <c r="D32" i="45"/>
  <c r="B42" i="9"/>
  <c r="F42" i="9"/>
  <c r="G34" i="29"/>
  <c r="D35" i="29"/>
  <c r="H34" i="29"/>
  <c r="E35" i="29"/>
  <c r="D43" i="7"/>
  <c r="G42" i="7"/>
  <c r="H42" i="7"/>
  <c r="E43" i="7"/>
  <c r="H30" i="40"/>
  <c r="D32" i="38"/>
  <c r="E32" i="38"/>
  <c r="H30" i="41"/>
  <c r="I30" i="41" s="1"/>
  <c r="E31" i="46"/>
  <c r="F31" i="46" s="1"/>
  <c r="J112" i="13"/>
  <c r="G113" i="13"/>
  <c r="D114" i="13"/>
  <c r="H31" i="13" l="1"/>
  <c r="G31" i="13"/>
  <c r="D32" i="13"/>
  <c r="I38" i="25"/>
  <c r="I36" i="24"/>
  <c r="I38" i="22"/>
  <c r="I40" i="8"/>
  <c r="I39" i="3"/>
  <c r="I34" i="29"/>
  <c r="I33" i="30"/>
  <c r="I31" i="44"/>
  <c r="I34" i="31"/>
  <c r="E32" i="44"/>
  <c r="F32" i="44" s="1"/>
  <c r="B32" i="44"/>
  <c r="I30" i="40"/>
  <c r="I39" i="5"/>
  <c r="I40" i="6"/>
  <c r="I41" i="11"/>
  <c r="I43" i="10"/>
  <c r="I42" i="7"/>
  <c r="I32" i="37"/>
  <c r="B36" i="27"/>
  <c r="I35" i="27"/>
  <c r="E36" i="27"/>
  <c r="F36" i="27" s="1"/>
  <c r="D32" i="46"/>
  <c r="E32" i="46" s="1"/>
  <c r="H31" i="46"/>
  <c r="G31" i="46"/>
  <c r="F41" i="6"/>
  <c r="B41" i="6"/>
  <c r="B32" i="38"/>
  <c r="F32" i="38"/>
  <c r="H32" i="38" s="1"/>
  <c r="B35" i="29"/>
  <c r="F35" i="29"/>
  <c r="B32" i="45"/>
  <c r="B38" i="23"/>
  <c r="F38" i="23"/>
  <c r="I34" i="28"/>
  <c r="I39" i="4"/>
  <c r="B34" i="30"/>
  <c r="F34" i="30"/>
  <c r="B44" i="10"/>
  <c r="F44" i="10"/>
  <c r="F33" i="37"/>
  <c r="G33" i="37" s="1"/>
  <c r="B33" i="37"/>
  <c r="B30" i="43"/>
  <c r="F30" i="43"/>
  <c r="H30" i="43" s="1"/>
  <c r="F31" i="41"/>
  <c r="B31" i="41"/>
  <c r="B37" i="24"/>
  <c r="F37" i="24"/>
  <c r="B32" i="39"/>
  <c r="F32" i="39"/>
  <c r="G32" i="39" s="1"/>
  <c r="B43" i="7"/>
  <c r="F43" i="7"/>
  <c r="E32" i="45"/>
  <c r="F32" i="45" s="1"/>
  <c r="F31" i="42"/>
  <c r="H31" i="42" s="1"/>
  <c r="B31" i="42"/>
  <c r="I37" i="23"/>
  <c r="B40" i="5"/>
  <c r="F40" i="5"/>
  <c r="B42" i="11"/>
  <c r="F42" i="11"/>
  <c r="F41" i="8"/>
  <c r="B41" i="8"/>
  <c r="D43" i="9"/>
  <c r="E43" i="9" s="1"/>
  <c r="H42" i="9"/>
  <c r="G42" i="9"/>
  <c r="B35" i="28"/>
  <c r="F35" i="28"/>
  <c r="F40" i="4"/>
  <c r="B40" i="4"/>
  <c r="B39" i="22"/>
  <c r="F39" i="22"/>
  <c r="B35" i="31"/>
  <c r="F35" i="31"/>
  <c r="F39" i="25"/>
  <c r="B39" i="25"/>
  <c r="F31" i="40"/>
  <c r="B31" i="40"/>
  <c r="B40" i="3"/>
  <c r="F40" i="3"/>
  <c r="B114" i="13"/>
  <c r="H113" i="13"/>
  <c r="I113" i="13"/>
  <c r="E114" i="13"/>
  <c r="F114" i="13" s="1"/>
  <c r="I31" i="13" l="1"/>
  <c r="E32" i="13"/>
  <c r="F32" i="13" s="1"/>
  <c r="B32" i="13"/>
  <c r="G32" i="44"/>
  <c r="D33" i="44"/>
  <c r="H32" i="44"/>
  <c r="G32" i="38"/>
  <c r="I32" i="38" s="1"/>
  <c r="H36" i="27"/>
  <c r="G36" i="27"/>
  <c r="D37" i="27"/>
  <c r="G31" i="42"/>
  <c r="I31" i="42" s="1"/>
  <c r="D33" i="45"/>
  <c r="G32" i="45"/>
  <c r="H32" i="45"/>
  <c r="D32" i="41"/>
  <c r="E32" i="41"/>
  <c r="D32" i="40"/>
  <c r="E32" i="40"/>
  <c r="D41" i="4"/>
  <c r="H40" i="4"/>
  <c r="G40" i="4"/>
  <c r="E41" i="4"/>
  <c r="I42" i="9"/>
  <c r="H41" i="8"/>
  <c r="D42" i="8"/>
  <c r="E42" i="8" s="1"/>
  <c r="G41" i="8"/>
  <c r="G40" i="5"/>
  <c r="H40" i="5"/>
  <c r="D41" i="5"/>
  <c r="E41" i="5" s="1"/>
  <c r="H43" i="7"/>
  <c r="G43" i="7"/>
  <c r="D44" i="7"/>
  <c r="E44" i="7"/>
  <c r="D33" i="39"/>
  <c r="E33" i="39"/>
  <c r="G31" i="41"/>
  <c r="D34" i="37"/>
  <c r="E34" i="37"/>
  <c r="I31" i="46"/>
  <c r="H31" i="40"/>
  <c r="H39" i="22"/>
  <c r="D40" i="22"/>
  <c r="E40" i="22" s="1"/>
  <c r="G39" i="22"/>
  <c r="D36" i="28"/>
  <c r="G35" i="28"/>
  <c r="H35" i="28"/>
  <c r="E36" i="28"/>
  <c r="B43" i="9"/>
  <c r="F43" i="9"/>
  <c r="G42" i="11"/>
  <c r="H42" i="11"/>
  <c r="D43" i="11"/>
  <c r="E43" i="11" s="1"/>
  <c r="H31" i="41"/>
  <c r="D45" i="10"/>
  <c r="H44" i="10"/>
  <c r="G44" i="10"/>
  <c r="E45" i="10"/>
  <c r="D35" i="30"/>
  <c r="G34" i="30"/>
  <c r="H34" i="30"/>
  <c r="E35" i="30"/>
  <c r="D39" i="23"/>
  <c r="E39" i="23" s="1"/>
  <c r="G38" i="23"/>
  <c r="H38" i="23"/>
  <c r="D41" i="3"/>
  <c r="E41" i="3" s="1"/>
  <c r="G40" i="3"/>
  <c r="H40" i="3"/>
  <c r="D36" i="31"/>
  <c r="G35" i="31"/>
  <c r="H35" i="31"/>
  <c r="E36" i="31"/>
  <c r="H37" i="24"/>
  <c r="D38" i="24"/>
  <c r="G37" i="24"/>
  <c r="E38" i="24"/>
  <c r="D31" i="43"/>
  <c r="E31" i="43"/>
  <c r="H35" i="29"/>
  <c r="G35" i="29"/>
  <c r="D36" i="29"/>
  <c r="E36" i="29"/>
  <c r="G31" i="40"/>
  <c r="D40" i="25"/>
  <c r="E40" i="25" s="1"/>
  <c r="H39" i="25"/>
  <c r="G39" i="25"/>
  <c r="D32" i="42"/>
  <c r="E32" i="42"/>
  <c r="H32" i="39"/>
  <c r="I32" i="39" s="1"/>
  <c r="G30" i="43"/>
  <c r="I30" i="43" s="1"/>
  <c r="H33" i="37"/>
  <c r="I33" i="37" s="1"/>
  <c r="D33" i="38"/>
  <c r="E33" i="38"/>
  <c r="G41" i="6"/>
  <c r="H41" i="6"/>
  <c r="D42" i="6"/>
  <c r="E42" i="6" s="1"/>
  <c r="F32" i="46"/>
  <c r="G32" i="46" s="1"/>
  <c r="B32" i="46"/>
  <c r="J113" i="13"/>
  <c r="G114" i="13"/>
  <c r="D115" i="13"/>
  <c r="E115" i="13" s="1"/>
  <c r="I32" i="44" l="1"/>
  <c r="H32" i="13"/>
  <c r="G32" i="13"/>
  <c r="D33" i="13"/>
  <c r="E33" i="44"/>
  <c r="F33" i="44" s="1"/>
  <c r="B33" i="44"/>
  <c r="I32" i="45"/>
  <c r="I41" i="6"/>
  <c r="I43" i="7"/>
  <c r="I39" i="25"/>
  <c r="I39" i="22"/>
  <c r="I37" i="24"/>
  <c r="H32" i="46"/>
  <c r="I32" i="46" s="1"/>
  <c r="I44" i="10"/>
  <c r="I31" i="41"/>
  <c r="I40" i="5"/>
  <c r="I41" i="8"/>
  <c r="B37" i="27"/>
  <c r="E37" i="27"/>
  <c r="F37" i="27" s="1"/>
  <c r="I36" i="27"/>
  <c r="F31" i="43"/>
  <c r="B31" i="43"/>
  <c r="B35" i="30"/>
  <c r="F35" i="30"/>
  <c r="F32" i="42"/>
  <c r="G32" i="42" s="1"/>
  <c r="B32" i="42"/>
  <c r="F40" i="25"/>
  <c r="B40" i="25"/>
  <c r="B43" i="11"/>
  <c r="F43" i="11"/>
  <c r="B36" i="28"/>
  <c r="F36" i="28"/>
  <c r="B34" i="37"/>
  <c r="F34" i="37"/>
  <c r="G34" i="37" s="1"/>
  <c r="I40" i="4"/>
  <c r="F33" i="38"/>
  <c r="H33" i="38" s="1"/>
  <c r="B33" i="38"/>
  <c r="B36" i="29"/>
  <c r="F36" i="29"/>
  <c r="F41" i="3"/>
  <c r="B41" i="3"/>
  <c r="F45" i="10"/>
  <c r="B45" i="10"/>
  <c r="G43" i="9"/>
  <c r="D44" i="9"/>
  <c r="E44" i="9" s="1"/>
  <c r="H43" i="9"/>
  <c r="B33" i="39"/>
  <c r="F33" i="39"/>
  <c r="G33" i="39" s="1"/>
  <c r="F42" i="8"/>
  <c r="B42" i="8"/>
  <c r="D33" i="46"/>
  <c r="I35" i="29"/>
  <c r="I35" i="31"/>
  <c r="I40" i="3"/>
  <c r="I38" i="23"/>
  <c r="I34" i="30"/>
  <c r="I42" i="11"/>
  <c r="I31" i="40"/>
  <c r="F44" i="7"/>
  <c r="B44" i="7"/>
  <c r="F41" i="4"/>
  <c r="B41" i="4"/>
  <c r="B32" i="41"/>
  <c r="F32" i="41"/>
  <c r="H32" i="41" s="1"/>
  <c r="B33" i="45"/>
  <c r="F42" i="6"/>
  <c r="B42" i="6"/>
  <c r="B36" i="31"/>
  <c r="F36" i="31"/>
  <c r="F39" i="23"/>
  <c r="B39" i="23"/>
  <c r="B40" i="22"/>
  <c r="F40" i="22"/>
  <c r="B32" i="40"/>
  <c r="F32" i="40"/>
  <c r="F38" i="24"/>
  <c r="B38" i="24"/>
  <c r="I35" i="28"/>
  <c r="F41" i="5"/>
  <c r="B41" i="5"/>
  <c r="E33" i="45"/>
  <c r="F33" i="45" s="1"/>
  <c r="B115" i="13"/>
  <c r="F115" i="13"/>
  <c r="H114" i="13"/>
  <c r="I114" i="13"/>
  <c r="I32" i="13" l="1"/>
  <c r="E33" i="13"/>
  <c r="F33" i="13" s="1"/>
  <c r="H33" i="13" s="1"/>
  <c r="B33" i="13"/>
  <c r="G33" i="38"/>
  <c r="I33" i="38" s="1"/>
  <c r="D34" i="44"/>
  <c r="G33" i="44"/>
  <c r="H33" i="44"/>
  <c r="D38" i="27"/>
  <c r="E38" i="27"/>
  <c r="G37" i="27"/>
  <c r="H37" i="27"/>
  <c r="D34" i="45"/>
  <c r="E34" i="45" s="1"/>
  <c r="H33" i="45"/>
  <c r="G33" i="45"/>
  <c r="D33" i="40"/>
  <c r="E33" i="40"/>
  <c r="D37" i="31"/>
  <c r="E37" i="31" s="1"/>
  <c r="G36" i="31"/>
  <c r="H36" i="31"/>
  <c r="H36" i="28"/>
  <c r="G36" i="28"/>
  <c r="D37" i="28"/>
  <c r="E37" i="28"/>
  <c r="G32" i="40"/>
  <c r="D33" i="41"/>
  <c r="E33" i="41"/>
  <c r="H41" i="4"/>
  <c r="G41" i="4"/>
  <c r="D42" i="4"/>
  <c r="E42" i="4" s="1"/>
  <c r="B33" i="46"/>
  <c r="D34" i="39"/>
  <c r="E34" i="39"/>
  <c r="I43" i="9"/>
  <c r="G36" i="29"/>
  <c r="D37" i="29"/>
  <c r="E37" i="29" s="1"/>
  <c r="H36" i="29"/>
  <c r="H34" i="37"/>
  <c r="I34" i="37" s="1"/>
  <c r="D41" i="25"/>
  <c r="E41" i="25" s="1"/>
  <c r="G40" i="25"/>
  <c r="H40" i="25"/>
  <c r="D33" i="42"/>
  <c r="E33" i="42"/>
  <c r="D32" i="43"/>
  <c r="E32" i="43"/>
  <c r="D41" i="22"/>
  <c r="E41" i="22" s="1"/>
  <c r="G40" i="22"/>
  <c r="H40" i="22"/>
  <c r="D43" i="8"/>
  <c r="E43" i="8" s="1"/>
  <c r="G42" i="8"/>
  <c r="H42" i="8"/>
  <c r="D39" i="24"/>
  <c r="E39" i="24" s="1"/>
  <c r="G38" i="24"/>
  <c r="H38" i="24"/>
  <c r="G32" i="41"/>
  <c r="I32" i="41" s="1"/>
  <c r="E33" i="46"/>
  <c r="F33" i="46" s="1"/>
  <c r="D46" i="10"/>
  <c r="H45" i="10"/>
  <c r="E46" i="10"/>
  <c r="G45" i="10"/>
  <c r="D34" i="38"/>
  <c r="E34" i="38"/>
  <c r="D44" i="11"/>
  <c r="E44" i="11" s="1"/>
  <c r="G43" i="11"/>
  <c r="H43" i="11"/>
  <c r="G35" i="30"/>
  <c r="D36" i="30"/>
  <c r="E36" i="30" s="1"/>
  <c r="H35" i="30"/>
  <c r="H31" i="43"/>
  <c r="H41" i="3"/>
  <c r="D42" i="3"/>
  <c r="G41" i="3"/>
  <c r="E42" i="3"/>
  <c r="D35" i="37"/>
  <c r="E35" i="37" s="1"/>
  <c r="H41" i="5"/>
  <c r="G41" i="5"/>
  <c r="D42" i="5"/>
  <c r="E42" i="5"/>
  <c r="H32" i="40"/>
  <c r="D40" i="23"/>
  <c r="E40" i="23" s="1"/>
  <c r="G39" i="23"/>
  <c r="H39" i="23"/>
  <c r="G42" i="6"/>
  <c r="D43" i="6"/>
  <c r="H42" i="6"/>
  <c r="E43" i="6"/>
  <c r="H44" i="7"/>
  <c r="D45" i="7"/>
  <c r="G44" i="7"/>
  <c r="E45" i="7"/>
  <c r="H33" i="39"/>
  <c r="I33" i="39" s="1"/>
  <c r="B44" i="9"/>
  <c r="F44" i="9"/>
  <c r="H32" i="42"/>
  <c r="I32" i="42" s="1"/>
  <c r="G31" i="43"/>
  <c r="D116" i="13"/>
  <c r="G115" i="13"/>
  <c r="J114" i="13"/>
  <c r="G33" i="13" l="1"/>
  <c r="I33" i="13" s="1"/>
  <c r="D34" i="13"/>
  <c r="I33" i="44"/>
  <c r="E34" i="44"/>
  <c r="F34" i="44" s="1"/>
  <c r="B34" i="44"/>
  <c r="I36" i="29"/>
  <c r="I32" i="40"/>
  <c r="I37" i="27"/>
  <c r="I36" i="28"/>
  <c r="I41" i="3"/>
  <c r="I31" i="43"/>
  <c r="F38" i="27"/>
  <c r="B38" i="27"/>
  <c r="D34" i="46"/>
  <c r="E34" i="46" s="1"/>
  <c r="H33" i="46"/>
  <c r="G33" i="46"/>
  <c r="I41" i="5"/>
  <c r="F44" i="11"/>
  <c r="B44" i="11"/>
  <c r="F39" i="24"/>
  <c r="B39" i="24"/>
  <c r="F43" i="8"/>
  <c r="B43" i="8"/>
  <c r="F41" i="22"/>
  <c r="B41" i="22"/>
  <c r="B33" i="42"/>
  <c r="F33" i="42"/>
  <c r="G33" i="42" s="1"/>
  <c r="F41" i="25"/>
  <c r="B41" i="25"/>
  <c r="F37" i="29"/>
  <c r="B37" i="29"/>
  <c r="F34" i="39"/>
  <c r="G34" i="39" s="1"/>
  <c r="B34" i="39"/>
  <c r="I41" i="4"/>
  <c r="B37" i="31"/>
  <c r="F37" i="31"/>
  <c r="I33" i="45"/>
  <c r="F40" i="23"/>
  <c r="B40" i="23"/>
  <c r="F36" i="30"/>
  <c r="B36" i="30"/>
  <c r="D45" i="9"/>
  <c r="E45" i="9"/>
  <c r="H44" i="9"/>
  <c r="G44" i="9"/>
  <c r="F45" i="7"/>
  <c r="B45" i="7"/>
  <c r="I42" i="6"/>
  <c r="I39" i="23"/>
  <c r="I45" i="10"/>
  <c r="B37" i="28"/>
  <c r="F37" i="28"/>
  <c r="B35" i="37"/>
  <c r="F35" i="37"/>
  <c r="H35" i="37" s="1"/>
  <c r="I44" i="7"/>
  <c r="F43" i="6"/>
  <c r="B43" i="6"/>
  <c r="F42" i="5"/>
  <c r="B42" i="5"/>
  <c r="B42" i="3"/>
  <c r="F42" i="3"/>
  <c r="I35" i="30"/>
  <c r="I43" i="11"/>
  <c r="F34" i="38"/>
  <c r="G34" i="38" s="1"/>
  <c r="B34" i="38"/>
  <c r="B46" i="10"/>
  <c r="F46" i="10"/>
  <c r="I38" i="24"/>
  <c r="I42" i="8"/>
  <c r="I40" i="22"/>
  <c r="B32" i="43"/>
  <c r="F32" i="43"/>
  <c r="G32" i="43" s="1"/>
  <c r="I40" i="25"/>
  <c r="F42" i="4"/>
  <c r="B42" i="4"/>
  <c r="B33" i="41"/>
  <c r="F33" i="41"/>
  <c r="G33" i="41" s="1"/>
  <c r="I36" i="31"/>
  <c r="F33" i="40"/>
  <c r="B33" i="40"/>
  <c r="F34" i="45"/>
  <c r="G34" i="45" s="1"/>
  <c r="B34" i="45"/>
  <c r="H115" i="13"/>
  <c r="I115" i="13"/>
  <c r="B116" i="13"/>
  <c r="E116" i="13"/>
  <c r="F116" i="13" s="1"/>
  <c r="E34" i="13" l="1"/>
  <c r="B34" i="13"/>
  <c r="F34" i="13"/>
  <c r="H34" i="13"/>
  <c r="G34" i="44"/>
  <c r="D35" i="44"/>
  <c r="H34" i="44"/>
  <c r="H33" i="41"/>
  <c r="I33" i="41" s="1"/>
  <c r="H34" i="38"/>
  <c r="D39" i="27"/>
  <c r="G38" i="27"/>
  <c r="H38" i="27"/>
  <c r="I44" i="9"/>
  <c r="H33" i="42"/>
  <c r="I33" i="42" s="1"/>
  <c r="D34" i="40"/>
  <c r="E34" i="40"/>
  <c r="H42" i="5"/>
  <c r="D43" i="5"/>
  <c r="E43" i="5" s="1"/>
  <c r="G42" i="5"/>
  <c r="D36" i="37"/>
  <c r="E36" i="37" s="1"/>
  <c r="G37" i="28"/>
  <c r="D38" i="28"/>
  <c r="H37" i="28"/>
  <c r="E38" i="28"/>
  <c r="D46" i="7"/>
  <c r="G45" i="7"/>
  <c r="H45" i="7"/>
  <c r="E46" i="7"/>
  <c r="B45" i="9"/>
  <c r="F45" i="9"/>
  <c r="H40" i="23"/>
  <c r="G40" i="23"/>
  <c r="D41" i="23"/>
  <c r="E41" i="23"/>
  <c r="H34" i="39"/>
  <c r="I34" i="39" s="1"/>
  <c r="I33" i="46"/>
  <c r="H37" i="29"/>
  <c r="D38" i="29"/>
  <c r="G37" i="29"/>
  <c r="E38" i="29"/>
  <c r="H41" i="22"/>
  <c r="G41" i="22"/>
  <c r="D42" i="22"/>
  <c r="E42" i="22"/>
  <c r="D35" i="45"/>
  <c r="E35" i="45" s="1"/>
  <c r="D43" i="4"/>
  <c r="H42" i="4"/>
  <c r="G42" i="4"/>
  <c r="E43" i="4"/>
  <c r="H34" i="45"/>
  <c r="I34" i="45" s="1"/>
  <c r="H33" i="40"/>
  <c r="D34" i="41"/>
  <c r="E34" i="41"/>
  <c r="G46" i="10"/>
  <c r="H46" i="10"/>
  <c r="D47" i="10"/>
  <c r="E47" i="10" s="1"/>
  <c r="D35" i="38"/>
  <c r="E35" i="38" s="1"/>
  <c r="D43" i="3"/>
  <c r="E43" i="3" s="1"/>
  <c r="H42" i="3"/>
  <c r="G42" i="3"/>
  <c r="G35" i="37"/>
  <c r="I35" i="37" s="1"/>
  <c r="D42" i="25"/>
  <c r="E42" i="25" s="1"/>
  <c r="H41" i="25"/>
  <c r="G41" i="25"/>
  <c r="G43" i="8"/>
  <c r="H43" i="8"/>
  <c r="D44" i="8"/>
  <c r="E44" i="8"/>
  <c r="G44" i="11"/>
  <c r="H44" i="11"/>
  <c r="D45" i="11"/>
  <c r="E45" i="11"/>
  <c r="D33" i="43"/>
  <c r="E33" i="43"/>
  <c r="D35" i="39"/>
  <c r="E35" i="39"/>
  <c r="G39" i="24"/>
  <c r="D40" i="24"/>
  <c r="H39" i="24"/>
  <c r="E40" i="24"/>
  <c r="G33" i="40"/>
  <c r="H32" i="43"/>
  <c r="I32" i="43" s="1"/>
  <c r="I34" i="38"/>
  <c r="H43" i="6"/>
  <c r="G43" i="6"/>
  <c r="D44" i="6"/>
  <c r="E44" i="6" s="1"/>
  <c r="D37" i="30"/>
  <c r="E37" i="30" s="1"/>
  <c r="G36" i="30"/>
  <c r="H36" i="30"/>
  <c r="D38" i="31"/>
  <c r="E38" i="31" s="1"/>
  <c r="G37" i="31"/>
  <c r="H37" i="31"/>
  <c r="D34" i="42"/>
  <c r="E34" i="42" s="1"/>
  <c r="B34" i="46"/>
  <c r="F34" i="46"/>
  <c r="G34" i="46" s="1"/>
  <c r="J115" i="13"/>
  <c r="G116" i="13"/>
  <c r="D117" i="13"/>
  <c r="E117" i="13" s="1"/>
  <c r="I34" i="44" l="1"/>
  <c r="G34" i="13"/>
  <c r="I34" i="13" s="1"/>
  <c r="D35" i="13"/>
  <c r="I41" i="22"/>
  <c r="E35" i="44"/>
  <c r="F35" i="44" s="1"/>
  <c r="H35" i="44" s="1"/>
  <c r="B35" i="44"/>
  <c r="I41" i="25"/>
  <c r="I45" i="7"/>
  <c r="I38" i="27"/>
  <c r="I40" i="23"/>
  <c r="B39" i="27"/>
  <c r="I44" i="11"/>
  <c r="I43" i="8"/>
  <c r="E39" i="27"/>
  <c r="F39" i="27" s="1"/>
  <c r="F44" i="6"/>
  <c r="B44" i="6"/>
  <c r="B35" i="38"/>
  <c r="F35" i="38"/>
  <c r="H35" i="38" s="1"/>
  <c r="B46" i="7"/>
  <c r="F46" i="7"/>
  <c r="B34" i="40"/>
  <c r="F34" i="40"/>
  <c r="F34" i="42"/>
  <c r="G34" i="42" s="1"/>
  <c r="B34" i="42"/>
  <c r="F38" i="31"/>
  <c r="B38" i="31"/>
  <c r="F37" i="30"/>
  <c r="B37" i="30"/>
  <c r="B33" i="43"/>
  <c r="F33" i="43"/>
  <c r="H33" i="43" s="1"/>
  <c r="F42" i="25"/>
  <c r="B42" i="25"/>
  <c r="I42" i="3"/>
  <c r="F47" i="10"/>
  <c r="B47" i="10"/>
  <c r="B38" i="29"/>
  <c r="F38" i="29"/>
  <c r="F36" i="37"/>
  <c r="H36" i="37" s="1"/>
  <c r="B36" i="37"/>
  <c r="B43" i="5"/>
  <c r="F43" i="5"/>
  <c r="D35" i="46"/>
  <c r="E35" i="46" s="1"/>
  <c r="B43" i="4"/>
  <c r="F43" i="4"/>
  <c r="H34" i="46"/>
  <c r="I34" i="46" s="1"/>
  <c r="I43" i="6"/>
  <c r="F43" i="3"/>
  <c r="B43" i="3"/>
  <c r="I46" i="10"/>
  <c r="B34" i="41"/>
  <c r="F34" i="41"/>
  <c r="B35" i="45"/>
  <c r="F35" i="45"/>
  <c r="G35" i="45" s="1"/>
  <c r="I37" i="29"/>
  <c r="I37" i="28"/>
  <c r="I42" i="5"/>
  <c r="F40" i="24"/>
  <c r="B40" i="24"/>
  <c r="F42" i="22"/>
  <c r="B42" i="22"/>
  <c r="B41" i="23"/>
  <c r="F41" i="23"/>
  <c r="I37" i="31"/>
  <c r="I36" i="30"/>
  <c r="I39" i="24"/>
  <c r="F35" i="39"/>
  <c r="B35" i="39"/>
  <c r="B45" i="11"/>
  <c r="F45" i="11"/>
  <c r="F44" i="8"/>
  <c r="B44" i="8"/>
  <c r="I33" i="40"/>
  <c r="I42" i="4"/>
  <c r="H45" i="9"/>
  <c r="D46" i="9"/>
  <c r="E46" i="9" s="1"/>
  <c r="G45" i="9"/>
  <c r="B38" i="28"/>
  <c r="F38" i="28"/>
  <c r="I116" i="13"/>
  <c r="H116" i="13"/>
  <c r="B117" i="13"/>
  <c r="F117" i="13"/>
  <c r="E35" i="13" l="1"/>
  <c r="F35" i="13" s="1"/>
  <c r="B35" i="13"/>
  <c r="H35" i="13"/>
  <c r="G35" i="44"/>
  <c r="I35" i="44" s="1"/>
  <c r="D36" i="44"/>
  <c r="G36" i="37"/>
  <c r="I36" i="37" s="1"/>
  <c r="H34" i="42"/>
  <c r="I34" i="42" s="1"/>
  <c r="D40" i="27"/>
  <c r="H39" i="27"/>
  <c r="G39" i="27"/>
  <c r="D46" i="11"/>
  <c r="G45" i="11"/>
  <c r="H45" i="11"/>
  <c r="E46" i="11"/>
  <c r="D35" i="41"/>
  <c r="E35" i="41"/>
  <c r="D35" i="40"/>
  <c r="E35" i="40"/>
  <c r="G46" i="7"/>
  <c r="H46" i="7"/>
  <c r="D47" i="7"/>
  <c r="E47" i="7"/>
  <c r="D36" i="39"/>
  <c r="E36" i="39"/>
  <c r="H41" i="23"/>
  <c r="G41" i="23"/>
  <c r="D42" i="23"/>
  <c r="E42" i="23"/>
  <c r="D39" i="29"/>
  <c r="E39" i="29" s="1"/>
  <c r="G38" i="29"/>
  <c r="H38" i="29"/>
  <c r="D34" i="43"/>
  <c r="E34" i="43"/>
  <c r="G37" i="30"/>
  <c r="D38" i="30"/>
  <c r="H37" i="30"/>
  <c r="E38" i="30"/>
  <c r="D43" i="22"/>
  <c r="H42" i="22"/>
  <c r="G42" i="22"/>
  <c r="E43" i="22"/>
  <c r="H43" i="3"/>
  <c r="G43" i="3"/>
  <c r="D44" i="3"/>
  <c r="E44" i="3"/>
  <c r="G38" i="28"/>
  <c r="D39" i="28"/>
  <c r="H38" i="28"/>
  <c r="E39" i="28"/>
  <c r="B46" i="9"/>
  <c r="F46" i="9"/>
  <c r="G35" i="39"/>
  <c r="H40" i="24"/>
  <c r="G40" i="24"/>
  <c r="D41" i="24"/>
  <c r="E41" i="24"/>
  <c r="D36" i="45"/>
  <c r="E36" i="45" s="1"/>
  <c r="H34" i="41"/>
  <c r="B35" i="46"/>
  <c r="F35" i="46"/>
  <c r="G35" i="46" s="1"/>
  <c r="G33" i="43"/>
  <c r="I33" i="43" s="1"/>
  <c r="G34" i="40"/>
  <c r="D36" i="38"/>
  <c r="E36" i="38" s="1"/>
  <c r="G47" i="10"/>
  <c r="H47" i="10"/>
  <c r="E48" i="10"/>
  <c r="D48" i="10"/>
  <c r="I45" i="9"/>
  <c r="H44" i="8"/>
  <c r="G44" i="8"/>
  <c r="D45" i="8"/>
  <c r="E45" i="8"/>
  <c r="H35" i="39"/>
  <c r="H35" i="45"/>
  <c r="I35" i="45" s="1"/>
  <c r="G34" i="41"/>
  <c r="H43" i="4"/>
  <c r="G43" i="4"/>
  <c r="D44" i="4"/>
  <c r="E44" i="4"/>
  <c r="G43" i="5"/>
  <c r="D44" i="5"/>
  <c r="H43" i="5"/>
  <c r="E44" i="5"/>
  <c r="D37" i="37"/>
  <c r="E37" i="37" s="1"/>
  <c r="G42" i="25"/>
  <c r="D43" i="25"/>
  <c r="E43" i="25" s="1"/>
  <c r="H42" i="25"/>
  <c r="H38" i="31"/>
  <c r="D39" i="31"/>
  <c r="E39" i="31" s="1"/>
  <c r="G38" i="31"/>
  <c r="D35" i="42"/>
  <c r="E35" i="42"/>
  <c r="H34" i="40"/>
  <c r="G35" i="38"/>
  <c r="I35" i="38" s="1"/>
  <c r="G44" i="6"/>
  <c r="D45" i="6"/>
  <c r="E45" i="6" s="1"/>
  <c r="H44" i="6"/>
  <c r="G117" i="13"/>
  <c r="D118" i="13"/>
  <c r="E118" i="13" s="1"/>
  <c r="J116" i="13"/>
  <c r="D36" i="13" l="1"/>
  <c r="G35" i="13"/>
  <c r="I35" i="13" s="1"/>
  <c r="I37" i="30"/>
  <c r="I38" i="28"/>
  <c r="I42" i="25"/>
  <c r="I43" i="4"/>
  <c r="E36" i="44"/>
  <c r="F36" i="44" s="1"/>
  <c r="G36" i="44" s="1"/>
  <c r="B36" i="44"/>
  <c r="I46" i="7"/>
  <c r="I34" i="40"/>
  <c r="I45" i="11"/>
  <c r="I44" i="6"/>
  <c r="I47" i="10"/>
  <c r="I39" i="27"/>
  <c r="I34" i="41"/>
  <c r="B40" i="27"/>
  <c r="I41" i="23"/>
  <c r="I35" i="39"/>
  <c r="I44" i="8"/>
  <c r="I43" i="3"/>
  <c r="E40" i="27"/>
  <c r="F40" i="27" s="1"/>
  <c r="F41" i="24"/>
  <c r="B41" i="24"/>
  <c r="G46" i="9"/>
  <c r="D47" i="9"/>
  <c r="E47" i="9"/>
  <c r="H46" i="9"/>
  <c r="B34" i="43"/>
  <c r="F34" i="43"/>
  <c r="H34" i="43" s="1"/>
  <c r="F47" i="7"/>
  <c r="B47" i="7"/>
  <c r="F45" i="6"/>
  <c r="B45" i="6"/>
  <c r="B39" i="31"/>
  <c r="F39" i="31"/>
  <c r="B43" i="25"/>
  <c r="F43" i="25"/>
  <c r="B45" i="8"/>
  <c r="F45" i="8"/>
  <c r="I42" i="22"/>
  <c r="F38" i="30"/>
  <c r="B38" i="30"/>
  <c r="B36" i="38"/>
  <c r="F36" i="38"/>
  <c r="G36" i="38" s="1"/>
  <c r="D36" i="46"/>
  <c r="B39" i="28"/>
  <c r="F39" i="28"/>
  <c r="F35" i="40"/>
  <c r="H35" i="40" s="1"/>
  <c r="B35" i="40"/>
  <c r="F35" i="42"/>
  <c r="H35" i="42" s="1"/>
  <c r="B35" i="42"/>
  <c r="I38" i="31"/>
  <c r="I43" i="5"/>
  <c r="B44" i="4"/>
  <c r="F44" i="4"/>
  <c r="H35" i="46"/>
  <c r="I35" i="46" s="1"/>
  <c r="F36" i="45"/>
  <c r="H36" i="45" s="1"/>
  <c r="B36" i="45"/>
  <c r="I40" i="24"/>
  <c r="B43" i="22"/>
  <c r="F43" i="22"/>
  <c r="I38" i="29"/>
  <c r="B42" i="23"/>
  <c r="F42" i="23"/>
  <c r="F36" i="39"/>
  <c r="G36" i="39" s="1"/>
  <c r="B36" i="39"/>
  <c r="B37" i="37"/>
  <c r="F37" i="37"/>
  <c r="H37" i="37" s="1"/>
  <c r="F44" i="3"/>
  <c r="B44" i="3"/>
  <c r="F39" i="29"/>
  <c r="B39" i="29"/>
  <c r="F44" i="5"/>
  <c r="B44" i="5"/>
  <c r="F48" i="10"/>
  <c r="B48" i="10"/>
  <c r="B35" i="41"/>
  <c r="F35" i="41"/>
  <c r="G35" i="41" s="1"/>
  <c r="B46" i="11"/>
  <c r="F46" i="11"/>
  <c r="F118" i="13"/>
  <c r="B118" i="13"/>
  <c r="H117" i="13"/>
  <c r="I117" i="13"/>
  <c r="E36" i="13" l="1"/>
  <c r="F36" i="13" s="1"/>
  <c r="B36" i="13"/>
  <c r="D37" i="44"/>
  <c r="H36" i="44"/>
  <c r="I36" i="44" s="1"/>
  <c r="H35" i="41"/>
  <c r="I35" i="41" s="1"/>
  <c r="H36" i="39"/>
  <c r="I36" i="39" s="1"/>
  <c r="G34" i="43"/>
  <c r="I34" i="43" s="1"/>
  <c r="E41" i="27"/>
  <c r="G40" i="27"/>
  <c r="H40" i="27"/>
  <c r="D41" i="27"/>
  <c r="G37" i="37"/>
  <c r="I37" i="37" s="1"/>
  <c r="G36" i="45"/>
  <c r="I36" i="45" s="1"/>
  <c r="B36" i="46"/>
  <c r="G45" i="6"/>
  <c r="H45" i="6"/>
  <c r="D46" i="6"/>
  <c r="E46" i="6"/>
  <c r="B47" i="9"/>
  <c r="F47" i="9"/>
  <c r="D45" i="5"/>
  <c r="E45" i="5" s="1"/>
  <c r="G44" i="5"/>
  <c r="H44" i="5"/>
  <c r="G44" i="3"/>
  <c r="D45" i="3"/>
  <c r="E45" i="3" s="1"/>
  <c r="H44" i="3"/>
  <c r="D37" i="39"/>
  <c r="E37" i="39"/>
  <c r="H43" i="22"/>
  <c r="G43" i="22"/>
  <c r="D44" i="22"/>
  <c r="E44" i="22"/>
  <c r="G44" i="4"/>
  <c r="H44" i="4"/>
  <c r="D45" i="4"/>
  <c r="E45" i="4"/>
  <c r="G39" i="28"/>
  <c r="H39" i="28"/>
  <c r="D40" i="28"/>
  <c r="E40" i="28"/>
  <c r="D37" i="38"/>
  <c r="E37" i="38" s="1"/>
  <c r="D46" i="8"/>
  <c r="E46" i="8" s="1"/>
  <c r="G45" i="8"/>
  <c r="H45" i="8"/>
  <c r="H39" i="31"/>
  <c r="D40" i="31"/>
  <c r="G39" i="31"/>
  <c r="E40" i="31"/>
  <c r="G47" i="7"/>
  <c r="D48" i="7"/>
  <c r="H47" i="7"/>
  <c r="E48" i="7"/>
  <c r="D36" i="40"/>
  <c r="E36" i="40" s="1"/>
  <c r="D38" i="37"/>
  <c r="E38" i="37" s="1"/>
  <c r="D43" i="23"/>
  <c r="E43" i="23" s="1"/>
  <c r="H42" i="23"/>
  <c r="G42" i="23"/>
  <c r="G35" i="40"/>
  <c r="I35" i="40" s="1"/>
  <c r="I46" i="9"/>
  <c r="G46" i="11"/>
  <c r="H46" i="11"/>
  <c r="D47" i="11"/>
  <c r="E47" i="11"/>
  <c r="D36" i="42"/>
  <c r="E36" i="42" s="1"/>
  <c r="D36" i="41"/>
  <c r="E36" i="41"/>
  <c r="H48" i="10"/>
  <c r="D49" i="10"/>
  <c r="G48" i="10"/>
  <c r="E49" i="10"/>
  <c r="G39" i="29"/>
  <c r="D40" i="29"/>
  <c r="H39" i="29"/>
  <c r="E40" i="29"/>
  <c r="D37" i="45"/>
  <c r="G35" i="42"/>
  <c r="I35" i="42" s="1"/>
  <c r="E36" i="46"/>
  <c r="F36" i="46" s="1"/>
  <c r="H36" i="38"/>
  <c r="I36" i="38" s="1"/>
  <c r="G38" i="30"/>
  <c r="H38" i="30"/>
  <c r="D39" i="30"/>
  <c r="E39" i="30" s="1"/>
  <c r="D44" i="25"/>
  <c r="E44" i="25" s="1"/>
  <c r="G43" i="25"/>
  <c r="H43" i="25"/>
  <c r="D35" i="43"/>
  <c r="E35" i="43"/>
  <c r="G41" i="24"/>
  <c r="H41" i="24"/>
  <c r="D42" i="24"/>
  <c r="E42" i="24"/>
  <c r="J117" i="13"/>
  <c r="G118" i="13"/>
  <c r="D119" i="13"/>
  <c r="G36" i="13" l="1"/>
  <c r="D37" i="13"/>
  <c r="H36" i="13"/>
  <c r="I36" i="13" s="1"/>
  <c r="I43" i="22"/>
  <c r="E37" i="44"/>
  <c r="F37" i="44"/>
  <c r="B37" i="44"/>
  <c r="I39" i="31"/>
  <c r="I44" i="3"/>
  <c r="I45" i="8"/>
  <c r="I44" i="5"/>
  <c r="I40" i="27"/>
  <c r="I43" i="25"/>
  <c r="I42" i="23"/>
  <c r="I48" i="10"/>
  <c r="I46" i="11"/>
  <c r="F41" i="27"/>
  <c r="B41" i="27"/>
  <c r="D37" i="46"/>
  <c r="H36" i="46"/>
  <c r="G36" i="46"/>
  <c r="B37" i="38"/>
  <c r="F37" i="38"/>
  <c r="H37" i="38" s="1"/>
  <c r="I38" i="30"/>
  <c r="F36" i="42"/>
  <c r="G36" i="42" s="1"/>
  <c r="B36" i="42"/>
  <c r="F43" i="23"/>
  <c r="B43" i="23"/>
  <c r="F45" i="3"/>
  <c r="B45" i="3"/>
  <c r="F36" i="40"/>
  <c r="G36" i="40" s="1"/>
  <c r="B36" i="40"/>
  <c r="F46" i="8"/>
  <c r="B46" i="8"/>
  <c r="B42" i="24"/>
  <c r="F42" i="24"/>
  <c r="F35" i="43"/>
  <c r="H35" i="43" s="1"/>
  <c r="B35" i="43"/>
  <c r="F44" i="25"/>
  <c r="B44" i="25"/>
  <c r="B37" i="45"/>
  <c r="I39" i="29"/>
  <c r="F36" i="41"/>
  <c r="G36" i="41" s="1"/>
  <c r="B36" i="41"/>
  <c r="I47" i="7"/>
  <c r="F40" i="28"/>
  <c r="B40" i="28"/>
  <c r="F45" i="4"/>
  <c r="B45" i="4"/>
  <c r="F44" i="22"/>
  <c r="B44" i="22"/>
  <c r="F37" i="39"/>
  <c r="H37" i="39" s="1"/>
  <c r="B37" i="39"/>
  <c r="F45" i="5"/>
  <c r="B45" i="5"/>
  <c r="B46" i="6"/>
  <c r="F46" i="6"/>
  <c r="F39" i="30"/>
  <c r="B39" i="30"/>
  <c r="I41" i="24"/>
  <c r="E37" i="45"/>
  <c r="F37" i="45" s="1"/>
  <c r="B40" i="29"/>
  <c r="F40" i="29"/>
  <c r="F49" i="10"/>
  <c r="B49" i="10"/>
  <c r="F47" i="11"/>
  <c r="B47" i="11"/>
  <c r="B38" i="37"/>
  <c r="F38" i="37"/>
  <c r="F48" i="7"/>
  <c r="B48" i="7"/>
  <c r="B40" i="31"/>
  <c r="F40" i="31"/>
  <c r="I39" i="28"/>
  <c r="I44" i="4"/>
  <c r="E48" i="9"/>
  <c r="G47" i="9"/>
  <c r="D48" i="9"/>
  <c r="H47" i="9"/>
  <c r="I45" i="6"/>
  <c r="B119" i="13"/>
  <c r="E119" i="13"/>
  <c r="F119" i="13" s="1"/>
  <c r="H118" i="13"/>
  <c r="I118" i="13"/>
  <c r="E37" i="13" l="1"/>
  <c r="F37" i="13" s="1"/>
  <c r="B37" i="13"/>
  <c r="H37" i="44"/>
  <c r="G37" i="44"/>
  <c r="D38" i="44"/>
  <c r="G37" i="38"/>
  <c r="I37" i="38" s="1"/>
  <c r="G41" i="27"/>
  <c r="E42" i="27"/>
  <c r="H41" i="27"/>
  <c r="D42" i="27"/>
  <c r="G37" i="39"/>
  <c r="I37" i="39" s="1"/>
  <c r="G35" i="43"/>
  <c r="I35" i="43" s="1"/>
  <c r="D38" i="45"/>
  <c r="E38" i="45" s="1"/>
  <c r="H37" i="45"/>
  <c r="G37" i="45"/>
  <c r="D39" i="37"/>
  <c r="E39" i="37"/>
  <c r="G40" i="29"/>
  <c r="H40" i="29"/>
  <c r="D41" i="29"/>
  <c r="E41" i="29"/>
  <c r="G43" i="23"/>
  <c r="D44" i="23"/>
  <c r="E44" i="23" s="1"/>
  <c r="H43" i="23"/>
  <c r="J118" i="13"/>
  <c r="I47" i="9"/>
  <c r="G38" i="37"/>
  <c r="D48" i="11"/>
  <c r="E48" i="11" s="1"/>
  <c r="G47" i="11"/>
  <c r="H47" i="11"/>
  <c r="H39" i="30"/>
  <c r="D40" i="30"/>
  <c r="E40" i="30" s="1"/>
  <c r="G39" i="30"/>
  <c r="H45" i="5"/>
  <c r="D46" i="5"/>
  <c r="E46" i="5" s="1"/>
  <c r="G45" i="5"/>
  <c r="D38" i="39"/>
  <c r="E38" i="39"/>
  <c r="D46" i="4"/>
  <c r="E46" i="4" s="1"/>
  <c r="G45" i="4"/>
  <c r="H45" i="4"/>
  <c r="G42" i="24"/>
  <c r="D43" i="24"/>
  <c r="H42" i="24"/>
  <c r="E43" i="24"/>
  <c r="I36" i="46"/>
  <c r="D37" i="41"/>
  <c r="E37" i="41"/>
  <c r="G44" i="25"/>
  <c r="H44" i="25"/>
  <c r="D45" i="25"/>
  <c r="E45" i="25"/>
  <c r="D47" i="8"/>
  <c r="H46" i="8"/>
  <c r="G46" i="8"/>
  <c r="E47" i="8"/>
  <c r="D37" i="40"/>
  <c r="E37" i="40"/>
  <c r="D37" i="42"/>
  <c r="E37" i="42"/>
  <c r="F48" i="9"/>
  <c r="B48" i="9"/>
  <c r="D49" i="7"/>
  <c r="E49" i="7" s="1"/>
  <c r="H48" i="7"/>
  <c r="G48" i="7"/>
  <c r="H46" i="6"/>
  <c r="D47" i="6"/>
  <c r="E47" i="6" s="1"/>
  <c r="G46" i="6"/>
  <c r="H36" i="40"/>
  <c r="I36" i="40" s="1"/>
  <c r="H45" i="3"/>
  <c r="D46" i="3"/>
  <c r="G45" i="3"/>
  <c r="E46" i="3"/>
  <c r="D38" i="38"/>
  <c r="E38" i="38"/>
  <c r="B37" i="46"/>
  <c r="D41" i="31"/>
  <c r="E41" i="31" s="1"/>
  <c r="G40" i="31"/>
  <c r="H40" i="31"/>
  <c r="H38" i="37"/>
  <c r="D50" i="10"/>
  <c r="G49" i="10"/>
  <c r="H49" i="10"/>
  <c r="E50" i="10"/>
  <c r="D45" i="22"/>
  <c r="G44" i="22"/>
  <c r="H44" i="22"/>
  <c r="E45" i="22"/>
  <c r="H40" i="28"/>
  <c r="D41" i="28"/>
  <c r="G40" i="28"/>
  <c r="E41" i="28"/>
  <c r="H36" i="41"/>
  <c r="I36" i="41" s="1"/>
  <c r="D36" i="43"/>
  <c r="E36" i="43"/>
  <c r="H36" i="42"/>
  <c r="I36" i="42" s="1"/>
  <c r="E37" i="46"/>
  <c r="F37" i="46" s="1"/>
  <c r="D120" i="13"/>
  <c r="G119" i="13"/>
  <c r="D38" i="13" l="1"/>
  <c r="H37" i="13"/>
  <c r="G37" i="13"/>
  <c r="I37" i="44"/>
  <c r="I38" i="37"/>
  <c r="E38" i="44"/>
  <c r="F38" i="44" s="1"/>
  <c r="B38" i="44"/>
  <c r="I44" i="25"/>
  <c r="I42" i="24"/>
  <c r="I45" i="4"/>
  <c r="I40" i="29"/>
  <c r="I44" i="22"/>
  <c r="I49" i="10"/>
  <c r="I40" i="31"/>
  <c r="I46" i="8"/>
  <c r="I45" i="5"/>
  <c r="I39" i="30"/>
  <c r="F42" i="27"/>
  <c r="B42" i="27"/>
  <c r="I43" i="23"/>
  <c r="I41" i="27"/>
  <c r="D38" i="46"/>
  <c r="E38" i="46" s="1"/>
  <c r="H37" i="46"/>
  <c r="G37" i="46"/>
  <c r="B46" i="3"/>
  <c r="F46" i="3"/>
  <c r="B40" i="30"/>
  <c r="F40" i="30"/>
  <c r="B41" i="28"/>
  <c r="F41" i="28"/>
  <c r="F38" i="38"/>
  <c r="H38" i="38" s="1"/>
  <c r="B38" i="38"/>
  <c r="I45" i="3"/>
  <c r="G48" i="9"/>
  <c r="D49" i="9"/>
  <c r="E49" i="9"/>
  <c r="H48" i="9"/>
  <c r="B37" i="40"/>
  <c r="F37" i="40"/>
  <c r="H37" i="40" s="1"/>
  <c r="B47" i="8"/>
  <c r="F47" i="8"/>
  <c r="B43" i="24"/>
  <c r="F43" i="24"/>
  <c r="B38" i="39"/>
  <c r="F38" i="39"/>
  <c r="H38" i="39" s="1"/>
  <c r="B48" i="11"/>
  <c r="F48" i="11"/>
  <c r="I37" i="45"/>
  <c r="B46" i="5"/>
  <c r="F46" i="5"/>
  <c r="F44" i="23"/>
  <c r="B44" i="23"/>
  <c r="B36" i="43"/>
  <c r="F36" i="43"/>
  <c r="G36" i="43" s="1"/>
  <c r="I40" i="28"/>
  <c r="B45" i="22"/>
  <c r="F45" i="22"/>
  <c r="B50" i="10"/>
  <c r="F50" i="10"/>
  <c r="B47" i="6"/>
  <c r="F47" i="6"/>
  <c r="I48" i="7"/>
  <c r="F41" i="31"/>
  <c r="B41" i="31"/>
  <c r="I46" i="6"/>
  <c r="B49" i="7"/>
  <c r="F49" i="7"/>
  <c r="B37" i="42"/>
  <c r="F37" i="42"/>
  <c r="H37" i="42" s="1"/>
  <c r="F45" i="25"/>
  <c r="B45" i="25"/>
  <c r="B37" i="41"/>
  <c r="F37" i="41"/>
  <c r="H37" i="41" s="1"/>
  <c r="F46" i="4"/>
  <c r="B46" i="4"/>
  <c r="I47" i="11"/>
  <c r="B41" i="29"/>
  <c r="F41" i="29"/>
  <c r="B39" i="37"/>
  <c r="F39" i="37"/>
  <c r="H39" i="37" s="1"/>
  <c r="F38" i="45"/>
  <c r="G38" i="45" s="1"/>
  <c r="B38" i="45"/>
  <c r="H119" i="13"/>
  <c r="I119" i="13"/>
  <c r="B120" i="13"/>
  <c r="E120" i="13"/>
  <c r="F120" i="13" s="1"/>
  <c r="I37" i="13" l="1"/>
  <c r="E38" i="13"/>
  <c r="B38" i="13"/>
  <c r="F38" i="13"/>
  <c r="G38" i="44"/>
  <c r="H38" i="44"/>
  <c r="D39" i="44"/>
  <c r="H38" i="45"/>
  <c r="I38" i="45" s="1"/>
  <c r="G37" i="40"/>
  <c r="I37" i="40" s="1"/>
  <c r="G38" i="38"/>
  <c r="I38" i="38" s="1"/>
  <c r="G37" i="41"/>
  <c r="I37" i="41" s="1"/>
  <c r="G37" i="42"/>
  <c r="I37" i="42" s="1"/>
  <c r="G42" i="27"/>
  <c r="H42" i="27"/>
  <c r="D43" i="27"/>
  <c r="D46" i="22"/>
  <c r="G45" i="22"/>
  <c r="H45" i="22"/>
  <c r="E46" i="22"/>
  <c r="G45" i="25"/>
  <c r="H45" i="25"/>
  <c r="D46" i="25"/>
  <c r="E46" i="25"/>
  <c r="D37" i="43"/>
  <c r="E37" i="43"/>
  <c r="G38" i="39"/>
  <c r="I38" i="39" s="1"/>
  <c r="H43" i="24"/>
  <c r="D44" i="24"/>
  <c r="G43" i="24"/>
  <c r="E44" i="24"/>
  <c r="I48" i="9"/>
  <c r="I37" i="46"/>
  <c r="D41" i="30"/>
  <c r="E41" i="30" s="1"/>
  <c r="H40" i="30"/>
  <c r="G40" i="30"/>
  <c r="D39" i="45"/>
  <c r="E39" i="45" s="1"/>
  <c r="D38" i="41"/>
  <c r="E38" i="41" s="1"/>
  <c r="H49" i="7"/>
  <c r="D50" i="7"/>
  <c r="E50" i="7" s="1"/>
  <c r="G49" i="7"/>
  <c r="G41" i="31"/>
  <c r="D42" i="31"/>
  <c r="E42" i="31" s="1"/>
  <c r="H41" i="31"/>
  <c r="D51" i="10"/>
  <c r="H50" i="10"/>
  <c r="E51" i="10"/>
  <c r="G50" i="10"/>
  <c r="D38" i="40"/>
  <c r="E38" i="40"/>
  <c r="D42" i="28"/>
  <c r="E42" i="28" s="1"/>
  <c r="G41" i="28"/>
  <c r="H41" i="28"/>
  <c r="G46" i="3"/>
  <c r="H46" i="3"/>
  <c r="D47" i="3"/>
  <c r="E47" i="3"/>
  <c r="E40" i="37"/>
  <c r="D40" i="37"/>
  <c r="D48" i="6"/>
  <c r="E48" i="6" s="1"/>
  <c r="G47" i="6"/>
  <c r="H47" i="6"/>
  <c r="G46" i="5"/>
  <c r="H46" i="5"/>
  <c r="D47" i="5"/>
  <c r="E47" i="5" s="1"/>
  <c r="G39" i="37"/>
  <c r="I39" i="37" s="1"/>
  <c r="G41" i="29"/>
  <c r="D42" i="29"/>
  <c r="E42" i="29" s="1"/>
  <c r="H41" i="29"/>
  <c r="H46" i="4"/>
  <c r="D47" i="4"/>
  <c r="E47" i="4" s="1"/>
  <c r="G46" i="4"/>
  <c r="D38" i="42"/>
  <c r="E38" i="42"/>
  <c r="H36" i="43"/>
  <c r="I36" i="43" s="1"/>
  <c r="H44" i="23"/>
  <c r="D45" i="23"/>
  <c r="E45" i="23" s="1"/>
  <c r="G44" i="23"/>
  <c r="G48" i="11"/>
  <c r="H48" i="11"/>
  <c r="D49" i="11"/>
  <c r="E49" i="11" s="1"/>
  <c r="D39" i="39"/>
  <c r="E39" i="39"/>
  <c r="H47" i="8"/>
  <c r="D48" i="8"/>
  <c r="G47" i="8"/>
  <c r="E48" i="8"/>
  <c r="F49" i="9"/>
  <c r="B49" i="9"/>
  <c r="D39" i="38"/>
  <c r="E39" i="38"/>
  <c r="F38" i="46"/>
  <c r="H38" i="46" s="1"/>
  <c r="B38" i="46"/>
  <c r="J119" i="13"/>
  <c r="G120" i="13"/>
  <c r="D121" i="13"/>
  <c r="G38" i="13" l="1"/>
  <c r="H38" i="13"/>
  <c r="D39" i="13"/>
  <c r="I38" i="44"/>
  <c r="E39" i="44"/>
  <c r="F39" i="44" s="1"/>
  <c r="B39" i="44"/>
  <c r="I46" i="5"/>
  <c r="I41" i="31"/>
  <c r="I43" i="24"/>
  <c r="I45" i="25"/>
  <c r="I47" i="8"/>
  <c r="I48" i="11"/>
  <c r="I46" i="4"/>
  <c r="I47" i="6"/>
  <c r="I50" i="10"/>
  <c r="I41" i="28"/>
  <c r="B43" i="27"/>
  <c r="I42" i="27"/>
  <c r="E43" i="27"/>
  <c r="F43" i="27" s="1"/>
  <c r="B49" i="11"/>
  <c r="F49" i="11"/>
  <c r="F47" i="4"/>
  <c r="B47" i="4"/>
  <c r="B45" i="23"/>
  <c r="F45" i="23"/>
  <c r="B38" i="42"/>
  <c r="F38" i="42"/>
  <c r="G38" i="42" s="1"/>
  <c r="B42" i="31"/>
  <c r="F42" i="31"/>
  <c r="B50" i="7"/>
  <c r="F50" i="7"/>
  <c r="I40" i="30"/>
  <c r="F46" i="22"/>
  <c r="B46" i="22"/>
  <c r="D50" i="9"/>
  <c r="E50" i="9" s="1"/>
  <c r="H49" i="9"/>
  <c r="G49" i="9"/>
  <c r="B47" i="5"/>
  <c r="F47" i="5"/>
  <c r="B39" i="38"/>
  <c r="F39" i="38"/>
  <c r="G39" i="38" s="1"/>
  <c r="B39" i="39"/>
  <c r="F39" i="39"/>
  <c r="I44" i="23"/>
  <c r="B48" i="6"/>
  <c r="F48" i="6"/>
  <c r="B47" i="3"/>
  <c r="F47" i="3"/>
  <c r="B38" i="40"/>
  <c r="F38" i="40"/>
  <c r="G38" i="40" s="1"/>
  <c r="B51" i="10"/>
  <c r="F51" i="10"/>
  <c r="I49" i="7"/>
  <c r="F39" i="45"/>
  <c r="B39" i="45"/>
  <c r="B41" i="30"/>
  <c r="F41" i="30"/>
  <c r="D39" i="46"/>
  <c r="E39" i="46" s="1"/>
  <c r="F42" i="29"/>
  <c r="B42" i="29"/>
  <c r="F42" i="28"/>
  <c r="B42" i="28"/>
  <c r="F38" i="41"/>
  <c r="H38" i="41" s="1"/>
  <c r="B38" i="41"/>
  <c r="G38" i="46"/>
  <c r="I38" i="46" s="1"/>
  <c r="B48" i="8"/>
  <c r="F48" i="8"/>
  <c r="I41" i="29"/>
  <c r="F40" i="37"/>
  <c r="B40" i="37"/>
  <c r="I46" i="3"/>
  <c r="F44" i="24"/>
  <c r="B44" i="24"/>
  <c r="B37" i="43"/>
  <c r="F37" i="43"/>
  <c r="G37" i="43" s="1"/>
  <c r="F46" i="25"/>
  <c r="B46" i="25"/>
  <c r="I45" i="22"/>
  <c r="B121" i="13"/>
  <c r="I120" i="13"/>
  <c r="H120" i="13"/>
  <c r="E121" i="13"/>
  <c r="F121" i="13" s="1"/>
  <c r="I38" i="13" l="1"/>
  <c r="E39" i="13"/>
  <c r="F39" i="13" s="1"/>
  <c r="B39" i="13"/>
  <c r="H39" i="44"/>
  <c r="G39" i="44"/>
  <c r="D40" i="44"/>
  <c r="H38" i="40"/>
  <c r="I38" i="40" s="1"/>
  <c r="H43" i="27"/>
  <c r="D44" i="27"/>
  <c r="E44" i="27"/>
  <c r="G43" i="27"/>
  <c r="H46" i="25"/>
  <c r="G46" i="25"/>
  <c r="D47" i="25"/>
  <c r="E47" i="25"/>
  <c r="H42" i="29"/>
  <c r="G42" i="29"/>
  <c r="D43" i="29"/>
  <c r="E43" i="29"/>
  <c r="D40" i="45"/>
  <c r="F50" i="9"/>
  <c r="B50" i="9"/>
  <c r="H47" i="4"/>
  <c r="D48" i="4"/>
  <c r="G47" i="4"/>
  <c r="E48" i="4"/>
  <c r="H39" i="45"/>
  <c r="D39" i="40"/>
  <c r="E39" i="40"/>
  <c r="G47" i="3"/>
  <c r="H47" i="3"/>
  <c r="D48" i="3"/>
  <c r="E48" i="3"/>
  <c r="G50" i="7"/>
  <c r="H50" i="7"/>
  <c r="D51" i="7"/>
  <c r="E51" i="7" s="1"/>
  <c r="G45" i="23"/>
  <c r="D46" i="23"/>
  <c r="H45" i="23"/>
  <c r="E46" i="23"/>
  <c r="H49" i="11"/>
  <c r="D50" i="11"/>
  <c r="G49" i="11"/>
  <c r="E50" i="11"/>
  <c r="D41" i="37"/>
  <c r="E41" i="37" s="1"/>
  <c r="D39" i="41"/>
  <c r="E39" i="41"/>
  <c r="D42" i="30"/>
  <c r="H41" i="30"/>
  <c r="G41" i="30"/>
  <c r="E42" i="30"/>
  <c r="D40" i="39"/>
  <c r="E40" i="39"/>
  <c r="H47" i="5"/>
  <c r="D48" i="5"/>
  <c r="E48" i="5" s="1"/>
  <c r="G47" i="5"/>
  <c r="D38" i="43"/>
  <c r="E38" i="43"/>
  <c r="H40" i="37"/>
  <c r="H48" i="8"/>
  <c r="D49" i="8"/>
  <c r="E49" i="8" s="1"/>
  <c r="G48" i="8"/>
  <c r="H42" i="28"/>
  <c r="D43" i="28"/>
  <c r="E43" i="28" s="1"/>
  <c r="G42" i="28"/>
  <c r="F39" i="46"/>
  <c r="H39" i="46" s="1"/>
  <c r="B39" i="46"/>
  <c r="G39" i="45"/>
  <c r="H39" i="39"/>
  <c r="D40" i="38"/>
  <c r="E40" i="38"/>
  <c r="D39" i="42"/>
  <c r="E39" i="42" s="1"/>
  <c r="H37" i="43"/>
  <c r="I37" i="43" s="1"/>
  <c r="G44" i="24"/>
  <c r="H44" i="24"/>
  <c r="D45" i="24"/>
  <c r="E45" i="24"/>
  <c r="G40" i="37"/>
  <c r="G38" i="41"/>
  <c r="I38" i="41" s="1"/>
  <c r="D52" i="10"/>
  <c r="E52" i="10" s="1"/>
  <c r="H51" i="10"/>
  <c r="G51" i="10"/>
  <c r="G48" i="6"/>
  <c r="H48" i="6"/>
  <c r="D49" i="6"/>
  <c r="E49" i="6" s="1"/>
  <c r="G39" i="39"/>
  <c r="H39" i="38"/>
  <c r="I39" i="38" s="1"/>
  <c r="I49" i="9"/>
  <c r="D47" i="22"/>
  <c r="E47" i="22" s="1"/>
  <c r="G46" i="22"/>
  <c r="H46" i="22"/>
  <c r="D43" i="31"/>
  <c r="E43" i="31" s="1"/>
  <c r="G42" i="31"/>
  <c r="H42" i="31"/>
  <c r="H38" i="42"/>
  <c r="I38" i="42" s="1"/>
  <c r="J120" i="13"/>
  <c r="D122" i="13"/>
  <c r="E122" i="13" s="1"/>
  <c r="G121" i="13"/>
  <c r="G39" i="13" l="1"/>
  <c r="H39" i="13"/>
  <c r="I39" i="13" s="1"/>
  <c r="D40" i="13"/>
  <c r="I39" i="44"/>
  <c r="E40" i="44"/>
  <c r="B40" i="44"/>
  <c r="F40" i="44"/>
  <c r="H40" i="44" s="1"/>
  <c r="I50" i="7"/>
  <c r="I47" i="3"/>
  <c r="I51" i="10"/>
  <c r="G39" i="46"/>
  <c r="I39" i="46" s="1"/>
  <c r="I42" i="28"/>
  <c r="I48" i="8"/>
  <c r="I41" i="30"/>
  <c r="B44" i="27"/>
  <c r="F44" i="27"/>
  <c r="I44" i="24"/>
  <c r="I49" i="11"/>
  <c r="I43" i="27"/>
  <c r="B47" i="22"/>
  <c r="F47" i="22"/>
  <c r="B52" i="10"/>
  <c r="F52" i="10"/>
  <c r="F50" i="11"/>
  <c r="B50" i="11"/>
  <c r="D51" i="9"/>
  <c r="H50" i="9"/>
  <c r="E51" i="9"/>
  <c r="G50" i="9"/>
  <c r="I39" i="39"/>
  <c r="I40" i="37"/>
  <c r="B40" i="39"/>
  <c r="F40" i="39"/>
  <c r="G40" i="39" s="1"/>
  <c r="B42" i="30"/>
  <c r="F42" i="30"/>
  <c r="F51" i="7"/>
  <c r="B51" i="7"/>
  <c r="B48" i="3"/>
  <c r="F48" i="3"/>
  <c r="B39" i="40"/>
  <c r="F39" i="40"/>
  <c r="G39" i="40" s="1"/>
  <c r="B48" i="4"/>
  <c r="F48" i="4"/>
  <c r="B40" i="45"/>
  <c r="F40" i="38"/>
  <c r="H40" i="38" s="1"/>
  <c r="B40" i="38"/>
  <c r="F46" i="23"/>
  <c r="B46" i="23"/>
  <c r="F47" i="25"/>
  <c r="B47" i="25"/>
  <c r="I42" i="31"/>
  <c r="I46" i="22"/>
  <c r="B49" i="6"/>
  <c r="F49" i="6"/>
  <c r="F39" i="42"/>
  <c r="B39" i="42"/>
  <c r="D40" i="46"/>
  <c r="B48" i="5"/>
  <c r="F48" i="5"/>
  <c r="I39" i="45"/>
  <c r="I47" i="4"/>
  <c r="E40" i="45"/>
  <c r="F40" i="45" s="1"/>
  <c r="I42" i="29"/>
  <c r="I46" i="25"/>
  <c r="F43" i="31"/>
  <c r="B43" i="31"/>
  <c r="B45" i="24"/>
  <c r="F45" i="24"/>
  <c r="F41" i="37"/>
  <c r="H41" i="37" s="1"/>
  <c r="B41" i="37"/>
  <c r="B43" i="29"/>
  <c r="F43" i="29"/>
  <c r="I48" i="6"/>
  <c r="F43" i="28"/>
  <c r="B43" i="28"/>
  <c r="F49" i="8"/>
  <c r="B49" i="8"/>
  <c r="F38" i="43"/>
  <c r="H38" i="43" s="1"/>
  <c r="B38" i="43"/>
  <c r="I47" i="5"/>
  <c r="B39" i="41"/>
  <c r="F39" i="41"/>
  <c r="G39" i="41" s="1"/>
  <c r="I45" i="23"/>
  <c r="H121" i="13"/>
  <c r="I121" i="13"/>
  <c r="F122" i="13"/>
  <c r="B122" i="13"/>
  <c r="E40" i="13" l="1"/>
  <c r="F40" i="13"/>
  <c r="B40" i="13"/>
  <c r="G40" i="13"/>
  <c r="G40" i="44"/>
  <c r="I40" i="44" s="1"/>
  <c r="D41" i="44"/>
  <c r="E41" i="44" s="1"/>
  <c r="I50" i="9"/>
  <c r="G40" i="38"/>
  <c r="I40" i="38" s="1"/>
  <c r="H39" i="40"/>
  <c r="D45" i="27"/>
  <c r="E45" i="27"/>
  <c r="G44" i="27"/>
  <c r="H44" i="27"/>
  <c r="D41" i="45"/>
  <c r="H40" i="45"/>
  <c r="G40" i="45"/>
  <c r="B40" i="46"/>
  <c r="D40" i="42"/>
  <c r="E40" i="42" s="1"/>
  <c r="I39" i="40"/>
  <c r="H52" i="10"/>
  <c r="D53" i="10"/>
  <c r="E53" i="10" s="1"/>
  <c r="G52" i="10"/>
  <c r="D40" i="41"/>
  <c r="E40" i="41" s="1"/>
  <c r="D44" i="28"/>
  <c r="H43" i="28"/>
  <c r="G43" i="28"/>
  <c r="E44" i="28"/>
  <c r="H45" i="24"/>
  <c r="D46" i="24"/>
  <c r="E46" i="24" s="1"/>
  <c r="G45" i="24"/>
  <c r="E40" i="46"/>
  <c r="F40" i="46" s="1"/>
  <c r="H39" i="42"/>
  <c r="D48" i="25"/>
  <c r="E48" i="25" s="1"/>
  <c r="G47" i="25"/>
  <c r="H47" i="25"/>
  <c r="G51" i="7"/>
  <c r="D52" i="7"/>
  <c r="E52" i="7" s="1"/>
  <c r="H51" i="7"/>
  <c r="D41" i="39"/>
  <c r="E41" i="39"/>
  <c r="F51" i="9"/>
  <c r="B51" i="9"/>
  <c r="D42" i="37"/>
  <c r="E42" i="37"/>
  <c r="H48" i="4"/>
  <c r="G48" i="4"/>
  <c r="D49" i="4"/>
  <c r="E49" i="4"/>
  <c r="H39" i="41"/>
  <c r="I39" i="41" s="1"/>
  <c r="H48" i="5"/>
  <c r="D49" i="5"/>
  <c r="G48" i="5"/>
  <c r="E49" i="5"/>
  <c r="D50" i="6"/>
  <c r="E50" i="6" s="1"/>
  <c r="H49" i="6"/>
  <c r="G49" i="6"/>
  <c r="H48" i="3"/>
  <c r="G48" i="3"/>
  <c r="D49" i="3"/>
  <c r="E49" i="3"/>
  <c r="D43" i="30"/>
  <c r="E43" i="30" s="1"/>
  <c r="G42" i="30"/>
  <c r="H42" i="30"/>
  <c r="D48" i="22"/>
  <c r="E48" i="22" s="1"/>
  <c r="G47" i="22"/>
  <c r="H47" i="22"/>
  <c r="D39" i="43"/>
  <c r="E39" i="43" s="1"/>
  <c r="D44" i="31"/>
  <c r="E44" i="31" s="1"/>
  <c r="G43" i="31"/>
  <c r="H43" i="31"/>
  <c r="G38" i="43"/>
  <c r="I38" i="43" s="1"/>
  <c r="D50" i="8"/>
  <c r="E50" i="8" s="1"/>
  <c r="G49" i="8"/>
  <c r="H49" i="8"/>
  <c r="H43" i="29"/>
  <c r="G43" i="29"/>
  <c r="D44" i="29"/>
  <c r="E44" i="29"/>
  <c r="G41" i="37"/>
  <c r="I41" i="37" s="1"/>
  <c r="G39" i="42"/>
  <c r="D47" i="23"/>
  <c r="E47" i="23" s="1"/>
  <c r="G46" i="23"/>
  <c r="H46" i="23"/>
  <c r="D41" i="38"/>
  <c r="E41" i="38"/>
  <c r="D40" i="40"/>
  <c r="E40" i="40" s="1"/>
  <c r="H40" i="39"/>
  <c r="I40" i="39" s="1"/>
  <c r="H50" i="11"/>
  <c r="D51" i="11"/>
  <c r="E51" i="11" s="1"/>
  <c r="G50" i="11"/>
  <c r="J121" i="13"/>
  <c r="D123" i="13"/>
  <c r="E123" i="13" s="1"/>
  <c r="G122" i="13"/>
  <c r="H40" i="13" l="1"/>
  <c r="D41" i="13"/>
  <c r="I40" i="13"/>
  <c r="I44" i="27"/>
  <c r="F41" i="44"/>
  <c r="G41" i="44"/>
  <c r="B41" i="44"/>
  <c r="I43" i="31"/>
  <c r="I47" i="22"/>
  <c r="I47" i="25"/>
  <c r="I48" i="5"/>
  <c r="I73" i="5" s="1"/>
  <c r="I42" i="30"/>
  <c r="I50" i="11"/>
  <c r="I48" i="3"/>
  <c r="I52" i="10"/>
  <c r="I45" i="24"/>
  <c r="B45" i="27"/>
  <c r="F45" i="27"/>
  <c r="D41" i="46"/>
  <c r="G40" i="46"/>
  <c r="H40" i="46"/>
  <c r="F48" i="22"/>
  <c r="B48" i="22"/>
  <c r="B50" i="6"/>
  <c r="F50" i="6"/>
  <c r="B52" i="7"/>
  <c r="F52" i="7"/>
  <c r="F44" i="28"/>
  <c r="B44" i="28"/>
  <c r="B41" i="45"/>
  <c r="F41" i="38"/>
  <c r="G41" i="38" s="1"/>
  <c r="B41" i="38"/>
  <c r="B47" i="23"/>
  <c r="F47" i="23"/>
  <c r="B44" i="29"/>
  <c r="F44" i="29"/>
  <c r="I49" i="8"/>
  <c r="I48" i="4"/>
  <c r="F41" i="39"/>
  <c r="G41" i="39" s="1"/>
  <c r="B41" i="39"/>
  <c r="B53" i="10"/>
  <c r="F53" i="10"/>
  <c r="F40" i="42"/>
  <c r="G40" i="42" s="1"/>
  <c r="B40" i="42"/>
  <c r="E41" i="45"/>
  <c r="F41" i="45" s="1"/>
  <c r="F44" i="31"/>
  <c r="B44" i="31"/>
  <c r="F49" i="3"/>
  <c r="B49" i="3"/>
  <c r="B48" i="25"/>
  <c r="F48" i="25"/>
  <c r="B40" i="41"/>
  <c r="F40" i="41"/>
  <c r="F39" i="43"/>
  <c r="G39" i="43" s="1"/>
  <c r="B39" i="43"/>
  <c r="B43" i="30"/>
  <c r="F43" i="30"/>
  <c r="F51" i="11"/>
  <c r="B51" i="11"/>
  <c r="B40" i="40"/>
  <c r="F40" i="40"/>
  <c r="H40" i="40" s="1"/>
  <c r="I46" i="23"/>
  <c r="I43" i="29"/>
  <c r="B50" i="8"/>
  <c r="F50" i="8"/>
  <c r="I49" i="6"/>
  <c r="B49" i="5"/>
  <c r="F49" i="5"/>
  <c r="F49" i="4"/>
  <c r="B49" i="4"/>
  <c r="B42" i="37"/>
  <c r="F42" i="37"/>
  <c r="G42" i="37" s="1"/>
  <c r="H51" i="9"/>
  <c r="D52" i="9"/>
  <c r="E52" i="9"/>
  <c r="G51" i="9"/>
  <c r="I51" i="7"/>
  <c r="I39" i="42"/>
  <c r="B46" i="24"/>
  <c r="F46" i="24"/>
  <c r="I43" i="28"/>
  <c r="I40" i="45"/>
  <c r="I122" i="13"/>
  <c r="H122" i="13"/>
  <c r="F123" i="13"/>
  <c r="B123" i="13"/>
  <c r="E41" i="13" l="1"/>
  <c r="B41" i="13"/>
  <c r="F41" i="13"/>
  <c r="H41" i="44"/>
  <c r="I41" i="44" s="1"/>
  <c r="D42" i="44"/>
  <c r="G40" i="40"/>
  <c r="I40" i="40" s="1"/>
  <c r="H41" i="38"/>
  <c r="I41" i="38" s="1"/>
  <c r="I40" i="46"/>
  <c r="I51" i="9"/>
  <c r="H40" i="42"/>
  <c r="I40" i="42" s="1"/>
  <c r="H39" i="43"/>
  <c r="I39" i="43" s="1"/>
  <c r="D46" i="27"/>
  <c r="E46" i="27"/>
  <c r="G45" i="27"/>
  <c r="H45" i="27"/>
  <c r="D42" i="45"/>
  <c r="H41" i="45"/>
  <c r="G41" i="45"/>
  <c r="D41" i="41"/>
  <c r="E41" i="41"/>
  <c r="D45" i="31"/>
  <c r="G44" i="31"/>
  <c r="H44" i="31"/>
  <c r="E45" i="31"/>
  <c r="D47" i="24"/>
  <c r="E47" i="24" s="1"/>
  <c r="G46" i="24"/>
  <c r="H46" i="24"/>
  <c r="G43" i="30"/>
  <c r="H43" i="30"/>
  <c r="D44" i="30"/>
  <c r="E44" i="30"/>
  <c r="D42" i="39"/>
  <c r="E42" i="39" s="1"/>
  <c r="D45" i="28"/>
  <c r="E45" i="28" s="1"/>
  <c r="H44" i="28"/>
  <c r="G44" i="28"/>
  <c r="F52" i="9"/>
  <c r="B52" i="9"/>
  <c r="G49" i="5"/>
  <c r="D50" i="5"/>
  <c r="H49" i="5"/>
  <c r="E50" i="5"/>
  <c r="D54" i="10"/>
  <c r="E54" i="10" s="1"/>
  <c r="H53" i="10"/>
  <c r="G53" i="10"/>
  <c r="G44" i="29"/>
  <c r="H44" i="29"/>
  <c r="D45" i="29"/>
  <c r="E45" i="29"/>
  <c r="D43" i="37"/>
  <c r="E43" i="37" s="1"/>
  <c r="D40" i="43"/>
  <c r="E40" i="43"/>
  <c r="H40" i="41"/>
  <c r="H49" i="3"/>
  <c r="G49" i="3"/>
  <c r="D50" i="3"/>
  <c r="E50" i="3"/>
  <c r="H41" i="39"/>
  <c r="I41" i="39" s="1"/>
  <c r="D48" i="23"/>
  <c r="E48" i="23" s="1"/>
  <c r="H47" i="23"/>
  <c r="G47" i="23"/>
  <c r="D53" i="7"/>
  <c r="E53" i="7" s="1"/>
  <c r="G52" i="7"/>
  <c r="H52" i="7"/>
  <c r="B41" i="46"/>
  <c r="H51" i="11"/>
  <c r="D52" i="11"/>
  <c r="G51" i="11"/>
  <c r="E52" i="11"/>
  <c r="D51" i="6"/>
  <c r="H50" i="6"/>
  <c r="G50" i="6"/>
  <c r="E51" i="6"/>
  <c r="H42" i="37"/>
  <c r="I42" i="37" s="1"/>
  <c r="H49" i="4"/>
  <c r="G49" i="4"/>
  <c r="D50" i="4"/>
  <c r="E50" i="4" s="1"/>
  <c r="H50" i="8"/>
  <c r="D51" i="8"/>
  <c r="E51" i="8" s="1"/>
  <c r="G50" i="8"/>
  <c r="D41" i="40"/>
  <c r="E41" i="40"/>
  <c r="G40" i="41"/>
  <c r="D49" i="25"/>
  <c r="G48" i="25"/>
  <c r="H48" i="25"/>
  <c r="E49" i="25"/>
  <c r="D41" i="42"/>
  <c r="E41" i="42" s="1"/>
  <c r="D42" i="38"/>
  <c r="E42" i="38"/>
  <c r="G48" i="22"/>
  <c r="D49" i="22"/>
  <c r="H48" i="22"/>
  <c r="E49" i="22"/>
  <c r="E41" i="46"/>
  <c r="F41" i="46" s="1"/>
  <c r="G123" i="13"/>
  <c r="D124" i="13"/>
  <c r="J122" i="13"/>
  <c r="G41" i="13" l="1"/>
  <c r="D42" i="13"/>
  <c r="H41" i="13"/>
  <c r="E42" i="44"/>
  <c r="F42" i="44" s="1"/>
  <c r="B42" i="44"/>
  <c r="I45" i="27"/>
  <c r="F46" i="27"/>
  <c r="B46" i="27"/>
  <c r="I50" i="8"/>
  <c r="I49" i="4"/>
  <c r="I50" i="6"/>
  <c r="I40" i="41"/>
  <c r="I51" i="11"/>
  <c r="I47" i="23"/>
  <c r="I49" i="3"/>
  <c r="I46" i="24"/>
  <c r="D42" i="46"/>
  <c r="E42" i="46" s="1"/>
  <c r="H41" i="46"/>
  <c r="G41" i="46"/>
  <c r="F41" i="42"/>
  <c r="G41" i="42" s="1"/>
  <c r="B41" i="42"/>
  <c r="B51" i="6"/>
  <c r="F51" i="6"/>
  <c r="B53" i="7"/>
  <c r="F53" i="7"/>
  <c r="F54" i="10"/>
  <c r="B54" i="10"/>
  <c r="F42" i="39"/>
  <c r="H42" i="39" s="1"/>
  <c r="B42" i="39"/>
  <c r="B50" i="4"/>
  <c r="F50" i="4"/>
  <c r="F50" i="3"/>
  <c r="B50" i="3"/>
  <c r="I44" i="28"/>
  <c r="B44" i="30"/>
  <c r="F44" i="30"/>
  <c r="F45" i="31"/>
  <c r="B45" i="31"/>
  <c r="I41" i="45"/>
  <c r="F49" i="25"/>
  <c r="B49" i="25"/>
  <c r="F48" i="23"/>
  <c r="B48" i="23"/>
  <c r="B43" i="37"/>
  <c r="F43" i="37"/>
  <c r="H43" i="37" s="1"/>
  <c r="I48" i="22"/>
  <c r="B42" i="38"/>
  <c r="F42" i="38"/>
  <c r="H42" i="38" s="1"/>
  <c r="I48" i="25"/>
  <c r="F51" i="8"/>
  <c r="B51" i="8"/>
  <c r="I52" i="7"/>
  <c r="B40" i="43"/>
  <c r="F40" i="43"/>
  <c r="G40" i="43" s="1"/>
  <c r="B45" i="29"/>
  <c r="F45" i="29"/>
  <c r="I53" i="10"/>
  <c r="G52" i="9"/>
  <c r="H52" i="9"/>
  <c r="D53" i="9"/>
  <c r="E53" i="9" s="1"/>
  <c r="F45" i="28"/>
  <c r="B45" i="28"/>
  <c r="I43" i="30"/>
  <c r="B42" i="45"/>
  <c r="F49" i="22"/>
  <c r="B49" i="22"/>
  <c r="B41" i="40"/>
  <c r="F41" i="40"/>
  <c r="G41" i="40" s="1"/>
  <c r="B52" i="11"/>
  <c r="F52" i="11"/>
  <c r="I44" i="29"/>
  <c r="B50" i="5"/>
  <c r="F50" i="5"/>
  <c r="F47" i="24"/>
  <c r="B47" i="24"/>
  <c r="I44" i="31"/>
  <c r="F41" i="41"/>
  <c r="H41" i="41" s="1"/>
  <c r="B41" i="41"/>
  <c r="E42" i="45"/>
  <c r="F42" i="45" s="1"/>
  <c r="H123" i="13"/>
  <c r="I123" i="13"/>
  <c r="B124" i="13"/>
  <c r="E124" i="13"/>
  <c r="F124" i="13" s="1"/>
  <c r="I41" i="13" l="1"/>
  <c r="E42" i="13"/>
  <c r="F42" i="13" s="1"/>
  <c r="B42" i="13"/>
  <c r="D43" i="44"/>
  <c r="G42" i="44"/>
  <c r="H42" i="44"/>
  <c r="H41" i="42"/>
  <c r="I41" i="42" s="1"/>
  <c r="G42" i="39"/>
  <c r="I42" i="39" s="1"/>
  <c r="G43" i="37"/>
  <c r="I43" i="37" s="1"/>
  <c r="G41" i="41"/>
  <c r="I41" i="41" s="1"/>
  <c r="G42" i="38"/>
  <c r="I42" i="38" s="1"/>
  <c r="G46" i="27"/>
  <c r="H46" i="27"/>
  <c r="D47" i="27"/>
  <c r="D43" i="45"/>
  <c r="E43" i="45" s="1"/>
  <c r="H42" i="45"/>
  <c r="G42" i="45"/>
  <c r="D42" i="40"/>
  <c r="E42" i="40"/>
  <c r="D50" i="22"/>
  <c r="G49" i="22"/>
  <c r="H49" i="22"/>
  <c r="E50" i="22"/>
  <c r="H45" i="28"/>
  <c r="G45" i="28"/>
  <c r="D46" i="28"/>
  <c r="E46" i="28"/>
  <c r="G48" i="23"/>
  <c r="D49" i="23"/>
  <c r="E49" i="23" s="1"/>
  <c r="H48" i="23"/>
  <c r="I41" i="46"/>
  <c r="H50" i="4"/>
  <c r="G50" i="4"/>
  <c r="D51" i="4"/>
  <c r="E51" i="4" s="1"/>
  <c r="D48" i="24"/>
  <c r="E48" i="24" s="1"/>
  <c r="G47" i="24"/>
  <c r="H47" i="24"/>
  <c r="G52" i="11"/>
  <c r="D53" i="11"/>
  <c r="E53" i="11" s="1"/>
  <c r="H52" i="11"/>
  <c r="B53" i="9"/>
  <c r="F53" i="9"/>
  <c r="D41" i="43"/>
  <c r="E41" i="43" s="1"/>
  <c r="D43" i="38"/>
  <c r="E43" i="38"/>
  <c r="D44" i="37"/>
  <c r="E44" i="37" s="1"/>
  <c r="H45" i="31"/>
  <c r="D46" i="31"/>
  <c r="G45" i="31"/>
  <c r="E46" i="31"/>
  <c r="H51" i="6"/>
  <c r="D52" i="6"/>
  <c r="E52" i="6" s="1"/>
  <c r="G51" i="6"/>
  <c r="G53" i="7"/>
  <c r="D54" i="7"/>
  <c r="E54" i="7" s="1"/>
  <c r="H53" i="7"/>
  <c r="D42" i="41"/>
  <c r="E42" i="41"/>
  <c r="G50" i="5"/>
  <c r="D51" i="5"/>
  <c r="H50" i="5"/>
  <c r="E51" i="5"/>
  <c r="H41" i="40"/>
  <c r="I41" i="40" s="1"/>
  <c r="I52" i="9"/>
  <c r="G45" i="29"/>
  <c r="H45" i="29"/>
  <c r="D46" i="29"/>
  <c r="E46" i="29" s="1"/>
  <c r="H40" i="43"/>
  <c r="I40" i="43" s="1"/>
  <c r="G51" i="8"/>
  <c r="D52" i="8"/>
  <c r="E52" i="8" s="1"/>
  <c r="H51" i="8"/>
  <c r="G49" i="25"/>
  <c r="H49" i="25"/>
  <c r="D50" i="25"/>
  <c r="E50" i="25"/>
  <c r="G44" i="30"/>
  <c r="H44" i="30"/>
  <c r="D45" i="30"/>
  <c r="E45" i="30"/>
  <c r="G50" i="3"/>
  <c r="D51" i="3"/>
  <c r="H50" i="3"/>
  <c r="E51" i="3"/>
  <c r="D43" i="39"/>
  <c r="E43" i="39" s="1"/>
  <c r="H54" i="10"/>
  <c r="D55" i="10"/>
  <c r="E55" i="10" s="1"/>
  <c r="G54" i="10"/>
  <c r="D42" i="42"/>
  <c r="E42" i="42"/>
  <c r="B42" i="46"/>
  <c r="F42" i="46"/>
  <c r="G42" i="46" s="1"/>
  <c r="J123" i="13"/>
  <c r="G124" i="13"/>
  <c r="D125" i="13"/>
  <c r="E125" i="13" s="1"/>
  <c r="G42" i="13" l="1"/>
  <c r="D43" i="13"/>
  <c r="H42" i="13"/>
  <c r="I42" i="13" s="1"/>
  <c r="I42" i="44"/>
  <c r="E43" i="44"/>
  <c r="F43" i="44" s="1"/>
  <c r="B43" i="44"/>
  <c r="I45" i="28"/>
  <c r="I49" i="22"/>
  <c r="I53" i="7"/>
  <c r="I45" i="29"/>
  <c r="I45" i="31"/>
  <c r="I48" i="23"/>
  <c r="I46" i="27"/>
  <c r="H42" i="46"/>
  <c r="I42" i="46" s="1"/>
  <c r="B47" i="27"/>
  <c r="E47" i="27"/>
  <c r="F47" i="27" s="1"/>
  <c r="I44" i="30"/>
  <c r="I49" i="25"/>
  <c r="I51" i="8"/>
  <c r="B43" i="39"/>
  <c r="F43" i="39"/>
  <c r="G43" i="39" s="1"/>
  <c r="F52" i="8"/>
  <c r="B52" i="8"/>
  <c r="B46" i="29"/>
  <c r="F46" i="29"/>
  <c r="B43" i="38"/>
  <c r="F43" i="38"/>
  <c r="B48" i="24"/>
  <c r="F48" i="24"/>
  <c r="I50" i="4"/>
  <c r="I42" i="45"/>
  <c r="B46" i="31"/>
  <c r="F46" i="31"/>
  <c r="H53" i="9"/>
  <c r="G53" i="9"/>
  <c r="D54" i="9"/>
  <c r="E54" i="9" s="1"/>
  <c r="D43" i="46"/>
  <c r="E43" i="46" s="1"/>
  <c r="B55" i="10"/>
  <c r="F55" i="10"/>
  <c r="B54" i="7"/>
  <c r="F54" i="7"/>
  <c r="F52" i="6"/>
  <c r="B52" i="6"/>
  <c r="B44" i="37"/>
  <c r="F44" i="37"/>
  <c r="H44" i="37" s="1"/>
  <c r="F49" i="23"/>
  <c r="B49" i="23"/>
  <c r="B46" i="28"/>
  <c r="F46" i="28"/>
  <c r="F42" i="40"/>
  <c r="G42" i="40" s="1"/>
  <c r="B42" i="40"/>
  <c r="F51" i="3"/>
  <c r="B51" i="3"/>
  <c r="B51" i="5"/>
  <c r="F51" i="5"/>
  <c r="F53" i="11"/>
  <c r="B53" i="11"/>
  <c r="F50" i="22"/>
  <c r="B50" i="22"/>
  <c r="B42" i="42"/>
  <c r="F42" i="42"/>
  <c r="G42" i="42" s="1"/>
  <c r="I54" i="10"/>
  <c r="I50" i="3"/>
  <c r="B45" i="30"/>
  <c r="F45" i="30"/>
  <c r="F50" i="25"/>
  <c r="B50" i="25"/>
  <c r="B42" i="41"/>
  <c r="F42" i="41"/>
  <c r="I51" i="6"/>
  <c r="B41" i="43"/>
  <c r="F41" i="43"/>
  <c r="H41" i="43" s="1"/>
  <c r="I52" i="11"/>
  <c r="I47" i="24"/>
  <c r="B51" i="4"/>
  <c r="F51" i="4"/>
  <c r="B43" i="45"/>
  <c r="F43" i="45"/>
  <c r="H43" i="45" s="1"/>
  <c r="B125" i="13"/>
  <c r="F125" i="13"/>
  <c r="I124" i="13"/>
  <c r="H124" i="13"/>
  <c r="B43" i="13" l="1"/>
  <c r="E43" i="13"/>
  <c r="F43" i="13" s="1"/>
  <c r="G43" i="44"/>
  <c r="D44" i="44"/>
  <c r="H43" i="44"/>
  <c r="G41" i="43"/>
  <c r="I41" i="43" s="1"/>
  <c r="H47" i="27"/>
  <c r="D48" i="27"/>
  <c r="G47" i="27"/>
  <c r="G43" i="45"/>
  <c r="I43" i="45" s="1"/>
  <c r="D43" i="41"/>
  <c r="E43" i="41"/>
  <c r="H54" i="7"/>
  <c r="D55" i="7"/>
  <c r="G54" i="7"/>
  <c r="E55" i="7"/>
  <c r="D44" i="38"/>
  <c r="E44" i="38" s="1"/>
  <c r="H42" i="41"/>
  <c r="G45" i="30"/>
  <c r="H45" i="30"/>
  <c r="D46" i="30"/>
  <c r="E46" i="30"/>
  <c r="H42" i="42"/>
  <c r="I42" i="42" s="1"/>
  <c r="H53" i="11"/>
  <c r="D54" i="11"/>
  <c r="G53" i="11"/>
  <c r="E54" i="11"/>
  <c r="H51" i="3"/>
  <c r="D52" i="3"/>
  <c r="G51" i="3"/>
  <c r="E52" i="3"/>
  <c r="D43" i="40"/>
  <c r="E43" i="40"/>
  <c r="H49" i="23"/>
  <c r="D50" i="23"/>
  <c r="E50" i="23" s="1"/>
  <c r="G49" i="23"/>
  <c r="G44" i="37"/>
  <c r="I44" i="37" s="1"/>
  <c r="I53" i="9"/>
  <c r="G43" i="38"/>
  <c r="D44" i="39"/>
  <c r="E44" i="39"/>
  <c r="H50" i="25"/>
  <c r="D51" i="25"/>
  <c r="G50" i="25"/>
  <c r="E51" i="25"/>
  <c r="F43" i="46"/>
  <c r="H43" i="46" s="1"/>
  <c r="B43" i="46"/>
  <c r="D47" i="29"/>
  <c r="E47" i="29" s="1"/>
  <c r="G46" i="29"/>
  <c r="H46" i="29"/>
  <c r="D44" i="45"/>
  <c r="G51" i="4"/>
  <c r="H51" i="4"/>
  <c r="D52" i="4"/>
  <c r="E52" i="4" s="1"/>
  <c r="D42" i="43"/>
  <c r="E42" i="43"/>
  <c r="H51" i="5"/>
  <c r="D52" i="5"/>
  <c r="G51" i="5"/>
  <c r="E52" i="5"/>
  <c r="H42" i="40"/>
  <c r="I42" i="40" s="1"/>
  <c r="G46" i="28"/>
  <c r="H46" i="28"/>
  <c r="D47" i="28"/>
  <c r="E47" i="28"/>
  <c r="G55" i="10"/>
  <c r="H55" i="10"/>
  <c r="D56" i="10"/>
  <c r="E56" i="10" s="1"/>
  <c r="H46" i="31"/>
  <c r="G46" i="31"/>
  <c r="D47" i="31"/>
  <c r="E47" i="31"/>
  <c r="D49" i="24"/>
  <c r="G48" i="24"/>
  <c r="H48" i="24"/>
  <c r="E49" i="24"/>
  <c r="H43" i="39"/>
  <c r="I43" i="39" s="1"/>
  <c r="G42" i="41"/>
  <c r="D43" i="42"/>
  <c r="E43" i="42"/>
  <c r="H50" i="22"/>
  <c r="D51" i="22"/>
  <c r="G50" i="22"/>
  <c r="E51" i="22"/>
  <c r="D45" i="37"/>
  <c r="E45" i="37" s="1"/>
  <c r="H52" i="6"/>
  <c r="D53" i="6"/>
  <c r="E53" i="6" s="1"/>
  <c r="G52" i="6"/>
  <c r="B54" i="9"/>
  <c r="F54" i="9"/>
  <c r="H43" i="38"/>
  <c r="D53" i="8"/>
  <c r="H52" i="8"/>
  <c r="G52" i="8"/>
  <c r="E53" i="8"/>
  <c r="D126" i="13"/>
  <c r="G125" i="13"/>
  <c r="J124" i="13"/>
  <c r="D44" i="13" l="1"/>
  <c r="H43" i="13"/>
  <c r="G43" i="13"/>
  <c r="I43" i="44"/>
  <c r="B44" i="44"/>
  <c r="E44" i="44"/>
  <c r="F44" i="44" s="1"/>
  <c r="H44" i="44" s="1"/>
  <c r="I43" i="38"/>
  <c r="I49" i="23"/>
  <c r="I51" i="4"/>
  <c r="I54" i="7"/>
  <c r="I48" i="24"/>
  <c r="B48" i="27"/>
  <c r="I47" i="27"/>
  <c r="I52" i="6"/>
  <c r="I46" i="31"/>
  <c r="I46" i="29"/>
  <c r="E48" i="27"/>
  <c r="F48" i="27" s="1"/>
  <c r="B53" i="6"/>
  <c r="F53" i="6"/>
  <c r="F52" i="5"/>
  <c r="B52" i="5"/>
  <c r="I52" i="8"/>
  <c r="B43" i="42"/>
  <c r="F43" i="42"/>
  <c r="G43" i="42" s="1"/>
  <c r="F56" i="10"/>
  <c r="B56" i="10"/>
  <c r="F52" i="4"/>
  <c r="B52" i="4"/>
  <c r="I42" i="41"/>
  <c r="H54" i="9"/>
  <c r="D55" i="9"/>
  <c r="E55" i="9"/>
  <c r="G54" i="9"/>
  <c r="F44" i="38"/>
  <c r="G44" i="38" s="1"/>
  <c r="B44" i="38"/>
  <c r="B53" i="8"/>
  <c r="F53" i="8"/>
  <c r="F51" i="22"/>
  <c r="B51" i="22"/>
  <c r="F47" i="31"/>
  <c r="B47" i="31"/>
  <c r="I55" i="10"/>
  <c r="F47" i="28"/>
  <c r="B47" i="28"/>
  <c r="B44" i="45"/>
  <c r="D44" i="46"/>
  <c r="E44" i="46" s="1"/>
  <c r="F51" i="25"/>
  <c r="B51" i="25"/>
  <c r="B44" i="39"/>
  <c r="F44" i="39"/>
  <c r="G44" i="39" s="1"/>
  <c r="F52" i="3"/>
  <c r="B52" i="3"/>
  <c r="B54" i="11"/>
  <c r="F54" i="11"/>
  <c r="F46" i="30"/>
  <c r="B46" i="30"/>
  <c r="F43" i="41"/>
  <c r="G43" i="41" s="1"/>
  <c r="B43" i="41"/>
  <c r="F49" i="24"/>
  <c r="B49" i="24"/>
  <c r="F50" i="23"/>
  <c r="B50" i="23"/>
  <c r="B45" i="37"/>
  <c r="F45" i="37"/>
  <c r="H45" i="37" s="1"/>
  <c r="I50" i="22"/>
  <c r="I46" i="28"/>
  <c r="B42" i="43"/>
  <c r="F42" i="43"/>
  <c r="G42" i="43" s="1"/>
  <c r="E44" i="45"/>
  <c r="F44" i="45" s="1"/>
  <c r="F47" i="29"/>
  <c r="B47" i="29"/>
  <c r="G43" i="46"/>
  <c r="I43" i="46" s="1"/>
  <c r="I50" i="25"/>
  <c r="F43" i="40"/>
  <c r="G43" i="40" s="1"/>
  <c r="B43" i="40"/>
  <c r="I51" i="3"/>
  <c r="I53" i="11"/>
  <c r="I45" i="30"/>
  <c r="B55" i="7"/>
  <c r="F55" i="7"/>
  <c r="I125" i="13"/>
  <c r="H125" i="13"/>
  <c r="B126" i="13"/>
  <c r="E126" i="13"/>
  <c r="F126" i="13" s="1"/>
  <c r="I43" i="13" l="1"/>
  <c r="E44" i="13"/>
  <c r="F44" i="13" s="1"/>
  <c r="B44" i="13"/>
  <c r="G44" i="44"/>
  <c r="I44" i="44" s="1"/>
  <c r="D45" i="44"/>
  <c r="I54" i="9"/>
  <c r="H43" i="41"/>
  <c r="I43" i="41" s="1"/>
  <c r="H43" i="42"/>
  <c r="I43" i="42" s="1"/>
  <c r="G48" i="27"/>
  <c r="D49" i="27"/>
  <c r="E49" i="27"/>
  <c r="H48" i="27"/>
  <c r="H44" i="38"/>
  <c r="I44" i="38" s="1"/>
  <c r="H44" i="39"/>
  <c r="I44" i="39" s="1"/>
  <c r="D45" i="45"/>
  <c r="E45" i="45" s="1"/>
  <c r="H44" i="45"/>
  <c r="G44" i="45"/>
  <c r="G51" i="22"/>
  <c r="D52" i="22"/>
  <c r="E52" i="22" s="1"/>
  <c r="H51" i="22"/>
  <c r="D44" i="40"/>
  <c r="E44" i="40"/>
  <c r="D43" i="43"/>
  <c r="E43" i="43" s="1"/>
  <c r="D46" i="37"/>
  <c r="E46" i="37"/>
  <c r="H50" i="23"/>
  <c r="G50" i="23"/>
  <c r="D51" i="23"/>
  <c r="E51" i="23"/>
  <c r="D47" i="30"/>
  <c r="E47" i="30" s="1"/>
  <c r="H46" i="30"/>
  <c r="G46" i="30"/>
  <c r="G52" i="3"/>
  <c r="D53" i="3"/>
  <c r="H52" i="3"/>
  <c r="E53" i="3"/>
  <c r="B44" i="46"/>
  <c r="F44" i="46"/>
  <c r="G44" i="46" s="1"/>
  <c r="G53" i="8"/>
  <c r="H53" i="8"/>
  <c r="D54" i="8"/>
  <c r="E54" i="8"/>
  <c r="D45" i="38"/>
  <c r="E45" i="38" s="1"/>
  <c r="H56" i="10"/>
  <c r="D57" i="10"/>
  <c r="E57" i="10" s="1"/>
  <c r="G56" i="10"/>
  <c r="H53" i="6"/>
  <c r="D54" i="6"/>
  <c r="E54" i="6" s="1"/>
  <c r="G53" i="6"/>
  <c r="G54" i="11"/>
  <c r="H54" i="11"/>
  <c r="D55" i="11"/>
  <c r="E55" i="11"/>
  <c r="D45" i="39"/>
  <c r="E45" i="39" s="1"/>
  <c r="D48" i="31"/>
  <c r="E48" i="31" s="1"/>
  <c r="G47" i="31"/>
  <c r="H47" i="31"/>
  <c r="H52" i="5"/>
  <c r="D53" i="5"/>
  <c r="E53" i="5" s="1"/>
  <c r="G52" i="5"/>
  <c r="H55" i="7"/>
  <c r="G55" i="7"/>
  <c r="D56" i="7"/>
  <c r="E56" i="7"/>
  <c r="H43" i="40"/>
  <c r="I43" i="40" s="1"/>
  <c r="D48" i="29"/>
  <c r="E48" i="29" s="1"/>
  <c r="H47" i="29"/>
  <c r="G47" i="29"/>
  <c r="H42" i="43"/>
  <c r="I42" i="43" s="1"/>
  <c r="G45" i="37"/>
  <c r="I45" i="37" s="1"/>
  <c r="H49" i="24"/>
  <c r="D50" i="24"/>
  <c r="E50" i="24" s="1"/>
  <c r="G49" i="24"/>
  <c r="D44" i="41"/>
  <c r="E44" i="41"/>
  <c r="G51" i="25"/>
  <c r="H51" i="25"/>
  <c r="D52" i="25"/>
  <c r="E52" i="25"/>
  <c r="G47" i="28"/>
  <c r="H47" i="28"/>
  <c r="D48" i="28"/>
  <c r="E48" i="28"/>
  <c r="F55" i="9"/>
  <c r="B55" i="9"/>
  <c r="H52" i="4"/>
  <c r="D53" i="4"/>
  <c r="E53" i="4" s="1"/>
  <c r="G52" i="4"/>
  <c r="D44" i="42"/>
  <c r="E44" i="42"/>
  <c r="J125" i="13"/>
  <c r="D127" i="13"/>
  <c r="G126" i="13"/>
  <c r="G44" i="13" l="1"/>
  <c r="D45" i="13"/>
  <c r="H44" i="13"/>
  <c r="I44" i="13" s="1"/>
  <c r="E45" i="44"/>
  <c r="F45" i="44" s="1"/>
  <c r="H45" i="44" s="1"/>
  <c r="B45" i="44"/>
  <c r="I50" i="23"/>
  <c r="I51" i="22"/>
  <c r="I48" i="27"/>
  <c r="I47" i="28"/>
  <c r="I51" i="25"/>
  <c r="I52" i="4"/>
  <c r="H44" i="46"/>
  <c r="I44" i="46" s="1"/>
  <c r="F49" i="27"/>
  <c r="B49" i="27"/>
  <c r="I47" i="29"/>
  <c r="I54" i="11"/>
  <c r="I46" i="30"/>
  <c r="B44" i="41"/>
  <c r="F44" i="41"/>
  <c r="G44" i="41" s="1"/>
  <c r="B45" i="38"/>
  <c r="F45" i="38"/>
  <c r="G45" i="38" s="1"/>
  <c r="H55" i="9"/>
  <c r="G55" i="9"/>
  <c r="D56" i="9"/>
  <c r="E56" i="9" s="1"/>
  <c r="B50" i="24"/>
  <c r="F50" i="24"/>
  <c r="B48" i="29"/>
  <c r="F48" i="29"/>
  <c r="B53" i="5"/>
  <c r="F53" i="5"/>
  <c r="I47" i="31"/>
  <c r="B45" i="39"/>
  <c r="F45" i="39"/>
  <c r="H45" i="39" s="1"/>
  <c r="F54" i="6"/>
  <c r="B54" i="6"/>
  <c r="I56" i="10"/>
  <c r="D45" i="46"/>
  <c r="E45" i="46" s="1"/>
  <c r="F52" i="22"/>
  <c r="B52" i="22"/>
  <c r="I44" i="45"/>
  <c r="F48" i="28"/>
  <c r="B48" i="28"/>
  <c r="B57" i="10"/>
  <c r="F57" i="10"/>
  <c r="F47" i="30"/>
  <c r="B47" i="30"/>
  <c r="B43" i="43"/>
  <c r="F43" i="43"/>
  <c r="G43" i="43" s="1"/>
  <c r="B53" i="4"/>
  <c r="F53" i="4"/>
  <c r="I49" i="24"/>
  <c r="I55" i="7"/>
  <c r="I53" i="6"/>
  <c r="B54" i="8"/>
  <c r="F54" i="8"/>
  <c r="I52" i="3"/>
  <c r="F51" i="23"/>
  <c r="B51" i="23"/>
  <c r="B46" i="37"/>
  <c r="F46" i="37"/>
  <c r="G46" i="37" s="1"/>
  <c r="B44" i="40"/>
  <c r="F44" i="40"/>
  <c r="H44" i="40" s="1"/>
  <c r="F52" i="25"/>
  <c r="B52" i="25"/>
  <c r="F56" i="7"/>
  <c r="B56" i="7"/>
  <c r="F44" i="42"/>
  <c r="H44" i="42" s="1"/>
  <c r="B44" i="42"/>
  <c r="F48" i="31"/>
  <c r="B48" i="31"/>
  <c r="F55" i="11"/>
  <c r="B55" i="11"/>
  <c r="I53" i="8"/>
  <c r="F53" i="3"/>
  <c r="B53" i="3"/>
  <c r="F45" i="45"/>
  <c r="H45" i="45" s="1"/>
  <c r="B45" i="45"/>
  <c r="B127" i="13"/>
  <c r="H126" i="13"/>
  <c r="I126" i="13"/>
  <c r="E127" i="13"/>
  <c r="F127" i="13" s="1"/>
  <c r="E45" i="13" l="1"/>
  <c r="F45" i="13" s="1"/>
  <c r="B45" i="13"/>
  <c r="G45" i="39"/>
  <c r="G44" i="42"/>
  <c r="I44" i="42" s="1"/>
  <c r="G45" i="44"/>
  <c r="I45" i="44" s="1"/>
  <c r="D46" i="44"/>
  <c r="H46" i="37"/>
  <c r="G45" i="45"/>
  <c r="I45" i="45" s="1"/>
  <c r="H43" i="43"/>
  <c r="I43" i="43" s="1"/>
  <c r="G49" i="27"/>
  <c r="H49" i="27"/>
  <c r="D50" i="27"/>
  <c r="I55" i="9"/>
  <c r="G47" i="30"/>
  <c r="H47" i="30"/>
  <c r="D48" i="30"/>
  <c r="E48" i="30" s="1"/>
  <c r="D49" i="28"/>
  <c r="E49" i="28" s="1"/>
  <c r="G48" i="28"/>
  <c r="H48" i="28"/>
  <c r="D55" i="6"/>
  <c r="E55" i="6" s="1"/>
  <c r="G54" i="6"/>
  <c r="H54" i="6"/>
  <c r="D56" i="11"/>
  <c r="E56" i="11" s="1"/>
  <c r="G55" i="11"/>
  <c r="H55" i="11"/>
  <c r="D57" i="7"/>
  <c r="E57" i="7" s="1"/>
  <c r="G56" i="7"/>
  <c r="H56" i="7"/>
  <c r="D45" i="40"/>
  <c r="E45" i="40"/>
  <c r="I46" i="37"/>
  <c r="G51" i="23"/>
  <c r="H51" i="23"/>
  <c r="D52" i="23"/>
  <c r="E52" i="23" s="1"/>
  <c r="D54" i="4"/>
  <c r="E54" i="4" s="1"/>
  <c r="G53" i="4"/>
  <c r="H53" i="4"/>
  <c r="G57" i="10"/>
  <c r="D58" i="10"/>
  <c r="E58" i="10" s="1"/>
  <c r="H57" i="10"/>
  <c r="D46" i="38"/>
  <c r="E46" i="38"/>
  <c r="D45" i="41"/>
  <c r="E45" i="41"/>
  <c r="H54" i="8"/>
  <c r="D55" i="8"/>
  <c r="G54" i="8"/>
  <c r="E55" i="8"/>
  <c r="F56" i="9"/>
  <c r="B56" i="9"/>
  <c r="G53" i="3"/>
  <c r="D54" i="3"/>
  <c r="H53" i="3"/>
  <c r="E54" i="3"/>
  <c r="D45" i="42"/>
  <c r="E45" i="42" s="1"/>
  <c r="G44" i="40"/>
  <c r="I44" i="40" s="1"/>
  <c r="D47" i="37"/>
  <c r="E47" i="37" s="1"/>
  <c r="D46" i="39"/>
  <c r="E46" i="39"/>
  <c r="D54" i="5"/>
  <c r="E54" i="5" s="1"/>
  <c r="G53" i="5"/>
  <c r="H53" i="5"/>
  <c r="G50" i="24"/>
  <c r="D51" i="24"/>
  <c r="E51" i="24" s="1"/>
  <c r="H50" i="24"/>
  <c r="H44" i="41"/>
  <c r="I44" i="41" s="1"/>
  <c r="B45" i="46"/>
  <c r="F45" i="46"/>
  <c r="H48" i="29"/>
  <c r="G48" i="29"/>
  <c r="D49" i="29"/>
  <c r="E49" i="29" s="1"/>
  <c r="D46" i="45"/>
  <c r="D49" i="31"/>
  <c r="E49" i="31" s="1"/>
  <c r="H48" i="31"/>
  <c r="G48" i="31"/>
  <c r="H52" i="25"/>
  <c r="D53" i="25"/>
  <c r="E53" i="25" s="1"/>
  <c r="G52" i="25"/>
  <c r="D44" i="43"/>
  <c r="E44" i="43" s="1"/>
  <c r="H52" i="22"/>
  <c r="G52" i="22"/>
  <c r="D53" i="22"/>
  <c r="E53" i="22" s="1"/>
  <c r="I45" i="39"/>
  <c r="H45" i="38"/>
  <c r="I45" i="38" s="1"/>
  <c r="J126" i="13"/>
  <c r="G127" i="13"/>
  <c r="D128" i="13"/>
  <c r="E128" i="13" s="1"/>
  <c r="D46" i="13" l="1"/>
  <c r="G45" i="13"/>
  <c r="H45" i="13"/>
  <c r="E46" i="44"/>
  <c r="F46" i="44" s="1"/>
  <c r="B46" i="44"/>
  <c r="I47" i="30"/>
  <c r="I48" i="31"/>
  <c r="I52" i="25"/>
  <c r="I51" i="23"/>
  <c r="B50" i="27"/>
  <c r="I53" i="3"/>
  <c r="I49" i="27"/>
  <c r="I50" i="24"/>
  <c r="I54" i="8"/>
  <c r="E50" i="27"/>
  <c r="F50" i="27" s="1"/>
  <c r="F49" i="31"/>
  <c r="B49" i="31"/>
  <c r="D46" i="46"/>
  <c r="D57" i="9"/>
  <c r="E57" i="9" s="1"/>
  <c r="H56" i="9"/>
  <c r="G56" i="9"/>
  <c r="F55" i="8"/>
  <c r="B55" i="8"/>
  <c r="F45" i="41"/>
  <c r="B45" i="41"/>
  <c r="F54" i="4"/>
  <c r="B54" i="4"/>
  <c r="F45" i="40"/>
  <c r="G45" i="40" s="1"/>
  <c r="B45" i="40"/>
  <c r="B57" i="7"/>
  <c r="F57" i="7"/>
  <c r="B49" i="29"/>
  <c r="F49" i="29"/>
  <c r="I52" i="22"/>
  <c r="B46" i="45"/>
  <c r="G45" i="46"/>
  <c r="F46" i="39"/>
  <c r="B46" i="39"/>
  <c r="B54" i="3"/>
  <c r="F54" i="3"/>
  <c r="I57" i="10"/>
  <c r="F56" i="11"/>
  <c r="B56" i="11"/>
  <c r="B55" i="6"/>
  <c r="F55" i="6"/>
  <c r="B49" i="28"/>
  <c r="F49" i="28"/>
  <c r="E46" i="45"/>
  <c r="F46" i="45" s="1"/>
  <c r="I48" i="29"/>
  <c r="B51" i="24"/>
  <c r="F51" i="24"/>
  <c r="B47" i="37"/>
  <c r="F47" i="37"/>
  <c r="H47" i="37" s="1"/>
  <c r="F45" i="42"/>
  <c r="G45" i="42" s="1"/>
  <c r="B45" i="42"/>
  <c r="F46" i="38"/>
  <c r="H46" i="38" s="1"/>
  <c r="B46" i="38"/>
  <c r="I53" i="4"/>
  <c r="I56" i="7"/>
  <c r="B53" i="22"/>
  <c r="F53" i="22"/>
  <c r="F44" i="43"/>
  <c r="B44" i="43"/>
  <c r="B53" i="25"/>
  <c r="F53" i="25"/>
  <c r="H45" i="46"/>
  <c r="F54" i="5"/>
  <c r="B54" i="5"/>
  <c r="B58" i="10"/>
  <c r="F58" i="10"/>
  <c r="B52" i="23"/>
  <c r="F52" i="23"/>
  <c r="I55" i="11"/>
  <c r="I54" i="6"/>
  <c r="I48" i="28"/>
  <c r="B48" i="30"/>
  <c r="F48" i="30"/>
  <c r="F128" i="13"/>
  <c r="B128" i="13"/>
  <c r="H127" i="13"/>
  <c r="I127" i="13"/>
  <c r="I45" i="13" l="1"/>
  <c r="E46" i="13"/>
  <c r="F46" i="13"/>
  <c r="B46" i="13"/>
  <c r="H46" i="44"/>
  <c r="D47" i="44"/>
  <c r="G46" i="44"/>
  <c r="G47" i="37"/>
  <c r="I47" i="37" s="1"/>
  <c r="I45" i="46"/>
  <c r="H50" i="27"/>
  <c r="G50" i="27"/>
  <c r="D51" i="27"/>
  <c r="D47" i="45"/>
  <c r="E47" i="45" s="1"/>
  <c r="H46" i="45"/>
  <c r="G46" i="45"/>
  <c r="D49" i="30"/>
  <c r="G48" i="30"/>
  <c r="H48" i="30"/>
  <c r="E49" i="30"/>
  <c r="D54" i="25"/>
  <c r="G53" i="25"/>
  <c r="H53" i="25"/>
  <c r="E54" i="25"/>
  <c r="D45" i="43"/>
  <c r="E45" i="43"/>
  <c r="D50" i="28"/>
  <c r="E50" i="28" s="1"/>
  <c r="G49" i="28"/>
  <c r="H49" i="28"/>
  <c r="H54" i="3"/>
  <c r="D55" i="3"/>
  <c r="E55" i="3" s="1"/>
  <c r="G54" i="3"/>
  <c r="D47" i="39"/>
  <c r="E47" i="39"/>
  <c r="H49" i="29"/>
  <c r="D50" i="29"/>
  <c r="G49" i="29"/>
  <c r="E50" i="29"/>
  <c r="D46" i="41"/>
  <c r="E46" i="41"/>
  <c r="B46" i="46"/>
  <c r="G52" i="23"/>
  <c r="D53" i="23"/>
  <c r="H52" i="23"/>
  <c r="E53" i="23"/>
  <c r="H44" i="43"/>
  <c r="D47" i="38"/>
  <c r="E47" i="38"/>
  <c r="D46" i="42"/>
  <c r="E46" i="42"/>
  <c r="D57" i="11"/>
  <c r="G56" i="11"/>
  <c r="H56" i="11"/>
  <c r="E57" i="11"/>
  <c r="H46" i="39"/>
  <c r="G54" i="4"/>
  <c r="D55" i="4"/>
  <c r="E55" i="4" s="1"/>
  <c r="H54" i="4"/>
  <c r="G45" i="41"/>
  <c r="E46" i="46"/>
  <c r="F46" i="46" s="1"/>
  <c r="D55" i="5"/>
  <c r="E55" i="5" s="1"/>
  <c r="G54" i="5"/>
  <c r="H54" i="5"/>
  <c r="G44" i="43"/>
  <c r="H53" i="22"/>
  <c r="G53" i="22"/>
  <c r="D54" i="22"/>
  <c r="E54" i="22"/>
  <c r="H45" i="42"/>
  <c r="I45" i="42" s="1"/>
  <c r="G51" i="24"/>
  <c r="D52" i="24"/>
  <c r="E52" i="24" s="1"/>
  <c r="H51" i="24"/>
  <c r="G55" i="6"/>
  <c r="H55" i="6"/>
  <c r="D56" i="6"/>
  <c r="E56" i="6" s="1"/>
  <c r="G46" i="39"/>
  <c r="G57" i="7"/>
  <c r="D58" i="7"/>
  <c r="E58" i="7" s="1"/>
  <c r="H57" i="7"/>
  <c r="D46" i="40"/>
  <c r="E46" i="40"/>
  <c r="H45" i="41"/>
  <c r="I56" i="9"/>
  <c r="G58" i="10"/>
  <c r="H58" i="10"/>
  <c r="D59" i="10"/>
  <c r="E59" i="10" s="1"/>
  <c r="G46" i="38"/>
  <c r="I46" i="38" s="1"/>
  <c r="D48" i="37"/>
  <c r="E48" i="37" s="1"/>
  <c r="H45" i="40"/>
  <c r="I45" i="40" s="1"/>
  <c r="H55" i="8"/>
  <c r="G55" i="8"/>
  <c r="D56" i="8"/>
  <c r="E56" i="8"/>
  <c r="F57" i="9"/>
  <c r="B57" i="9"/>
  <c r="H49" i="31"/>
  <c r="G49" i="31"/>
  <c r="D50" i="31"/>
  <c r="E50" i="31" s="1"/>
  <c r="J127" i="13"/>
  <c r="G128" i="13"/>
  <c r="D129" i="13"/>
  <c r="E129" i="13" s="1"/>
  <c r="G46" i="13" l="1"/>
  <c r="D47" i="13"/>
  <c r="H46" i="13"/>
  <c r="I46" i="13" s="1"/>
  <c r="I53" i="25"/>
  <c r="I48" i="30"/>
  <c r="E47" i="44"/>
  <c r="F47" i="44" s="1"/>
  <c r="B47" i="44"/>
  <c r="I46" i="44"/>
  <c r="I55" i="8"/>
  <c r="B51" i="27"/>
  <c r="E51" i="27"/>
  <c r="F51" i="27" s="1"/>
  <c r="I49" i="31"/>
  <c r="I52" i="23"/>
  <c r="I45" i="41"/>
  <c r="I57" i="7"/>
  <c r="I53" i="22"/>
  <c r="I49" i="29"/>
  <c r="I49" i="28"/>
  <c r="I50" i="27"/>
  <c r="D47" i="46"/>
  <c r="E47" i="46" s="1"/>
  <c r="H46" i="46"/>
  <c r="G46" i="46"/>
  <c r="F50" i="31"/>
  <c r="B50" i="31"/>
  <c r="I58" i="10"/>
  <c r="F46" i="41"/>
  <c r="G46" i="41" s="1"/>
  <c r="B46" i="41"/>
  <c r="F45" i="43"/>
  <c r="G45" i="43" s="1"/>
  <c r="B45" i="43"/>
  <c r="F54" i="25"/>
  <c r="B54" i="25"/>
  <c r="F49" i="30"/>
  <c r="B49" i="30"/>
  <c r="B56" i="8"/>
  <c r="F56" i="8"/>
  <c r="I46" i="39"/>
  <c r="B57" i="11"/>
  <c r="F57" i="11"/>
  <c r="B47" i="38"/>
  <c r="F47" i="38"/>
  <c r="B53" i="23"/>
  <c r="F53" i="23"/>
  <c r="B55" i="3"/>
  <c r="F55" i="3"/>
  <c r="F47" i="45"/>
  <c r="H47" i="45" s="1"/>
  <c r="B47" i="45"/>
  <c r="F59" i="10"/>
  <c r="B59" i="10"/>
  <c r="B58" i="7"/>
  <c r="F58" i="7"/>
  <c r="F56" i="6"/>
  <c r="B56" i="6"/>
  <c r="I51" i="24"/>
  <c r="F55" i="5"/>
  <c r="B55" i="5"/>
  <c r="I54" i="4"/>
  <c r="I44" i="43"/>
  <c r="F47" i="39"/>
  <c r="H47" i="39" s="1"/>
  <c r="B47" i="39"/>
  <c r="I54" i="3"/>
  <c r="F50" i="28"/>
  <c r="B50" i="28"/>
  <c r="G57" i="9"/>
  <c r="H57" i="9"/>
  <c r="D58" i="9"/>
  <c r="E58" i="9" s="1"/>
  <c r="F48" i="37"/>
  <c r="G48" i="37" s="1"/>
  <c r="B48" i="37"/>
  <c r="B46" i="40"/>
  <c r="F46" i="40"/>
  <c r="I55" i="6"/>
  <c r="B52" i="24"/>
  <c r="F52" i="24"/>
  <c r="B54" i="22"/>
  <c r="F54" i="22"/>
  <c r="B55" i="4"/>
  <c r="F55" i="4"/>
  <c r="I56" i="11"/>
  <c r="B46" i="42"/>
  <c r="F46" i="42"/>
  <c r="H46" i="42" s="1"/>
  <c r="F50" i="29"/>
  <c r="B50" i="29"/>
  <c r="I46" i="45"/>
  <c r="F129" i="13"/>
  <c r="B129" i="13"/>
  <c r="H128" i="13"/>
  <c r="I128" i="13"/>
  <c r="E47" i="13" l="1"/>
  <c r="F47" i="13" s="1"/>
  <c r="H47" i="13" s="1"/>
  <c r="B47" i="13"/>
  <c r="H47" i="44"/>
  <c r="G47" i="44"/>
  <c r="D48" i="44"/>
  <c r="D52" i="27"/>
  <c r="G51" i="27"/>
  <c r="E52" i="27"/>
  <c r="H51" i="27"/>
  <c r="H46" i="41"/>
  <c r="I46" i="41" s="1"/>
  <c r="H55" i="4"/>
  <c r="G55" i="4"/>
  <c r="D56" i="4"/>
  <c r="E56" i="4" s="1"/>
  <c r="H52" i="24"/>
  <c r="G52" i="24"/>
  <c r="D53" i="24"/>
  <c r="E53" i="24" s="1"/>
  <c r="D47" i="40"/>
  <c r="E47" i="40"/>
  <c r="D48" i="38"/>
  <c r="E48" i="38" s="1"/>
  <c r="D47" i="42"/>
  <c r="E47" i="42"/>
  <c r="G46" i="40"/>
  <c r="D48" i="45"/>
  <c r="E48" i="45" s="1"/>
  <c r="D54" i="23"/>
  <c r="E54" i="23" s="1"/>
  <c r="G53" i="23"/>
  <c r="H53" i="23"/>
  <c r="H47" i="38"/>
  <c r="D50" i="30"/>
  <c r="E50" i="30" s="1"/>
  <c r="G49" i="30"/>
  <c r="H49" i="30"/>
  <c r="I46" i="46"/>
  <c r="G50" i="29"/>
  <c r="H50" i="29"/>
  <c r="D51" i="29"/>
  <c r="E51" i="29"/>
  <c r="G54" i="22"/>
  <c r="H54" i="22"/>
  <c r="D55" i="22"/>
  <c r="E55" i="22"/>
  <c r="D49" i="37"/>
  <c r="E49" i="37"/>
  <c r="F58" i="9"/>
  <c r="B58" i="9"/>
  <c r="G50" i="28"/>
  <c r="D51" i="28"/>
  <c r="H50" i="28"/>
  <c r="E51" i="28"/>
  <c r="D48" i="39"/>
  <c r="E48" i="39"/>
  <c r="H56" i="6"/>
  <c r="G56" i="6"/>
  <c r="D57" i="6"/>
  <c r="E57" i="6"/>
  <c r="D60" i="10"/>
  <c r="E60" i="10" s="1"/>
  <c r="G59" i="10"/>
  <c r="H59" i="10"/>
  <c r="G47" i="45"/>
  <c r="I47" i="45" s="1"/>
  <c r="D57" i="8"/>
  <c r="E57" i="8" s="1"/>
  <c r="G56" i="8"/>
  <c r="H56" i="8"/>
  <c r="D46" i="43"/>
  <c r="E46" i="43" s="1"/>
  <c r="G46" i="42"/>
  <c r="I46" i="42" s="1"/>
  <c r="H46" i="40"/>
  <c r="H48" i="37"/>
  <c r="I48" i="37" s="1"/>
  <c r="I57" i="9"/>
  <c r="G47" i="39"/>
  <c r="I47" i="39" s="1"/>
  <c r="D56" i="5"/>
  <c r="E56" i="5" s="1"/>
  <c r="G55" i="5"/>
  <c r="H55" i="5"/>
  <c r="D59" i="7"/>
  <c r="E59" i="7" s="1"/>
  <c r="G58" i="7"/>
  <c r="H58" i="7"/>
  <c r="G55" i="3"/>
  <c r="H55" i="3"/>
  <c r="D56" i="3"/>
  <c r="E56" i="3" s="1"/>
  <c r="G47" i="38"/>
  <c r="D58" i="11"/>
  <c r="E58" i="11" s="1"/>
  <c r="G57" i="11"/>
  <c r="H57" i="11"/>
  <c r="H54" i="25"/>
  <c r="D55" i="25"/>
  <c r="G54" i="25"/>
  <c r="E55" i="25"/>
  <c r="H45" i="43"/>
  <c r="I45" i="43" s="1"/>
  <c r="D47" i="41"/>
  <c r="E47" i="41" s="1"/>
  <c r="D51" i="31"/>
  <c r="E51" i="31" s="1"/>
  <c r="G50" i="31"/>
  <c r="H50" i="31"/>
  <c r="F47" i="46"/>
  <c r="H47" i="46" s="1"/>
  <c r="B47" i="46"/>
  <c r="J128" i="13"/>
  <c r="G129" i="13"/>
  <c r="D130" i="13"/>
  <c r="E130" i="13" s="1"/>
  <c r="G47" i="13" l="1"/>
  <c r="I47" i="13" s="1"/>
  <c r="D48" i="13"/>
  <c r="I47" i="44"/>
  <c r="E48" i="44"/>
  <c r="F48" i="44" s="1"/>
  <c r="B48" i="44"/>
  <c r="I49" i="30"/>
  <c r="I51" i="27"/>
  <c r="I54" i="22"/>
  <c r="I50" i="29"/>
  <c r="I59" i="10"/>
  <c r="I50" i="31"/>
  <c r="I58" i="7"/>
  <c r="I46" i="40"/>
  <c r="B52" i="27"/>
  <c r="F52" i="27"/>
  <c r="G47" i="46"/>
  <c r="I47" i="46" s="1"/>
  <c r="I57" i="11"/>
  <c r="I56" i="8"/>
  <c r="F51" i="28"/>
  <c r="B51" i="28"/>
  <c r="F47" i="42"/>
  <c r="G47" i="42" s="1"/>
  <c r="B47" i="42"/>
  <c r="B53" i="24"/>
  <c r="F53" i="24"/>
  <c r="B56" i="4"/>
  <c r="F56" i="4"/>
  <c r="B47" i="41"/>
  <c r="F47" i="41"/>
  <c r="H47" i="41" s="1"/>
  <c r="B55" i="25"/>
  <c r="F55" i="25"/>
  <c r="F56" i="3"/>
  <c r="B56" i="3"/>
  <c r="F57" i="6"/>
  <c r="B57" i="6"/>
  <c r="B48" i="39"/>
  <c r="F48" i="39"/>
  <c r="H48" i="39" s="1"/>
  <c r="F49" i="37"/>
  <c r="H49" i="37" s="1"/>
  <c r="B49" i="37"/>
  <c r="I53" i="23"/>
  <c r="F48" i="45"/>
  <c r="G48" i="45" s="1"/>
  <c r="B48" i="45"/>
  <c r="I54" i="25"/>
  <c r="F58" i="11"/>
  <c r="B58" i="11"/>
  <c r="I55" i="3"/>
  <c r="F46" i="43"/>
  <c r="G46" i="43" s="1"/>
  <c r="B46" i="43"/>
  <c r="B57" i="8"/>
  <c r="F57" i="8"/>
  <c r="B50" i="30"/>
  <c r="F50" i="30"/>
  <c r="F48" i="38"/>
  <c r="H48" i="38" s="1"/>
  <c r="B48" i="38"/>
  <c r="F47" i="40"/>
  <c r="G47" i="40" s="1"/>
  <c r="B47" i="40"/>
  <c r="I52" i="24"/>
  <c r="I55" i="4"/>
  <c r="D48" i="46"/>
  <c r="E48" i="46" s="1"/>
  <c r="B51" i="31"/>
  <c r="F51" i="31"/>
  <c r="B59" i="7"/>
  <c r="F59" i="7"/>
  <c r="B56" i="5"/>
  <c r="F56" i="5"/>
  <c r="B60" i="10"/>
  <c r="F60" i="10"/>
  <c r="I56" i="6"/>
  <c r="I50" i="28"/>
  <c r="G58" i="9"/>
  <c r="E59" i="9"/>
  <c r="H58" i="9"/>
  <c r="D59" i="9"/>
  <c r="B55" i="22"/>
  <c r="F55" i="22"/>
  <c r="B51" i="29"/>
  <c r="F51" i="29"/>
  <c r="I47" i="38"/>
  <c r="F54" i="23"/>
  <c r="B54" i="23"/>
  <c r="B130" i="13"/>
  <c r="F130" i="13"/>
  <c r="H129" i="13"/>
  <c r="I129" i="13"/>
  <c r="E48" i="13" l="1"/>
  <c r="F48" i="13" s="1"/>
  <c r="H48" i="13" s="1"/>
  <c r="B48" i="13"/>
  <c r="G48" i="44"/>
  <c r="D49" i="44"/>
  <c r="H48" i="44"/>
  <c r="I58" i="9"/>
  <c r="H47" i="40"/>
  <c r="I47" i="40" s="1"/>
  <c r="G48" i="39"/>
  <c r="I48" i="39" s="1"/>
  <c r="G47" i="41"/>
  <c r="I47" i="41" s="1"/>
  <c r="D53" i="27"/>
  <c r="H52" i="27"/>
  <c r="E53" i="27"/>
  <c r="G52" i="27"/>
  <c r="D47" i="43"/>
  <c r="E47" i="43"/>
  <c r="D50" i="37"/>
  <c r="E50" i="37"/>
  <c r="H55" i="25"/>
  <c r="G55" i="25"/>
  <c r="D56" i="25"/>
  <c r="E56" i="25"/>
  <c r="H53" i="24"/>
  <c r="D54" i="24"/>
  <c r="G53" i="24"/>
  <c r="E54" i="24"/>
  <c r="H54" i="23"/>
  <c r="D55" i="23"/>
  <c r="G54" i="23"/>
  <c r="E55" i="23"/>
  <c r="H60" i="10"/>
  <c r="G60" i="10"/>
  <c r="D61" i="10"/>
  <c r="E61" i="10" s="1"/>
  <c r="H59" i="7"/>
  <c r="D60" i="7"/>
  <c r="G59" i="7"/>
  <c r="E60" i="7"/>
  <c r="G50" i="30"/>
  <c r="H50" i="30"/>
  <c r="D51" i="30"/>
  <c r="E51" i="30"/>
  <c r="D48" i="42"/>
  <c r="E48" i="42"/>
  <c r="G55" i="22"/>
  <c r="H55" i="22"/>
  <c r="D56" i="22"/>
  <c r="E56" i="22"/>
  <c r="F48" i="46"/>
  <c r="B48" i="46"/>
  <c r="D49" i="38"/>
  <c r="E49" i="38" s="1"/>
  <c r="D49" i="45"/>
  <c r="D49" i="39"/>
  <c r="E49" i="39"/>
  <c r="G56" i="4"/>
  <c r="H56" i="4"/>
  <c r="D57" i="4"/>
  <c r="E57" i="4"/>
  <c r="H51" i="29"/>
  <c r="D52" i="29"/>
  <c r="G51" i="29"/>
  <c r="E52" i="29"/>
  <c r="F59" i="9"/>
  <c r="B59" i="9"/>
  <c r="H56" i="5"/>
  <c r="D57" i="5"/>
  <c r="G56" i="5"/>
  <c r="E57" i="5"/>
  <c r="H51" i="31"/>
  <c r="D52" i="31"/>
  <c r="G51" i="31"/>
  <c r="E52" i="31"/>
  <c r="D48" i="40"/>
  <c r="E48" i="40" s="1"/>
  <c r="G48" i="38"/>
  <c r="I48" i="38" s="1"/>
  <c r="G57" i="8"/>
  <c r="D58" i="8"/>
  <c r="E58" i="8" s="1"/>
  <c r="H57" i="8"/>
  <c r="H46" i="43"/>
  <c r="I46" i="43" s="1"/>
  <c r="G58" i="11"/>
  <c r="H58" i="11"/>
  <c r="D59" i="11"/>
  <c r="E59" i="11"/>
  <c r="H48" i="45"/>
  <c r="I48" i="45" s="1"/>
  <c r="G49" i="37"/>
  <c r="I49" i="37" s="1"/>
  <c r="H57" i="6"/>
  <c r="D58" i="6"/>
  <c r="E58" i="6" s="1"/>
  <c r="G57" i="6"/>
  <c r="H56" i="3"/>
  <c r="G56" i="3"/>
  <c r="D57" i="3"/>
  <c r="E57" i="3" s="1"/>
  <c r="D48" i="41"/>
  <c r="E48" i="41"/>
  <c r="H47" i="42"/>
  <c r="I47" i="42" s="1"/>
  <c r="H51" i="28"/>
  <c r="D52" i="28"/>
  <c r="G51" i="28"/>
  <c r="E52" i="28"/>
  <c r="J129" i="13"/>
  <c r="G130" i="13"/>
  <c r="D131" i="13"/>
  <c r="G48" i="13" l="1"/>
  <c r="I48" i="13" s="1"/>
  <c r="D49" i="13"/>
  <c r="I48" i="44"/>
  <c r="E49" i="44"/>
  <c r="F49" i="44" s="1"/>
  <c r="B49" i="44"/>
  <c r="I56" i="4"/>
  <c r="I52" i="27"/>
  <c r="I59" i="7"/>
  <c r="F53" i="27"/>
  <c r="B53" i="27"/>
  <c r="I55" i="22"/>
  <c r="I50" i="30"/>
  <c r="F57" i="3"/>
  <c r="B57" i="3"/>
  <c r="F58" i="8"/>
  <c r="B58" i="8"/>
  <c r="F48" i="40"/>
  <c r="G48" i="40" s="1"/>
  <c r="B48" i="40"/>
  <c r="I51" i="31"/>
  <c r="B51" i="30"/>
  <c r="F51" i="30"/>
  <c r="F47" i="43"/>
  <c r="B47" i="43"/>
  <c r="B58" i="6"/>
  <c r="F58" i="6"/>
  <c r="B57" i="4"/>
  <c r="F57" i="4"/>
  <c r="F49" i="39"/>
  <c r="B49" i="39"/>
  <c r="B49" i="38"/>
  <c r="F49" i="38"/>
  <c r="H49" i="38" s="1"/>
  <c r="D49" i="46"/>
  <c r="B56" i="22"/>
  <c r="F56" i="22"/>
  <c r="F48" i="42"/>
  <c r="B48" i="42"/>
  <c r="F60" i="7"/>
  <c r="B60" i="7"/>
  <c r="B61" i="10"/>
  <c r="F61" i="10"/>
  <c r="B56" i="25"/>
  <c r="F56" i="25"/>
  <c r="F52" i="28"/>
  <c r="B52" i="28"/>
  <c r="B48" i="41"/>
  <c r="F48" i="41"/>
  <c r="H48" i="41" s="1"/>
  <c r="I56" i="3"/>
  <c r="I57" i="6"/>
  <c r="B59" i="11"/>
  <c r="F59" i="11"/>
  <c r="F52" i="29"/>
  <c r="B52" i="29"/>
  <c r="B49" i="45"/>
  <c r="G48" i="46"/>
  <c r="B55" i="23"/>
  <c r="F55" i="23"/>
  <c r="F54" i="24"/>
  <c r="B54" i="24"/>
  <c r="F50" i="37"/>
  <c r="H50" i="37" s="1"/>
  <c r="B50" i="37"/>
  <c r="I51" i="28"/>
  <c r="I58" i="11"/>
  <c r="I57" i="8"/>
  <c r="F52" i="31"/>
  <c r="B52" i="31"/>
  <c r="F57" i="5"/>
  <c r="B57" i="5"/>
  <c r="D60" i="9"/>
  <c r="E60" i="9" s="1"/>
  <c r="G59" i="9"/>
  <c r="H59" i="9"/>
  <c r="I51" i="29"/>
  <c r="E49" i="45"/>
  <c r="F49" i="45" s="1"/>
  <c r="H48" i="46"/>
  <c r="I60" i="10"/>
  <c r="I54" i="23"/>
  <c r="I53" i="24"/>
  <c r="I55" i="25"/>
  <c r="H130" i="13"/>
  <c r="I130" i="13"/>
  <c r="B131" i="13"/>
  <c r="E131" i="13"/>
  <c r="F131" i="13" s="1"/>
  <c r="E49" i="13" l="1"/>
  <c r="B49" i="13"/>
  <c r="F49" i="13"/>
  <c r="H49" i="44"/>
  <c r="D50" i="44"/>
  <c r="G49" i="44"/>
  <c r="G49" i="38"/>
  <c r="I49" i="38" s="1"/>
  <c r="H48" i="40"/>
  <c r="I48" i="40" s="1"/>
  <c r="G50" i="37"/>
  <c r="I50" i="37" s="1"/>
  <c r="I59" i="9"/>
  <c r="I48" i="46"/>
  <c r="G53" i="27"/>
  <c r="H53" i="27"/>
  <c r="D54" i="27"/>
  <c r="D50" i="45"/>
  <c r="E50" i="45" s="1"/>
  <c r="H49" i="45"/>
  <c r="G49" i="45"/>
  <c r="F60" i="9"/>
  <c r="B60" i="9"/>
  <c r="D53" i="31"/>
  <c r="E53" i="31" s="1"/>
  <c r="G52" i="31"/>
  <c r="H52" i="31"/>
  <c r="H52" i="29"/>
  <c r="G52" i="29"/>
  <c r="D53" i="29"/>
  <c r="E53" i="29"/>
  <c r="H60" i="7"/>
  <c r="D61" i="7"/>
  <c r="E61" i="7" s="1"/>
  <c r="G60" i="7"/>
  <c r="D49" i="42"/>
  <c r="E49" i="42" s="1"/>
  <c r="B49" i="46"/>
  <c r="D50" i="39"/>
  <c r="E50" i="39"/>
  <c r="D48" i="43"/>
  <c r="E48" i="43"/>
  <c r="G54" i="24"/>
  <c r="D55" i="24"/>
  <c r="H54" i="24"/>
  <c r="E55" i="24"/>
  <c r="H59" i="11"/>
  <c r="D60" i="11"/>
  <c r="E60" i="11" s="1"/>
  <c r="G59" i="11"/>
  <c r="H61" i="10"/>
  <c r="D62" i="10"/>
  <c r="E62" i="10" s="1"/>
  <c r="G61" i="10"/>
  <c r="H56" i="22"/>
  <c r="D57" i="22"/>
  <c r="E57" i="22" s="1"/>
  <c r="G56" i="22"/>
  <c r="H49" i="39"/>
  <c r="G57" i="4"/>
  <c r="H57" i="4"/>
  <c r="D58" i="4"/>
  <c r="E58" i="4"/>
  <c r="H47" i="43"/>
  <c r="G51" i="30"/>
  <c r="D52" i="30"/>
  <c r="H51" i="30"/>
  <c r="E52" i="30"/>
  <c r="D59" i="8"/>
  <c r="E59" i="8" s="1"/>
  <c r="G58" i="8"/>
  <c r="H58" i="8"/>
  <c r="H57" i="5"/>
  <c r="D58" i="5"/>
  <c r="E58" i="5" s="1"/>
  <c r="G57" i="5"/>
  <c r="G55" i="23"/>
  <c r="H55" i="23"/>
  <c r="D56" i="23"/>
  <c r="E56" i="23"/>
  <c r="D49" i="41"/>
  <c r="E49" i="41"/>
  <c r="D53" i="28"/>
  <c r="G52" i="28"/>
  <c r="H52" i="28"/>
  <c r="E53" i="28"/>
  <c r="G48" i="42"/>
  <c r="G49" i="39"/>
  <c r="D51" i="37"/>
  <c r="E51" i="37" s="1"/>
  <c r="G48" i="41"/>
  <c r="I48" i="41" s="1"/>
  <c r="D57" i="25"/>
  <c r="E57" i="25" s="1"/>
  <c r="G56" i="25"/>
  <c r="H56" i="25"/>
  <c r="H48" i="42"/>
  <c r="E49" i="46"/>
  <c r="F49" i="46" s="1"/>
  <c r="D50" i="38"/>
  <c r="E50" i="38"/>
  <c r="D59" i="6"/>
  <c r="E59" i="6" s="1"/>
  <c r="H58" i="6"/>
  <c r="G58" i="6"/>
  <c r="G47" i="43"/>
  <c r="D49" i="40"/>
  <c r="E49" i="40"/>
  <c r="G57" i="3"/>
  <c r="H57" i="3"/>
  <c r="D58" i="3"/>
  <c r="E58" i="3" s="1"/>
  <c r="J130" i="13"/>
  <c r="J155" i="13" s="1"/>
  <c r="G131" i="13"/>
  <c r="D132" i="13"/>
  <c r="G49" i="13" l="1"/>
  <c r="D50" i="13"/>
  <c r="H49" i="13"/>
  <c r="I53" i="27"/>
  <c r="I49" i="44"/>
  <c r="E50" i="44"/>
  <c r="F50" i="44" s="1"/>
  <c r="B50" i="44"/>
  <c r="I57" i="4"/>
  <c r="I48" i="42"/>
  <c r="I61" i="10"/>
  <c r="I52" i="29"/>
  <c r="I57" i="3"/>
  <c r="I56" i="25"/>
  <c r="I58" i="8"/>
  <c r="I55" i="23"/>
  <c r="I60" i="7"/>
  <c r="B54" i="27"/>
  <c r="I49" i="45"/>
  <c r="I51" i="30"/>
  <c r="I56" i="22"/>
  <c r="I59" i="11"/>
  <c r="E54" i="27"/>
  <c r="F54" i="27" s="1"/>
  <c r="D50" i="46"/>
  <c r="E50" i="46" s="1"/>
  <c r="G49" i="46"/>
  <c r="H49" i="46"/>
  <c r="B59" i="6"/>
  <c r="F59" i="6"/>
  <c r="B57" i="25"/>
  <c r="F57" i="25"/>
  <c r="F53" i="28"/>
  <c r="B53" i="28"/>
  <c r="F56" i="23"/>
  <c r="B56" i="23"/>
  <c r="B52" i="30"/>
  <c r="F52" i="30"/>
  <c r="F58" i="4"/>
  <c r="B58" i="4"/>
  <c r="B55" i="24"/>
  <c r="F55" i="24"/>
  <c r="B61" i="7"/>
  <c r="F61" i="7"/>
  <c r="B59" i="8"/>
  <c r="F59" i="8"/>
  <c r="F48" i="43"/>
  <c r="H48" i="43" s="1"/>
  <c r="B48" i="43"/>
  <c r="F49" i="42"/>
  <c r="B49" i="42"/>
  <c r="B53" i="31"/>
  <c r="F53" i="31"/>
  <c r="B50" i="38"/>
  <c r="F50" i="38"/>
  <c r="G50" i="38" s="1"/>
  <c r="F51" i="37"/>
  <c r="H51" i="37" s="1"/>
  <c r="B51" i="37"/>
  <c r="I52" i="28"/>
  <c r="F49" i="41"/>
  <c r="G49" i="41" s="1"/>
  <c r="B49" i="41"/>
  <c r="B58" i="5"/>
  <c r="F58" i="5"/>
  <c r="I47" i="43"/>
  <c r="F57" i="22"/>
  <c r="B57" i="22"/>
  <c r="B62" i="10"/>
  <c r="F62" i="10"/>
  <c r="F58" i="3"/>
  <c r="B58" i="3"/>
  <c r="B49" i="40"/>
  <c r="F49" i="40"/>
  <c r="G49" i="40" s="1"/>
  <c r="I58" i="6"/>
  <c r="I49" i="39"/>
  <c r="F60" i="11"/>
  <c r="B60" i="11"/>
  <c r="I54" i="24"/>
  <c r="F50" i="39"/>
  <c r="H50" i="39" s="1"/>
  <c r="B50" i="39"/>
  <c r="F53" i="29"/>
  <c r="B53" i="29"/>
  <c r="I52" i="31"/>
  <c r="D61" i="9"/>
  <c r="E61" i="9" s="1"/>
  <c r="G60" i="9"/>
  <c r="H60" i="9"/>
  <c r="B50" i="45"/>
  <c r="F50" i="45"/>
  <c r="H50" i="45" s="1"/>
  <c r="B132" i="13"/>
  <c r="I131" i="13"/>
  <c r="H131" i="13"/>
  <c r="E132" i="13"/>
  <c r="F132" i="13" s="1"/>
  <c r="I49" i="13" l="1"/>
  <c r="E50" i="13"/>
  <c r="F50" i="13" s="1"/>
  <c r="B50" i="13"/>
  <c r="H50" i="44"/>
  <c r="D51" i="44"/>
  <c r="G50" i="44"/>
  <c r="I49" i="46"/>
  <c r="G51" i="37"/>
  <c r="I51" i="37" s="1"/>
  <c r="G50" i="45"/>
  <c r="I50" i="45" s="1"/>
  <c r="D55" i="27"/>
  <c r="G54" i="27"/>
  <c r="H54" i="27"/>
  <c r="H49" i="40"/>
  <c r="I49" i="40" s="1"/>
  <c r="H49" i="41"/>
  <c r="I49" i="41" s="1"/>
  <c r="G53" i="29"/>
  <c r="H53" i="29"/>
  <c r="D54" i="29"/>
  <c r="E54" i="29"/>
  <c r="D51" i="39"/>
  <c r="E51" i="39"/>
  <c r="G62" i="10"/>
  <c r="D63" i="10"/>
  <c r="E63" i="10" s="1"/>
  <c r="H62" i="10"/>
  <c r="G53" i="31"/>
  <c r="H53" i="31"/>
  <c r="D54" i="31"/>
  <c r="E54" i="31" s="1"/>
  <c r="D50" i="42"/>
  <c r="E50" i="42"/>
  <c r="G61" i="7"/>
  <c r="H61" i="7"/>
  <c r="D62" i="7"/>
  <c r="E62" i="7" s="1"/>
  <c r="G57" i="25"/>
  <c r="H57" i="25"/>
  <c r="D58" i="25"/>
  <c r="E58" i="25" s="1"/>
  <c r="B61" i="9"/>
  <c r="F61" i="9"/>
  <c r="H58" i="5"/>
  <c r="D59" i="5"/>
  <c r="E59" i="5" s="1"/>
  <c r="G58" i="5"/>
  <c r="D51" i="38"/>
  <c r="E51" i="38" s="1"/>
  <c r="G49" i="42"/>
  <c r="D49" i="43"/>
  <c r="E49" i="43"/>
  <c r="D59" i="4"/>
  <c r="G58" i="4"/>
  <c r="H58" i="4"/>
  <c r="E59" i="4"/>
  <c r="G56" i="23"/>
  <c r="D57" i="23"/>
  <c r="H56" i="23"/>
  <c r="E57" i="23"/>
  <c r="I60" i="9"/>
  <c r="D50" i="40"/>
  <c r="E50" i="40" s="1"/>
  <c r="D50" i="41"/>
  <c r="E50" i="41" s="1"/>
  <c r="H50" i="38"/>
  <c r="I50" i="38" s="1"/>
  <c r="H49" i="42"/>
  <c r="D60" i="8"/>
  <c r="G59" i="8"/>
  <c r="H59" i="8"/>
  <c r="E60" i="8"/>
  <c r="G55" i="24"/>
  <c r="H55" i="24"/>
  <c r="D56" i="24"/>
  <c r="E56" i="24" s="1"/>
  <c r="D53" i="30"/>
  <c r="H52" i="30"/>
  <c r="G52" i="30"/>
  <c r="E53" i="30"/>
  <c r="G59" i="6"/>
  <c r="H59" i="6"/>
  <c r="D60" i="6"/>
  <c r="E60" i="6" s="1"/>
  <c r="D51" i="45"/>
  <c r="E51" i="45" s="1"/>
  <c r="G50" i="39"/>
  <c r="I50" i="39" s="1"/>
  <c r="H60" i="11"/>
  <c r="D61" i="11"/>
  <c r="E61" i="11" s="1"/>
  <c r="G60" i="11"/>
  <c r="H58" i="3"/>
  <c r="D59" i="3"/>
  <c r="G58" i="3"/>
  <c r="E59" i="3"/>
  <c r="H57" i="22"/>
  <c r="D58" i="22"/>
  <c r="E58" i="22" s="1"/>
  <c r="G57" i="22"/>
  <c r="D52" i="37"/>
  <c r="E52" i="37" s="1"/>
  <c r="G48" i="43"/>
  <c r="I48" i="43" s="1"/>
  <c r="H53" i="28"/>
  <c r="D54" i="28"/>
  <c r="E54" i="28" s="1"/>
  <c r="G53" i="28"/>
  <c r="F50" i="46"/>
  <c r="B50" i="46"/>
  <c r="D133" i="13"/>
  <c r="E133" i="13" s="1"/>
  <c r="G132" i="13"/>
  <c r="D51" i="13" l="1"/>
  <c r="H50" i="13"/>
  <c r="G50" i="13"/>
  <c r="I59" i="6"/>
  <c r="I53" i="29"/>
  <c r="E51" i="44"/>
  <c r="F51" i="44" s="1"/>
  <c r="B51" i="44"/>
  <c r="I54" i="27"/>
  <c r="I50" i="44"/>
  <c r="I52" i="30"/>
  <c r="I49" i="42"/>
  <c r="I58" i="4"/>
  <c r="I55" i="24"/>
  <c r="I59" i="8"/>
  <c r="I57" i="25"/>
  <c r="I61" i="7"/>
  <c r="I58" i="3"/>
  <c r="I60" i="11"/>
  <c r="B55" i="27"/>
  <c r="E55" i="27"/>
  <c r="F55" i="27" s="1"/>
  <c r="B60" i="8"/>
  <c r="F60" i="8"/>
  <c r="F50" i="41"/>
  <c r="H50" i="41" s="1"/>
  <c r="B50" i="41"/>
  <c r="B59" i="4"/>
  <c r="F59" i="4"/>
  <c r="F49" i="43"/>
  <c r="H49" i="43" s="1"/>
  <c r="B49" i="43"/>
  <c r="F58" i="25"/>
  <c r="B58" i="25"/>
  <c r="F62" i="7"/>
  <c r="B62" i="7"/>
  <c r="B50" i="42"/>
  <c r="F50" i="42"/>
  <c r="H50" i="42" s="1"/>
  <c r="B54" i="29"/>
  <c r="F54" i="29"/>
  <c r="D51" i="46"/>
  <c r="E51" i="46" s="1"/>
  <c r="F54" i="28"/>
  <c r="B54" i="28"/>
  <c r="F52" i="37"/>
  <c r="G52" i="37" s="1"/>
  <c r="B52" i="37"/>
  <c r="B58" i="22"/>
  <c r="F58" i="22"/>
  <c r="F60" i="6"/>
  <c r="B60" i="6"/>
  <c r="B56" i="24"/>
  <c r="F56" i="24"/>
  <c r="H61" i="9"/>
  <c r="D62" i="9"/>
  <c r="E62" i="9" s="1"/>
  <c r="G61" i="9"/>
  <c r="H50" i="46"/>
  <c r="I53" i="28"/>
  <c r="I57" i="22"/>
  <c r="F50" i="40"/>
  <c r="H50" i="40" s="1"/>
  <c r="B50" i="40"/>
  <c r="I56" i="23"/>
  <c r="F59" i="5"/>
  <c r="B59" i="5"/>
  <c r="B54" i="31"/>
  <c r="F54" i="31"/>
  <c r="I62" i="10"/>
  <c r="B51" i="39"/>
  <c r="F51" i="39"/>
  <c r="G50" i="46"/>
  <c r="F59" i="3"/>
  <c r="B59" i="3"/>
  <c r="F61" i="11"/>
  <c r="B61" i="11"/>
  <c r="F51" i="45"/>
  <c r="G51" i="45" s="1"/>
  <c r="B51" i="45"/>
  <c r="F53" i="30"/>
  <c r="B53" i="30"/>
  <c r="F57" i="23"/>
  <c r="B57" i="23"/>
  <c r="F51" i="38"/>
  <c r="G51" i="38" s="1"/>
  <c r="B51" i="38"/>
  <c r="I53" i="31"/>
  <c r="F63" i="10"/>
  <c r="B63" i="10"/>
  <c r="B133" i="13"/>
  <c r="F133" i="13"/>
  <c r="I132" i="13"/>
  <c r="H132" i="13"/>
  <c r="I50" i="13" l="1"/>
  <c r="E51" i="13"/>
  <c r="B51" i="13"/>
  <c r="F51" i="13"/>
  <c r="H51" i="44"/>
  <c r="G51" i="44"/>
  <c r="D52" i="44"/>
  <c r="H51" i="45"/>
  <c r="I51" i="45" s="1"/>
  <c r="H52" i="37"/>
  <c r="I52" i="37" s="1"/>
  <c r="G50" i="40"/>
  <c r="I50" i="40" s="1"/>
  <c r="H55" i="27"/>
  <c r="D56" i="27"/>
  <c r="E56" i="27" s="1"/>
  <c r="G55" i="27"/>
  <c r="I61" i="9"/>
  <c r="H57" i="23"/>
  <c r="D58" i="23"/>
  <c r="G57" i="23"/>
  <c r="E58" i="23"/>
  <c r="G61" i="11"/>
  <c r="D62" i="11"/>
  <c r="E62" i="11" s="1"/>
  <c r="H61" i="11"/>
  <c r="G59" i="4"/>
  <c r="D60" i="4"/>
  <c r="E60" i="4" s="1"/>
  <c r="H59" i="4"/>
  <c r="H63" i="10"/>
  <c r="G63" i="10"/>
  <c r="D64" i="10"/>
  <c r="E64" i="10" s="1"/>
  <c r="D52" i="39"/>
  <c r="E52" i="39" s="1"/>
  <c r="G59" i="5"/>
  <c r="D60" i="5"/>
  <c r="E60" i="5" s="1"/>
  <c r="H59" i="5"/>
  <c r="I50" i="46"/>
  <c r="H60" i="6"/>
  <c r="D61" i="6"/>
  <c r="G60" i="6"/>
  <c r="E61" i="6"/>
  <c r="G54" i="28"/>
  <c r="D55" i="28"/>
  <c r="E55" i="28" s="1"/>
  <c r="H54" i="28"/>
  <c r="F51" i="46"/>
  <c r="B51" i="46"/>
  <c r="D51" i="42"/>
  <c r="E51" i="42"/>
  <c r="H62" i="7"/>
  <c r="D63" i="7"/>
  <c r="E63" i="7" s="1"/>
  <c r="G62" i="7"/>
  <c r="D51" i="41"/>
  <c r="E51" i="41"/>
  <c r="D52" i="38"/>
  <c r="E52" i="38"/>
  <c r="H51" i="38"/>
  <c r="I51" i="38" s="1"/>
  <c r="H53" i="30"/>
  <c r="G53" i="30"/>
  <c r="D54" i="30"/>
  <c r="E54" i="30"/>
  <c r="D52" i="45"/>
  <c r="E52" i="45" s="1"/>
  <c r="G59" i="3"/>
  <c r="D60" i="3"/>
  <c r="H59" i="3"/>
  <c r="E60" i="3"/>
  <c r="G51" i="39"/>
  <c r="G54" i="31"/>
  <c r="D55" i="31"/>
  <c r="E55" i="31" s="1"/>
  <c r="H54" i="31"/>
  <c r="D51" i="40"/>
  <c r="E51" i="40"/>
  <c r="G56" i="24"/>
  <c r="D57" i="24"/>
  <c r="H56" i="24"/>
  <c r="E57" i="24"/>
  <c r="G58" i="22"/>
  <c r="H58" i="22"/>
  <c r="D59" i="22"/>
  <c r="E59" i="22"/>
  <c r="D55" i="29"/>
  <c r="E55" i="29" s="1"/>
  <c r="G54" i="29"/>
  <c r="H54" i="29"/>
  <c r="D50" i="43"/>
  <c r="E50" i="43" s="1"/>
  <c r="D61" i="8"/>
  <c r="E61" i="8" s="1"/>
  <c r="G60" i="8"/>
  <c r="H60" i="8"/>
  <c r="H51" i="39"/>
  <c r="B62" i="9"/>
  <c r="F62" i="9"/>
  <c r="D53" i="37"/>
  <c r="E53" i="37" s="1"/>
  <c r="G50" i="42"/>
  <c r="I50" i="42" s="1"/>
  <c r="H58" i="25"/>
  <c r="D59" i="25"/>
  <c r="E59" i="25" s="1"/>
  <c r="G58" i="25"/>
  <c r="G49" i="43"/>
  <c r="I49" i="43" s="1"/>
  <c r="G50" i="41"/>
  <c r="I50" i="41" s="1"/>
  <c r="G133" i="13"/>
  <c r="D134" i="13"/>
  <c r="G51" i="13" l="1"/>
  <c r="D52" i="13"/>
  <c r="H51" i="13"/>
  <c r="E52" i="44"/>
  <c r="F52" i="44" s="1"/>
  <c r="B52" i="44"/>
  <c r="I51" i="44"/>
  <c r="I56" i="24"/>
  <c r="I60" i="6"/>
  <c r="I61" i="11"/>
  <c r="I55" i="27"/>
  <c r="I51" i="39"/>
  <c r="I60" i="8"/>
  <c r="I54" i="31"/>
  <c r="I53" i="30"/>
  <c r="I59" i="3"/>
  <c r="I63" i="10"/>
  <c r="B56" i="27"/>
  <c r="F56" i="27"/>
  <c r="I58" i="25"/>
  <c r="B54" i="30"/>
  <c r="F54" i="30"/>
  <c r="D52" i="46"/>
  <c r="F55" i="28"/>
  <c r="B55" i="28"/>
  <c r="F61" i="6"/>
  <c r="B61" i="6"/>
  <c r="B60" i="4"/>
  <c r="F60" i="4"/>
  <c r="H62" i="9"/>
  <c r="D63" i="9"/>
  <c r="E63" i="9" s="1"/>
  <c r="G62" i="9"/>
  <c r="F61" i="8"/>
  <c r="B61" i="8"/>
  <c r="I54" i="29"/>
  <c r="F52" i="38"/>
  <c r="H52" i="38" s="1"/>
  <c r="B52" i="38"/>
  <c r="F51" i="42"/>
  <c r="G51" i="42" s="1"/>
  <c r="B51" i="42"/>
  <c r="G51" i="46"/>
  <c r="F64" i="10"/>
  <c r="B64" i="10"/>
  <c r="B59" i="22"/>
  <c r="F59" i="22"/>
  <c r="F51" i="40"/>
  <c r="G51" i="40" s="1"/>
  <c r="B51" i="40"/>
  <c r="F55" i="31"/>
  <c r="B55" i="31"/>
  <c r="F52" i="45"/>
  <c r="G52" i="45" s="1"/>
  <c r="B52" i="45"/>
  <c r="F63" i="7"/>
  <c r="B63" i="7"/>
  <c r="B52" i="39"/>
  <c r="F52" i="39"/>
  <c r="H52" i="39" s="1"/>
  <c r="F62" i="11"/>
  <c r="B62" i="11"/>
  <c r="F58" i="23"/>
  <c r="B58" i="23"/>
  <c r="B59" i="25"/>
  <c r="F59" i="25"/>
  <c r="B53" i="37"/>
  <c r="F53" i="37"/>
  <c r="H53" i="37" s="1"/>
  <c r="F50" i="43"/>
  <c r="G50" i="43" s="1"/>
  <c r="B50" i="43"/>
  <c r="B55" i="29"/>
  <c r="F55" i="29"/>
  <c r="I58" i="22"/>
  <c r="B57" i="24"/>
  <c r="F57" i="24"/>
  <c r="F60" i="3"/>
  <c r="B60" i="3"/>
  <c r="F51" i="41"/>
  <c r="G51" i="41" s="1"/>
  <c r="B51" i="41"/>
  <c r="I62" i="7"/>
  <c r="H51" i="46"/>
  <c r="I54" i="28"/>
  <c r="F60" i="5"/>
  <c r="B60" i="5"/>
  <c r="I59" i="4"/>
  <c r="I57" i="23"/>
  <c r="B134" i="13"/>
  <c r="E134" i="13"/>
  <c r="F134" i="13" s="1"/>
  <c r="H133" i="13"/>
  <c r="I133" i="13"/>
  <c r="I51" i="13" l="1"/>
  <c r="B52" i="13"/>
  <c r="E52" i="13"/>
  <c r="F52" i="13" s="1"/>
  <c r="D53" i="44"/>
  <c r="G52" i="44"/>
  <c r="H52" i="44"/>
  <c r="H50" i="43"/>
  <c r="I50" i="43" s="1"/>
  <c r="I51" i="46"/>
  <c r="H51" i="40"/>
  <c r="I51" i="40" s="1"/>
  <c r="G53" i="37"/>
  <c r="I53" i="37" s="1"/>
  <c r="G52" i="39"/>
  <c r="I52" i="39" s="1"/>
  <c r="H52" i="45"/>
  <c r="I52" i="45" s="1"/>
  <c r="D57" i="27"/>
  <c r="H56" i="27"/>
  <c r="G56" i="27"/>
  <c r="H60" i="3"/>
  <c r="D61" i="3"/>
  <c r="E61" i="3" s="1"/>
  <c r="G60" i="3"/>
  <c r="D63" i="11"/>
  <c r="E63" i="11" s="1"/>
  <c r="G62" i="11"/>
  <c r="H62" i="11"/>
  <c r="D56" i="31"/>
  <c r="E56" i="31" s="1"/>
  <c r="G55" i="31"/>
  <c r="H55" i="31"/>
  <c r="D52" i="40"/>
  <c r="E52" i="40" s="1"/>
  <c r="D65" i="10"/>
  <c r="G64" i="10"/>
  <c r="H64" i="10"/>
  <c r="G52" i="38"/>
  <c r="I52" i="38" s="1"/>
  <c r="G61" i="8"/>
  <c r="D62" i="8"/>
  <c r="E62" i="8" s="1"/>
  <c r="H61" i="8"/>
  <c r="I62" i="9"/>
  <c r="G61" i="6"/>
  <c r="D62" i="6"/>
  <c r="E62" i="6" s="1"/>
  <c r="H61" i="6"/>
  <c r="B52" i="46"/>
  <c r="D52" i="41"/>
  <c r="E52" i="41" s="1"/>
  <c r="H55" i="29"/>
  <c r="D56" i="29"/>
  <c r="E56" i="29" s="1"/>
  <c r="G55" i="29"/>
  <c r="D60" i="22"/>
  <c r="E60" i="22" s="1"/>
  <c r="H59" i="22"/>
  <c r="G59" i="22"/>
  <c r="D52" i="42"/>
  <c r="E52" i="42"/>
  <c r="D61" i="4"/>
  <c r="E61" i="4" s="1"/>
  <c r="G60" i="4"/>
  <c r="H60" i="4"/>
  <c r="G54" i="30"/>
  <c r="D55" i="30"/>
  <c r="E55" i="30" s="1"/>
  <c r="H54" i="30"/>
  <c r="G60" i="5"/>
  <c r="D61" i="5"/>
  <c r="E61" i="5" s="1"/>
  <c r="H60" i="5"/>
  <c r="H51" i="41"/>
  <c r="I51" i="41" s="1"/>
  <c r="G57" i="24"/>
  <c r="D58" i="24"/>
  <c r="E58" i="24" s="1"/>
  <c r="H57" i="24"/>
  <c r="D51" i="43"/>
  <c r="E51" i="43"/>
  <c r="D59" i="23"/>
  <c r="G58" i="23"/>
  <c r="H58" i="23"/>
  <c r="E59" i="23"/>
  <c r="D53" i="39"/>
  <c r="E53" i="39" s="1"/>
  <c r="H63" i="7"/>
  <c r="G63" i="7"/>
  <c r="D64" i="7"/>
  <c r="E64" i="7" s="1"/>
  <c r="D53" i="45"/>
  <c r="E53" i="45" s="1"/>
  <c r="H55" i="28"/>
  <c r="G55" i="28"/>
  <c r="D56" i="28"/>
  <c r="E56" i="28" s="1"/>
  <c r="D54" i="37"/>
  <c r="E54" i="37"/>
  <c r="G59" i="25"/>
  <c r="H59" i="25"/>
  <c r="D60" i="25"/>
  <c r="E60" i="25"/>
  <c r="H51" i="42"/>
  <c r="I51" i="42" s="1"/>
  <c r="D53" i="38"/>
  <c r="E53" i="38" s="1"/>
  <c r="B63" i="9"/>
  <c r="F63" i="9"/>
  <c r="E52" i="46"/>
  <c r="F52" i="46" s="1"/>
  <c r="D135" i="13"/>
  <c r="G134" i="13"/>
  <c r="G52" i="13" l="1"/>
  <c r="D53" i="13"/>
  <c r="H52" i="13"/>
  <c r="I52" i="44"/>
  <c r="B53" i="44"/>
  <c r="E53" i="44"/>
  <c r="F53" i="44" s="1"/>
  <c r="I61" i="8"/>
  <c r="I56" i="27"/>
  <c r="I54" i="30"/>
  <c r="I57" i="24"/>
  <c r="I61" i="6"/>
  <c r="B57" i="27"/>
  <c r="E57" i="27"/>
  <c r="F57" i="27" s="1"/>
  <c r="I55" i="28"/>
  <c r="I60" i="4"/>
  <c r="I55" i="31"/>
  <c r="D53" i="46"/>
  <c r="E53" i="46" s="1"/>
  <c r="H52" i="46"/>
  <c r="G52" i="46"/>
  <c r="F60" i="25"/>
  <c r="B60" i="25"/>
  <c r="B54" i="37"/>
  <c r="F54" i="37"/>
  <c r="G54" i="37" s="1"/>
  <c r="F52" i="42"/>
  <c r="H52" i="42" s="1"/>
  <c r="B52" i="42"/>
  <c r="F60" i="22"/>
  <c r="B60" i="22"/>
  <c r="I55" i="29"/>
  <c r="B65" i="10"/>
  <c r="I62" i="11"/>
  <c r="B53" i="38"/>
  <c r="F53" i="38"/>
  <c r="G53" i="38" s="1"/>
  <c r="I59" i="25"/>
  <c r="F64" i="7"/>
  <c r="B64" i="7"/>
  <c r="B53" i="39"/>
  <c r="F53" i="39"/>
  <c r="G53" i="39" s="1"/>
  <c r="B59" i="23"/>
  <c r="F59" i="23"/>
  <c r="B62" i="6"/>
  <c r="F62" i="6"/>
  <c r="I64" i="10"/>
  <c r="B61" i="3"/>
  <c r="F61" i="3"/>
  <c r="D64" i="9"/>
  <c r="E64" i="9" s="1"/>
  <c r="G63" i="9"/>
  <c r="H63" i="9"/>
  <c r="B56" i="28"/>
  <c r="F56" i="28"/>
  <c r="B58" i="24"/>
  <c r="F58" i="24"/>
  <c r="F61" i="4"/>
  <c r="B61" i="4"/>
  <c r="F52" i="41"/>
  <c r="H52" i="41" s="1"/>
  <c r="B52" i="41"/>
  <c r="B62" i="8"/>
  <c r="F62" i="8"/>
  <c r="B52" i="40"/>
  <c r="F52" i="40"/>
  <c r="G52" i="40" s="1"/>
  <c r="F56" i="31"/>
  <c r="B56" i="31"/>
  <c r="B63" i="11"/>
  <c r="F63" i="11"/>
  <c r="I60" i="3"/>
  <c r="B53" i="45"/>
  <c r="F53" i="45"/>
  <c r="G53" i="45" s="1"/>
  <c r="I63" i="7"/>
  <c r="I58" i="23"/>
  <c r="B51" i="43"/>
  <c r="F51" i="43"/>
  <c r="H51" i="43" s="1"/>
  <c r="B61" i="5"/>
  <c r="F61" i="5"/>
  <c r="B55" i="30"/>
  <c r="F55" i="30"/>
  <c r="I59" i="22"/>
  <c r="B56" i="29"/>
  <c r="F56" i="29"/>
  <c r="E65" i="10"/>
  <c r="F65" i="10" s="1"/>
  <c r="B135" i="13"/>
  <c r="I134" i="13"/>
  <c r="H134" i="13"/>
  <c r="E135" i="13"/>
  <c r="F135" i="13" s="1"/>
  <c r="I52" i="13" l="1"/>
  <c r="E53" i="13"/>
  <c r="F53" i="13" s="1"/>
  <c r="B53" i="13"/>
  <c r="G52" i="41"/>
  <c r="I52" i="41" s="1"/>
  <c r="D54" i="44"/>
  <c r="H53" i="44"/>
  <c r="G53" i="44"/>
  <c r="I52" i="46"/>
  <c r="G51" i="43"/>
  <c r="I51" i="43" s="1"/>
  <c r="I63" i="9"/>
  <c r="D58" i="27"/>
  <c r="E58" i="27" s="1"/>
  <c r="G57" i="27"/>
  <c r="H57" i="27"/>
  <c r="H53" i="45"/>
  <c r="I53" i="45" s="1"/>
  <c r="H53" i="39"/>
  <c r="I53" i="39" s="1"/>
  <c r="G52" i="42"/>
  <c r="I52" i="42" s="1"/>
  <c r="H54" i="37"/>
  <c r="I54" i="37" s="1"/>
  <c r="D66" i="10"/>
  <c r="E66" i="10" s="1"/>
  <c r="G65" i="10"/>
  <c r="H65" i="10"/>
  <c r="G56" i="29"/>
  <c r="H56" i="29"/>
  <c r="D57" i="29"/>
  <c r="E57" i="29" s="1"/>
  <c r="D53" i="40"/>
  <c r="E53" i="40" s="1"/>
  <c r="G59" i="23"/>
  <c r="H59" i="23"/>
  <c r="D60" i="23"/>
  <c r="E60" i="23" s="1"/>
  <c r="D61" i="22"/>
  <c r="E61" i="22" s="1"/>
  <c r="G60" i="22"/>
  <c r="H60" i="22"/>
  <c r="D62" i="5"/>
  <c r="E62" i="5" s="1"/>
  <c r="G61" i="5"/>
  <c r="H61" i="5"/>
  <c r="H56" i="28"/>
  <c r="D57" i="28"/>
  <c r="E57" i="28" s="1"/>
  <c r="G56" i="28"/>
  <c r="D54" i="38"/>
  <c r="E54" i="38"/>
  <c r="H56" i="31"/>
  <c r="D57" i="31"/>
  <c r="E57" i="31" s="1"/>
  <c r="G56" i="31"/>
  <c r="H61" i="4"/>
  <c r="D62" i="4"/>
  <c r="E62" i="4" s="1"/>
  <c r="G61" i="4"/>
  <c r="F64" i="9"/>
  <c r="B64" i="9"/>
  <c r="G62" i="6"/>
  <c r="D63" i="6"/>
  <c r="E63" i="6" s="1"/>
  <c r="H62" i="6"/>
  <c r="D54" i="39"/>
  <c r="E54" i="39"/>
  <c r="H60" i="25"/>
  <c r="D61" i="25"/>
  <c r="E61" i="25" s="1"/>
  <c r="G60" i="25"/>
  <c r="D56" i="30"/>
  <c r="E56" i="30" s="1"/>
  <c r="H55" i="30"/>
  <c r="G55" i="30"/>
  <c r="D52" i="43"/>
  <c r="E52" i="43" s="1"/>
  <c r="D54" i="45"/>
  <c r="E54" i="45" s="1"/>
  <c r="G63" i="11"/>
  <c r="H63" i="11"/>
  <c r="D64" i="11"/>
  <c r="E64" i="11" s="1"/>
  <c r="H52" i="40"/>
  <c r="I52" i="40" s="1"/>
  <c r="H62" i="8"/>
  <c r="D63" i="8"/>
  <c r="E63" i="8" s="1"/>
  <c r="G62" i="8"/>
  <c r="D53" i="41"/>
  <c r="E53" i="41"/>
  <c r="G58" i="24"/>
  <c r="D59" i="24"/>
  <c r="H58" i="24"/>
  <c r="E59" i="24"/>
  <c r="H61" i="3"/>
  <c r="D62" i="3"/>
  <c r="E62" i="3" s="1"/>
  <c r="G61" i="3"/>
  <c r="H64" i="7"/>
  <c r="D65" i="7"/>
  <c r="G64" i="7"/>
  <c r="H53" i="38"/>
  <c r="I53" i="38" s="1"/>
  <c r="D53" i="42"/>
  <c r="E53" i="42"/>
  <c r="D55" i="37"/>
  <c r="E55" i="37"/>
  <c r="F53" i="46"/>
  <c r="B53" i="46"/>
  <c r="G135" i="13"/>
  <c r="D136" i="13"/>
  <c r="H53" i="13" l="1"/>
  <c r="G53" i="13"/>
  <c r="D54" i="13"/>
  <c r="I60" i="22"/>
  <c r="I53" i="44"/>
  <c r="E54" i="44"/>
  <c r="F54" i="44" s="1"/>
  <c r="B54" i="44"/>
  <c r="I58" i="24"/>
  <c r="I62" i="6"/>
  <c r="I62" i="8"/>
  <c r="I56" i="31"/>
  <c r="I56" i="28"/>
  <c r="I61" i="4"/>
  <c r="I60" i="25"/>
  <c r="F58" i="27"/>
  <c r="B58" i="27"/>
  <c r="I63" i="11"/>
  <c r="I55" i="30"/>
  <c r="I65" i="10"/>
  <c r="I57" i="27"/>
  <c r="D54" i="46"/>
  <c r="B65" i="7"/>
  <c r="F62" i="3"/>
  <c r="B62" i="3"/>
  <c r="F59" i="24"/>
  <c r="B59" i="24"/>
  <c r="F52" i="43"/>
  <c r="H52" i="43" s="1"/>
  <c r="B52" i="43"/>
  <c r="B56" i="30"/>
  <c r="F56" i="30"/>
  <c r="G64" i="9"/>
  <c r="H64" i="9"/>
  <c r="D65" i="9"/>
  <c r="F54" i="38"/>
  <c r="G54" i="38" s="1"/>
  <c r="B54" i="38"/>
  <c r="B57" i="28"/>
  <c r="F57" i="28"/>
  <c r="I59" i="23"/>
  <c r="F53" i="42"/>
  <c r="B53" i="42"/>
  <c r="G53" i="46"/>
  <c r="I64" i="7"/>
  <c r="I61" i="3"/>
  <c r="F63" i="6"/>
  <c r="B63" i="6"/>
  <c r="F62" i="5"/>
  <c r="B62" i="5"/>
  <c r="F61" i="22"/>
  <c r="B61" i="22"/>
  <c r="F57" i="29"/>
  <c r="B57" i="29"/>
  <c r="H53" i="46"/>
  <c r="B55" i="37"/>
  <c r="F55" i="37"/>
  <c r="H55" i="37" s="1"/>
  <c r="E65" i="7"/>
  <c r="F65" i="7" s="1"/>
  <c r="F63" i="8"/>
  <c r="B63" i="8"/>
  <c r="B64" i="11"/>
  <c r="F64" i="11"/>
  <c r="F54" i="45"/>
  <c r="G54" i="45" s="1"/>
  <c r="B54" i="45"/>
  <c r="B54" i="39"/>
  <c r="F54" i="39"/>
  <c r="G54" i="39" s="1"/>
  <c r="I56" i="29"/>
  <c r="F53" i="41"/>
  <c r="B53" i="41"/>
  <c r="F61" i="25"/>
  <c r="B61" i="25"/>
  <c r="B62" i="4"/>
  <c r="F62" i="4"/>
  <c r="F57" i="31"/>
  <c r="B57" i="31"/>
  <c r="B60" i="23"/>
  <c r="F60" i="23"/>
  <c r="B53" i="40"/>
  <c r="F53" i="40"/>
  <c r="G53" i="40" s="1"/>
  <c r="B66" i="10"/>
  <c r="F66" i="10"/>
  <c r="B136" i="13"/>
  <c r="E136" i="13"/>
  <c r="F136" i="13" s="1"/>
  <c r="H135" i="13"/>
  <c r="I135" i="13"/>
  <c r="I53" i="13" l="1"/>
  <c r="E54" i="13"/>
  <c r="F54" i="13" s="1"/>
  <c r="B54" i="13"/>
  <c r="G54" i="44"/>
  <c r="H54" i="44"/>
  <c r="D55" i="44"/>
  <c r="G55" i="37"/>
  <c r="I55" i="37" s="1"/>
  <c r="I64" i="9"/>
  <c r="G52" i="43"/>
  <c r="I52" i="43" s="1"/>
  <c r="I53" i="46"/>
  <c r="H54" i="38"/>
  <c r="I54" i="38" s="1"/>
  <c r="H54" i="39"/>
  <c r="I54" i="39" s="1"/>
  <c r="D59" i="27"/>
  <c r="E59" i="27" s="1"/>
  <c r="G58" i="27"/>
  <c r="H58" i="27"/>
  <c r="D66" i="7"/>
  <c r="E66" i="7" s="1"/>
  <c r="G65" i="7"/>
  <c r="H65" i="7"/>
  <c r="G57" i="31"/>
  <c r="D58" i="31"/>
  <c r="E58" i="31" s="1"/>
  <c r="H57" i="31"/>
  <c r="D62" i="25"/>
  <c r="E62" i="25" s="1"/>
  <c r="G61" i="25"/>
  <c r="H61" i="25"/>
  <c r="D54" i="41"/>
  <c r="E54" i="41"/>
  <c r="H61" i="22"/>
  <c r="D62" i="22"/>
  <c r="E62" i="22" s="1"/>
  <c r="G61" i="22"/>
  <c r="H63" i="6"/>
  <c r="G63" i="6"/>
  <c r="D64" i="6"/>
  <c r="E64" i="6" s="1"/>
  <c r="D54" i="42"/>
  <c r="E54" i="42" s="1"/>
  <c r="B65" i="9"/>
  <c r="G60" i="23"/>
  <c r="H60" i="23"/>
  <c r="D61" i="23"/>
  <c r="E61" i="23" s="1"/>
  <c r="G62" i="4"/>
  <c r="H62" i="4"/>
  <c r="D63" i="4"/>
  <c r="E63" i="4" s="1"/>
  <c r="E65" i="9"/>
  <c r="F65" i="9" s="1"/>
  <c r="H59" i="24"/>
  <c r="G59" i="24"/>
  <c r="D60" i="24"/>
  <c r="E60" i="24" s="1"/>
  <c r="D54" i="40"/>
  <c r="E54" i="40" s="1"/>
  <c r="G53" i="41"/>
  <c r="D55" i="45"/>
  <c r="E55" i="45" s="1"/>
  <c r="G63" i="8"/>
  <c r="H63" i="8"/>
  <c r="D64" i="8"/>
  <c r="E64" i="8" s="1"/>
  <c r="E56" i="37"/>
  <c r="D56" i="37"/>
  <c r="H57" i="29"/>
  <c r="D58" i="29"/>
  <c r="E58" i="29" s="1"/>
  <c r="G57" i="29"/>
  <c r="D63" i="5"/>
  <c r="E63" i="5" s="1"/>
  <c r="H62" i="5"/>
  <c r="G62" i="5"/>
  <c r="G53" i="42"/>
  <c r="G57" i="28"/>
  <c r="H57" i="28"/>
  <c r="D58" i="28"/>
  <c r="E58" i="28" s="1"/>
  <c r="G56" i="30"/>
  <c r="H56" i="30"/>
  <c r="D57" i="30"/>
  <c r="E57" i="30" s="1"/>
  <c r="B54" i="46"/>
  <c r="H66" i="10"/>
  <c r="D67" i="10"/>
  <c r="E67" i="10" s="1"/>
  <c r="G66" i="10"/>
  <c r="H53" i="40"/>
  <c r="I53" i="40" s="1"/>
  <c r="H53" i="41"/>
  <c r="D55" i="39"/>
  <c r="E55" i="39" s="1"/>
  <c r="H54" i="45"/>
  <c r="I54" i="45" s="1"/>
  <c r="G64" i="11"/>
  <c r="H64" i="11"/>
  <c r="D65" i="11"/>
  <c r="E65" i="11" s="1"/>
  <c r="H53" i="42"/>
  <c r="D55" i="38"/>
  <c r="E55" i="38"/>
  <c r="D53" i="43"/>
  <c r="E53" i="43"/>
  <c r="D63" i="3"/>
  <c r="E63" i="3" s="1"/>
  <c r="H62" i="3"/>
  <c r="G62" i="3"/>
  <c r="E54" i="46"/>
  <c r="F54" i="46" s="1"/>
  <c r="G136" i="13"/>
  <c r="D137" i="13"/>
  <c r="H54" i="13" l="1"/>
  <c r="D55" i="13"/>
  <c r="G54" i="13"/>
  <c r="I54" i="13" s="1"/>
  <c r="I53" i="41"/>
  <c r="I54" i="44"/>
  <c r="E55" i="44"/>
  <c r="F55" i="44" s="1"/>
  <c r="B55" i="44"/>
  <c r="I62" i="4"/>
  <c r="I60" i="23"/>
  <c r="I53" i="42"/>
  <c r="I57" i="31"/>
  <c r="I65" i="7"/>
  <c r="I57" i="29"/>
  <c r="B59" i="27"/>
  <c r="F59" i="27"/>
  <c r="I56" i="30"/>
  <c r="I57" i="28"/>
  <c r="I63" i="6"/>
  <c r="I61" i="25"/>
  <c r="I58" i="27"/>
  <c r="G65" i="9"/>
  <c r="H65" i="9"/>
  <c r="D66" i="9"/>
  <c r="D55" i="46"/>
  <c r="G54" i="46"/>
  <c r="H54" i="46"/>
  <c r="I64" i="11"/>
  <c r="F55" i="39"/>
  <c r="B55" i="39"/>
  <c r="I66" i="10"/>
  <c r="F58" i="29"/>
  <c r="B58" i="29"/>
  <c r="F54" i="40"/>
  <c r="H54" i="40" s="1"/>
  <c r="B54" i="40"/>
  <c r="I59" i="24"/>
  <c r="F62" i="22"/>
  <c r="B62" i="22"/>
  <c r="B53" i="43"/>
  <c r="F53" i="43"/>
  <c r="H53" i="43" s="1"/>
  <c r="B63" i="5"/>
  <c r="F63" i="5"/>
  <c r="B64" i="8"/>
  <c r="F64" i="8"/>
  <c r="F55" i="45"/>
  <c r="B55" i="45"/>
  <c r="F54" i="42"/>
  <c r="G54" i="42" s="1"/>
  <c r="B54" i="42"/>
  <c r="I61" i="22"/>
  <c r="I62" i="3"/>
  <c r="F57" i="30"/>
  <c r="B57" i="30"/>
  <c r="B58" i="28"/>
  <c r="F58" i="28"/>
  <c r="B56" i="37"/>
  <c r="F56" i="37"/>
  <c r="G56" i="37" s="1"/>
  <c r="I63" i="8"/>
  <c r="B60" i="24"/>
  <c r="F60" i="24"/>
  <c r="F63" i="4"/>
  <c r="B63" i="4"/>
  <c r="F61" i="23"/>
  <c r="B61" i="23"/>
  <c r="B58" i="31"/>
  <c r="F58" i="31"/>
  <c r="B63" i="3"/>
  <c r="F63" i="3"/>
  <c r="B55" i="38"/>
  <c r="F55" i="38"/>
  <c r="G55" i="38" s="1"/>
  <c r="B65" i="11"/>
  <c r="F65" i="11"/>
  <c r="F67" i="10"/>
  <c r="B67" i="10"/>
  <c r="B64" i="6"/>
  <c r="F64" i="6"/>
  <c r="B54" i="41"/>
  <c r="F54" i="41"/>
  <c r="H54" i="41" s="1"/>
  <c r="B62" i="25"/>
  <c r="F62" i="25"/>
  <c r="F66" i="7"/>
  <c r="B66" i="7"/>
  <c r="B137" i="13"/>
  <c r="H136" i="13"/>
  <c r="I136" i="13"/>
  <c r="E137" i="13"/>
  <c r="F137" i="13" s="1"/>
  <c r="E55" i="13" l="1"/>
  <c r="B55" i="13"/>
  <c r="F55" i="13"/>
  <c r="H55" i="44"/>
  <c r="D56" i="44"/>
  <c r="G55" i="44"/>
  <c r="I54" i="46"/>
  <c r="I65" i="9"/>
  <c r="G54" i="41"/>
  <c r="I54" i="41" s="1"/>
  <c r="H56" i="37"/>
  <c r="I56" i="37" s="1"/>
  <c r="H55" i="38"/>
  <c r="I55" i="38" s="1"/>
  <c r="G59" i="27"/>
  <c r="H59" i="27"/>
  <c r="D60" i="27"/>
  <c r="E60" i="27" s="1"/>
  <c r="H63" i="4"/>
  <c r="D64" i="4"/>
  <c r="G63" i="4"/>
  <c r="D56" i="45"/>
  <c r="E56" i="45" s="1"/>
  <c r="D56" i="39"/>
  <c r="E56" i="39" s="1"/>
  <c r="B66" i="9"/>
  <c r="D67" i="7"/>
  <c r="G66" i="7"/>
  <c r="H66" i="7"/>
  <c r="H62" i="25"/>
  <c r="D63" i="25"/>
  <c r="E63" i="25" s="1"/>
  <c r="G62" i="25"/>
  <c r="D56" i="38"/>
  <c r="E56" i="38" s="1"/>
  <c r="H63" i="3"/>
  <c r="G63" i="3"/>
  <c r="D64" i="3"/>
  <c r="E64" i="3" s="1"/>
  <c r="G57" i="30"/>
  <c r="D58" i="30"/>
  <c r="H57" i="30"/>
  <c r="E58" i="30"/>
  <c r="G55" i="45"/>
  <c r="H64" i="8"/>
  <c r="D65" i="8"/>
  <c r="G64" i="8"/>
  <c r="D59" i="29"/>
  <c r="G58" i="29"/>
  <c r="H58" i="29"/>
  <c r="E59" i="29"/>
  <c r="G55" i="39"/>
  <c r="E66" i="9"/>
  <c r="F66" i="9" s="1"/>
  <c r="G67" i="10"/>
  <c r="H67" i="10"/>
  <c r="D68" i="10"/>
  <c r="G61" i="23"/>
  <c r="H61" i="23"/>
  <c r="D62" i="23"/>
  <c r="E62" i="23" s="1"/>
  <c r="D57" i="37"/>
  <c r="E57" i="37" s="1"/>
  <c r="G58" i="28"/>
  <c r="H58" i="28"/>
  <c r="D59" i="28"/>
  <c r="E59" i="28" s="1"/>
  <c r="D55" i="42"/>
  <c r="E55" i="42" s="1"/>
  <c r="D54" i="43"/>
  <c r="E54" i="43" s="1"/>
  <c r="D63" i="22"/>
  <c r="E63" i="22" s="1"/>
  <c r="G62" i="22"/>
  <c r="H62" i="22"/>
  <c r="D55" i="40"/>
  <c r="E55" i="40" s="1"/>
  <c r="H55" i="39"/>
  <c r="B55" i="46"/>
  <c r="D55" i="41"/>
  <c r="E55" i="41" s="1"/>
  <c r="H64" i="6"/>
  <c r="D65" i="6"/>
  <c r="E65" i="6" s="1"/>
  <c r="G64" i="6"/>
  <c r="D66" i="11"/>
  <c r="E66" i="11" s="1"/>
  <c r="G65" i="11"/>
  <c r="H65" i="11"/>
  <c r="H58" i="31"/>
  <c r="G58" i="31"/>
  <c r="D59" i="31"/>
  <c r="E59" i="31" s="1"/>
  <c r="G60" i="24"/>
  <c r="D61" i="24"/>
  <c r="E61" i="24" s="1"/>
  <c r="H60" i="24"/>
  <c r="H54" i="42"/>
  <c r="I54" i="42" s="1"/>
  <c r="H55" i="45"/>
  <c r="D64" i="5"/>
  <c r="E64" i="5" s="1"/>
  <c r="G63" i="5"/>
  <c r="H63" i="5"/>
  <c r="G53" i="43"/>
  <c r="I53" i="43" s="1"/>
  <c r="G54" i="40"/>
  <c r="I54" i="40" s="1"/>
  <c r="E55" i="46"/>
  <c r="F55" i="46" s="1"/>
  <c r="G137" i="13"/>
  <c r="D138" i="13"/>
  <c r="G55" i="13" l="1"/>
  <c r="D56" i="13"/>
  <c r="H55" i="13"/>
  <c r="I55" i="13" s="1"/>
  <c r="I55" i="44"/>
  <c r="E56" i="44"/>
  <c r="F56" i="44" s="1"/>
  <c r="B56" i="44"/>
  <c r="I61" i="23"/>
  <c r="I55" i="45"/>
  <c r="I60" i="24"/>
  <c r="I67" i="10"/>
  <c r="I59" i="27"/>
  <c r="I58" i="31"/>
  <c r="I63" i="3"/>
  <c r="I62" i="25"/>
  <c r="I58" i="28"/>
  <c r="I57" i="30"/>
  <c r="I64" i="6"/>
  <c r="B60" i="27"/>
  <c r="F60" i="27"/>
  <c r="G66" i="9"/>
  <c r="H66" i="9"/>
  <c r="D67" i="9"/>
  <c r="E67" i="9" s="1"/>
  <c r="D56" i="46"/>
  <c r="E56" i="46" s="1"/>
  <c r="G55" i="46"/>
  <c r="H55" i="46"/>
  <c r="F66" i="11"/>
  <c r="B66" i="11"/>
  <c r="F62" i="23"/>
  <c r="B62" i="23"/>
  <c r="B68" i="10"/>
  <c r="F63" i="25"/>
  <c r="B63" i="25"/>
  <c r="B55" i="40"/>
  <c r="F55" i="40"/>
  <c r="H55" i="40" s="1"/>
  <c r="B63" i="22"/>
  <c r="F63" i="22"/>
  <c r="B59" i="28"/>
  <c r="F59" i="28"/>
  <c r="B57" i="37"/>
  <c r="F57" i="37"/>
  <c r="B59" i="29"/>
  <c r="F59" i="29"/>
  <c r="B65" i="8"/>
  <c r="F64" i="3"/>
  <c r="B64" i="3"/>
  <c r="B56" i="38"/>
  <c r="F56" i="38"/>
  <c r="G56" i="38" s="1"/>
  <c r="B67" i="7"/>
  <c r="F56" i="39"/>
  <c r="H56" i="39" s="1"/>
  <c r="B56" i="39"/>
  <c r="B64" i="4"/>
  <c r="B61" i="24"/>
  <c r="F61" i="24"/>
  <c r="F59" i="31"/>
  <c r="B59" i="31"/>
  <c r="I65" i="11"/>
  <c r="B55" i="41"/>
  <c r="F55" i="41"/>
  <c r="H55" i="41" s="1"/>
  <c r="E68" i="10"/>
  <c r="F68" i="10" s="1"/>
  <c r="I64" i="8"/>
  <c r="F58" i="30"/>
  <c r="B58" i="30"/>
  <c r="E67" i="7"/>
  <c r="F67" i="7" s="1"/>
  <c r="I63" i="4"/>
  <c r="B64" i="5"/>
  <c r="F64" i="5"/>
  <c r="F65" i="6"/>
  <c r="B65" i="6"/>
  <c r="I55" i="39"/>
  <c r="I62" i="22"/>
  <c r="F54" i="43"/>
  <c r="H54" i="43" s="1"/>
  <c r="B54" i="43"/>
  <c r="B55" i="42"/>
  <c r="F55" i="42"/>
  <c r="G55" i="42" s="1"/>
  <c r="I58" i="29"/>
  <c r="E65" i="8"/>
  <c r="F65" i="8" s="1"/>
  <c r="I66" i="7"/>
  <c r="B56" i="45"/>
  <c r="F56" i="45"/>
  <c r="H56" i="45" s="1"/>
  <c r="E64" i="4"/>
  <c r="F64" i="4" s="1"/>
  <c r="B138" i="13"/>
  <c r="H137" i="13"/>
  <c r="I137" i="13"/>
  <c r="E138" i="13"/>
  <c r="F138" i="13" s="1"/>
  <c r="E56" i="13" l="1"/>
  <c r="B56" i="13"/>
  <c r="F56" i="13"/>
  <c r="G56" i="13"/>
  <c r="I55" i="46"/>
  <c r="I66" i="9"/>
  <c r="D57" i="44"/>
  <c r="G56" i="44"/>
  <c r="H56" i="44"/>
  <c r="G56" i="39"/>
  <c r="I56" i="39" s="1"/>
  <c r="G56" i="45"/>
  <c r="I56" i="45" s="1"/>
  <c r="G54" i="43"/>
  <c r="I54" i="43" s="1"/>
  <c r="G60" i="27"/>
  <c r="H60" i="27"/>
  <c r="D61" i="27"/>
  <c r="H64" i="4"/>
  <c r="D65" i="4"/>
  <c r="E65" i="4" s="1"/>
  <c r="G64" i="4"/>
  <c r="D68" i="7"/>
  <c r="E68" i="7" s="1"/>
  <c r="G67" i="7"/>
  <c r="H67" i="7"/>
  <c r="H68" i="10"/>
  <c r="D69" i="10"/>
  <c r="E69" i="10" s="1"/>
  <c r="G68" i="10"/>
  <c r="H65" i="8"/>
  <c r="D66" i="8"/>
  <c r="E66" i="8" s="1"/>
  <c r="G65" i="8"/>
  <c r="G61" i="24"/>
  <c r="D62" i="24"/>
  <c r="E62" i="24" s="1"/>
  <c r="H61" i="24"/>
  <c r="D58" i="37"/>
  <c r="E58" i="37" s="1"/>
  <c r="G59" i="28"/>
  <c r="H59" i="28"/>
  <c r="D60" i="28"/>
  <c r="E60" i="28" s="1"/>
  <c r="D56" i="42"/>
  <c r="E56" i="42" s="1"/>
  <c r="G58" i="30"/>
  <c r="H58" i="30"/>
  <c r="D59" i="30"/>
  <c r="E59" i="30" s="1"/>
  <c r="D56" i="41"/>
  <c r="E56" i="41"/>
  <c r="H56" i="38"/>
  <c r="I56" i="38" s="1"/>
  <c r="G57" i="37"/>
  <c r="D56" i="40"/>
  <c r="E56" i="40" s="1"/>
  <c r="H63" i="25"/>
  <c r="D64" i="25"/>
  <c r="E64" i="25" s="1"/>
  <c r="G63" i="25"/>
  <c r="H62" i="23"/>
  <c r="G62" i="23"/>
  <c r="D63" i="23"/>
  <c r="E63" i="23" s="1"/>
  <c r="F67" i="9"/>
  <c r="B67" i="9"/>
  <c r="D57" i="45"/>
  <c r="E57" i="45" s="1"/>
  <c r="D55" i="43"/>
  <c r="E55" i="43" s="1"/>
  <c r="D66" i="6"/>
  <c r="E66" i="6" s="1"/>
  <c r="H65" i="6"/>
  <c r="G65" i="6"/>
  <c r="G55" i="41"/>
  <c r="I55" i="41" s="1"/>
  <c r="D57" i="39"/>
  <c r="E57" i="39" s="1"/>
  <c r="H59" i="29"/>
  <c r="D60" i="29"/>
  <c r="E60" i="29" s="1"/>
  <c r="G59" i="29"/>
  <c r="H57" i="37"/>
  <c r="I57" i="37" s="1"/>
  <c r="D64" i="22"/>
  <c r="E64" i="22" s="1"/>
  <c r="G63" i="22"/>
  <c r="H63" i="22"/>
  <c r="H55" i="42"/>
  <c r="I55" i="42" s="1"/>
  <c r="D65" i="5"/>
  <c r="E65" i="5" s="1"/>
  <c r="H64" i="5"/>
  <c r="G64" i="5"/>
  <c r="G59" i="31"/>
  <c r="D60" i="31"/>
  <c r="E60" i="31" s="1"/>
  <c r="H59" i="31"/>
  <c r="D57" i="38"/>
  <c r="E57" i="38"/>
  <c r="G64" i="3"/>
  <c r="H64" i="3"/>
  <c r="D65" i="3"/>
  <c r="E65" i="3" s="1"/>
  <c r="G55" i="40"/>
  <c r="I55" i="40" s="1"/>
  <c r="D67" i="11"/>
  <c r="E67" i="11" s="1"/>
  <c r="G66" i="11"/>
  <c r="H66" i="11"/>
  <c r="F56" i="46"/>
  <c r="H56" i="46" s="1"/>
  <c r="B56" i="46"/>
  <c r="G138" i="13"/>
  <c r="D139" i="13"/>
  <c r="E139" i="13" s="1"/>
  <c r="H56" i="13" l="1"/>
  <c r="I56" i="13" s="1"/>
  <c r="D57" i="13"/>
  <c r="I56" i="44"/>
  <c r="I58" i="30"/>
  <c r="E57" i="44"/>
  <c r="F57" i="44" s="1"/>
  <c r="B57" i="44"/>
  <c r="I60" i="27"/>
  <c r="I64" i="3"/>
  <c r="I62" i="23"/>
  <c r="I67" i="7"/>
  <c r="G56" i="46"/>
  <c r="I56" i="46" s="1"/>
  <c r="I63" i="25"/>
  <c r="I63" i="22"/>
  <c r="E61" i="27"/>
  <c r="F61" i="27" s="1"/>
  <c r="B61" i="27"/>
  <c r="I66" i="11"/>
  <c r="I59" i="31"/>
  <c r="I59" i="29"/>
  <c r="F64" i="25"/>
  <c r="B64" i="25"/>
  <c r="I61" i="24"/>
  <c r="D57" i="46"/>
  <c r="E57" i="46" s="1"/>
  <c r="B60" i="31"/>
  <c r="F60" i="31"/>
  <c r="B55" i="43"/>
  <c r="F55" i="43"/>
  <c r="G55" i="43" s="1"/>
  <c r="D68" i="9"/>
  <c r="E68" i="9" s="1"/>
  <c r="H67" i="9"/>
  <c r="G67" i="9"/>
  <c r="F59" i="30"/>
  <c r="B59" i="30"/>
  <c r="B56" i="42"/>
  <c r="F56" i="42"/>
  <c r="B58" i="37"/>
  <c r="F58" i="37"/>
  <c r="F62" i="24"/>
  <c r="B62" i="24"/>
  <c r="B67" i="11"/>
  <c r="F67" i="11"/>
  <c r="B65" i="3"/>
  <c r="F65" i="3"/>
  <c r="F57" i="38"/>
  <c r="G57" i="38" s="1"/>
  <c r="B57" i="38"/>
  <c r="B65" i="5"/>
  <c r="F65" i="5"/>
  <c r="B57" i="39"/>
  <c r="F57" i="39"/>
  <c r="G57" i="39" s="1"/>
  <c r="I65" i="6"/>
  <c r="B60" i="28"/>
  <c r="F60" i="28"/>
  <c r="F66" i="8"/>
  <c r="B66" i="8"/>
  <c r="F69" i="10"/>
  <c r="B69" i="10"/>
  <c r="B65" i="4"/>
  <c r="F65" i="4"/>
  <c r="B64" i="22"/>
  <c r="F64" i="22"/>
  <c r="B60" i="29"/>
  <c r="F60" i="29"/>
  <c r="F66" i="6"/>
  <c r="B66" i="6"/>
  <c r="B57" i="45"/>
  <c r="F57" i="45"/>
  <c r="F63" i="23"/>
  <c r="B63" i="23"/>
  <c r="F56" i="40"/>
  <c r="H56" i="40" s="1"/>
  <c r="B56" i="40"/>
  <c r="B56" i="41"/>
  <c r="F56" i="41"/>
  <c r="G56" i="41" s="1"/>
  <c r="I59" i="28"/>
  <c r="I65" i="8"/>
  <c r="I68" i="10"/>
  <c r="F68" i="7"/>
  <c r="B68" i="7"/>
  <c r="I64" i="4"/>
  <c r="I138" i="13"/>
  <c r="H138" i="13"/>
  <c r="B139" i="13"/>
  <c r="F139" i="13"/>
  <c r="E57" i="13" l="1"/>
  <c r="F57" i="13" s="1"/>
  <c r="B57" i="13"/>
  <c r="H57" i="44"/>
  <c r="D58" i="44"/>
  <c r="G57" i="44"/>
  <c r="H61" i="27"/>
  <c r="D62" i="27"/>
  <c r="B62" i="27" s="1"/>
  <c r="G61" i="27"/>
  <c r="H56" i="41"/>
  <c r="I56" i="41" s="1"/>
  <c r="G56" i="40"/>
  <c r="I56" i="40" s="1"/>
  <c r="D58" i="45"/>
  <c r="E58" i="45" s="1"/>
  <c r="G66" i="8"/>
  <c r="H66" i="8"/>
  <c r="D67" i="8"/>
  <c r="E67" i="8" s="1"/>
  <c r="D66" i="5"/>
  <c r="H65" i="5"/>
  <c r="G65" i="5"/>
  <c r="D68" i="11"/>
  <c r="G67" i="11"/>
  <c r="H67" i="11"/>
  <c r="D59" i="37"/>
  <c r="E59" i="37" s="1"/>
  <c r="D57" i="42"/>
  <c r="E57" i="42" s="1"/>
  <c r="D61" i="31"/>
  <c r="E61" i="31" s="1"/>
  <c r="H60" i="31"/>
  <c r="G60" i="31"/>
  <c r="D57" i="40"/>
  <c r="E57" i="40"/>
  <c r="H57" i="45"/>
  <c r="G64" i="22"/>
  <c r="H64" i="22"/>
  <c r="D65" i="22"/>
  <c r="E65" i="22" s="1"/>
  <c r="D61" i="28"/>
  <c r="E61" i="28" s="1"/>
  <c r="G60" i="28"/>
  <c r="H60" i="28"/>
  <c r="D58" i="39"/>
  <c r="E58" i="39" s="1"/>
  <c r="D58" i="38"/>
  <c r="E58" i="38" s="1"/>
  <c r="H58" i="37"/>
  <c r="H56" i="42"/>
  <c r="D60" i="30"/>
  <c r="E60" i="30" s="1"/>
  <c r="H59" i="30"/>
  <c r="G59" i="30"/>
  <c r="B68" i="9"/>
  <c r="F68" i="9"/>
  <c r="D56" i="43"/>
  <c r="E56" i="43" s="1"/>
  <c r="H68" i="7"/>
  <c r="D69" i="7"/>
  <c r="G68" i="7"/>
  <c r="G57" i="45"/>
  <c r="G66" i="6"/>
  <c r="D67" i="6"/>
  <c r="E67" i="6" s="1"/>
  <c r="H66" i="6"/>
  <c r="D70" i="10"/>
  <c r="G69" i="10"/>
  <c r="H69" i="10"/>
  <c r="H57" i="39"/>
  <c r="I57" i="39" s="1"/>
  <c r="H57" i="38"/>
  <c r="I57" i="38" s="1"/>
  <c r="H65" i="3"/>
  <c r="D66" i="3"/>
  <c r="G65" i="3"/>
  <c r="G58" i="37"/>
  <c r="G56" i="42"/>
  <c r="H55" i="43"/>
  <c r="I55" i="43" s="1"/>
  <c r="D57" i="41"/>
  <c r="E57" i="41" s="1"/>
  <c r="G63" i="23"/>
  <c r="H63" i="23"/>
  <c r="D64" i="23"/>
  <c r="E64" i="23" s="1"/>
  <c r="G60" i="29"/>
  <c r="H60" i="29"/>
  <c r="D61" i="29"/>
  <c r="E61" i="29" s="1"/>
  <c r="D66" i="4"/>
  <c r="G65" i="4"/>
  <c r="H65" i="4"/>
  <c r="D63" i="24"/>
  <c r="E63" i="24" s="1"/>
  <c r="G62" i="24"/>
  <c r="H62" i="24"/>
  <c r="I67" i="9"/>
  <c r="F57" i="46"/>
  <c r="H57" i="46" s="1"/>
  <c r="B57" i="46"/>
  <c r="G64" i="25"/>
  <c r="H64" i="25"/>
  <c r="D65" i="25"/>
  <c r="E65" i="25" s="1"/>
  <c r="G139" i="13"/>
  <c r="D140" i="13"/>
  <c r="E140" i="13" s="1"/>
  <c r="H57" i="13" l="1"/>
  <c r="D58" i="13"/>
  <c r="G57" i="13"/>
  <c r="I57" i="13" s="1"/>
  <c r="B58" i="44"/>
  <c r="E58" i="44"/>
  <c r="F58" i="44" s="1"/>
  <c r="I57" i="44"/>
  <c r="I65" i="4"/>
  <c r="I63" i="23"/>
  <c r="I66" i="8"/>
  <c r="I67" i="11"/>
  <c r="I61" i="27"/>
  <c r="I62" i="24"/>
  <c r="I60" i="29"/>
  <c r="I69" i="10"/>
  <c r="I64" i="22"/>
  <c r="E62" i="27"/>
  <c r="F62" i="27" s="1"/>
  <c r="B70" i="10"/>
  <c r="F56" i="43"/>
  <c r="B56" i="43"/>
  <c r="I58" i="37"/>
  <c r="F58" i="39"/>
  <c r="G58" i="39" s="1"/>
  <c r="B58" i="39"/>
  <c r="B61" i="28"/>
  <c r="F61" i="28"/>
  <c r="I60" i="31"/>
  <c r="F59" i="37"/>
  <c r="H59" i="37" s="1"/>
  <c r="B59" i="37"/>
  <c r="D58" i="46"/>
  <c r="B63" i="24"/>
  <c r="F63" i="24"/>
  <c r="B66" i="4"/>
  <c r="B66" i="3"/>
  <c r="B69" i="7"/>
  <c r="G68" i="9"/>
  <c r="H68" i="9"/>
  <c r="D69" i="9"/>
  <c r="I59" i="30"/>
  <c r="I57" i="45"/>
  <c r="B61" i="31"/>
  <c r="F61" i="31"/>
  <c r="B68" i="11"/>
  <c r="B66" i="5"/>
  <c r="F65" i="25"/>
  <c r="B65" i="25"/>
  <c r="I64" i="25"/>
  <c r="G57" i="46"/>
  <c r="I57" i="46" s="1"/>
  <c r="E66" i="4"/>
  <c r="F66" i="4" s="1"/>
  <c r="I65" i="3"/>
  <c r="I66" i="6"/>
  <c r="I68" i="7"/>
  <c r="F60" i="30"/>
  <c r="B60" i="30"/>
  <c r="B58" i="38"/>
  <c r="F58" i="38"/>
  <c r="H58" i="38" s="1"/>
  <c r="I60" i="28"/>
  <c r="B65" i="22"/>
  <c r="F65" i="22"/>
  <c r="E68" i="11"/>
  <c r="F68" i="11" s="1"/>
  <c r="E66" i="5"/>
  <c r="F66" i="5" s="1"/>
  <c r="B61" i="29"/>
  <c r="F61" i="29"/>
  <c r="F64" i="23"/>
  <c r="B64" i="23"/>
  <c r="B57" i="41"/>
  <c r="F57" i="41"/>
  <c r="E66" i="3"/>
  <c r="F66" i="3" s="1"/>
  <c r="E70" i="10"/>
  <c r="F70" i="10" s="1"/>
  <c r="F67" i="6"/>
  <c r="B67" i="6"/>
  <c r="E69" i="7"/>
  <c r="F69" i="7" s="1"/>
  <c r="I56" i="42"/>
  <c r="F57" i="40"/>
  <c r="G57" i="40" s="1"/>
  <c r="B57" i="40"/>
  <c r="B57" i="42"/>
  <c r="F57" i="42"/>
  <c r="G57" i="42" s="1"/>
  <c r="B67" i="8"/>
  <c r="F67" i="8"/>
  <c r="F58" i="45"/>
  <c r="G58" i="45" s="1"/>
  <c r="B58" i="45"/>
  <c r="H58" i="45"/>
  <c r="H139" i="13"/>
  <c r="I139" i="13"/>
  <c r="F140" i="13"/>
  <c r="B140" i="13"/>
  <c r="B58" i="13" l="1"/>
  <c r="E58" i="13"/>
  <c r="F58" i="13" s="1"/>
  <c r="H57" i="40"/>
  <c r="I57" i="40" s="1"/>
  <c r="H58" i="44"/>
  <c r="D59" i="44"/>
  <c r="G58" i="44"/>
  <c r="I68" i="9"/>
  <c r="H57" i="42"/>
  <c r="I57" i="42" s="1"/>
  <c r="H58" i="39"/>
  <c r="I58" i="39" s="1"/>
  <c r="G59" i="37"/>
  <c r="I58" i="45"/>
  <c r="G58" i="38"/>
  <c r="I58" i="38" s="1"/>
  <c r="H62" i="27"/>
  <c r="D63" i="27"/>
  <c r="B63" i="27" s="1"/>
  <c r="G62" i="27"/>
  <c r="D67" i="3"/>
  <c r="E67" i="3" s="1"/>
  <c r="H66" i="3"/>
  <c r="G66" i="3"/>
  <c r="G66" i="5"/>
  <c r="D67" i="5"/>
  <c r="E67" i="5" s="1"/>
  <c r="H66" i="5"/>
  <c r="D67" i="4"/>
  <c r="E67" i="4" s="1"/>
  <c r="G66" i="4"/>
  <c r="H66" i="4"/>
  <c r="I66" i="4" s="1"/>
  <c r="G69" i="7"/>
  <c r="H69" i="7"/>
  <c r="D70" i="7"/>
  <c r="E70" i="7" s="1"/>
  <c r="G68" i="11"/>
  <c r="H68" i="11"/>
  <c r="D69" i="11"/>
  <c r="E69" i="11" s="1"/>
  <c r="D71" i="10"/>
  <c r="E71" i="10" s="1"/>
  <c r="G70" i="10"/>
  <c r="H70" i="10"/>
  <c r="D58" i="41"/>
  <c r="E58" i="41" s="1"/>
  <c r="D62" i="31"/>
  <c r="E62" i="31" s="1"/>
  <c r="H61" i="31"/>
  <c r="G61" i="31"/>
  <c r="B69" i="9"/>
  <c r="B58" i="46"/>
  <c r="D57" i="43"/>
  <c r="E57" i="43" s="1"/>
  <c r="D58" i="40"/>
  <c r="E58" i="40"/>
  <c r="H67" i="6"/>
  <c r="D68" i="6"/>
  <c r="G67" i="6"/>
  <c r="H57" i="41"/>
  <c r="D65" i="23"/>
  <c r="E65" i="23" s="1"/>
  <c r="G64" i="23"/>
  <c r="H64" i="23"/>
  <c r="E69" i="9"/>
  <c r="F69" i="9" s="1"/>
  <c r="E58" i="46"/>
  <c r="F58" i="46" s="1"/>
  <c r="I59" i="37"/>
  <c r="G56" i="43"/>
  <c r="G61" i="29"/>
  <c r="H61" i="29"/>
  <c r="D62" i="29"/>
  <c r="E62" i="29" s="1"/>
  <c r="D59" i="38"/>
  <c r="E59" i="38"/>
  <c r="D64" i="24"/>
  <c r="E64" i="24" s="1"/>
  <c r="H63" i="24"/>
  <c r="G63" i="24"/>
  <c r="H67" i="8"/>
  <c r="G67" i="8"/>
  <c r="D68" i="8"/>
  <c r="D59" i="45"/>
  <c r="E59" i="45" s="1"/>
  <c r="D58" i="42"/>
  <c r="E58" i="42"/>
  <c r="G57" i="41"/>
  <c r="H65" i="22"/>
  <c r="G65" i="22"/>
  <c r="D66" i="22"/>
  <c r="E66" i="22" s="1"/>
  <c r="D61" i="30"/>
  <c r="E61" i="30" s="1"/>
  <c r="G60" i="30"/>
  <c r="H60" i="30"/>
  <c r="D66" i="25"/>
  <c r="H65" i="25"/>
  <c r="G65" i="25"/>
  <c r="D60" i="37"/>
  <c r="E60" i="37" s="1"/>
  <c r="D62" i="28"/>
  <c r="E62" i="28" s="1"/>
  <c r="G61" i="28"/>
  <c r="H61" i="28"/>
  <c r="D59" i="39"/>
  <c r="E59" i="39" s="1"/>
  <c r="H56" i="43"/>
  <c r="D141" i="13"/>
  <c r="G140" i="13"/>
  <c r="D59" i="13" l="1"/>
  <c r="G58" i="13"/>
  <c r="H58" i="13"/>
  <c r="I58" i="13" s="1"/>
  <c r="E59" i="44"/>
  <c r="F59" i="44" s="1"/>
  <c r="B59" i="44"/>
  <c r="I58" i="44"/>
  <c r="I56" i="43"/>
  <c r="I61" i="29"/>
  <c r="I62" i="27"/>
  <c r="I65" i="25"/>
  <c r="E63" i="27"/>
  <c r="F63" i="27" s="1"/>
  <c r="I61" i="28"/>
  <c r="D59" i="46"/>
  <c r="E59" i="46" s="1"/>
  <c r="H58" i="46"/>
  <c r="G58" i="46"/>
  <c r="H69" i="9"/>
  <c r="D70" i="9"/>
  <c r="E70" i="9" s="1"/>
  <c r="G69" i="9"/>
  <c r="B60" i="37"/>
  <c r="F60" i="37"/>
  <c r="G60" i="37" s="1"/>
  <c r="B66" i="25"/>
  <c r="F61" i="30"/>
  <c r="B61" i="30"/>
  <c r="I65" i="22"/>
  <c r="B68" i="8"/>
  <c r="F59" i="38"/>
  <c r="H59" i="38" s="1"/>
  <c r="B59" i="38"/>
  <c r="B65" i="23"/>
  <c r="F65" i="23"/>
  <c r="B68" i="6"/>
  <c r="I61" i="31"/>
  <c r="I70" i="10"/>
  <c r="E66" i="25"/>
  <c r="F66" i="25" s="1"/>
  <c r="F59" i="45"/>
  <c r="H59" i="45" s="1"/>
  <c r="B59" i="45"/>
  <c r="I63" i="24"/>
  <c r="I57" i="41"/>
  <c r="I67" i="6"/>
  <c r="B62" i="31"/>
  <c r="F62" i="31"/>
  <c r="F69" i="11"/>
  <c r="B69" i="11"/>
  <c r="F70" i="7"/>
  <c r="B70" i="7"/>
  <c r="B59" i="39"/>
  <c r="F59" i="39"/>
  <c r="H59" i="39" s="1"/>
  <c r="B62" i="28"/>
  <c r="F62" i="28"/>
  <c r="I60" i="30"/>
  <c r="F66" i="22"/>
  <c r="B66" i="22"/>
  <c r="I67" i="8"/>
  <c r="B64" i="24"/>
  <c r="F64" i="24"/>
  <c r="B62" i="29"/>
  <c r="F62" i="29"/>
  <c r="I64" i="23"/>
  <c r="E68" i="6"/>
  <c r="F68" i="6" s="1"/>
  <c r="I68" i="11"/>
  <c r="I69" i="7"/>
  <c r="F67" i="5"/>
  <c r="B67" i="5"/>
  <c r="I66" i="3"/>
  <c r="F58" i="42"/>
  <c r="H58" i="42" s="1"/>
  <c r="B58" i="42"/>
  <c r="E68" i="8"/>
  <c r="F68" i="8" s="1"/>
  <c r="F58" i="40"/>
  <c r="H58" i="40" s="1"/>
  <c r="B58" i="40"/>
  <c r="B57" i="43"/>
  <c r="F57" i="43"/>
  <c r="G57" i="43" s="1"/>
  <c r="F58" i="41"/>
  <c r="G58" i="41" s="1"/>
  <c r="B58" i="41"/>
  <c r="B71" i="10"/>
  <c r="F71" i="10"/>
  <c r="F67" i="4"/>
  <c r="B67" i="4"/>
  <c r="B67" i="3"/>
  <c r="F67" i="3"/>
  <c r="B141" i="13"/>
  <c r="H140" i="13"/>
  <c r="I140" i="13"/>
  <c r="E141" i="13"/>
  <c r="F141" i="13" s="1"/>
  <c r="E59" i="13" l="1"/>
  <c r="B59" i="13"/>
  <c r="F59" i="13"/>
  <c r="G59" i="39"/>
  <c r="I59" i="39" s="1"/>
  <c r="G59" i="44"/>
  <c r="H59" i="44"/>
  <c r="D60" i="44"/>
  <c r="G58" i="42"/>
  <c r="I58" i="42" s="1"/>
  <c r="G59" i="38"/>
  <c r="I59" i="38" s="1"/>
  <c r="H57" i="43"/>
  <c r="I57" i="43" s="1"/>
  <c r="I58" i="46"/>
  <c r="H63" i="27"/>
  <c r="D64" i="27"/>
  <c r="E64" i="27" s="1"/>
  <c r="G63" i="27"/>
  <c r="H68" i="6"/>
  <c r="G68" i="6"/>
  <c r="D69" i="6"/>
  <c r="E69" i="6" s="1"/>
  <c r="H66" i="25"/>
  <c r="G66" i="25"/>
  <c r="D67" i="25"/>
  <c r="E67" i="25" s="1"/>
  <c r="D69" i="8"/>
  <c r="E69" i="8" s="1"/>
  <c r="G68" i="8"/>
  <c r="H68" i="8"/>
  <c r="G62" i="29"/>
  <c r="H62" i="29"/>
  <c r="D63" i="29"/>
  <c r="E63" i="29" s="1"/>
  <c r="D63" i="28"/>
  <c r="G62" i="28"/>
  <c r="H62" i="28"/>
  <c r="H62" i="31"/>
  <c r="D63" i="31"/>
  <c r="G62" i="31"/>
  <c r="D60" i="45"/>
  <c r="E60" i="45" s="1"/>
  <c r="D61" i="37"/>
  <c r="E61" i="37" s="1"/>
  <c r="G67" i="4"/>
  <c r="H67" i="4"/>
  <c r="D68" i="4"/>
  <c r="E68" i="4" s="1"/>
  <c r="H58" i="41"/>
  <c r="I58" i="41" s="1"/>
  <c r="D58" i="43"/>
  <c r="E58" i="43" s="1"/>
  <c r="D59" i="40"/>
  <c r="E59" i="40" s="1"/>
  <c r="D71" i="7"/>
  <c r="E71" i="7" s="1"/>
  <c r="G70" i="7"/>
  <c r="H70" i="7"/>
  <c r="G61" i="30"/>
  <c r="D62" i="30"/>
  <c r="E62" i="30" s="1"/>
  <c r="H61" i="30"/>
  <c r="G67" i="3"/>
  <c r="D68" i="3"/>
  <c r="E68" i="3" s="1"/>
  <c r="H67" i="3"/>
  <c r="G71" i="10"/>
  <c r="H71" i="10"/>
  <c r="D72" i="10"/>
  <c r="E72" i="10" s="1"/>
  <c r="E73" i="10" s="1"/>
  <c r="G58" i="40"/>
  <c r="I58" i="40" s="1"/>
  <c r="D59" i="42"/>
  <c r="E59" i="42" s="1"/>
  <c r="G64" i="24"/>
  <c r="D65" i="24"/>
  <c r="E65" i="24" s="1"/>
  <c r="H64" i="24"/>
  <c r="H66" i="22"/>
  <c r="G66" i="22"/>
  <c r="D67" i="22"/>
  <c r="E67" i="22" s="1"/>
  <c r="D60" i="39"/>
  <c r="E60" i="39" s="1"/>
  <c r="D60" i="38"/>
  <c r="E60" i="38" s="1"/>
  <c r="H60" i="37"/>
  <c r="I60" i="37" s="1"/>
  <c r="B70" i="9"/>
  <c r="F70" i="9"/>
  <c r="D59" i="41"/>
  <c r="E59" i="41" s="1"/>
  <c r="D68" i="5"/>
  <c r="E68" i="5" s="1"/>
  <c r="G67" i="5"/>
  <c r="H67" i="5"/>
  <c r="D70" i="11"/>
  <c r="E70" i="11" s="1"/>
  <c r="G69" i="11"/>
  <c r="H69" i="11"/>
  <c r="G59" i="45"/>
  <c r="I59" i="45" s="1"/>
  <c r="D66" i="23"/>
  <c r="E66" i="23" s="1"/>
  <c r="G65" i="23"/>
  <c r="H65" i="23"/>
  <c r="I69" i="9"/>
  <c r="B59" i="46"/>
  <c r="F59" i="46"/>
  <c r="H59" i="46" s="1"/>
  <c r="G141" i="13"/>
  <c r="D142" i="13"/>
  <c r="E142" i="13" s="1"/>
  <c r="I59" i="44" l="1"/>
  <c r="G59" i="13"/>
  <c r="D60" i="13"/>
  <c r="H59" i="13"/>
  <c r="I59" i="13" s="1"/>
  <c r="E60" i="44"/>
  <c r="F60" i="44" s="1"/>
  <c r="B60" i="44"/>
  <c r="I64" i="24"/>
  <c r="I67" i="3"/>
  <c r="I66" i="22"/>
  <c r="I70" i="7"/>
  <c r="I71" i="10"/>
  <c r="G59" i="46"/>
  <c r="I59" i="46" s="1"/>
  <c r="I61" i="30"/>
  <c r="F64" i="27"/>
  <c r="B64" i="27"/>
  <c r="I62" i="29"/>
  <c r="I68" i="8"/>
  <c r="I63" i="27"/>
  <c r="G70" i="9"/>
  <c r="H70" i="9"/>
  <c r="D71" i="9"/>
  <c r="E71" i="9" s="1"/>
  <c r="F60" i="38"/>
  <c r="G60" i="38" s="1"/>
  <c r="B60" i="38"/>
  <c r="F60" i="39"/>
  <c r="G60" i="39" s="1"/>
  <c r="B60" i="39"/>
  <c r="F72" i="10"/>
  <c r="B72" i="10"/>
  <c r="B71" i="7"/>
  <c r="F71" i="7"/>
  <c r="B58" i="43"/>
  <c r="F58" i="43"/>
  <c r="H58" i="43" s="1"/>
  <c r="I67" i="4"/>
  <c r="I62" i="28"/>
  <c r="F63" i="29"/>
  <c r="B63" i="29"/>
  <c r="I65" i="23"/>
  <c r="F70" i="11"/>
  <c r="B70" i="11"/>
  <c r="B63" i="31"/>
  <c r="F67" i="25"/>
  <c r="B67" i="25"/>
  <c r="B69" i="6"/>
  <c r="F69" i="6"/>
  <c r="F67" i="22"/>
  <c r="B67" i="22"/>
  <c r="F59" i="42"/>
  <c r="H59" i="42" s="1"/>
  <c r="B59" i="42"/>
  <c r="F68" i="3"/>
  <c r="B68" i="3"/>
  <c r="B62" i="30"/>
  <c r="F62" i="30"/>
  <c r="F59" i="40"/>
  <c r="G59" i="40" s="1"/>
  <c r="B59" i="40"/>
  <c r="F61" i="37"/>
  <c r="G61" i="37" s="1"/>
  <c r="B61" i="37"/>
  <c r="F60" i="45"/>
  <c r="B60" i="45"/>
  <c r="I62" i="31"/>
  <c r="B63" i="28"/>
  <c r="D60" i="46"/>
  <c r="E60" i="46" s="1"/>
  <c r="F66" i="23"/>
  <c r="B66" i="23"/>
  <c r="I69" i="11"/>
  <c r="F68" i="5"/>
  <c r="B68" i="5"/>
  <c r="F59" i="41"/>
  <c r="H59" i="41" s="1"/>
  <c r="B59" i="41"/>
  <c r="B65" i="24"/>
  <c r="F65" i="24"/>
  <c r="B68" i="4"/>
  <c r="F68" i="4"/>
  <c r="E63" i="31"/>
  <c r="F63" i="31" s="1"/>
  <c r="E63" i="28"/>
  <c r="F63" i="28" s="1"/>
  <c r="F69" i="8"/>
  <c r="B69" i="8"/>
  <c r="I66" i="25"/>
  <c r="I68" i="6"/>
  <c r="I141" i="13"/>
  <c r="H141" i="13"/>
  <c r="B142" i="13"/>
  <c r="F142" i="13"/>
  <c r="E60" i="13" l="1"/>
  <c r="B60" i="13"/>
  <c r="F60" i="13"/>
  <c r="H60" i="44"/>
  <c r="D61" i="44"/>
  <c r="G60" i="44"/>
  <c r="G59" i="41"/>
  <c r="I59" i="41" s="1"/>
  <c r="I70" i="9"/>
  <c r="H60" i="39"/>
  <c r="I60" i="39" s="1"/>
  <c r="H59" i="40"/>
  <c r="I59" i="40" s="1"/>
  <c r="G59" i="42"/>
  <c r="I59" i="42" s="1"/>
  <c r="G58" i="43"/>
  <c r="I58" i="43" s="1"/>
  <c r="D65" i="27"/>
  <c r="G64" i="27"/>
  <c r="H64" i="27"/>
  <c r="D64" i="28"/>
  <c r="E64" i="28" s="1"/>
  <c r="G63" i="28"/>
  <c r="H63" i="28"/>
  <c r="H63" i="31"/>
  <c r="D64" i="31"/>
  <c r="G63" i="31"/>
  <c r="D70" i="8"/>
  <c r="E70" i="8" s="1"/>
  <c r="G69" i="8"/>
  <c r="H69" i="8"/>
  <c r="D69" i="5"/>
  <c r="H68" i="5"/>
  <c r="G68" i="5"/>
  <c r="D67" i="23"/>
  <c r="G66" i="23"/>
  <c r="H66" i="23"/>
  <c r="D61" i="45"/>
  <c r="E61" i="45" s="1"/>
  <c r="H61" i="37"/>
  <c r="I61" i="37" s="1"/>
  <c r="H69" i="6"/>
  <c r="D70" i="6"/>
  <c r="G69" i="6"/>
  <c r="H70" i="11"/>
  <c r="D71" i="11"/>
  <c r="G70" i="11"/>
  <c r="H60" i="38"/>
  <c r="I60" i="38" s="1"/>
  <c r="H65" i="24"/>
  <c r="D66" i="24"/>
  <c r="E66" i="24" s="1"/>
  <c r="G65" i="24"/>
  <c r="H60" i="45"/>
  <c r="D60" i="40"/>
  <c r="E60" i="40" s="1"/>
  <c r="H68" i="3"/>
  <c r="D69" i="3"/>
  <c r="G68" i="3"/>
  <c r="D60" i="42"/>
  <c r="E60" i="42" s="1"/>
  <c r="H72" i="10"/>
  <c r="G72" i="10"/>
  <c r="G73" i="10" s="1"/>
  <c r="D61" i="39"/>
  <c r="E61" i="39" s="1"/>
  <c r="D60" i="41"/>
  <c r="E60" i="41" s="1"/>
  <c r="F60" i="46"/>
  <c r="G60" i="46" s="1"/>
  <c r="B60" i="46"/>
  <c r="G62" i="30"/>
  <c r="D63" i="30"/>
  <c r="E63" i="30" s="1"/>
  <c r="H62" i="30"/>
  <c r="D59" i="43"/>
  <c r="E59" i="43" s="1"/>
  <c r="G71" i="7"/>
  <c r="H71" i="7"/>
  <c r="D72" i="7"/>
  <c r="G68" i="4"/>
  <c r="D69" i="4"/>
  <c r="H68" i="4"/>
  <c r="G60" i="45"/>
  <c r="D62" i="37"/>
  <c r="E62" i="37" s="1"/>
  <c r="D68" i="22"/>
  <c r="E68" i="22" s="1"/>
  <c r="H67" i="22"/>
  <c r="G67" i="22"/>
  <c r="D68" i="25"/>
  <c r="E68" i="25" s="1"/>
  <c r="G67" i="25"/>
  <c r="H67" i="25"/>
  <c r="H63" i="29"/>
  <c r="G63" i="29"/>
  <c r="D64" i="29"/>
  <c r="E64" i="29" s="1"/>
  <c r="D61" i="38"/>
  <c r="E61" i="38" s="1"/>
  <c r="F71" i="9"/>
  <c r="B71" i="9"/>
  <c r="D143" i="13"/>
  <c r="E143" i="13" s="1"/>
  <c r="G142" i="13"/>
  <c r="H60" i="13" l="1"/>
  <c r="D61" i="13"/>
  <c r="G60" i="13"/>
  <c r="I60" i="13" s="1"/>
  <c r="I60" i="44"/>
  <c r="I67" i="25"/>
  <c r="E61" i="44"/>
  <c r="F61" i="44" s="1"/>
  <c r="B61" i="44"/>
  <c r="H60" i="46"/>
  <c r="I60" i="46" s="1"/>
  <c r="I63" i="28"/>
  <c r="I68" i="4"/>
  <c r="I71" i="7"/>
  <c r="I68" i="3"/>
  <c r="B65" i="27"/>
  <c r="I63" i="29"/>
  <c r="I69" i="6"/>
  <c r="I64" i="27"/>
  <c r="I65" i="24"/>
  <c r="I70" i="11"/>
  <c r="E65" i="27"/>
  <c r="F65" i="27" s="1"/>
  <c r="B72" i="7"/>
  <c r="B59" i="43"/>
  <c r="F59" i="43"/>
  <c r="G59" i="43" s="1"/>
  <c r="B61" i="39"/>
  <c r="F61" i="39"/>
  <c r="B69" i="3"/>
  <c r="I60" i="45"/>
  <c r="B71" i="11"/>
  <c r="B70" i="6"/>
  <c r="I66" i="23"/>
  <c r="I69" i="8"/>
  <c r="D72" i="9"/>
  <c r="G71" i="9"/>
  <c r="H71" i="9"/>
  <c r="B64" i="29"/>
  <c r="F64" i="29"/>
  <c r="B62" i="37"/>
  <c r="F62" i="37"/>
  <c r="G62" i="37" s="1"/>
  <c r="B69" i="4"/>
  <c r="F60" i="42"/>
  <c r="G60" i="42" s="1"/>
  <c r="B60" i="42"/>
  <c r="B64" i="31"/>
  <c r="I67" i="22"/>
  <c r="I62" i="30"/>
  <c r="B60" i="41"/>
  <c r="F60" i="41"/>
  <c r="H60" i="41" s="1"/>
  <c r="I72" i="10"/>
  <c r="I73" i="10" s="1"/>
  <c r="H73" i="10"/>
  <c r="E69" i="3"/>
  <c r="F69" i="3" s="1"/>
  <c r="E71" i="11"/>
  <c r="F71" i="11" s="1"/>
  <c r="E70" i="6"/>
  <c r="F70" i="6" s="1"/>
  <c r="F61" i="45"/>
  <c r="H61" i="45" s="1"/>
  <c r="B61" i="45"/>
  <c r="B67" i="23"/>
  <c r="B69" i="5"/>
  <c r="B70" i="8"/>
  <c r="F70" i="8"/>
  <c r="I63" i="31"/>
  <c r="B61" i="38"/>
  <c r="F61" i="38"/>
  <c r="G61" i="38" s="1"/>
  <c r="B68" i="25"/>
  <c r="F68" i="25"/>
  <c r="F68" i="22"/>
  <c r="B68" i="22"/>
  <c r="E69" i="4"/>
  <c r="F69" i="4" s="1"/>
  <c r="E72" i="7"/>
  <c r="E73" i="7" s="1"/>
  <c r="F63" i="30"/>
  <c r="B63" i="30"/>
  <c r="D61" i="46"/>
  <c r="B60" i="40"/>
  <c r="F60" i="40"/>
  <c r="H60" i="40" s="1"/>
  <c r="F66" i="24"/>
  <c r="B66" i="24"/>
  <c r="E67" i="23"/>
  <c r="F67" i="23" s="1"/>
  <c r="E69" i="5"/>
  <c r="F69" i="5" s="1"/>
  <c r="E64" i="31"/>
  <c r="F64" i="31" s="1"/>
  <c r="B64" i="28"/>
  <c r="F64" i="28"/>
  <c r="I142" i="13"/>
  <c r="H142" i="13"/>
  <c r="B143" i="13"/>
  <c r="F143" i="13"/>
  <c r="E61" i="13" l="1"/>
  <c r="F61" i="13"/>
  <c r="B61" i="13"/>
  <c r="H61" i="44"/>
  <c r="D62" i="44"/>
  <c r="G61" i="44"/>
  <c r="I71" i="9"/>
  <c r="G61" i="45"/>
  <c r="I61" i="45" s="1"/>
  <c r="G60" i="41"/>
  <c r="I60" i="41" s="1"/>
  <c r="H59" i="43"/>
  <c r="I59" i="43" s="1"/>
  <c r="G65" i="27"/>
  <c r="D66" i="27"/>
  <c r="H65" i="27"/>
  <c r="H60" i="42"/>
  <c r="I60" i="42" s="1"/>
  <c r="H71" i="11"/>
  <c r="G71" i="11"/>
  <c r="D72" i="11"/>
  <c r="E72" i="11" s="1"/>
  <c r="E73" i="11" s="1"/>
  <c r="H69" i="5"/>
  <c r="D70" i="5"/>
  <c r="E70" i="5" s="1"/>
  <c r="G69" i="5"/>
  <c r="G69" i="3"/>
  <c r="H69" i="3"/>
  <c r="D70" i="3"/>
  <c r="E70" i="3" s="1"/>
  <c r="G69" i="4"/>
  <c r="D70" i="4"/>
  <c r="E70" i="4" s="1"/>
  <c r="H69" i="4"/>
  <c r="G67" i="23"/>
  <c r="H67" i="23"/>
  <c r="D68" i="23"/>
  <c r="H64" i="31"/>
  <c r="D65" i="31"/>
  <c r="G64" i="31"/>
  <c r="H70" i="6"/>
  <c r="D71" i="6"/>
  <c r="G70" i="6"/>
  <c r="H66" i="24"/>
  <c r="D67" i="24"/>
  <c r="G66" i="24"/>
  <c r="H63" i="30"/>
  <c r="D64" i="30"/>
  <c r="G63" i="30"/>
  <c r="D69" i="22"/>
  <c r="G68" i="22"/>
  <c r="H68" i="22"/>
  <c r="B72" i="9"/>
  <c r="D62" i="39"/>
  <c r="E62" i="39" s="1"/>
  <c r="G60" i="40"/>
  <c r="I60" i="40" s="1"/>
  <c r="B61" i="46"/>
  <c r="H68" i="25"/>
  <c r="D69" i="25"/>
  <c r="E69" i="25" s="1"/>
  <c r="G68" i="25"/>
  <c r="H61" i="38"/>
  <c r="I61" i="38" s="1"/>
  <c r="D63" i="37"/>
  <c r="D65" i="28"/>
  <c r="G64" i="28"/>
  <c r="H64" i="28"/>
  <c r="E61" i="46"/>
  <c r="F61" i="46" s="1"/>
  <c r="D71" i="8"/>
  <c r="G70" i="8"/>
  <c r="H70" i="8"/>
  <c r="D62" i="45"/>
  <c r="D61" i="41"/>
  <c r="E61" i="41" s="1"/>
  <c r="G61" i="39"/>
  <c r="D60" i="43"/>
  <c r="E60" i="43" s="1"/>
  <c r="F72" i="7"/>
  <c r="D61" i="40"/>
  <c r="E61" i="40" s="1"/>
  <c r="D62" i="38"/>
  <c r="E62" i="38" s="1"/>
  <c r="D61" i="42"/>
  <c r="E61" i="42" s="1"/>
  <c r="H62" i="37"/>
  <c r="I62" i="37" s="1"/>
  <c r="G64" i="29"/>
  <c r="H64" i="29"/>
  <c r="D65" i="29"/>
  <c r="E65" i="29" s="1"/>
  <c r="E72" i="9"/>
  <c r="E73" i="9" s="1"/>
  <c r="H61" i="39"/>
  <c r="D144" i="13"/>
  <c r="G143" i="13"/>
  <c r="I61" i="44" l="1"/>
  <c r="H61" i="13"/>
  <c r="G61" i="13"/>
  <c r="D62" i="13"/>
  <c r="E62" i="44"/>
  <c r="F62" i="44" s="1"/>
  <c r="B62" i="44"/>
  <c r="I66" i="24"/>
  <c r="I67" i="23"/>
  <c r="I65" i="27"/>
  <c r="I70" i="6"/>
  <c r="I63" i="30"/>
  <c r="E66" i="27"/>
  <c r="F66" i="27" s="1"/>
  <c r="B66" i="27"/>
  <c r="I64" i="31"/>
  <c r="I69" i="4"/>
  <c r="I69" i="3"/>
  <c r="D62" i="46"/>
  <c r="E62" i="46" s="1"/>
  <c r="G61" i="46"/>
  <c r="H61" i="46"/>
  <c r="B61" i="40"/>
  <c r="F61" i="40"/>
  <c r="G61" i="40" s="1"/>
  <c r="F61" i="41"/>
  <c r="H61" i="41" s="1"/>
  <c r="B61" i="41"/>
  <c r="I70" i="8"/>
  <c r="I68" i="25"/>
  <c r="F72" i="9"/>
  <c r="I68" i="22"/>
  <c r="B68" i="23"/>
  <c r="B60" i="43"/>
  <c r="F60" i="43"/>
  <c r="H60" i="43" s="1"/>
  <c r="B62" i="45"/>
  <c r="B65" i="28"/>
  <c r="B64" i="30"/>
  <c r="B67" i="24"/>
  <c r="B71" i="6"/>
  <c r="B65" i="31"/>
  <c r="B70" i="3"/>
  <c r="F70" i="3"/>
  <c r="B72" i="11"/>
  <c r="F72" i="11"/>
  <c r="B62" i="38"/>
  <c r="F62" i="38"/>
  <c r="G62" i="38" s="1"/>
  <c r="E62" i="45"/>
  <c r="F62" i="45" s="1"/>
  <c r="B71" i="8"/>
  <c r="E65" i="28"/>
  <c r="F65" i="28" s="1"/>
  <c r="B63" i="37"/>
  <c r="B69" i="22"/>
  <c r="F70" i="4"/>
  <c r="B70" i="4"/>
  <c r="F70" i="5"/>
  <c r="B70" i="5"/>
  <c r="F65" i="29"/>
  <c r="B65" i="29"/>
  <c r="I61" i="39"/>
  <c r="I64" i="29"/>
  <c r="B61" i="42"/>
  <c r="F61" i="42"/>
  <c r="H61" i="42" s="1"/>
  <c r="G72" i="7"/>
  <c r="G73" i="7" s="1"/>
  <c r="H72" i="7"/>
  <c r="E71" i="8"/>
  <c r="F71" i="8" s="1"/>
  <c r="I64" i="28"/>
  <c r="E63" i="37"/>
  <c r="F63" i="37" s="1"/>
  <c r="F69" i="25"/>
  <c r="B69" i="25"/>
  <c r="F62" i="39"/>
  <c r="G62" i="39" s="1"/>
  <c r="B62" i="39"/>
  <c r="E69" i="22"/>
  <c r="F69" i="22" s="1"/>
  <c r="E64" i="30"/>
  <c r="F64" i="30" s="1"/>
  <c r="E67" i="24"/>
  <c r="F67" i="24" s="1"/>
  <c r="E71" i="6"/>
  <c r="F71" i="6" s="1"/>
  <c r="E65" i="31"/>
  <c r="F65" i="31" s="1"/>
  <c r="E68" i="23"/>
  <c r="F68" i="23" s="1"/>
  <c r="I71" i="11"/>
  <c r="H143" i="13"/>
  <c r="I143" i="13"/>
  <c r="B144" i="13"/>
  <c r="E144" i="13"/>
  <c r="F144" i="13" s="1"/>
  <c r="I61" i="13" l="1"/>
  <c r="E62" i="13"/>
  <c r="F62" i="13" s="1"/>
  <c r="B62" i="13"/>
  <c r="G62" i="44"/>
  <c r="H62" i="44"/>
  <c r="D63" i="44"/>
  <c r="I61" i="46"/>
  <c r="H62" i="39"/>
  <c r="I62" i="39" s="1"/>
  <c r="H61" i="40"/>
  <c r="I61" i="40" s="1"/>
  <c r="G61" i="42"/>
  <c r="I61" i="42" s="1"/>
  <c r="G66" i="27"/>
  <c r="H66" i="27"/>
  <c r="D67" i="27"/>
  <c r="H69" i="22"/>
  <c r="G69" i="22"/>
  <c r="D70" i="22"/>
  <c r="E70" i="22" s="1"/>
  <c r="H65" i="28"/>
  <c r="G65" i="28"/>
  <c r="D66" i="28"/>
  <c r="E66" i="28" s="1"/>
  <c r="H71" i="6"/>
  <c r="G71" i="6"/>
  <c r="D72" i="6"/>
  <c r="E72" i="6" s="1"/>
  <c r="E73" i="6" s="1"/>
  <c r="G65" i="31"/>
  <c r="H65" i="31"/>
  <c r="D66" i="31"/>
  <c r="E66" i="31" s="1"/>
  <c r="G67" i="24"/>
  <c r="H67" i="24"/>
  <c r="D68" i="24"/>
  <c r="E68" i="24" s="1"/>
  <c r="D69" i="23"/>
  <c r="E69" i="23" s="1"/>
  <c r="G68" i="23"/>
  <c r="H68" i="23"/>
  <c r="H64" i="30"/>
  <c r="D65" i="30"/>
  <c r="E65" i="30" s="1"/>
  <c r="G64" i="30"/>
  <c r="D64" i="37"/>
  <c r="H63" i="37"/>
  <c r="G63" i="37"/>
  <c r="D63" i="45"/>
  <c r="E63" i="45" s="1"/>
  <c r="G62" i="45"/>
  <c r="H62" i="45"/>
  <c r="D70" i="25"/>
  <c r="E70" i="25" s="1"/>
  <c r="G69" i="25"/>
  <c r="H69" i="25"/>
  <c r="D63" i="38"/>
  <c r="E63" i="38" s="1"/>
  <c r="D71" i="3"/>
  <c r="H70" i="3"/>
  <c r="G70" i="3"/>
  <c r="D61" i="43"/>
  <c r="E61" i="43" s="1"/>
  <c r="I72" i="7"/>
  <c r="I73" i="7" s="1"/>
  <c r="H73" i="7"/>
  <c r="G70" i="5"/>
  <c r="D71" i="5"/>
  <c r="E71" i="5" s="1"/>
  <c r="H70" i="5"/>
  <c r="D62" i="41"/>
  <c r="E62" i="41" s="1"/>
  <c r="D63" i="39"/>
  <c r="E63" i="39" s="1"/>
  <c r="D62" i="42"/>
  <c r="E62" i="42" s="1"/>
  <c r="H62" i="38"/>
  <c r="I62" i="38" s="1"/>
  <c r="H72" i="11"/>
  <c r="G72" i="11"/>
  <c r="G73" i="11" s="1"/>
  <c r="G60" i="43"/>
  <c r="I60" i="43" s="1"/>
  <c r="G61" i="41"/>
  <c r="I61" i="41" s="1"/>
  <c r="D62" i="40"/>
  <c r="E62" i="40" s="1"/>
  <c r="G65" i="29"/>
  <c r="H65" i="29"/>
  <c r="D66" i="29"/>
  <c r="E66" i="29" s="1"/>
  <c r="H70" i="4"/>
  <c r="G70" i="4"/>
  <c r="D71" i="4"/>
  <c r="E71" i="4" s="1"/>
  <c r="H71" i="8"/>
  <c r="G71" i="8"/>
  <c r="D72" i="8"/>
  <c r="E72" i="8" s="1"/>
  <c r="E73" i="8" s="1"/>
  <c r="H72" i="9"/>
  <c r="G72" i="9"/>
  <c r="G73" i="9" s="1"/>
  <c r="F62" i="46"/>
  <c r="H62" i="46" s="1"/>
  <c r="B62" i="46"/>
  <c r="G144" i="13"/>
  <c r="D145" i="13"/>
  <c r="E145" i="13" s="1"/>
  <c r="I69" i="25" l="1"/>
  <c r="I68" i="23"/>
  <c r="G62" i="13"/>
  <c r="H62" i="13"/>
  <c r="D63" i="13"/>
  <c r="I62" i="44"/>
  <c r="I70" i="4"/>
  <c r="E63" i="44"/>
  <c r="F63" i="44" s="1"/>
  <c r="B63" i="44"/>
  <c r="I66" i="27"/>
  <c r="G62" i="46"/>
  <c r="I62" i="46" s="1"/>
  <c r="I63" i="37"/>
  <c r="B67" i="27"/>
  <c r="I71" i="8"/>
  <c r="E67" i="27"/>
  <c r="F67" i="27" s="1"/>
  <c r="I65" i="31"/>
  <c r="I65" i="29"/>
  <c r="I72" i="11"/>
  <c r="I73" i="11" s="1"/>
  <c r="H73" i="11"/>
  <c r="B62" i="41"/>
  <c r="F62" i="41"/>
  <c r="H62" i="41" s="1"/>
  <c r="I70" i="3"/>
  <c r="I62" i="45"/>
  <c r="B63" i="39"/>
  <c r="F63" i="39"/>
  <c r="H63" i="39" s="1"/>
  <c r="F61" i="43"/>
  <c r="G61" i="43" s="1"/>
  <c r="B61" i="43"/>
  <c r="B71" i="3"/>
  <c r="F68" i="24"/>
  <c r="B68" i="24"/>
  <c r="F66" i="31"/>
  <c r="B66" i="31"/>
  <c r="F72" i="6"/>
  <c r="B72" i="6"/>
  <c r="F66" i="28"/>
  <c r="B66" i="28"/>
  <c r="B70" i="22"/>
  <c r="F70" i="22"/>
  <c r="I72" i="9"/>
  <c r="I73" i="9" s="1"/>
  <c r="H73" i="9"/>
  <c r="D63" i="46"/>
  <c r="E63" i="46" s="1"/>
  <c r="B71" i="5"/>
  <c r="F71" i="5"/>
  <c r="E71" i="3"/>
  <c r="F71" i="3" s="1"/>
  <c r="B64" i="37"/>
  <c r="F65" i="30"/>
  <c r="B65" i="30"/>
  <c r="I67" i="24"/>
  <c r="F72" i="8"/>
  <c r="B72" i="8"/>
  <c r="B71" i="4"/>
  <c r="F71" i="4"/>
  <c r="F66" i="29"/>
  <c r="B66" i="29"/>
  <c r="F62" i="40"/>
  <c r="H62" i="40" s="1"/>
  <c r="B62" i="40"/>
  <c r="B62" i="42"/>
  <c r="F62" i="42"/>
  <c r="H62" i="42" s="1"/>
  <c r="B63" i="38"/>
  <c r="F63" i="38"/>
  <c r="G63" i="38" s="1"/>
  <c r="F70" i="25"/>
  <c r="B70" i="25"/>
  <c r="F63" i="45"/>
  <c r="H63" i="45" s="1"/>
  <c r="B63" i="45"/>
  <c r="E64" i="37"/>
  <c r="F64" i="37" s="1"/>
  <c r="H64" i="37" s="1"/>
  <c r="I64" i="30"/>
  <c r="B69" i="23"/>
  <c r="F69" i="23"/>
  <c r="I71" i="6"/>
  <c r="I65" i="28"/>
  <c r="I69" i="22"/>
  <c r="F145" i="13"/>
  <c r="B145" i="13"/>
  <c r="H144" i="13"/>
  <c r="I144" i="13"/>
  <c r="I62" i="13" l="1"/>
  <c r="E63" i="13"/>
  <c r="F63" i="13" s="1"/>
  <c r="B63" i="13"/>
  <c r="D64" i="44"/>
  <c r="G63" i="44"/>
  <c r="H63" i="44"/>
  <c r="H63" i="38"/>
  <c r="I63" i="38" s="1"/>
  <c r="G63" i="45"/>
  <c r="I63" i="45" s="1"/>
  <c r="G67" i="27"/>
  <c r="D68" i="27"/>
  <c r="B68" i="27" s="1"/>
  <c r="H67" i="27"/>
  <c r="H61" i="43"/>
  <c r="I61" i="43" s="1"/>
  <c r="G71" i="3"/>
  <c r="H71" i="3"/>
  <c r="D72" i="3"/>
  <c r="E72" i="3" s="1"/>
  <c r="E73" i="3" s="1"/>
  <c r="G69" i="23"/>
  <c r="H69" i="23"/>
  <c r="D70" i="23"/>
  <c r="E70" i="23" s="1"/>
  <c r="H71" i="4"/>
  <c r="D72" i="4"/>
  <c r="E72" i="4" s="1"/>
  <c r="E73" i="4" s="1"/>
  <c r="G71" i="4"/>
  <c r="D72" i="5"/>
  <c r="E72" i="5" s="1"/>
  <c r="E73" i="5" s="1"/>
  <c r="H71" i="5"/>
  <c r="G71" i="5"/>
  <c r="G62" i="41"/>
  <c r="I62" i="41" s="1"/>
  <c r="D71" i="25"/>
  <c r="G70" i="25"/>
  <c r="H70" i="25"/>
  <c r="D63" i="40"/>
  <c r="E63" i="40"/>
  <c r="D65" i="37"/>
  <c r="E65" i="37" s="1"/>
  <c r="H66" i="28"/>
  <c r="D67" i="28"/>
  <c r="G66" i="28"/>
  <c r="G66" i="31"/>
  <c r="D67" i="31"/>
  <c r="H66" i="31"/>
  <c r="D62" i="43"/>
  <c r="E62" i="43" s="1"/>
  <c r="D63" i="42"/>
  <c r="G65" i="30"/>
  <c r="H65" i="30"/>
  <c r="D66" i="30"/>
  <c r="H70" i="22"/>
  <c r="D71" i="22"/>
  <c r="G70" i="22"/>
  <c r="D64" i="39"/>
  <c r="D63" i="41"/>
  <c r="E63" i="41" s="1"/>
  <c r="D64" i="45"/>
  <c r="E64" i="45" s="1"/>
  <c r="D64" i="38"/>
  <c r="E64" i="38" s="1"/>
  <c r="G62" i="42"/>
  <c r="I62" i="42" s="1"/>
  <c r="G62" i="40"/>
  <c r="I62" i="40" s="1"/>
  <c r="H66" i="29"/>
  <c r="D67" i="29"/>
  <c r="G66" i="29"/>
  <c r="H72" i="8"/>
  <c r="G72" i="8"/>
  <c r="G73" i="8" s="1"/>
  <c r="G64" i="37"/>
  <c r="I64" i="37" s="1"/>
  <c r="B63" i="46"/>
  <c r="F63" i="46"/>
  <c r="G63" i="46" s="1"/>
  <c r="G72" i="6"/>
  <c r="G73" i="6" s="1"/>
  <c r="H72" i="6"/>
  <c r="H68" i="24"/>
  <c r="G68" i="24"/>
  <c r="D69" i="24"/>
  <c r="E69" i="24" s="1"/>
  <c r="G63" i="39"/>
  <c r="I63" i="39" s="1"/>
  <c r="G145" i="13"/>
  <c r="D146" i="13"/>
  <c r="E146" i="13" s="1"/>
  <c r="G63" i="13" l="1"/>
  <c r="H63" i="13"/>
  <c r="D64" i="13"/>
  <c r="I63" i="44"/>
  <c r="E64" i="44"/>
  <c r="F64" i="44" s="1"/>
  <c r="B64" i="44"/>
  <c r="I66" i="28"/>
  <c r="I65" i="30"/>
  <c r="I66" i="29"/>
  <c r="I70" i="22"/>
  <c r="E68" i="27"/>
  <c r="F68" i="27" s="1"/>
  <c r="I68" i="24"/>
  <c r="H63" i="46"/>
  <c r="I63" i="46" s="1"/>
  <c r="I67" i="27"/>
  <c r="I72" i="8"/>
  <c r="I73" i="8" s="1"/>
  <c r="H73" i="8"/>
  <c r="B64" i="39"/>
  <c r="B67" i="29"/>
  <c r="E64" i="39"/>
  <c r="F64" i="39" s="1"/>
  <c r="B66" i="30"/>
  <c r="B63" i="42"/>
  <c r="I66" i="31"/>
  <c r="I70" i="25"/>
  <c r="I71" i="3"/>
  <c r="I72" i="6"/>
  <c r="I73" i="6" s="1"/>
  <c r="H73" i="6"/>
  <c r="B71" i="22"/>
  <c r="B67" i="31"/>
  <c r="F69" i="24"/>
  <c r="B69" i="24"/>
  <c r="E67" i="29"/>
  <c r="F67" i="29" s="1"/>
  <c r="B62" i="43"/>
  <c r="F62" i="43"/>
  <c r="G62" i="43" s="1"/>
  <c r="B63" i="40"/>
  <c r="F63" i="40"/>
  <c r="H63" i="40" s="1"/>
  <c r="B71" i="25"/>
  <c r="B72" i="4"/>
  <c r="F72" i="4"/>
  <c r="F70" i="23"/>
  <c r="B70" i="23"/>
  <c r="B64" i="38"/>
  <c r="F64" i="38"/>
  <c r="H64" i="38" s="1"/>
  <c r="B67" i="28"/>
  <c r="D64" i="46"/>
  <c r="E64" i="46" s="1"/>
  <c r="F64" i="45"/>
  <c r="H64" i="45" s="1"/>
  <c r="B64" i="45"/>
  <c r="B63" i="41"/>
  <c r="F63" i="41"/>
  <c r="H63" i="41" s="1"/>
  <c r="E71" i="22"/>
  <c r="F71" i="22" s="1"/>
  <c r="E66" i="30"/>
  <c r="F66" i="30" s="1"/>
  <c r="E63" i="42"/>
  <c r="F63" i="42" s="1"/>
  <c r="E67" i="31"/>
  <c r="F67" i="31" s="1"/>
  <c r="E67" i="28"/>
  <c r="F67" i="28" s="1"/>
  <c r="F65" i="37"/>
  <c r="G65" i="37" s="1"/>
  <c r="B65" i="37"/>
  <c r="E71" i="25"/>
  <c r="F71" i="25" s="1"/>
  <c r="B72" i="5"/>
  <c r="F72" i="5"/>
  <c r="I71" i="4"/>
  <c r="I69" i="23"/>
  <c r="F72" i="3"/>
  <c r="B72" i="3"/>
  <c r="H145" i="13"/>
  <c r="I145" i="13"/>
  <c r="B146" i="13"/>
  <c r="F146" i="13"/>
  <c r="I63" i="13" l="1"/>
  <c r="E64" i="13"/>
  <c r="F64" i="13" s="1"/>
  <c r="B64" i="13"/>
  <c r="G63" i="41"/>
  <c r="I63" i="41" s="1"/>
  <c r="G64" i="44"/>
  <c r="D65" i="44"/>
  <c r="H64" i="44"/>
  <c r="H68" i="27"/>
  <c r="G68" i="27"/>
  <c r="D69" i="27"/>
  <c r="E69" i="27" s="1"/>
  <c r="D64" i="42"/>
  <c r="E64" i="42" s="1"/>
  <c r="H63" i="42"/>
  <c r="G63" i="42"/>
  <c r="H66" i="30"/>
  <c r="G66" i="30"/>
  <c r="D67" i="30"/>
  <c r="E67" i="30" s="1"/>
  <c r="G67" i="29"/>
  <c r="D68" i="29"/>
  <c r="H67" i="29"/>
  <c r="H67" i="28"/>
  <c r="D68" i="28"/>
  <c r="G67" i="28"/>
  <c r="D68" i="31"/>
  <c r="H67" i="31"/>
  <c r="G67" i="31"/>
  <c r="D65" i="39"/>
  <c r="E65" i="39" s="1"/>
  <c r="H64" i="39"/>
  <c r="G64" i="39"/>
  <c r="G72" i="5"/>
  <c r="G73" i="5" s="1"/>
  <c r="H72" i="5"/>
  <c r="H73" i="5" s="1"/>
  <c r="D65" i="45"/>
  <c r="H72" i="4"/>
  <c r="G72" i="4"/>
  <c r="G73" i="4" s="1"/>
  <c r="D63" i="43"/>
  <c r="E63" i="43" s="1"/>
  <c r="H69" i="24"/>
  <c r="G69" i="24"/>
  <c r="D70" i="24"/>
  <c r="E70" i="24" s="1"/>
  <c r="H70" i="23"/>
  <c r="G70" i="23"/>
  <c r="D71" i="23"/>
  <c r="E71" i="23" s="1"/>
  <c r="D72" i="25"/>
  <c r="E72" i="25" s="1"/>
  <c r="E73" i="25" s="1"/>
  <c r="H71" i="25"/>
  <c r="G71" i="25"/>
  <c r="D66" i="37"/>
  <c r="E66" i="37" s="1"/>
  <c r="D64" i="40"/>
  <c r="E64" i="40" s="1"/>
  <c r="D65" i="38"/>
  <c r="E65" i="38" s="1"/>
  <c r="H71" i="22"/>
  <c r="D72" i="22"/>
  <c r="E72" i="22" s="1"/>
  <c r="E73" i="22" s="1"/>
  <c r="G71" i="22"/>
  <c r="H72" i="3"/>
  <c r="G72" i="3"/>
  <c r="G73" i="3" s="1"/>
  <c r="H65" i="37"/>
  <c r="I65" i="37" s="1"/>
  <c r="D64" i="41"/>
  <c r="E64" i="41" s="1"/>
  <c r="G64" i="45"/>
  <c r="I64" i="45" s="1"/>
  <c r="F64" i="46"/>
  <c r="H64" i="46" s="1"/>
  <c r="B64" i="46"/>
  <c r="G64" i="38"/>
  <c r="I64" i="38" s="1"/>
  <c r="G63" i="40"/>
  <c r="I63" i="40" s="1"/>
  <c r="H62" i="43"/>
  <c r="I62" i="43" s="1"/>
  <c r="G146" i="13"/>
  <c r="D147" i="13"/>
  <c r="E147" i="13" s="1"/>
  <c r="I64" i="44" l="1"/>
  <c r="H64" i="13"/>
  <c r="G64" i="13"/>
  <c r="D65" i="13"/>
  <c r="I67" i="29"/>
  <c r="E65" i="44"/>
  <c r="F65" i="44" s="1"/>
  <c r="B65" i="44"/>
  <c r="I68" i="27"/>
  <c r="I71" i="22"/>
  <c r="I66" i="30"/>
  <c r="B69" i="27"/>
  <c r="F69" i="27"/>
  <c r="F64" i="41"/>
  <c r="G64" i="41" s="1"/>
  <c r="B64" i="41"/>
  <c r="F64" i="40"/>
  <c r="G64" i="40" s="1"/>
  <c r="B64" i="40"/>
  <c r="F70" i="24"/>
  <c r="B70" i="24"/>
  <c r="B63" i="43"/>
  <c r="F63" i="43"/>
  <c r="H63" i="43" s="1"/>
  <c r="B65" i="39"/>
  <c r="F65" i="39"/>
  <c r="G65" i="39" s="1"/>
  <c r="I67" i="31"/>
  <c r="B68" i="28"/>
  <c r="B68" i="29"/>
  <c r="F67" i="30"/>
  <c r="B67" i="30"/>
  <c r="I63" i="42"/>
  <c r="B71" i="23"/>
  <c r="F71" i="23"/>
  <c r="B65" i="38"/>
  <c r="F65" i="38"/>
  <c r="G65" i="38" s="1"/>
  <c r="I71" i="25"/>
  <c r="B65" i="45"/>
  <c r="B68" i="31"/>
  <c r="I67" i="28"/>
  <c r="I72" i="3"/>
  <c r="I73" i="3" s="1"/>
  <c r="H73" i="3"/>
  <c r="D65" i="46"/>
  <c r="G64" i="46"/>
  <c r="I64" i="46" s="1"/>
  <c r="F72" i="22"/>
  <c r="B72" i="22"/>
  <c r="F66" i="37"/>
  <c r="H66" i="37" s="1"/>
  <c r="B66" i="37"/>
  <c r="F72" i="25"/>
  <c r="B72" i="25"/>
  <c r="I70" i="23"/>
  <c r="I69" i="24"/>
  <c r="I72" i="4"/>
  <c r="I73" i="4" s="1"/>
  <c r="H73" i="4"/>
  <c r="E65" i="45"/>
  <c r="F65" i="45" s="1"/>
  <c r="I64" i="39"/>
  <c r="E68" i="31"/>
  <c r="F68" i="31" s="1"/>
  <c r="E68" i="28"/>
  <c r="F68" i="28" s="1"/>
  <c r="E68" i="29"/>
  <c r="F68" i="29" s="1"/>
  <c r="F64" i="42"/>
  <c r="H64" i="42" s="1"/>
  <c r="B64" i="42"/>
  <c r="F147" i="13"/>
  <c r="B147" i="13"/>
  <c r="H146" i="13"/>
  <c r="I146" i="13"/>
  <c r="I64" i="13" l="1"/>
  <c r="E65" i="13"/>
  <c r="F65" i="13" s="1"/>
  <c r="H65" i="13" s="1"/>
  <c r="B65" i="13"/>
  <c r="G66" i="37"/>
  <c r="D66" i="44"/>
  <c r="H65" i="44"/>
  <c r="G65" i="44"/>
  <c r="G63" i="43"/>
  <c r="I63" i="43" s="1"/>
  <c r="H64" i="40"/>
  <c r="I64" i="40" s="1"/>
  <c r="H64" i="41"/>
  <c r="I64" i="41" s="1"/>
  <c r="G69" i="27"/>
  <c r="D70" i="27"/>
  <c r="E70" i="27" s="1"/>
  <c r="H69" i="27"/>
  <c r="H68" i="29"/>
  <c r="G68" i="29"/>
  <c r="D69" i="29"/>
  <c r="E69" i="29" s="1"/>
  <c r="D69" i="28"/>
  <c r="E69" i="28" s="1"/>
  <c r="G68" i="28"/>
  <c r="H68" i="28"/>
  <c r="D66" i="45"/>
  <c r="H65" i="45"/>
  <c r="G65" i="45"/>
  <c r="H68" i="31"/>
  <c r="D69" i="31"/>
  <c r="G68" i="31"/>
  <c r="D65" i="42"/>
  <c r="E65" i="42" s="1"/>
  <c r="H72" i="25"/>
  <c r="G72" i="25"/>
  <c r="G73" i="25" s="1"/>
  <c r="D67" i="37"/>
  <c r="G72" i="22"/>
  <c r="G73" i="22" s="1"/>
  <c r="H72" i="22"/>
  <c r="H65" i="38"/>
  <c r="I65" i="38" s="1"/>
  <c r="D66" i="39"/>
  <c r="E66" i="39" s="1"/>
  <c r="B65" i="46"/>
  <c r="G64" i="42"/>
  <c r="I64" i="42" s="1"/>
  <c r="I66" i="37"/>
  <c r="H65" i="39"/>
  <c r="I65" i="39" s="1"/>
  <c r="D64" i="43"/>
  <c r="E64" i="43" s="1"/>
  <c r="H70" i="24"/>
  <c r="G70" i="24"/>
  <c r="D71" i="24"/>
  <c r="E71" i="24" s="1"/>
  <c r="D65" i="40"/>
  <c r="E65" i="40" s="1"/>
  <c r="D65" i="41"/>
  <c r="E65" i="41" s="1"/>
  <c r="E65" i="46"/>
  <c r="F65" i="46" s="1"/>
  <c r="D66" i="38"/>
  <c r="E66" i="38" s="1"/>
  <c r="G71" i="23"/>
  <c r="D72" i="23"/>
  <c r="E72" i="23" s="1"/>
  <c r="E73" i="23" s="1"/>
  <c r="H71" i="23"/>
  <c r="H67" i="30"/>
  <c r="D68" i="30"/>
  <c r="G67" i="30"/>
  <c r="D148" i="13"/>
  <c r="G147" i="13"/>
  <c r="G65" i="13" l="1"/>
  <c r="I65" i="13" s="1"/>
  <c r="D66" i="13"/>
  <c r="I65" i="44"/>
  <c r="I68" i="28"/>
  <c r="E66" i="44"/>
  <c r="F66" i="44" s="1"/>
  <c r="B66" i="44"/>
  <c r="I71" i="23"/>
  <c r="F70" i="27"/>
  <c r="B70" i="27"/>
  <c r="I69" i="27"/>
  <c r="D66" i="46"/>
  <c r="E66" i="46" s="1"/>
  <c r="H65" i="46"/>
  <c r="G65" i="46"/>
  <c r="B68" i="30"/>
  <c r="I67" i="30"/>
  <c r="F65" i="40"/>
  <c r="H65" i="40" s="1"/>
  <c r="B65" i="40"/>
  <c r="I70" i="24"/>
  <c r="F66" i="39"/>
  <c r="G66" i="39" s="1"/>
  <c r="B66" i="39"/>
  <c r="B67" i="37"/>
  <c r="B69" i="31"/>
  <c r="I65" i="45"/>
  <c r="F69" i="29"/>
  <c r="B69" i="29"/>
  <c r="E68" i="30"/>
  <c r="F68" i="30" s="1"/>
  <c r="E67" i="37"/>
  <c r="F67" i="37" s="1"/>
  <c r="B65" i="42"/>
  <c r="F65" i="42"/>
  <c r="H65" i="42" s="1"/>
  <c r="I68" i="31"/>
  <c r="B66" i="45"/>
  <c r="B72" i="23"/>
  <c r="F72" i="23"/>
  <c r="I72" i="25"/>
  <c r="I73" i="25" s="1"/>
  <c r="H73" i="25"/>
  <c r="F66" i="38"/>
  <c r="H66" i="38" s="1"/>
  <c r="B66" i="38"/>
  <c r="B65" i="41"/>
  <c r="F65" i="41"/>
  <c r="G65" i="41" s="1"/>
  <c r="F71" i="24"/>
  <c r="B71" i="24"/>
  <c r="B64" i="43"/>
  <c r="F64" i="43"/>
  <c r="G64" i="43" s="1"/>
  <c r="I72" i="22"/>
  <c r="I73" i="22" s="1"/>
  <c r="H73" i="22"/>
  <c r="E69" i="31"/>
  <c r="F69" i="31" s="1"/>
  <c r="E66" i="45"/>
  <c r="F66" i="45" s="1"/>
  <c r="F69" i="28"/>
  <c r="B69" i="28"/>
  <c r="I68" i="29"/>
  <c r="I147" i="13"/>
  <c r="H147" i="13"/>
  <c r="B148" i="13"/>
  <c r="E148" i="13"/>
  <c r="F148" i="13" s="1"/>
  <c r="B66" i="13" l="1"/>
  <c r="E66" i="13"/>
  <c r="F66" i="13" s="1"/>
  <c r="G66" i="13" s="1"/>
  <c r="H66" i="44"/>
  <c r="D67" i="44"/>
  <c r="B67" i="44" s="1"/>
  <c r="G66" i="44"/>
  <c r="H64" i="43"/>
  <c r="I64" i="43" s="1"/>
  <c r="G66" i="38"/>
  <c r="I66" i="38" s="1"/>
  <c r="G70" i="27"/>
  <c r="D71" i="27"/>
  <c r="H70" i="27"/>
  <c r="G69" i="31"/>
  <c r="H69" i="31"/>
  <c r="D70" i="31"/>
  <c r="E70" i="31" s="1"/>
  <c r="H68" i="30"/>
  <c r="G68" i="30"/>
  <c r="D69" i="30"/>
  <c r="D68" i="37"/>
  <c r="E68" i="37" s="1"/>
  <c r="H67" i="37"/>
  <c r="G67" i="37"/>
  <c r="D67" i="45"/>
  <c r="E67" i="45" s="1"/>
  <c r="D70" i="29"/>
  <c r="E70" i="29" s="1"/>
  <c r="G69" i="29"/>
  <c r="H69" i="29"/>
  <c r="D66" i="42"/>
  <c r="E66" i="42" s="1"/>
  <c r="H66" i="39"/>
  <c r="I66" i="39" s="1"/>
  <c r="I65" i="46"/>
  <c r="D66" i="40"/>
  <c r="E66" i="40" s="1"/>
  <c r="D65" i="43"/>
  <c r="E65" i="43" s="1"/>
  <c r="H72" i="23"/>
  <c r="G72" i="23"/>
  <c r="G73" i="23" s="1"/>
  <c r="H66" i="45"/>
  <c r="G65" i="42"/>
  <c r="I65" i="42" s="1"/>
  <c r="G65" i="40"/>
  <c r="I65" i="40" s="1"/>
  <c r="H69" i="28"/>
  <c r="D70" i="28"/>
  <c r="E70" i="28" s="1"/>
  <c r="G69" i="28"/>
  <c r="D66" i="41"/>
  <c r="E66" i="41" s="1"/>
  <c r="D72" i="24"/>
  <c r="E72" i="24" s="1"/>
  <c r="E73" i="24" s="1"/>
  <c r="H71" i="24"/>
  <c r="G71" i="24"/>
  <c r="H65" i="41"/>
  <c r="I65" i="41" s="1"/>
  <c r="D67" i="38"/>
  <c r="G66" i="45"/>
  <c r="D67" i="39"/>
  <c r="E67" i="39" s="1"/>
  <c r="F66" i="46"/>
  <c r="B66" i="46"/>
  <c r="D149" i="13"/>
  <c r="G148" i="13"/>
  <c r="I66" i="44" l="1"/>
  <c r="D67" i="13"/>
  <c r="H66" i="13"/>
  <c r="I66" i="13" s="1"/>
  <c r="E67" i="44"/>
  <c r="F67" i="44" s="1"/>
  <c r="G67" i="44" s="1"/>
  <c r="I69" i="29"/>
  <c r="E71" i="27"/>
  <c r="F71" i="27" s="1"/>
  <c r="B71" i="27"/>
  <c r="I67" i="37"/>
  <c r="I71" i="24"/>
  <c r="I70" i="27"/>
  <c r="D67" i="46"/>
  <c r="B69" i="30"/>
  <c r="H66" i="46"/>
  <c r="F72" i="24"/>
  <c r="B72" i="24"/>
  <c r="I72" i="23"/>
  <c r="I73" i="23" s="1"/>
  <c r="H73" i="23"/>
  <c r="F66" i="40"/>
  <c r="B66" i="40"/>
  <c r="B70" i="31"/>
  <c r="F70" i="31"/>
  <c r="B67" i="38"/>
  <c r="F70" i="28"/>
  <c r="B70" i="28"/>
  <c r="F66" i="42"/>
  <c r="H66" i="42" s="1"/>
  <c r="B66" i="42"/>
  <c r="F67" i="45"/>
  <c r="B67" i="45"/>
  <c r="F68" i="37"/>
  <c r="H68" i="37" s="1"/>
  <c r="B68" i="37"/>
  <c r="I68" i="30"/>
  <c r="I69" i="31"/>
  <c r="G66" i="46"/>
  <c r="F67" i="39"/>
  <c r="G67" i="39" s="1"/>
  <c r="B67" i="39"/>
  <c r="E67" i="38"/>
  <c r="F67" i="38" s="1"/>
  <c r="F66" i="41"/>
  <c r="B66" i="41"/>
  <c r="I69" i="28"/>
  <c r="I66" i="45"/>
  <c r="F65" i="43"/>
  <c r="H65" i="43" s="1"/>
  <c r="B65" i="43"/>
  <c r="B70" i="29"/>
  <c r="F70" i="29"/>
  <c r="E69" i="30"/>
  <c r="F69" i="30" s="1"/>
  <c r="B149" i="13"/>
  <c r="E149" i="13"/>
  <c r="F149" i="13" s="1"/>
  <c r="I148" i="13"/>
  <c r="H148" i="13"/>
  <c r="E67" i="13" l="1"/>
  <c r="F67" i="13" s="1"/>
  <c r="H67" i="13" s="1"/>
  <c r="B67" i="13"/>
  <c r="H67" i="44"/>
  <c r="I67" i="44" s="1"/>
  <c r="D68" i="44"/>
  <c r="G66" i="42"/>
  <c r="I66" i="42" s="1"/>
  <c r="G71" i="27"/>
  <c r="D72" i="27"/>
  <c r="H71" i="27"/>
  <c r="H69" i="30"/>
  <c r="D70" i="30"/>
  <c r="G69" i="30"/>
  <c r="D68" i="38"/>
  <c r="D67" i="40"/>
  <c r="E67" i="40" s="1"/>
  <c r="G72" i="24"/>
  <c r="G73" i="24" s="1"/>
  <c r="H72" i="24"/>
  <c r="D71" i="29"/>
  <c r="G70" i="29"/>
  <c r="H70" i="29"/>
  <c r="D68" i="39"/>
  <c r="E68" i="39" s="1"/>
  <c r="G66" i="40"/>
  <c r="I66" i="46"/>
  <c r="D67" i="41"/>
  <c r="D68" i="45"/>
  <c r="E68" i="45" s="1"/>
  <c r="D66" i="43"/>
  <c r="G66" i="41"/>
  <c r="H67" i="45"/>
  <c r="G70" i="28"/>
  <c r="D71" i="28"/>
  <c r="E71" i="28" s="1"/>
  <c r="H70" i="28"/>
  <c r="G67" i="38"/>
  <c r="H66" i="40"/>
  <c r="B67" i="46"/>
  <c r="D69" i="37"/>
  <c r="G65" i="43"/>
  <c r="I65" i="43" s="1"/>
  <c r="H66" i="41"/>
  <c r="H67" i="39"/>
  <c r="I67" i="39" s="1"/>
  <c r="G68" i="37"/>
  <c r="I68" i="37" s="1"/>
  <c r="G67" i="45"/>
  <c r="D67" i="42"/>
  <c r="E67" i="42" s="1"/>
  <c r="H67" i="38"/>
  <c r="G70" i="31"/>
  <c r="H70" i="31"/>
  <c r="D71" i="31"/>
  <c r="E71" i="31" s="1"/>
  <c r="E67" i="46"/>
  <c r="F67" i="46" s="1"/>
  <c r="D150" i="13"/>
  <c r="G149" i="13"/>
  <c r="D68" i="13" l="1"/>
  <c r="G67" i="13"/>
  <c r="I67" i="13" s="1"/>
  <c r="E68" i="44"/>
  <c r="F68" i="44" s="1"/>
  <c r="B68" i="44"/>
  <c r="I66" i="40"/>
  <c r="I69" i="30"/>
  <c r="I66" i="41"/>
  <c r="B72" i="27"/>
  <c r="E72" i="27"/>
  <c r="E73" i="27" s="1"/>
  <c r="I71" i="27"/>
  <c r="D68" i="46"/>
  <c r="E68" i="46" s="1"/>
  <c r="G67" i="46"/>
  <c r="H67" i="46"/>
  <c r="B67" i="41"/>
  <c r="B70" i="30"/>
  <c r="I67" i="38"/>
  <c r="I67" i="45"/>
  <c r="F68" i="39"/>
  <c r="B68" i="39"/>
  <c r="B71" i="29"/>
  <c r="B69" i="37"/>
  <c r="B71" i="31"/>
  <c r="F71" i="31"/>
  <c r="I70" i="28"/>
  <c r="B68" i="45"/>
  <c r="F68" i="45"/>
  <c r="H68" i="45" s="1"/>
  <c r="E71" i="29"/>
  <c r="F71" i="29" s="1"/>
  <c r="B67" i="40"/>
  <c r="F67" i="40"/>
  <c r="H67" i="40" s="1"/>
  <c r="E70" i="30"/>
  <c r="F70" i="30" s="1"/>
  <c r="B66" i="43"/>
  <c r="B68" i="38"/>
  <c r="I70" i="31"/>
  <c r="B67" i="42"/>
  <c r="F67" i="42"/>
  <c r="H67" i="42" s="1"/>
  <c r="E69" i="37"/>
  <c r="F69" i="37" s="1"/>
  <c r="B71" i="28"/>
  <c r="F71" i="28"/>
  <c r="E66" i="43"/>
  <c r="F66" i="43" s="1"/>
  <c r="E67" i="41"/>
  <c r="F67" i="41" s="1"/>
  <c r="I70" i="29"/>
  <c r="I72" i="24"/>
  <c r="I73" i="24" s="1"/>
  <c r="H73" i="24"/>
  <c r="E68" i="38"/>
  <c r="F68" i="38" s="1"/>
  <c r="B150" i="13"/>
  <c r="H149" i="13"/>
  <c r="I149" i="13"/>
  <c r="E150" i="13"/>
  <c r="F150" i="13" s="1"/>
  <c r="E68" i="13" l="1"/>
  <c r="F68" i="13" s="1"/>
  <c r="B68" i="13"/>
  <c r="H68" i="44"/>
  <c r="G68" i="44"/>
  <c r="D69" i="44"/>
  <c r="I67" i="46"/>
  <c r="G68" i="45"/>
  <c r="I68" i="45" s="1"/>
  <c r="F72" i="27"/>
  <c r="G70" i="30"/>
  <c r="H70" i="30"/>
  <c r="D71" i="30"/>
  <c r="E71" i="30" s="1"/>
  <c r="D67" i="43"/>
  <c r="E67" i="43" s="1"/>
  <c r="H66" i="43"/>
  <c r="G66" i="43"/>
  <c r="D72" i="29"/>
  <c r="E72" i="29" s="1"/>
  <c r="E73" i="29" s="1"/>
  <c r="H71" i="29"/>
  <c r="G71" i="29"/>
  <c r="D69" i="38"/>
  <c r="E69" i="38" s="1"/>
  <c r="H68" i="38"/>
  <c r="G68" i="38"/>
  <c r="D68" i="41"/>
  <c r="E68" i="41" s="1"/>
  <c r="G67" i="41"/>
  <c r="H67" i="41"/>
  <c r="D70" i="37"/>
  <c r="E70" i="37" s="1"/>
  <c r="G69" i="37"/>
  <c r="H69" i="37"/>
  <c r="D68" i="40"/>
  <c r="E68" i="40" s="1"/>
  <c r="D69" i="39"/>
  <c r="H71" i="28"/>
  <c r="G71" i="28"/>
  <c r="D72" i="28"/>
  <c r="D68" i="42"/>
  <c r="E68" i="42" s="1"/>
  <c r="G68" i="39"/>
  <c r="G67" i="42"/>
  <c r="I67" i="42" s="1"/>
  <c r="G67" i="40"/>
  <c r="I67" i="40" s="1"/>
  <c r="D69" i="45"/>
  <c r="G71" i="31"/>
  <c r="D72" i="31"/>
  <c r="E72" i="31" s="1"/>
  <c r="E73" i="31" s="1"/>
  <c r="H71" i="31"/>
  <c r="H68" i="39"/>
  <c r="F68" i="46"/>
  <c r="H68" i="46" s="1"/>
  <c r="B68" i="46"/>
  <c r="G150" i="13"/>
  <c r="D151" i="13"/>
  <c r="H68" i="13" l="1"/>
  <c r="D69" i="13"/>
  <c r="G68" i="13"/>
  <c r="I68" i="44"/>
  <c r="I67" i="41"/>
  <c r="E69" i="44"/>
  <c r="F69" i="44" s="1"/>
  <c r="B69" i="44"/>
  <c r="I68" i="39"/>
  <c r="I70" i="30"/>
  <c r="I69" i="37"/>
  <c r="I71" i="28"/>
  <c r="H72" i="27"/>
  <c r="G72" i="27"/>
  <c r="G73" i="27" s="1"/>
  <c r="B69" i="45"/>
  <c r="B69" i="39"/>
  <c r="G68" i="46"/>
  <c r="I68" i="46" s="1"/>
  <c r="I68" i="38"/>
  <c r="I66" i="43"/>
  <c r="F71" i="30"/>
  <c r="B71" i="30"/>
  <c r="I71" i="31"/>
  <c r="F68" i="42"/>
  <c r="H68" i="42" s="1"/>
  <c r="B68" i="42"/>
  <c r="B68" i="40"/>
  <c r="F68" i="40"/>
  <c r="H68" i="40" s="1"/>
  <c r="I71" i="29"/>
  <c r="B72" i="28"/>
  <c r="D69" i="46"/>
  <c r="E69" i="46" s="1"/>
  <c r="F72" i="31"/>
  <c r="B72" i="31"/>
  <c r="E69" i="45"/>
  <c r="F69" i="45" s="1"/>
  <c r="E72" i="28"/>
  <c r="E73" i="28" s="1"/>
  <c r="E69" i="39"/>
  <c r="F69" i="39" s="1"/>
  <c r="B70" i="37"/>
  <c r="F70" i="37"/>
  <c r="G70" i="37" s="1"/>
  <c r="B68" i="41"/>
  <c r="F68" i="41"/>
  <c r="H68" i="41" s="1"/>
  <c r="B69" i="38"/>
  <c r="F69" i="38"/>
  <c r="F72" i="29"/>
  <c r="B72" i="29"/>
  <c r="B67" i="43"/>
  <c r="F67" i="43"/>
  <c r="H67" i="43" s="1"/>
  <c r="B151" i="13"/>
  <c r="H150" i="13"/>
  <c r="I150" i="13"/>
  <c r="E151" i="13"/>
  <c r="F151" i="13" s="1"/>
  <c r="E69" i="13" l="1"/>
  <c r="F69" i="13" s="1"/>
  <c r="B69" i="13"/>
  <c r="I68" i="13"/>
  <c r="H69" i="44"/>
  <c r="D70" i="44"/>
  <c r="G69" i="44"/>
  <c r="H70" i="37"/>
  <c r="I70" i="37" s="1"/>
  <c r="G68" i="40"/>
  <c r="G67" i="43"/>
  <c r="I67" i="43" s="1"/>
  <c r="H73" i="27"/>
  <c r="I72" i="27"/>
  <c r="I73" i="27" s="1"/>
  <c r="G68" i="42"/>
  <c r="I68" i="42" s="1"/>
  <c r="D70" i="45"/>
  <c r="E70" i="45" s="1"/>
  <c r="H69" i="45"/>
  <c r="G69" i="45"/>
  <c r="D70" i="39"/>
  <c r="E70" i="39" s="1"/>
  <c r="G69" i="39"/>
  <c r="H69" i="39"/>
  <c r="D69" i="41"/>
  <c r="I68" i="40"/>
  <c r="D70" i="38"/>
  <c r="E70" i="38" s="1"/>
  <c r="D68" i="43"/>
  <c r="E68" i="43" s="1"/>
  <c r="H69" i="38"/>
  <c r="G68" i="41"/>
  <c r="I68" i="41" s="1"/>
  <c r="D71" i="37"/>
  <c r="E71" i="37" s="1"/>
  <c r="H72" i="31"/>
  <c r="G72" i="31"/>
  <c r="G73" i="31" s="1"/>
  <c r="F72" i="28"/>
  <c r="D69" i="40"/>
  <c r="E69" i="40" s="1"/>
  <c r="G72" i="29"/>
  <c r="G73" i="29" s="1"/>
  <c r="H72" i="29"/>
  <c r="G69" i="38"/>
  <c r="B69" i="46"/>
  <c r="F69" i="46"/>
  <c r="G69" i="46" s="1"/>
  <c r="D69" i="42"/>
  <c r="E69" i="42" s="1"/>
  <c r="H71" i="30"/>
  <c r="G71" i="30"/>
  <c r="D72" i="30"/>
  <c r="E72" i="30" s="1"/>
  <c r="E73" i="30" s="1"/>
  <c r="D152" i="13"/>
  <c r="G151" i="13"/>
  <c r="I69" i="44" l="1"/>
  <c r="G69" i="13"/>
  <c r="D70" i="13"/>
  <c r="H69" i="13"/>
  <c r="I69" i="13" s="1"/>
  <c r="E70" i="44"/>
  <c r="F70" i="44" s="1"/>
  <c r="B70" i="44"/>
  <c r="I69" i="39"/>
  <c r="H69" i="46"/>
  <c r="I69" i="46" s="1"/>
  <c r="I71" i="30"/>
  <c r="I72" i="31"/>
  <c r="I73" i="31" s="1"/>
  <c r="H73" i="31"/>
  <c r="I69" i="38"/>
  <c r="F70" i="38"/>
  <c r="H70" i="38" s="1"/>
  <c r="B70" i="38"/>
  <c r="I69" i="45"/>
  <c r="B69" i="41"/>
  <c r="D70" i="46"/>
  <c r="E70" i="46" s="1"/>
  <c r="I72" i="29"/>
  <c r="I73" i="29" s="1"/>
  <c r="H73" i="29"/>
  <c r="B69" i="40"/>
  <c r="F69" i="40"/>
  <c r="B72" i="30"/>
  <c r="F72" i="30"/>
  <c r="F69" i="42"/>
  <c r="G69" i="42" s="1"/>
  <c r="B69" i="42"/>
  <c r="H72" i="28"/>
  <c r="G72" i="28"/>
  <c r="G73" i="28" s="1"/>
  <c r="B71" i="37"/>
  <c r="F71" i="37"/>
  <c r="G71" i="37" s="1"/>
  <c r="B68" i="43"/>
  <c r="F68" i="43"/>
  <c r="G68" i="43" s="1"/>
  <c r="E69" i="41"/>
  <c r="F69" i="41" s="1"/>
  <c r="B70" i="39"/>
  <c r="F70" i="39"/>
  <c r="G70" i="39" s="1"/>
  <c r="F70" i="45"/>
  <c r="H70" i="45" s="1"/>
  <c r="B70" i="45"/>
  <c r="B152" i="13"/>
  <c r="H151" i="13"/>
  <c r="I151" i="13"/>
  <c r="E152" i="13"/>
  <c r="F152" i="13" s="1"/>
  <c r="B70" i="13" l="1"/>
  <c r="E70" i="13"/>
  <c r="F70" i="13" s="1"/>
  <c r="G70" i="13" s="1"/>
  <c r="G70" i="38"/>
  <c r="I70" i="38" s="1"/>
  <c r="H70" i="44"/>
  <c r="D71" i="44"/>
  <c r="G70" i="44"/>
  <c r="H70" i="39"/>
  <c r="I70" i="39" s="1"/>
  <c r="H68" i="43"/>
  <c r="I68" i="43" s="1"/>
  <c r="H71" i="37"/>
  <c r="D71" i="45"/>
  <c r="E71" i="45" s="1"/>
  <c r="H72" i="30"/>
  <c r="G72" i="30"/>
  <c r="G73" i="30" s="1"/>
  <c r="I72" i="28"/>
  <c r="I73" i="28" s="1"/>
  <c r="H73" i="28"/>
  <c r="D70" i="40"/>
  <c r="E70" i="40" s="1"/>
  <c r="D70" i="41"/>
  <c r="E70" i="41" s="1"/>
  <c r="I71" i="37"/>
  <c r="G69" i="40"/>
  <c r="B70" i="46"/>
  <c r="F70" i="46"/>
  <c r="H70" i="46" s="1"/>
  <c r="G69" i="41"/>
  <c r="D70" i="42"/>
  <c r="G70" i="45"/>
  <c r="I70" i="45" s="1"/>
  <c r="D71" i="39"/>
  <c r="E71" i="39" s="1"/>
  <c r="D69" i="43"/>
  <c r="E69" i="43" s="1"/>
  <c r="D72" i="37"/>
  <c r="H69" i="42"/>
  <c r="I69" i="42" s="1"/>
  <c r="H69" i="40"/>
  <c r="H69" i="41"/>
  <c r="D71" i="38"/>
  <c r="E71" i="38" s="1"/>
  <c r="D153" i="13"/>
  <c r="E153" i="13" s="1"/>
  <c r="G152" i="13"/>
  <c r="I70" i="44" l="1"/>
  <c r="H70" i="13"/>
  <c r="I70" i="13" s="1"/>
  <c r="D71" i="13"/>
  <c r="E71" i="44"/>
  <c r="F71" i="44" s="1"/>
  <c r="B71" i="44"/>
  <c r="I69" i="41"/>
  <c r="I69" i="40"/>
  <c r="G70" i="46"/>
  <c r="I70" i="46" s="1"/>
  <c r="F71" i="39"/>
  <c r="G71" i="39" s="1"/>
  <c r="B71" i="39"/>
  <c r="F70" i="41"/>
  <c r="H70" i="41" s="1"/>
  <c r="B70" i="41"/>
  <c r="B70" i="42"/>
  <c r="B69" i="43"/>
  <c r="F69" i="43"/>
  <c r="H69" i="43" s="1"/>
  <c r="F71" i="45"/>
  <c r="B71" i="45"/>
  <c r="B72" i="37"/>
  <c r="I72" i="30"/>
  <c r="I73" i="30" s="1"/>
  <c r="H73" i="30"/>
  <c r="F71" i="38"/>
  <c r="H71" i="38" s="1"/>
  <c r="B71" i="38"/>
  <c r="E72" i="37"/>
  <c r="E73" i="37" s="1"/>
  <c r="E70" i="42"/>
  <c r="F70" i="42" s="1"/>
  <c r="G70" i="42" s="1"/>
  <c r="D71" i="46"/>
  <c r="F70" i="40"/>
  <c r="G70" i="40" s="1"/>
  <c r="B70" i="40"/>
  <c r="I152" i="13"/>
  <c r="H152" i="13"/>
  <c r="B153" i="13"/>
  <c r="F153" i="13"/>
  <c r="G70" i="41" l="1"/>
  <c r="B71" i="13"/>
  <c r="E71" i="13"/>
  <c r="F71" i="13" s="1"/>
  <c r="G71" i="13" s="1"/>
  <c r="H71" i="44"/>
  <c r="D72" i="44"/>
  <c r="G71" i="44"/>
  <c r="H71" i="39"/>
  <c r="I71" i="39" s="1"/>
  <c r="I70" i="41"/>
  <c r="H70" i="40"/>
  <c r="I70" i="40" s="1"/>
  <c r="G69" i="43"/>
  <c r="I69" i="43" s="1"/>
  <c r="D72" i="45"/>
  <c r="E72" i="45" s="1"/>
  <c r="E73" i="45" s="1"/>
  <c r="B71" i="46"/>
  <c r="F72" i="37"/>
  <c r="G71" i="45"/>
  <c r="D72" i="38"/>
  <c r="E72" i="38" s="1"/>
  <c r="E73" i="38" s="1"/>
  <c r="D71" i="42"/>
  <c r="E71" i="42" s="1"/>
  <c r="E71" i="46"/>
  <c r="F71" i="46" s="1"/>
  <c r="H71" i="45"/>
  <c r="D70" i="43"/>
  <c r="E70" i="43" s="1"/>
  <c r="D71" i="40"/>
  <c r="G71" i="38"/>
  <c r="I71" i="38" s="1"/>
  <c r="H70" i="42"/>
  <c r="I70" i="42" s="1"/>
  <c r="D71" i="41"/>
  <c r="D72" i="39"/>
  <c r="E72" i="39" s="1"/>
  <c r="E73" i="39" s="1"/>
  <c r="D154" i="13"/>
  <c r="E154" i="13" s="1"/>
  <c r="E155" i="13" s="1"/>
  <c r="G153" i="13"/>
  <c r="I71" i="44" l="1"/>
  <c r="H71" i="13"/>
  <c r="I71" i="13" s="1"/>
  <c r="D72" i="13"/>
  <c r="E72" i="44"/>
  <c r="E73" i="44" s="1"/>
  <c r="B72" i="44"/>
  <c r="I71" i="45"/>
  <c r="B71" i="40"/>
  <c r="D72" i="46"/>
  <c r="F72" i="38"/>
  <c r="H72" i="38" s="1"/>
  <c r="B72" i="38"/>
  <c r="H71" i="46"/>
  <c r="B71" i="41"/>
  <c r="H72" i="37"/>
  <c r="G72" i="37"/>
  <c r="G73" i="37" s="1"/>
  <c r="B72" i="39"/>
  <c r="F72" i="39"/>
  <c r="G72" i="39" s="1"/>
  <c r="G73" i="39" s="1"/>
  <c r="F72" i="45"/>
  <c r="H72" i="45" s="1"/>
  <c r="B72" i="45"/>
  <c r="E71" i="41"/>
  <c r="F71" i="41" s="1"/>
  <c r="E71" i="40"/>
  <c r="F71" i="40" s="1"/>
  <c r="F70" i="43"/>
  <c r="H70" i="43" s="1"/>
  <c r="B70" i="43"/>
  <c r="F71" i="42"/>
  <c r="G71" i="42" s="1"/>
  <c r="B71" i="42"/>
  <c r="G71" i="46"/>
  <c r="I153" i="13"/>
  <c r="H153" i="13"/>
  <c r="F154" i="13"/>
  <c r="G154" i="13" s="1"/>
  <c r="B154" i="13"/>
  <c r="B72" i="13" l="1"/>
  <c r="E72" i="13"/>
  <c r="E73" i="13" s="1"/>
  <c r="F72" i="44"/>
  <c r="G72" i="44" s="1"/>
  <c r="G73" i="44" s="1"/>
  <c r="G72" i="45"/>
  <c r="G73" i="45" s="1"/>
  <c r="H71" i="42"/>
  <c r="I71" i="42" s="1"/>
  <c r="G70" i="43"/>
  <c r="I70" i="43" s="1"/>
  <c r="H72" i="39"/>
  <c r="I72" i="39" s="1"/>
  <c r="I73" i="39" s="1"/>
  <c r="D72" i="40"/>
  <c r="E72" i="40" s="1"/>
  <c r="E73" i="40" s="1"/>
  <c r="G71" i="40"/>
  <c r="H71" i="40"/>
  <c r="D72" i="41"/>
  <c r="E72" i="41" s="1"/>
  <c r="E73" i="41" s="1"/>
  <c r="H71" i="41"/>
  <c r="G71" i="41"/>
  <c r="H73" i="38"/>
  <c r="D72" i="42"/>
  <c r="E72" i="42" s="1"/>
  <c r="E73" i="42" s="1"/>
  <c r="D71" i="43"/>
  <c r="E71" i="43" s="1"/>
  <c r="I71" i="46"/>
  <c r="G72" i="38"/>
  <c r="G73" i="38" s="1"/>
  <c r="H73" i="45"/>
  <c r="I72" i="37"/>
  <c r="I73" i="37" s="1"/>
  <c r="H73" i="37"/>
  <c r="B72" i="46"/>
  <c r="E72" i="46"/>
  <c r="E73" i="46" s="1"/>
  <c r="H154" i="13"/>
  <c r="H155" i="13" s="1"/>
  <c r="I154" i="13"/>
  <c r="I155" i="13" s="1"/>
  <c r="F72" i="13" l="1"/>
  <c r="I72" i="45"/>
  <c r="I73" i="45" s="1"/>
  <c r="H72" i="44"/>
  <c r="H73" i="44" s="1"/>
  <c r="H73" i="39"/>
  <c r="F72" i="46"/>
  <c r="G72" i="46" s="1"/>
  <c r="G73" i="46" s="1"/>
  <c r="I71" i="40"/>
  <c r="F71" i="43"/>
  <c r="H71" i="43" s="1"/>
  <c r="B71" i="43"/>
  <c r="I71" i="41"/>
  <c r="F72" i="42"/>
  <c r="H72" i="42" s="1"/>
  <c r="B72" i="42"/>
  <c r="I72" i="38"/>
  <c r="I73" i="38" s="1"/>
  <c r="B72" i="41"/>
  <c r="F72" i="41"/>
  <c r="H72" i="41" s="1"/>
  <c r="B72" i="40"/>
  <c r="F72" i="40"/>
  <c r="H72" i="40" s="1"/>
  <c r="H72" i="46" l="1"/>
  <c r="I72" i="44"/>
  <c r="I73" i="44" s="1"/>
  <c r="G72" i="13"/>
  <c r="G73" i="13" s="1"/>
  <c r="H72" i="13"/>
  <c r="G71" i="43"/>
  <c r="G72" i="40"/>
  <c r="G73" i="40" s="1"/>
  <c r="G72" i="41"/>
  <c r="G73" i="41" s="1"/>
  <c r="G72" i="42"/>
  <c r="G73" i="42" s="1"/>
  <c r="I71" i="43"/>
  <c r="H73" i="42"/>
  <c r="H73" i="41"/>
  <c r="H73" i="40"/>
  <c r="I72" i="46"/>
  <c r="I73" i="46" s="1"/>
  <c r="H73" i="46"/>
  <c r="D72" i="43"/>
  <c r="E72" i="43" s="1"/>
  <c r="E73" i="43" s="1"/>
  <c r="I72" i="13" l="1"/>
  <c r="I73" i="13" s="1"/>
  <c r="H73" i="13"/>
  <c r="I72" i="41"/>
  <c r="I73" i="41" s="1"/>
  <c r="I72" i="40"/>
  <c r="I73" i="40" s="1"/>
  <c r="I72" i="42"/>
  <c r="I73" i="42" s="1"/>
  <c r="F72" i="43"/>
  <c r="G72" i="43" s="1"/>
  <c r="G73" i="43" s="1"/>
  <c r="B72" i="43"/>
  <c r="F90" i="2"/>
  <c r="F91" i="2" s="1"/>
  <c r="F92" i="2" s="1"/>
  <c r="F93" i="2" s="1"/>
  <c r="H72" i="43" l="1"/>
  <c r="I72" i="43" s="1"/>
  <c r="I73" i="43" s="1"/>
  <c r="D95" i="44"/>
  <c r="J96" i="44" s="1"/>
  <c r="E99" i="44" s="1"/>
  <c r="F99" i="44" s="1"/>
  <c r="D95" i="13"/>
  <c r="D95" i="38"/>
  <c r="J96" i="38" s="1"/>
  <c r="E100" i="38" s="1"/>
  <c r="F100" i="38" s="1"/>
  <c r="G100" i="38" s="1"/>
  <c r="D95" i="45"/>
  <c r="J96" i="45" s="1"/>
  <c r="D95" i="46"/>
  <c r="J96" i="46" s="1"/>
  <c r="D95" i="42"/>
  <c r="J96" i="42" s="1"/>
  <c r="D95" i="41"/>
  <c r="J96" i="41" s="1"/>
  <c r="D95" i="11"/>
  <c r="J96" i="11" s="1"/>
  <c r="D95" i="25"/>
  <c r="J96" i="25" s="1"/>
  <c r="D95" i="23"/>
  <c r="J96" i="23" s="1"/>
  <c r="D95" i="9"/>
  <c r="J96" i="9" s="1"/>
  <c r="E111" i="9" s="1"/>
  <c r="F111" i="9" s="1"/>
  <c r="G111" i="9" s="1"/>
  <c r="H111" i="9" s="1"/>
  <c r="D95" i="7"/>
  <c r="J96" i="7" s="1"/>
  <c r="D95" i="24"/>
  <c r="J96" i="24" s="1"/>
  <c r="D95" i="6"/>
  <c r="J96" i="6" s="1"/>
  <c r="D95" i="29"/>
  <c r="J96" i="29" s="1"/>
  <c r="D95" i="22"/>
  <c r="J96" i="22" s="1"/>
  <c r="D95" i="10"/>
  <c r="J96" i="10" s="1"/>
  <c r="D95" i="40"/>
  <c r="J96" i="40" s="1"/>
  <c r="D95" i="28"/>
  <c r="J96" i="28" s="1"/>
  <c r="D95" i="43"/>
  <c r="J96" i="43" s="1"/>
  <c r="D95" i="27"/>
  <c r="J96" i="27" s="1"/>
  <c r="D95" i="3"/>
  <c r="J96" i="3" s="1"/>
  <c r="D95" i="31"/>
  <c r="J96" i="31" s="1"/>
  <c r="D95" i="8"/>
  <c r="J96" i="8" s="1"/>
  <c r="D95" i="5"/>
  <c r="J96" i="5" s="1"/>
  <c r="D95" i="4"/>
  <c r="J96" i="4" s="1"/>
  <c r="D95" i="37"/>
  <c r="J96" i="37" s="1"/>
  <c r="D95" i="39"/>
  <c r="J96" i="39" s="1"/>
  <c r="D95" i="30"/>
  <c r="J96" i="30" s="1"/>
  <c r="E99" i="46" l="1"/>
  <c r="F99" i="46" s="1"/>
  <c r="E100" i="46" s="1"/>
  <c r="G99" i="44"/>
  <c r="D100" i="44"/>
  <c r="B100" i="44" s="1"/>
  <c r="D100" i="45"/>
  <c r="B100" i="45" s="1"/>
  <c r="H73" i="43"/>
  <c r="I100" i="38"/>
  <c r="N100" i="38" s="1"/>
  <c r="O100" i="38" s="1"/>
  <c r="H100" i="38"/>
  <c r="L100" i="38" s="1"/>
  <c r="M100" i="38" s="1"/>
  <c r="E100" i="44"/>
  <c r="E100" i="45"/>
  <c r="D100" i="42"/>
  <c r="B100" i="42" s="1"/>
  <c r="D100" i="43"/>
  <c r="B100" i="43" s="1"/>
  <c r="D100" i="41"/>
  <c r="B100" i="41" s="1"/>
  <c r="E100" i="42"/>
  <c r="E100" i="41"/>
  <c r="F100" i="41" s="1"/>
  <c r="E100" i="43"/>
  <c r="D100" i="46" l="1"/>
  <c r="B100" i="46" s="1"/>
  <c r="G99" i="46"/>
  <c r="F100" i="44"/>
  <c r="D101" i="44" s="1"/>
  <c r="J99" i="45"/>
  <c r="F100" i="45"/>
  <c r="E101" i="45" s="1"/>
  <c r="I99" i="44"/>
  <c r="H99" i="44"/>
  <c r="P100" i="38"/>
  <c r="F100" i="42"/>
  <c r="G100" i="42" s="1"/>
  <c r="J99" i="41"/>
  <c r="J99" i="43"/>
  <c r="D101" i="38"/>
  <c r="G100" i="41"/>
  <c r="D101" i="41"/>
  <c r="F100" i="43"/>
  <c r="G100" i="44" l="1"/>
  <c r="D101" i="45"/>
  <c r="B101" i="45" s="1"/>
  <c r="H99" i="46"/>
  <c r="I99" i="46"/>
  <c r="J99" i="46" s="1"/>
  <c r="F100" i="46"/>
  <c r="J99" i="44"/>
  <c r="D101" i="42"/>
  <c r="G100" i="45"/>
  <c r="H100" i="45" s="1"/>
  <c r="I100" i="44"/>
  <c r="H100" i="44"/>
  <c r="E101" i="44"/>
  <c r="F101" i="44" s="1"/>
  <c r="B101" i="44"/>
  <c r="J99" i="42"/>
  <c r="I100" i="41"/>
  <c r="N88" i="41" s="1"/>
  <c r="H100" i="41"/>
  <c r="M88" i="41" s="1"/>
  <c r="M89" i="41" s="1"/>
  <c r="I100" i="42"/>
  <c r="N88" i="42" s="1"/>
  <c r="H100" i="42"/>
  <c r="M88" i="42" s="1"/>
  <c r="M89" i="42" s="1"/>
  <c r="M88" i="38"/>
  <c r="M89" i="38" s="1"/>
  <c r="E101" i="41"/>
  <c r="F101" i="41" s="1"/>
  <c r="B101" i="41"/>
  <c r="E101" i="42"/>
  <c r="F101" i="42" s="1"/>
  <c r="B101" i="42"/>
  <c r="E101" i="38"/>
  <c r="F101" i="38" s="1"/>
  <c r="B101" i="38"/>
  <c r="G100" i="43"/>
  <c r="D101" i="43"/>
  <c r="E101" i="43"/>
  <c r="D112" i="7"/>
  <c r="E112" i="7"/>
  <c r="D104" i="31"/>
  <c r="E104" i="31"/>
  <c r="D104" i="29"/>
  <c r="E104" i="29"/>
  <c r="D110" i="6"/>
  <c r="E110" i="6"/>
  <c r="D112" i="10"/>
  <c r="E112" i="10"/>
  <c r="D107" i="23"/>
  <c r="E107" i="23"/>
  <c r="D109" i="3"/>
  <c r="E109" i="3"/>
  <c r="D103" i="30"/>
  <c r="E103" i="30"/>
  <c r="D108" i="25"/>
  <c r="E108" i="25"/>
  <c r="D111" i="11"/>
  <c r="E111" i="11"/>
  <c r="D108" i="22"/>
  <c r="E108" i="22"/>
  <c r="D101" i="39"/>
  <c r="E101" i="39"/>
  <c r="D104" i="28"/>
  <c r="E104" i="28"/>
  <c r="D101" i="37"/>
  <c r="E101" i="37"/>
  <c r="D105" i="27"/>
  <c r="E105" i="27"/>
  <c r="D110" i="8"/>
  <c r="E110" i="8"/>
  <c r="D109" i="5"/>
  <c r="E109" i="5"/>
  <c r="D100" i="40"/>
  <c r="E100" i="40"/>
  <c r="D106" i="24"/>
  <c r="E106" i="24"/>
  <c r="D109" i="4"/>
  <c r="E109" i="4"/>
  <c r="I41" i="17"/>
  <c r="I40" i="17"/>
  <c r="I37" i="17"/>
  <c r="F101" i="45" l="1"/>
  <c r="G100" i="46"/>
  <c r="D101" i="46"/>
  <c r="B101" i="46" s="1"/>
  <c r="E101" i="46"/>
  <c r="F101" i="46" s="1"/>
  <c r="I100" i="45"/>
  <c r="J100" i="45" s="1"/>
  <c r="G101" i="45"/>
  <c r="D102" i="45"/>
  <c r="B102" i="45" s="1"/>
  <c r="E102" i="45"/>
  <c r="G101" i="44"/>
  <c r="D102" i="44"/>
  <c r="E102" i="44"/>
  <c r="J100" i="44"/>
  <c r="J100" i="38"/>
  <c r="N88" i="38"/>
  <c r="N89" i="42"/>
  <c r="O88" i="42"/>
  <c r="O89" i="42" s="1"/>
  <c r="N89" i="41"/>
  <c r="O88" i="41"/>
  <c r="O89" i="41" s="1"/>
  <c r="D102" i="41"/>
  <c r="G101" i="41"/>
  <c r="D102" i="42"/>
  <c r="G101" i="42"/>
  <c r="J100" i="42"/>
  <c r="G101" i="38"/>
  <c r="D102" i="38"/>
  <c r="J100" i="41"/>
  <c r="B106" i="24"/>
  <c r="F106" i="24"/>
  <c r="B101" i="37"/>
  <c r="F101" i="37"/>
  <c r="B111" i="11"/>
  <c r="F111" i="11"/>
  <c r="B107" i="23"/>
  <c r="F107" i="23"/>
  <c r="B104" i="31"/>
  <c r="F104" i="31"/>
  <c r="B100" i="40"/>
  <c r="F100" i="40"/>
  <c r="B109" i="5"/>
  <c r="F109" i="5"/>
  <c r="B105" i="27"/>
  <c r="F105" i="27"/>
  <c r="B108" i="22"/>
  <c r="F108" i="22"/>
  <c r="B109" i="3"/>
  <c r="F109" i="3"/>
  <c r="B104" i="29"/>
  <c r="F104" i="29"/>
  <c r="B110" i="8"/>
  <c r="F110" i="8"/>
  <c r="B101" i="39"/>
  <c r="F101" i="39"/>
  <c r="B103" i="30"/>
  <c r="F103" i="30"/>
  <c r="B110" i="6"/>
  <c r="F110" i="6"/>
  <c r="B101" i="43"/>
  <c r="F101" i="43"/>
  <c r="B109" i="4"/>
  <c r="F109" i="4"/>
  <c r="B111" i="9"/>
  <c r="B104" i="28"/>
  <c r="F104" i="28"/>
  <c r="B108" i="25"/>
  <c r="F108" i="25"/>
  <c r="B112" i="10"/>
  <c r="F112" i="10"/>
  <c r="B112" i="7"/>
  <c r="F112" i="7"/>
  <c r="I100" i="43"/>
  <c r="N88" i="43" s="1"/>
  <c r="H100" i="43"/>
  <c r="M88" i="43" s="1"/>
  <c r="M89" i="43" s="1"/>
  <c r="I42" i="17"/>
  <c r="G101" i="46" l="1"/>
  <c r="D102" i="46"/>
  <c r="B102" i="46" s="1"/>
  <c r="E102" i="46"/>
  <c r="H100" i="46"/>
  <c r="I100" i="46"/>
  <c r="F102" i="45"/>
  <c r="G102" i="45" s="1"/>
  <c r="I101" i="44"/>
  <c r="H101" i="44"/>
  <c r="B102" i="44"/>
  <c r="F102" i="44"/>
  <c r="H101" i="45"/>
  <c r="I101" i="45"/>
  <c r="N89" i="38"/>
  <c r="O88" i="38"/>
  <c r="O89" i="38" s="1"/>
  <c r="N89" i="43"/>
  <c r="O88" i="43"/>
  <c r="O89" i="43" s="1"/>
  <c r="E102" i="38"/>
  <c r="F102" i="38" s="1"/>
  <c r="B102" i="38"/>
  <c r="E102" i="42"/>
  <c r="F102" i="42" s="1"/>
  <c r="B102" i="42"/>
  <c r="H101" i="38"/>
  <c r="I101" i="38"/>
  <c r="H101" i="41"/>
  <c r="I101" i="41"/>
  <c r="H101" i="42"/>
  <c r="I101" i="42"/>
  <c r="E102" i="41"/>
  <c r="F102" i="41" s="1"/>
  <c r="B102" i="41"/>
  <c r="J100" i="43"/>
  <c r="G112" i="7"/>
  <c r="D113" i="7"/>
  <c r="E113" i="7"/>
  <c r="J102" i="30"/>
  <c r="D112" i="9"/>
  <c r="E112" i="9"/>
  <c r="G101" i="43"/>
  <c r="D102" i="43"/>
  <c r="E102" i="43"/>
  <c r="J103" i="29"/>
  <c r="J108" i="3"/>
  <c r="G110" i="8"/>
  <c r="D111" i="8"/>
  <c r="E111" i="8"/>
  <c r="G109" i="3"/>
  <c r="D110" i="3"/>
  <c r="E110" i="3"/>
  <c r="J100" i="37"/>
  <c r="G107" i="23"/>
  <c r="D108" i="23"/>
  <c r="E108" i="23"/>
  <c r="J107" i="25"/>
  <c r="J103" i="28"/>
  <c r="J99" i="40"/>
  <c r="G112" i="10"/>
  <c r="D113" i="10"/>
  <c r="E113" i="10"/>
  <c r="J100" i="39"/>
  <c r="G109" i="4"/>
  <c r="D110" i="4"/>
  <c r="E110" i="4"/>
  <c r="G110" i="6"/>
  <c r="D111" i="6"/>
  <c r="E111" i="6"/>
  <c r="J107" i="22"/>
  <c r="G108" i="22"/>
  <c r="D109" i="22"/>
  <c r="E109" i="22"/>
  <c r="G109" i="5"/>
  <c r="D110" i="5"/>
  <c r="E110" i="5"/>
  <c r="G111" i="11"/>
  <c r="D112" i="11"/>
  <c r="E112" i="11"/>
  <c r="G108" i="25"/>
  <c r="D109" i="25"/>
  <c r="E109" i="25"/>
  <c r="J109" i="8"/>
  <c r="G103" i="30"/>
  <c r="D104" i="30"/>
  <c r="E104" i="30"/>
  <c r="J103" i="31"/>
  <c r="G105" i="27"/>
  <c r="D106" i="27"/>
  <c r="E106" i="27"/>
  <c r="J111" i="7"/>
  <c r="J111" i="10"/>
  <c r="G101" i="37"/>
  <c r="D102" i="37"/>
  <c r="E102" i="37"/>
  <c r="J110" i="9"/>
  <c r="G106" i="24"/>
  <c r="D107" i="24"/>
  <c r="E107" i="24"/>
  <c r="J109" i="6"/>
  <c r="G104" i="28"/>
  <c r="D105" i="28"/>
  <c r="E105" i="28"/>
  <c r="J105" i="24"/>
  <c r="G101" i="39"/>
  <c r="D102" i="39"/>
  <c r="E102" i="39"/>
  <c r="J104" i="27"/>
  <c r="G104" i="29"/>
  <c r="D105" i="29"/>
  <c r="E105" i="29"/>
  <c r="J106" i="23"/>
  <c r="J110" i="11"/>
  <c r="G100" i="40"/>
  <c r="D101" i="40"/>
  <c r="E101" i="40"/>
  <c r="G104" i="31"/>
  <c r="D105" i="31"/>
  <c r="E105" i="31"/>
  <c r="J108" i="5"/>
  <c r="J108" i="4"/>
  <c r="F102" i="46" l="1"/>
  <c r="G102" i="46" s="1"/>
  <c r="D103" i="46"/>
  <c r="B103" i="46" s="1"/>
  <c r="E103" i="46"/>
  <c r="J100" i="46"/>
  <c r="H101" i="46"/>
  <c r="I101" i="46"/>
  <c r="J101" i="46" s="1"/>
  <c r="D103" i="45"/>
  <c r="B103" i="45" s="1"/>
  <c r="E103" i="45"/>
  <c r="J101" i="44"/>
  <c r="D103" i="44"/>
  <c r="B103" i="44" s="1"/>
  <c r="G102" i="44"/>
  <c r="E103" i="44"/>
  <c r="H102" i="45"/>
  <c r="I102" i="45"/>
  <c r="J101" i="45"/>
  <c r="J101" i="42"/>
  <c r="J101" i="38"/>
  <c r="G102" i="41"/>
  <c r="D103" i="41"/>
  <c r="E103" i="41"/>
  <c r="G102" i="42"/>
  <c r="D103" i="42"/>
  <c r="B103" i="42" s="1"/>
  <c r="E103" i="42"/>
  <c r="J101" i="41"/>
  <c r="D103" i="38"/>
  <c r="G102" i="38"/>
  <c r="B107" i="24"/>
  <c r="F107" i="24"/>
  <c r="B101" i="40"/>
  <c r="F101" i="40"/>
  <c r="I101" i="39"/>
  <c r="N88" i="39" s="1"/>
  <c r="N89" i="39" s="1"/>
  <c r="H101" i="39"/>
  <c r="M88" i="39" s="1"/>
  <c r="M89" i="39" s="1"/>
  <c r="I106" i="24"/>
  <c r="N88" i="24" s="1"/>
  <c r="N89" i="24" s="1"/>
  <c r="H106" i="24"/>
  <c r="M88" i="24" s="1"/>
  <c r="M89" i="24" s="1"/>
  <c r="H101" i="37"/>
  <c r="M88" i="37" s="1"/>
  <c r="M89" i="37" s="1"/>
  <c r="I101" i="37"/>
  <c r="N88" i="37" s="1"/>
  <c r="N89" i="37" s="1"/>
  <c r="B106" i="27"/>
  <c r="F106" i="27"/>
  <c r="B104" i="30"/>
  <c r="F104" i="30"/>
  <c r="B109" i="25"/>
  <c r="F109" i="25"/>
  <c r="I109" i="5"/>
  <c r="N88" i="5" s="1"/>
  <c r="H109" i="5"/>
  <c r="M88" i="5" s="1"/>
  <c r="M89" i="5" s="1"/>
  <c r="B109" i="22"/>
  <c r="F109" i="22"/>
  <c r="B111" i="8"/>
  <c r="F111" i="8"/>
  <c r="B113" i="7"/>
  <c r="F113" i="7"/>
  <c r="B105" i="31"/>
  <c r="F105" i="31"/>
  <c r="H100" i="40"/>
  <c r="M88" i="40" s="1"/>
  <c r="M89" i="40" s="1"/>
  <c r="I100" i="40"/>
  <c r="N88" i="40" s="1"/>
  <c r="N89" i="40" s="1"/>
  <c r="B105" i="29"/>
  <c r="F105" i="29"/>
  <c r="B105" i="28"/>
  <c r="F105" i="28"/>
  <c r="H105" i="27"/>
  <c r="M88" i="27" s="1"/>
  <c r="M89" i="27" s="1"/>
  <c r="I105" i="27"/>
  <c r="N88" i="27" s="1"/>
  <c r="N89" i="27" s="1"/>
  <c r="H103" i="30"/>
  <c r="M88" i="30" s="1"/>
  <c r="M89" i="30" s="1"/>
  <c r="I103" i="30"/>
  <c r="N88" i="30" s="1"/>
  <c r="N89" i="30" s="1"/>
  <c r="I108" i="25"/>
  <c r="N88" i="25" s="1"/>
  <c r="N89" i="25" s="1"/>
  <c r="H108" i="25"/>
  <c r="M88" i="25" s="1"/>
  <c r="M89" i="25" s="1"/>
  <c r="I108" i="22"/>
  <c r="N88" i="22" s="1"/>
  <c r="N89" i="22" s="1"/>
  <c r="H108" i="22"/>
  <c r="M88" i="22" s="1"/>
  <c r="M89" i="22" s="1"/>
  <c r="B110" i="4"/>
  <c r="F110" i="4"/>
  <c r="B113" i="10"/>
  <c r="F113" i="10"/>
  <c r="B108" i="23"/>
  <c r="F108" i="23"/>
  <c r="B110" i="3"/>
  <c r="F110" i="3"/>
  <c r="I110" i="8"/>
  <c r="N88" i="8" s="1"/>
  <c r="N89" i="8" s="1"/>
  <c r="H110" i="8"/>
  <c r="M88" i="8" s="1"/>
  <c r="M89" i="8" s="1"/>
  <c r="B102" i="43"/>
  <c r="F102" i="43"/>
  <c r="H112" i="7"/>
  <c r="M88" i="7" s="1"/>
  <c r="M89" i="7" s="1"/>
  <c r="I112" i="7"/>
  <c r="N88" i="7" s="1"/>
  <c r="I104" i="31"/>
  <c r="N88" i="31" s="1"/>
  <c r="N89" i="31" s="1"/>
  <c r="H104" i="31"/>
  <c r="M88" i="31" s="1"/>
  <c r="M89" i="31" s="1"/>
  <c r="I104" i="29"/>
  <c r="N88" i="29" s="1"/>
  <c r="N89" i="29" s="1"/>
  <c r="H104" i="29"/>
  <c r="M88" i="29" s="1"/>
  <c r="M89" i="29" s="1"/>
  <c r="I104" i="28"/>
  <c r="N88" i="28" s="1"/>
  <c r="N89" i="28" s="1"/>
  <c r="H104" i="28"/>
  <c r="M88" i="28" s="1"/>
  <c r="M89" i="28" s="1"/>
  <c r="B112" i="11"/>
  <c r="F112" i="11"/>
  <c r="B111" i="6"/>
  <c r="F111" i="6"/>
  <c r="I109" i="4"/>
  <c r="N88" i="4" s="1"/>
  <c r="H109" i="4"/>
  <c r="M88" i="4" s="1"/>
  <c r="M89" i="4" s="1"/>
  <c r="H112" i="10"/>
  <c r="M88" i="10" s="1"/>
  <c r="M89" i="10" s="1"/>
  <c r="I112" i="10"/>
  <c r="N88" i="10" s="1"/>
  <c r="N89" i="10" s="1"/>
  <c r="H107" i="23"/>
  <c r="M88" i="23" s="1"/>
  <c r="M89" i="23" s="1"/>
  <c r="I107" i="23"/>
  <c r="N88" i="23" s="1"/>
  <c r="H109" i="3"/>
  <c r="M88" i="3" s="1"/>
  <c r="I109" i="3"/>
  <c r="N88" i="3" s="1"/>
  <c r="H101" i="43"/>
  <c r="I101" i="43"/>
  <c r="B112" i="9"/>
  <c r="F112" i="9"/>
  <c r="B102" i="39"/>
  <c r="F102" i="39"/>
  <c r="B102" i="37"/>
  <c r="F102" i="37"/>
  <c r="H111" i="11"/>
  <c r="M88" i="11" s="1"/>
  <c r="M89" i="11" s="1"/>
  <c r="I111" i="11"/>
  <c r="N88" i="11" s="1"/>
  <c r="B110" i="5"/>
  <c r="F110" i="5"/>
  <c r="I110" i="6"/>
  <c r="N88" i="6" s="1"/>
  <c r="N89" i="6" s="1"/>
  <c r="H110" i="6"/>
  <c r="M88" i="6" s="1"/>
  <c r="M89" i="6" s="1"/>
  <c r="I111" i="9"/>
  <c r="N88" i="9" s="1"/>
  <c r="M88" i="9"/>
  <c r="M89" i="9" s="1"/>
  <c r="I21" i="17"/>
  <c r="I39" i="17"/>
  <c r="I25" i="17"/>
  <c r="I27" i="17"/>
  <c r="I38" i="17"/>
  <c r="I34" i="17"/>
  <c r="I24" i="17"/>
  <c r="I19" i="17"/>
  <c r="I26" i="17"/>
  <c r="I33" i="17"/>
  <c r="I32" i="17"/>
  <c r="I22" i="17"/>
  <c r="I36" i="17"/>
  <c r="I35" i="17"/>
  <c r="I29" i="17"/>
  <c r="I30" i="17"/>
  <c r="I28" i="17"/>
  <c r="I20" i="17"/>
  <c r="I31" i="17"/>
  <c r="I23" i="17"/>
  <c r="F103" i="46" l="1"/>
  <c r="G103" i="46"/>
  <c r="D104" i="46"/>
  <c r="B104" i="46" s="1"/>
  <c r="E104" i="46"/>
  <c r="I102" i="46"/>
  <c r="H102" i="46"/>
  <c r="F103" i="45"/>
  <c r="J102" i="45"/>
  <c r="F103" i="44"/>
  <c r="E104" i="44" s="1"/>
  <c r="H102" i="44"/>
  <c r="I102" i="44"/>
  <c r="O88" i="11"/>
  <c r="O89" i="11" s="1"/>
  <c r="O88" i="23"/>
  <c r="O89" i="23" s="1"/>
  <c r="O88" i="39"/>
  <c r="O89" i="39" s="1"/>
  <c r="N89" i="23"/>
  <c r="O88" i="5"/>
  <c r="O89" i="5" s="1"/>
  <c r="O88" i="3"/>
  <c r="O89" i="3" s="1"/>
  <c r="O88" i="7"/>
  <c r="O89" i="7" s="1"/>
  <c r="O88" i="24"/>
  <c r="O89" i="24" s="1"/>
  <c r="O88" i="25"/>
  <c r="O89" i="25" s="1"/>
  <c r="N89" i="5"/>
  <c r="O88" i="28"/>
  <c r="O89" i="28" s="1"/>
  <c r="O88" i="10"/>
  <c r="O89" i="10" s="1"/>
  <c r="O88" i="8"/>
  <c r="O89" i="8" s="1"/>
  <c r="O88" i="6"/>
  <c r="O89" i="6" s="1"/>
  <c r="N89" i="7"/>
  <c r="O88" i="31"/>
  <c r="O89" i="31" s="1"/>
  <c r="M89" i="3"/>
  <c r="O88" i="27"/>
  <c r="O89" i="27" s="1"/>
  <c r="O88" i="9"/>
  <c r="O89" i="9" s="1"/>
  <c r="O88" i="4"/>
  <c r="O89" i="4" s="1"/>
  <c r="O88" i="22"/>
  <c r="O89" i="22" s="1"/>
  <c r="N89" i="4"/>
  <c r="O88" i="29"/>
  <c r="O89" i="29" s="1"/>
  <c r="N89" i="3"/>
  <c r="N89" i="11"/>
  <c r="N89" i="9"/>
  <c r="O88" i="30"/>
  <c r="O89" i="30" s="1"/>
  <c r="O88" i="40"/>
  <c r="O89" i="40" s="1"/>
  <c r="O88" i="37"/>
  <c r="O89" i="37" s="1"/>
  <c r="F103" i="42"/>
  <c r="D104" i="42" s="1"/>
  <c r="H102" i="42"/>
  <c r="I102" i="42"/>
  <c r="E103" i="38"/>
  <c r="F103" i="38" s="1"/>
  <c r="B103" i="38"/>
  <c r="B103" i="41"/>
  <c r="F103" i="41"/>
  <c r="H102" i="38"/>
  <c r="I102" i="38"/>
  <c r="I102" i="41"/>
  <c r="H102" i="41"/>
  <c r="J111" i="9"/>
  <c r="J101" i="43"/>
  <c r="G110" i="5"/>
  <c r="D111" i="5"/>
  <c r="E111" i="5"/>
  <c r="G112" i="9"/>
  <c r="D113" i="9"/>
  <c r="E113" i="9"/>
  <c r="J112" i="10"/>
  <c r="G111" i="6"/>
  <c r="D112" i="6"/>
  <c r="E112" i="6"/>
  <c r="J104" i="29"/>
  <c r="J109" i="5"/>
  <c r="J106" i="24"/>
  <c r="G107" i="24"/>
  <c r="D108" i="24"/>
  <c r="E108" i="24"/>
  <c r="G102" i="37"/>
  <c r="D103" i="37"/>
  <c r="E103" i="37"/>
  <c r="G102" i="39"/>
  <c r="D103" i="39"/>
  <c r="E103" i="39"/>
  <c r="J109" i="3"/>
  <c r="G112" i="11"/>
  <c r="D113" i="11"/>
  <c r="E113" i="11"/>
  <c r="J104" i="28"/>
  <c r="G108" i="23"/>
  <c r="D109" i="23"/>
  <c r="E109" i="23"/>
  <c r="G113" i="10"/>
  <c r="D114" i="10"/>
  <c r="E114" i="10"/>
  <c r="J105" i="27"/>
  <c r="J100" i="40"/>
  <c r="G109" i="22"/>
  <c r="D110" i="22"/>
  <c r="E110" i="22"/>
  <c r="G109" i="25"/>
  <c r="D110" i="25"/>
  <c r="E110" i="25"/>
  <c r="J101" i="37"/>
  <c r="J101" i="39"/>
  <c r="G101" i="40"/>
  <c r="D102" i="40"/>
  <c r="E102" i="40"/>
  <c r="J110" i="6"/>
  <c r="J111" i="11"/>
  <c r="G102" i="43"/>
  <c r="D103" i="43"/>
  <c r="E103" i="43"/>
  <c r="J110" i="8"/>
  <c r="J108" i="25"/>
  <c r="G105" i="28"/>
  <c r="D106" i="28"/>
  <c r="E106" i="28"/>
  <c r="G105" i="29"/>
  <c r="D106" i="29"/>
  <c r="E106" i="29"/>
  <c r="G113" i="7"/>
  <c r="D114" i="7"/>
  <c r="E114" i="7"/>
  <c r="G111" i="8"/>
  <c r="D112" i="8"/>
  <c r="E112" i="8"/>
  <c r="G106" i="27"/>
  <c r="D107" i="27"/>
  <c r="E107" i="27"/>
  <c r="J107" i="23"/>
  <c r="J109" i="4"/>
  <c r="J104" i="31"/>
  <c r="J112" i="7"/>
  <c r="G110" i="3"/>
  <c r="D111" i="3"/>
  <c r="E111" i="3"/>
  <c r="G110" i="4"/>
  <c r="D111" i="4"/>
  <c r="E111" i="4"/>
  <c r="J108" i="22"/>
  <c r="J103" i="30"/>
  <c r="G105" i="31"/>
  <c r="D106" i="31"/>
  <c r="E106" i="31"/>
  <c r="G104" i="30"/>
  <c r="D105" i="30"/>
  <c r="E105" i="30"/>
  <c r="I18" i="17"/>
  <c r="J102" i="46" l="1"/>
  <c r="F104" i="46"/>
  <c r="G104" i="46" s="1"/>
  <c r="E105" i="46"/>
  <c r="I103" i="46"/>
  <c r="H103" i="46"/>
  <c r="M88" i="46" s="1"/>
  <c r="M89" i="46" s="1"/>
  <c r="D104" i="44"/>
  <c r="B104" i="44" s="1"/>
  <c r="D104" i="45"/>
  <c r="E104" i="45"/>
  <c r="G103" i="45"/>
  <c r="J102" i="44"/>
  <c r="G103" i="44"/>
  <c r="I103" i="44" s="1"/>
  <c r="N88" i="45"/>
  <c r="G103" i="42"/>
  <c r="H103" i="42" s="1"/>
  <c r="J102" i="38"/>
  <c r="J102" i="41"/>
  <c r="J102" i="42"/>
  <c r="G103" i="38"/>
  <c r="D104" i="38"/>
  <c r="E104" i="42"/>
  <c r="F104" i="42" s="1"/>
  <c r="B104" i="42"/>
  <c r="G103" i="41"/>
  <c r="D104" i="41"/>
  <c r="H105" i="31"/>
  <c r="I105" i="31"/>
  <c r="B106" i="28"/>
  <c r="F106" i="28"/>
  <c r="H101" i="40"/>
  <c r="I101" i="40"/>
  <c r="B109" i="23"/>
  <c r="F109" i="23"/>
  <c r="B103" i="39"/>
  <c r="F103" i="39"/>
  <c r="H102" i="37"/>
  <c r="I102" i="37"/>
  <c r="B108" i="24"/>
  <c r="F108" i="24"/>
  <c r="I112" i="9"/>
  <c r="H112" i="9"/>
  <c r="B111" i="3"/>
  <c r="F111" i="3"/>
  <c r="B111" i="4"/>
  <c r="F111" i="4"/>
  <c r="H110" i="3"/>
  <c r="I110" i="3"/>
  <c r="B107" i="27"/>
  <c r="F107" i="27"/>
  <c r="B114" i="7"/>
  <c r="F114" i="7"/>
  <c r="B106" i="29"/>
  <c r="F106" i="29"/>
  <c r="H105" i="28"/>
  <c r="I105" i="28"/>
  <c r="B103" i="43"/>
  <c r="F103" i="43"/>
  <c r="B110" i="22"/>
  <c r="F110" i="22"/>
  <c r="B114" i="10"/>
  <c r="F114" i="10"/>
  <c r="H108" i="23"/>
  <c r="I108" i="23"/>
  <c r="H102" i="39"/>
  <c r="I102" i="39"/>
  <c r="H107" i="24"/>
  <c r="I107" i="24"/>
  <c r="B112" i="6"/>
  <c r="F112" i="6"/>
  <c r="B105" i="30"/>
  <c r="F105" i="30"/>
  <c r="B106" i="31"/>
  <c r="F106" i="31"/>
  <c r="H110" i="4"/>
  <c r="I110" i="4"/>
  <c r="H106" i="27"/>
  <c r="I106" i="27"/>
  <c r="B112" i="8"/>
  <c r="F112" i="8"/>
  <c r="I113" i="7"/>
  <c r="H113" i="7"/>
  <c r="H105" i="29"/>
  <c r="I105" i="29"/>
  <c r="H102" i="43"/>
  <c r="I102" i="43"/>
  <c r="B110" i="25"/>
  <c r="F110" i="25"/>
  <c r="H109" i="22"/>
  <c r="I109" i="22"/>
  <c r="H113" i="10"/>
  <c r="I113" i="10"/>
  <c r="B113" i="11"/>
  <c r="F113" i="11"/>
  <c r="H111" i="6"/>
  <c r="I111" i="6"/>
  <c r="B111" i="5"/>
  <c r="F111" i="5"/>
  <c r="I104" i="30"/>
  <c r="H104" i="30"/>
  <c r="H111" i="8"/>
  <c r="I111" i="8"/>
  <c r="B102" i="40"/>
  <c r="F102" i="40"/>
  <c r="H109" i="25"/>
  <c r="I109" i="25"/>
  <c r="H112" i="11"/>
  <c r="I112" i="11"/>
  <c r="B103" i="37"/>
  <c r="F103" i="37"/>
  <c r="B113" i="9"/>
  <c r="F113" i="9"/>
  <c r="H110" i="5"/>
  <c r="I110" i="5"/>
  <c r="I45" i="17"/>
  <c r="D105" i="46" l="1"/>
  <c r="B105" i="46" s="1"/>
  <c r="F104" i="44"/>
  <c r="D105" i="44" s="1"/>
  <c r="B105" i="44" s="1"/>
  <c r="V45" i="17"/>
  <c r="N88" i="46"/>
  <c r="J103" i="46"/>
  <c r="I104" i="46"/>
  <c r="H104" i="46"/>
  <c r="H103" i="45"/>
  <c r="M88" i="45" s="1"/>
  <c r="M89" i="45" s="1"/>
  <c r="I103" i="45"/>
  <c r="B104" i="45"/>
  <c r="F104" i="45"/>
  <c r="H103" i="44"/>
  <c r="M88" i="44" s="1"/>
  <c r="M89" i="44" s="1"/>
  <c r="N88" i="44"/>
  <c r="N89" i="45"/>
  <c r="I103" i="42"/>
  <c r="J103" i="42" s="1"/>
  <c r="I103" i="41"/>
  <c r="H103" i="41"/>
  <c r="G104" i="42"/>
  <c r="D105" i="42"/>
  <c r="E104" i="38"/>
  <c r="F104" i="38" s="1"/>
  <c r="B104" i="38"/>
  <c r="E104" i="41"/>
  <c r="F104" i="41" s="1"/>
  <c r="B104" i="41"/>
  <c r="H103" i="38"/>
  <c r="I103" i="38"/>
  <c r="G103" i="37"/>
  <c r="D104" i="37"/>
  <c r="E104" i="37"/>
  <c r="G113" i="11"/>
  <c r="D114" i="11"/>
  <c r="E114" i="11"/>
  <c r="J105" i="29"/>
  <c r="G112" i="8"/>
  <c r="D113" i="8"/>
  <c r="E113" i="8"/>
  <c r="G103" i="43"/>
  <c r="D104" i="43"/>
  <c r="E104" i="43"/>
  <c r="G106" i="29"/>
  <c r="D107" i="29"/>
  <c r="E107" i="29"/>
  <c r="G107" i="27"/>
  <c r="D108" i="27"/>
  <c r="E108" i="27"/>
  <c r="G111" i="4"/>
  <c r="D112" i="4"/>
  <c r="E112" i="4"/>
  <c r="J102" i="37"/>
  <c r="G106" i="28"/>
  <c r="D107" i="28"/>
  <c r="E107" i="28"/>
  <c r="J109" i="25"/>
  <c r="G111" i="5"/>
  <c r="D112" i="5"/>
  <c r="E112" i="5"/>
  <c r="J109" i="22"/>
  <c r="J110" i="4"/>
  <c r="G105" i="30"/>
  <c r="D106" i="30"/>
  <c r="E106" i="30"/>
  <c r="J107" i="24"/>
  <c r="J108" i="23"/>
  <c r="G110" i="22"/>
  <c r="D111" i="22"/>
  <c r="E111" i="22"/>
  <c r="G109" i="23"/>
  <c r="D110" i="23"/>
  <c r="E110" i="23"/>
  <c r="J101" i="40"/>
  <c r="J110" i="5"/>
  <c r="G113" i="9"/>
  <c r="D114" i="9"/>
  <c r="E114" i="9"/>
  <c r="J112" i="11"/>
  <c r="G102" i="40"/>
  <c r="D103" i="40"/>
  <c r="E103" i="40"/>
  <c r="J111" i="8"/>
  <c r="J104" i="30"/>
  <c r="J113" i="10"/>
  <c r="J102" i="43"/>
  <c r="J106" i="27"/>
  <c r="J105" i="28"/>
  <c r="G114" i="7"/>
  <c r="D115" i="7"/>
  <c r="E115" i="7"/>
  <c r="J110" i="3"/>
  <c r="G108" i="24"/>
  <c r="D109" i="24"/>
  <c r="E109" i="24"/>
  <c r="G103" i="39"/>
  <c r="D104" i="39"/>
  <c r="E104" i="39"/>
  <c r="J105" i="31"/>
  <c r="J111" i="6"/>
  <c r="G110" i="25"/>
  <c r="D111" i="25"/>
  <c r="E111" i="25"/>
  <c r="J113" i="7"/>
  <c r="G106" i="31"/>
  <c r="D107" i="31"/>
  <c r="E107" i="31"/>
  <c r="G112" i="6"/>
  <c r="D113" i="6"/>
  <c r="E113" i="6"/>
  <c r="J102" i="39"/>
  <c r="G114" i="10"/>
  <c r="D115" i="10"/>
  <c r="E115" i="10"/>
  <c r="G111" i="3"/>
  <c r="D112" i="3"/>
  <c r="E112" i="3"/>
  <c r="J112" i="9"/>
  <c r="I43" i="17"/>
  <c r="I44" i="17"/>
  <c r="N18" i="2" l="1"/>
  <c r="G104" i="44"/>
  <c r="H104" i="44" s="1"/>
  <c r="F105" i="46"/>
  <c r="E105" i="44"/>
  <c r="F105" i="44" s="1"/>
  <c r="D106" i="44" s="1"/>
  <c r="I104" i="44"/>
  <c r="J104" i="44" s="1"/>
  <c r="J104" i="46"/>
  <c r="N89" i="46"/>
  <c r="O88" i="46"/>
  <c r="O89" i="46" s="1"/>
  <c r="O88" i="45"/>
  <c r="O89" i="45" s="1"/>
  <c r="J103" i="44"/>
  <c r="J103" i="45"/>
  <c r="G104" i="45"/>
  <c r="E105" i="45"/>
  <c r="D105" i="45"/>
  <c r="I47" i="17"/>
  <c r="R134" i="2"/>
  <c r="N19" i="2"/>
  <c r="N20" i="2" s="1"/>
  <c r="O88" i="44"/>
  <c r="O89" i="44" s="1"/>
  <c r="N89" i="44"/>
  <c r="O18" i="2"/>
  <c r="J103" i="38"/>
  <c r="D105" i="41"/>
  <c r="G104" i="41"/>
  <c r="D105" i="38"/>
  <c r="G104" i="38"/>
  <c r="E105" i="38"/>
  <c r="I104" i="42"/>
  <c r="H104" i="42"/>
  <c r="E105" i="42"/>
  <c r="F105" i="42" s="1"/>
  <c r="B105" i="42"/>
  <c r="J103" i="41"/>
  <c r="B111" i="25"/>
  <c r="F111" i="25"/>
  <c r="B104" i="39"/>
  <c r="F104" i="39"/>
  <c r="H108" i="24"/>
  <c r="I108" i="24"/>
  <c r="H109" i="23"/>
  <c r="I109" i="23"/>
  <c r="H110" i="22"/>
  <c r="I110" i="22"/>
  <c r="B107" i="28"/>
  <c r="F107" i="28"/>
  <c r="B108" i="27"/>
  <c r="F108" i="27"/>
  <c r="I106" i="29"/>
  <c r="H106" i="29"/>
  <c r="H113" i="11"/>
  <c r="I113" i="11"/>
  <c r="B112" i="3"/>
  <c r="F112" i="3"/>
  <c r="I111" i="3"/>
  <c r="H111" i="3"/>
  <c r="B115" i="10"/>
  <c r="F115" i="10"/>
  <c r="B107" i="31"/>
  <c r="F107" i="31"/>
  <c r="H110" i="25"/>
  <c r="I110" i="25"/>
  <c r="I103" i="39"/>
  <c r="H103" i="39"/>
  <c r="B115" i="7"/>
  <c r="F115" i="7"/>
  <c r="B103" i="40"/>
  <c r="F103" i="40"/>
  <c r="H106" i="28"/>
  <c r="I106" i="28"/>
  <c r="B112" i="4"/>
  <c r="F112" i="4"/>
  <c r="H107" i="27"/>
  <c r="I107" i="27"/>
  <c r="H114" i="10"/>
  <c r="I114" i="10"/>
  <c r="B113" i="6"/>
  <c r="F113" i="6"/>
  <c r="I106" i="31"/>
  <c r="H106" i="31"/>
  <c r="H114" i="7"/>
  <c r="I114" i="7"/>
  <c r="H102" i="40"/>
  <c r="I102" i="40"/>
  <c r="B114" i="9"/>
  <c r="F114" i="9"/>
  <c r="B106" i="30"/>
  <c r="F106" i="30"/>
  <c r="B112" i="5"/>
  <c r="F112" i="5"/>
  <c r="H111" i="4"/>
  <c r="I111" i="4"/>
  <c r="B104" i="43"/>
  <c r="F104" i="43"/>
  <c r="B113" i="8"/>
  <c r="F113" i="8"/>
  <c r="B104" i="37"/>
  <c r="F104" i="37"/>
  <c r="H112" i="6"/>
  <c r="I112" i="6"/>
  <c r="B109" i="24"/>
  <c r="F109" i="24"/>
  <c r="H113" i="9"/>
  <c r="I113" i="9"/>
  <c r="B110" i="23"/>
  <c r="F110" i="23"/>
  <c r="B111" i="22"/>
  <c r="F111" i="22"/>
  <c r="I105" i="30"/>
  <c r="H105" i="30"/>
  <c r="H111" i="5"/>
  <c r="I111" i="5"/>
  <c r="B107" i="29"/>
  <c r="F107" i="29"/>
  <c r="H103" i="43"/>
  <c r="I103" i="43"/>
  <c r="H112" i="8"/>
  <c r="I112" i="8"/>
  <c r="B114" i="11"/>
  <c r="F114" i="11"/>
  <c r="H103" i="37"/>
  <c r="I103" i="37"/>
  <c r="G105" i="44" l="1"/>
  <c r="D106" i="46"/>
  <c r="E106" i="46"/>
  <c r="G105" i="46"/>
  <c r="B105" i="45"/>
  <c r="F105" i="45"/>
  <c r="H104" i="45"/>
  <c r="I104" i="45"/>
  <c r="J104" i="45" s="1"/>
  <c r="E106" i="44"/>
  <c r="F106" i="44" s="1"/>
  <c r="B106" i="44"/>
  <c r="H105" i="44"/>
  <c r="I105" i="44"/>
  <c r="R135" i="2"/>
  <c r="O19" i="2"/>
  <c r="O20" i="2" s="1"/>
  <c r="P18" i="2"/>
  <c r="P19" i="2" s="1"/>
  <c r="P20" i="2" s="1"/>
  <c r="G105" i="42"/>
  <c r="D106" i="42"/>
  <c r="H104" i="38"/>
  <c r="I104" i="38"/>
  <c r="B105" i="38"/>
  <c r="F105" i="38"/>
  <c r="J104" i="42"/>
  <c r="I104" i="41"/>
  <c r="H104" i="41"/>
  <c r="E105" i="41"/>
  <c r="F105" i="41" s="1"/>
  <c r="B105" i="41"/>
  <c r="G113" i="8"/>
  <c r="D114" i="8"/>
  <c r="E114" i="8"/>
  <c r="J112" i="8"/>
  <c r="J113" i="9"/>
  <c r="J103" i="39"/>
  <c r="J110" i="25"/>
  <c r="J111" i="3"/>
  <c r="J108" i="24"/>
  <c r="J111" i="4"/>
  <c r="J103" i="37"/>
  <c r="G107" i="29"/>
  <c r="D108" i="29"/>
  <c r="E108" i="29"/>
  <c r="G106" i="30"/>
  <c r="D107" i="30"/>
  <c r="E107" i="30"/>
  <c r="G110" i="23"/>
  <c r="D111" i="23"/>
  <c r="E111" i="23"/>
  <c r="G109" i="24"/>
  <c r="D110" i="24"/>
  <c r="E110" i="24"/>
  <c r="G104" i="37"/>
  <c r="D105" i="37"/>
  <c r="E105" i="37"/>
  <c r="G104" i="43"/>
  <c r="D105" i="43"/>
  <c r="E105" i="43"/>
  <c r="J102" i="40"/>
  <c r="J114" i="10"/>
  <c r="J107" i="27"/>
  <c r="J106" i="28"/>
  <c r="G103" i="40"/>
  <c r="D104" i="40"/>
  <c r="E104" i="40"/>
  <c r="G115" i="7"/>
  <c r="D116" i="7"/>
  <c r="E116" i="7"/>
  <c r="G115" i="10"/>
  <c r="D116" i="10"/>
  <c r="E116" i="10"/>
  <c r="G112" i="3"/>
  <c r="D113" i="3"/>
  <c r="E113" i="3"/>
  <c r="G107" i="28"/>
  <c r="D108" i="28"/>
  <c r="E108" i="28"/>
  <c r="J110" i="22"/>
  <c r="G111" i="25"/>
  <c r="D112" i="25"/>
  <c r="E112" i="25"/>
  <c r="G111" i="22"/>
  <c r="D112" i="22"/>
  <c r="E112" i="22"/>
  <c r="G114" i="11"/>
  <c r="D115" i="11"/>
  <c r="E115" i="11"/>
  <c r="J103" i="43"/>
  <c r="J105" i="30"/>
  <c r="G112" i="5"/>
  <c r="D113" i="5"/>
  <c r="E113" i="5"/>
  <c r="J106" i="31"/>
  <c r="J106" i="29"/>
  <c r="G104" i="39"/>
  <c r="D105" i="39"/>
  <c r="E105" i="39"/>
  <c r="J111" i="5"/>
  <c r="J112" i="6"/>
  <c r="G114" i="9"/>
  <c r="D115" i="9"/>
  <c r="E115" i="9"/>
  <c r="J114" i="7"/>
  <c r="G113" i="6"/>
  <c r="D114" i="6"/>
  <c r="E114" i="6"/>
  <c r="G112" i="4"/>
  <c r="D113" i="4"/>
  <c r="E113" i="4"/>
  <c r="G107" i="31"/>
  <c r="D108" i="31"/>
  <c r="E108" i="31"/>
  <c r="J113" i="11"/>
  <c r="G108" i="27"/>
  <c r="D109" i="27"/>
  <c r="E109" i="27"/>
  <c r="J109" i="23"/>
  <c r="H105" i="46" l="1"/>
  <c r="I105" i="46"/>
  <c r="J105" i="46" s="1"/>
  <c r="B106" i="46"/>
  <c r="F106" i="46"/>
  <c r="G105" i="45"/>
  <c r="D106" i="45"/>
  <c r="E106" i="45"/>
  <c r="J104" i="38"/>
  <c r="J104" i="41"/>
  <c r="D107" i="44"/>
  <c r="G106" i="44"/>
  <c r="J105" i="44"/>
  <c r="D106" i="41"/>
  <c r="G105" i="41"/>
  <c r="D106" i="38"/>
  <c r="G105" i="38"/>
  <c r="E106" i="42"/>
  <c r="F106" i="42" s="1"/>
  <c r="B106" i="42"/>
  <c r="I105" i="42"/>
  <c r="H105" i="42"/>
  <c r="B109" i="27"/>
  <c r="F109" i="27"/>
  <c r="B108" i="31"/>
  <c r="F108" i="31"/>
  <c r="H112" i="4"/>
  <c r="I112" i="4"/>
  <c r="H114" i="9"/>
  <c r="I114" i="9"/>
  <c r="H112" i="5"/>
  <c r="I112" i="5"/>
  <c r="B112" i="25"/>
  <c r="F112" i="25"/>
  <c r="B113" i="3"/>
  <c r="F113" i="3"/>
  <c r="H115" i="10"/>
  <c r="I115" i="10"/>
  <c r="B105" i="43"/>
  <c r="F105" i="43"/>
  <c r="I104" i="37"/>
  <c r="H104" i="37"/>
  <c r="B107" i="30"/>
  <c r="F107" i="30"/>
  <c r="H107" i="29"/>
  <c r="I107" i="29"/>
  <c r="I108" i="27"/>
  <c r="H108" i="27"/>
  <c r="H107" i="31"/>
  <c r="I107" i="31"/>
  <c r="B112" i="22"/>
  <c r="F112" i="22"/>
  <c r="H111" i="25"/>
  <c r="I111" i="25"/>
  <c r="B108" i="28"/>
  <c r="F108" i="28"/>
  <c r="H112" i="3"/>
  <c r="I112" i="3"/>
  <c r="B104" i="40"/>
  <c r="F104" i="40"/>
  <c r="I104" i="43"/>
  <c r="H104" i="43"/>
  <c r="B111" i="23"/>
  <c r="F111" i="23"/>
  <c r="H106" i="30"/>
  <c r="I106" i="30"/>
  <c r="B114" i="6"/>
  <c r="F114" i="6"/>
  <c r="B105" i="39"/>
  <c r="F105" i="39"/>
  <c r="B115" i="11"/>
  <c r="F115" i="11"/>
  <c r="H111" i="22"/>
  <c r="I111" i="22"/>
  <c r="H107" i="28"/>
  <c r="I107" i="28"/>
  <c r="B116" i="7"/>
  <c r="F116" i="7"/>
  <c r="H103" i="40"/>
  <c r="I103" i="40"/>
  <c r="B110" i="24"/>
  <c r="F110" i="24"/>
  <c r="H110" i="23"/>
  <c r="I110" i="23"/>
  <c r="B114" i="8"/>
  <c r="F114" i="8"/>
  <c r="B113" i="4"/>
  <c r="F113" i="4"/>
  <c r="H113" i="6"/>
  <c r="I113" i="6"/>
  <c r="B115" i="9"/>
  <c r="F115" i="9"/>
  <c r="H104" i="39"/>
  <c r="I104" i="39"/>
  <c r="B113" i="5"/>
  <c r="F113" i="5"/>
  <c r="H114" i="11"/>
  <c r="I114" i="11"/>
  <c r="B116" i="10"/>
  <c r="F116" i="10"/>
  <c r="H115" i="7"/>
  <c r="I115" i="7"/>
  <c r="B105" i="37"/>
  <c r="F105" i="37"/>
  <c r="H109" i="24"/>
  <c r="I109" i="24"/>
  <c r="B108" i="29"/>
  <c r="F108" i="29"/>
  <c r="H113" i="8"/>
  <c r="I113" i="8"/>
  <c r="D107" i="46" l="1"/>
  <c r="G106" i="46"/>
  <c r="E107" i="46"/>
  <c r="B106" i="45"/>
  <c r="F106" i="45"/>
  <c r="H105" i="45"/>
  <c r="I105" i="45"/>
  <c r="J105" i="42"/>
  <c r="H106" i="44"/>
  <c r="I106" i="44"/>
  <c r="E107" i="44"/>
  <c r="F107" i="44" s="1"/>
  <c r="B107" i="44"/>
  <c r="I105" i="38"/>
  <c r="H105" i="38"/>
  <c r="D107" i="42"/>
  <c r="G106" i="42"/>
  <c r="E106" i="38"/>
  <c r="F106" i="38" s="1"/>
  <c r="B106" i="38"/>
  <c r="H105" i="41"/>
  <c r="I105" i="41"/>
  <c r="E106" i="41"/>
  <c r="F106" i="41" s="1"/>
  <c r="B106" i="41"/>
  <c r="J113" i="8"/>
  <c r="J109" i="24"/>
  <c r="J115" i="7"/>
  <c r="J114" i="11"/>
  <c r="J104" i="39"/>
  <c r="J113" i="6"/>
  <c r="G114" i="8"/>
  <c r="D115" i="8"/>
  <c r="E115" i="8"/>
  <c r="G110" i="24"/>
  <c r="D111" i="24"/>
  <c r="E111" i="24"/>
  <c r="G116" i="7"/>
  <c r="D117" i="7"/>
  <c r="E117" i="7"/>
  <c r="J111" i="22"/>
  <c r="G105" i="39"/>
  <c r="D106" i="39"/>
  <c r="E106" i="39"/>
  <c r="J106" i="30"/>
  <c r="J112" i="3"/>
  <c r="J111" i="25"/>
  <c r="J107" i="31"/>
  <c r="J107" i="29"/>
  <c r="J115" i="10"/>
  <c r="G112" i="25"/>
  <c r="D113" i="25"/>
  <c r="E113" i="25"/>
  <c r="J114" i="9"/>
  <c r="G108" i="31"/>
  <c r="D109" i="31"/>
  <c r="E109" i="31"/>
  <c r="J104" i="43"/>
  <c r="J104" i="37"/>
  <c r="G108" i="29"/>
  <c r="D109" i="29"/>
  <c r="E109" i="29"/>
  <c r="G105" i="37"/>
  <c r="D106" i="37"/>
  <c r="E106" i="37"/>
  <c r="G116" i="10"/>
  <c r="D117" i="10"/>
  <c r="E117" i="10"/>
  <c r="G113" i="5"/>
  <c r="D114" i="5"/>
  <c r="E114" i="5"/>
  <c r="G115" i="9"/>
  <c r="D116" i="9"/>
  <c r="E116" i="9"/>
  <c r="G113" i="4"/>
  <c r="D114" i="4"/>
  <c r="E114" i="4"/>
  <c r="J110" i="23"/>
  <c r="J103" i="40"/>
  <c r="J107" i="28"/>
  <c r="G115" i="11"/>
  <c r="D116" i="11"/>
  <c r="E116" i="11"/>
  <c r="G114" i="6"/>
  <c r="D115" i="6"/>
  <c r="E115" i="6"/>
  <c r="G111" i="23"/>
  <c r="D112" i="23"/>
  <c r="E112" i="23"/>
  <c r="G104" i="40"/>
  <c r="D105" i="40"/>
  <c r="E105" i="40"/>
  <c r="G108" i="28"/>
  <c r="D109" i="28"/>
  <c r="E109" i="28"/>
  <c r="G112" i="22"/>
  <c r="D113" i="22"/>
  <c r="E113" i="22"/>
  <c r="G107" i="30"/>
  <c r="D108" i="30"/>
  <c r="E108" i="30"/>
  <c r="G105" i="43"/>
  <c r="D106" i="43"/>
  <c r="E106" i="43"/>
  <c r="G113" i="3"/>
  <c r="D114" i="3"/>
  <c r="E114" i="3"/>
  <c r="J112" i="5"/>
  <c r="J112" i="4"/>
  <c r="G109" i="27"/>
  <c r="D110" i="27"/>
  <c r="E110" i="27"/>
  <c r="J108" i="27"/>
  <c r="I106" i="46" l="1"/>
  <c r="H106" i="46"/>
  <c r="B107" i="46"/>
  <c r="F107" i="46"/>
  <c r="J105" i="45"/>
  <c r="G106" i="45"/>
  <c r="D107" i="45"/>
  <c r="E107" i="45"/>
  <c r="J106" i="44"/>
  <c r="D108" i="44"/>
  <c r="G107" i="44"/>
  <c r="H106" i="42"/>
  <c r="I106" i="42"/>
  <c r="D107" i="41"/>
  <c r="G106" i="41"/>
  <c r="D107" i="38"/>
  <c r="G106" i="38"/>
  <c r="E107" i="42"/>
  <c r="F107" i="42" s="1"/>
  <c r="B107" i="42"/>
  <c r="J105" i="41"/>
  <c r="J105" i="38"/>
  <c r="B114" i="3"/>
  <c r="F114" i="3"/>
  <c r="B109" i="28"/>
  <c r="F109" i="28"/>
  <c r="H104" i="40"/>
  <c r="I104" i="40"/>
  <c r="B116" i="11"/>
  <c r="F116" i="11"/>
  <c r="B116" i="9"/>
  <c r="F116" i="9"/>
  <c r="H113" i="5"/>
  <c r="I113" i="5"/>
  <c r="B109" i="29"/>
  <c r="F109" i="29"/>
  <c r="H108" i="31"/>
  <c r="I108" i="31"/>
  <c r="B113" i="25"/>
  <c r="F113" i="25"/>
  <c r="H105" i="39"/>
  <c r="I105" i="39"/>
  <c r="B117" i="7"/>
  <c r="F117" i="7"/>
  <c r="I110" i="24"/>
  <c r="H110" i="24"/>
  <c r="I105" i="43"/>
  <c r="H105" i="43"/>
  <c r="B110" i="27"/>
  <c r="F110" i="27"/>
  <c r="I113" i="3"/>
  <c r="H113" i="3"/>
  <c r="B113" i="22"/>
  <c r="F113" i="22"/>
  <c r="H108" i="28"/>
  <c r="I108" i="28"/>
  <c r="B115" i="6"/>
  <c r="F115" i="6"/>
  <c r="H115" i="11"/>
  <c r="I115" i="11"/>
  <c r="B114" i="4"/>
  <c r="F114" i="4"/>
  <c r="H115" i="9"/>
  <c r="I115" i="9"/>
  <c r="B106" i="37"/>
  <c r="F106" i="37"/>
  <c r="H108" i="29"/>
  <c r="I108" i="29"/>
  <c r="H112" i="25"/>
  <c r="I112" i="25"/>
  <c r="H116" i="7"/>
  <c r="I116" i="7"/>
  <c r="H109" i="27"/>
  <c r="I109" i="27"/>
  <c r="B108" i="30"/>
  <c r="F108" i="30"/>
  <c r="H112" i="22"/>
  <c r="I112" i="22"/>
  <c r="B112" i="23"/>
  <c r="F112" i="23"/>
  <c r="H114" i="6"/>
  <c r="I114" i="6"/>
  <c r="H113" i="4"/>
  <c r="I113" i="4"/>
  <c r="B117" i="10"/>
  <c r="F117" i="10"/>
  <c r="H105" i="37"/>
  <c r="I105" i="37"/>
  <c r="B115" i="8"/>
  <c r="F115" i="8"/>
  <c r="B106" i="43"/>
  <c r="F106" i="43"/>
  <c r="H107" i="30"/>
  <c r="I107" i="30"/>
  <c r="B105" i="40"/>
  <c r="F105" i="40"/>
  <c r="H111" i="23"/>
  <c r="I111" i="23"/>
  <c r="B114" i="5"/>
  <c r="F114" i="5"/>
  <c r="H116" i="10"/>
  <c r="I116" i="10"/>
  <c r="B109" i="31"/>
  <c r="F109" i="31"/>
  <c r="B106" i="39"/>
  <c r="F106" i="39"/>
  <c r="B111" i="24"/>
  <c r="F111" i="24"/>
  <c r="H114" i="8"/>
  <c r="I114" i="8"/>
  <c r="G107" i="46" l="1"/>
  <c r="D108" i="46"/>
  <c r="B108" i="46" s="1"/>
  <c r="E108" i="46"/>
  <c r="F108" i="46" s="1"/>
  <c r="J106" i="46"/>
  <c r="B107" i="45"/>
  <c r="F107" i="45"/>
  <c r="I106" i="45"/>
  <c r="H106" i="45"/>
  <c r="E108" i="44"/>
  <c r="F108" i="44" s="1"/>
  <c r="B108" i="44"/>
  <c r="H107" i="44"/>
  <c r="I107" i="44"/>
  <c r="J106" i="42"/>
  <c r="G107" i="42"/>
  <c r="D108" i="42"/>
  <c r="I106" i="41"/>
  <c r="H106" i="41"/>
  <c r="E107" i="41"/>
  <c r="F107" i="41" s="1"/>
  <c r="B107" i="41"/>
  <c r="H106" i="38"/>
  <c r="I106" i="38"/>
  <c r="E107" i="38"/>
  <c r="F107" i="38" s="1"/>
  <c r="B107" i="38"/>
  <c r="J114" i="8"/>
  <c r="J116" i="10"/>
  <c r="J105" i="39"/>
  <c r="J113" i="3"/>
  <c r="J105" i="43"/>
  <c r="G106" i="39"/>
  <c r="D107" i="39"/>
  <c r="E107" i="39"/>
  <c r="J111" i="23"/>
  <c r="J107" i="30"/>
  <c r="G115" i="8"/>
  <c r="D116" i="8"/>
  <c r="E116" i="8"/>
  <c r="G117" i="10"/>
  <c r="D118" i="10"/>
  <c r="E118" i="10"/>
  <c r="J114" i="6"/>
  <c r="J112" i="22"/>
  <c r="J109" i="27"/>
  <c r="J112" i="25"/>
  <c r="G106" i="37"/>
  <c r="D107" i="37"/>
  <c r="E107" i="37"/>
  <c r="G114" i="4"/>
  <c r="D115" i="4"/>
  <c r="E115" i="4"/>
  <c r="G115" i="6"/>
  <c r="D116" i="6"/>
  <c r="E116" i="6"/>
  <c r="G113" i="22"/>
  <c r="D114" i="22"/>
  <c r="E114" i="22"/>
  <c r="G110" i="27"/>
  <c r="D111" i="27"/>
  <c r="E111" i="27"/>
  <c r="J108" i="31"/>
  <c r="J113" i="5"/>
  <c r="G116" i="11"/>
  <c r="D117" i="11"/>
  <c r="E117" i="11"/>
  <c r="G109" i="28"/>
  <c r="D110" i="28"/>
  <c r="E110" i="28"/>
  <c r="J110" i="24"/>
  <c r="G111" i="24"/>
  <c r="D112" i="24"/>
  <c r="E112" i="24"/>
  <c r="G109" i="31"/>
  <c r="D110" i="31"/>
  <c r="E110" i="31"/>
  <c r="G114" i="5"/>
  <c r="D115" i="5"/>
  <c r="E115" i="5"/>
  <c r="G105" i="40"/>
  <c r="D106" i="40"/>
  <c r="E106" i="40"/>
  <c r="G106" i="43"/>
  <c r="D107" i="43"/>
  <c r="E107" i="43"/>
  <c r="J105" i="37"/>
  <c r="J113" i="4"/>
  <c r="G112" i="23"/>
  <c r="D113" i="23"/>
  <c r="E113" i="23"/>
  <c r="G108" i="30"/>
  <c r="D109" i="30"/>
  <c r="E109" i="30"/>
  <c r="J116" i="7"/>
  <c r="J108" i="29"/>
  <c r="J115" i="9"/>
  <c r="J115" i="11"/>
  <c r="J108" i="28"/>
  <c r="G117" i="7"/>
  <c r="D118" i="7"/>
  <c r="E118" i="7"/>
  <c r="G113" i="25"/>
  <c r="D114" i="25"/>
  <c r="E114" i="25"/>
  <c r="G109" i="29"/>
  <c r="D110" i="29"/>
  <c r="E110" i="29"/>
  <c r="G116" i="9"/>
  <c r="D117" i="9"/>
  <c r="E117" i="9"/>
  <c r="J104" i="40"/>
  <c r="G114" i="3"/>
  <c r="D115" i="3"/>
  <c r="E115" i="3"/>
  <c r="D109" i="46" l="1"/>
  <c r="B109" i="46" s="1"/>
  <c r="G108" i="46"/>
  <c r="E109" i="46"/>
  <c r="F109" i="46" s="1"/>
  <c r="I107" i="46"/>
  <c r="J107" i="46" s="1"/>
  <c r="H107" i="46"/>
  <c r="J106" i="45"/>
  <c r="E108" i="45"/>
  <c r="D108" i="45"/>
  <c r="G107" i="45"/>
  <c r="D109" i="44"/>
  <c r="G108" i="44"/>
  <c r="J107" i="44"/>
  <c r="J106" i="41"/>
  <c r="G107" i="38"/>
  <c r="D108" i="38"/>
  <c r="G107" i="41"/>
  <c r="D108" i="41"/>
  <c r="E108" i="42"/>
  <c r="F108" i="42" s="1"/>
  <c r="B108" i="42"/>
  <c r="J106" i="38"/>
  <c r="H107" i="42"/>
  <c r="I107" i="42"/>
  <c r="B115" i="3"/>
  <c r="F115" i="3"/>
  <c r="H114" i="3"/>
  <c r="I114" i="3"/>
  <c r="H116" i="9"/>
  <c r="I116" i="9"/>
  <c r="B114" i="25"/>
  <c r="F114" i="25"/>
  <c r="H117" i="7"/>
  <c r="I117" i="7"/>
  <c r="H108" i="30"/>
  <c r="I108" i="30"/>
  <c r="I106" i="43"/>
  <c r="H106" i="43"/>
  <c r="B110" i="31"/>
  <c r="F110" i="31"/>
  <c r="H111" i="24"/>
  <c r="I111" i="24"/>
  <c r="H109" i="28"/>
  <c r="I109" i="28"/>
  <c r="I110" i="27"/>
  <c r="H110" i="27"/>
  <c r="B115" i="4"/>
  <c r="F115" i="4"/>
  <c r="H106" i="37"/>
  <c r="I106" i="37"/>
  <c r="B110" i="29"/>
  <c r="F110" i="29"/>
  <c r="H113" i="25"/>
  <c r="I113" i="25"/>
  <c r="B115" i="5"/>
  <c r="F115" i="5"/>
  <c r="H109" i="31"/>
  <c r="I109" i="31"/>
  <c r="B116" i="6"/>
  <c r="F116" i="6"/>
  <c r="H114" i="4"/>
  <c r="I114" i="4"/>
  <c r="B116" i="8"/>
  <c r="F116" i="8"/>
  <c r="B117" i="9"/>
  <c r="F117" i="9"/>
  <c r="H109" i="29"/>
  <c r="I109" i="29"/>
  <c r="B113" i="23"/>
  <c r="F113" i="23"/>
  <c r="B106" i="40"/>
  <c r="F106" i="40"/>
  <c r="H114" i="5"/>
  <c r="I114" i="5"/>
  <c r="B117" i="11"/>
  <c r="F117" i="11"/>
  <c r="B114" i="22"/>
  <c r="F114" i="22"/>
  <c r="I115" i="6"/>
  <c r="H115" i="6"/>
  <c r="B118" i="10"/>
  <c r="F118" i="10"/>
  <c r="I115" i="8"/>
  <c r="H115" i="8"/>
  <c r="B107" i="39"/>
  <c r="F107" i="39"/>
  <c r="B118" i="7"/>
  <c r="F118" i="7"/>
  <c r="B109" i="30"/>
  <c r="F109" i="30"/>
  <c r="I112" i="23"/>
  <c r="H112" i="23"/>
  <c r="B107" i="43"/>
  <c r="F107" i="43"/>
  <c r="H105" i="40"/>
  <c r="I105" i="40"/>
  <c r="B112" i="24"/>
  <c r="F112" i="24"/>
  <c r="B110" i="28"/>
  <c r="F110" i="28"/>
  <c r="H116" i="11"/>
  <c r="I116" i="11"/>
  <c r="B111" i="27"/>
  <c r="F111" i="27"/>
  <c r="H113" i="22"/>
  <c r="I113" i="22"/>
  <c r="B107" i="37"/>
  <c r="F107" i="37"/>
  <c r="H117" i="10"/>
  <c r="I117" i="10"/>
  <c r="H106" i="39"/>
  <c r="I106" i="39"/>
  <c r="G109" i="46" l="1"/>
  <c r="D110" i="46"/>
  <c r="B110" i="46" s="1"/>
  <c r="E110" i="46"/>
  <c r="F110" i="46" s="1"/>
  <c r="H108" i="46"/>
  <c r="I108" i="46"/>
  <c r="B108" i="45"/>
  <c r="F108" i="45"/>
  <c r="H107" i="45"/>
  <c r="I107" i="45"/>
  <c r="I108" i="44"/>
  <c r="H108" i="44"/>
  <c r="E109" i="44"/>
  <c r="F109" i="44" s="1"/>
  <c r="B109" i="44"/>
  <c r="G108" i="42"/>
  <c r="D109" i="42"/>
  <c r="E108" i="41"/>
  <c r="F108" i="41" s="1"/>
  <c r="B108" i="41"/>
  <c r="H107" i="41"/>
  <c r="I107" i="41"/>
  <c r="J114" i="3"/>
  <c r="J107" i="42"/>
  <c r="E108" i="38"/>
  <c r="F108" i="38" s="1"/>
  <c r="B108" i="38"/>
  <c r="I107" i="38"/>
  <c r="H107" i="38"/>
  <c r="J110" i="27"/>
  <c r="J106" i="43"/>
  <c r="J112" i="23"/>
  <c r="J115" i="8"/>
  <c r="J115" i="6"/>
  <c r="J106" i="39"/>
  <c r="G107" i="37"/>
  <c r="D108" i="37"/>
  <c r="E108" i="37"/>
  <c r="G111" i="27"/>
  <c r="D112" i="27"/>
  <c r="E112" i="27"/>
  <c r="G110" i="28"/>
  <c r="D111" i="28"/>
  <c r="E111" i="28"/>
  <c r="J105" i="40"/>
  <c r="G118" i="7"/>
  <c r="D119" i="7"/>
  <c r="E119" i="7"/>
  <c r="G117" i="11"/>
  <c r="D118" i="11"/>
  <c r="E118" i="11"/>
  <c r="G106" i="40"/>
  <c r="D107" i="40"/>
  <c r="E107" i="40"/>
  <c r="J109" i="29"/>
  <c r="G116" i="8"/>
  <c r="D117" i="8"/>
  <c r="E117" i="8"/>
  <c r="G116" i="6"/>
  <c r="D117" i="6"/>
  <c r="E117" i="6"/>
  <c r="G115" i="5"/>
  <c r="D116" i="5"/>
  <c r="E116" i="5"/>
  <c r="G110" i="29"/>
  <c r="D111" i="29"/>
  <c r="E111" i="29"/>
  <c r="G115" i="4"/>
  <c r="D116" i="4"/>
  <c r="E116" i="4"/>
  <c r="J109" i="28"/>
  <c r="G110" i="31"/>
  <c r="D111" i="31"/>
  <c r="E111" i="31"/>
  <c r="J108" i="30"/>
  <c r="G114" i="25"/>
  <c r="D115" i="25"/>
  <c r="E115" i="25"/>
  <c r="J117" i="10"/>
  <c r="J113" i="22"/>
  <c r="J116" i="11"/>
  <c r="G112" i="24"/>
  <c r="D113" i="24"/>
  <c r="E113" i="24"/>
  <c r="G107" i="43"/>
  <c r="D108" i="43"/>
  <c r="E108" i="43"/>
  <c r="G109" i="30"/>
  <c r="D110" i="30"/>
  <c r="E110" i="30"/>
  <c r="G107" i="39"/>
  <c r="D108" i="39"/>
  <c r="E108" i="39"/>
  <c r="G118" i="10"/>
  <c r="D119" i="10"/>
  <c r="E119" i="10"/>
  <c r="G114" i="22"/>
  <c r="D115" i="22"/>
  <c r="E115" i="22"/>
  <c r="J114" i="5"/>
  <c r="G113" i="23"/>
  <c r="D114" i="23"/>
  <c r="E114" i="23"/>
  <c r="G117" i="9"/>
  <c r="D118" i="9"/>
  <c r="E118" i="9"/>
  <c r="J114" i="4"/>
  <c r="J109" i="31"/>
  <c r="J113" i="25"/>
  <c r="J106" i="37"/>
  <c r="J111" i="24"/>
  <c r="J117" i="7"/>
  <c r="J116" i="9"/>
  <c r="G115" i="3"/>
  <c r="D116" i="3"/>
  <c r="E116" i="3"/>
  <c r="G110" i="46" l="1"/>
  <c r="D111" i="46"/>
  <c r="E111" i="46"/>
  <c r="J108" i="46"/>
  <c r="H109" i="46"/>
  <c r="I109" i="46"/>
  <c r="J107" i="45"/>
  <c r="G108" i="45"/>
  <c r="E109" i="45"/>
  <c r="D109" i="45"/>
  <c r="D110" i="44"/>
  <c r="G109" i="44"/>
  <c r="J108" i="44"/>
  <c r="J107" i="41"/>
  <c r="D109" i="41"/>
  <c r="B109" i="41" s="1"/>
  <c r="G108" i="41"/>
  <c r="E109" i="41"/>
  <c r="G108" i="38"/>
  <c r="D109" i="38"/>
  <c r="E109" i="42"/>
  <c r="F109" i="42" s="1"/>
  <c r="B109" i="42"/>
  <c r="J107" i="38"/>
  <c r="I108" i="42"/>
  <c r="H108" i="42"/>
  <c r="H115" i="3"/>
  <c r="I115" i="3"/>
  <c r="B114" i="23"/>
  <c r="F114" i="23"/>
  <c r="B115" i="22"/>
  <c r="F115" i="22"/>
  <c r="H118" i="10"/>
  <c r="I118" i="10"/>
  <c r="B108" i="43"/>
  <c r="F108" i="43"/>
  <c r="I112" i="24"/>
  <c r="H112" i="24"/>
  <c r="B111" i="29"/>
  <c r="F111" i="29"/>
  <c r="H115" i="5"/>
  <c r="I115" i="5"/>
  <c r="B118" i="11"/>
  <c r="F118" i="11"/>
  <c r="I118" i="7"/>
  <c r="H118" i="7"/>
  <c r="H110" i="28"/>
  <c r="I110" i="28"/>
  <c r="H113" i="23"/>
  <c r="I113" i="23"/>
  <c r="B110" i="30"/>
  <c r="F110" i="30"/>
  <c r="H107" i="43"/>
  <c r="I107" i="43"/>
  <c r="B115" i="25"/>
  <c r="F115" i="25"/>
  <c r="B111" i="31"/>
  <c r="F111" i="31"/>
  <c r="B116" i="4"/>
  <c r="F116" i="4"/>
  <c r="H110" i="29"/>
  <c r="I110" i="29"/>
  <c r="B117" i="8"/>
  <c r="F117" i="8"/>
  <c r="B107" i="40"/>
  <c r="F107" i="40"/>
  <c r="I117" i="11"/>
  <c r="H117" i="11"/>
  <c r="B108" i="37"/>
  <c r="F108" i="37"/>
  <c r="B118" i="9"/>
  <c r="F118" i="9"/>
  <c r="H114" i="22"/>
  <c r="I114" i="22"/>
  <c r="H117" i="9"/>
  <c r="I117" i="9"/>
  <c r="B108" i="39"/>
  <c r="F108" i="39"/>
  <c r="I109" i="30"/>
  <c r="H109" i="30"/>
  <c r="H114" i="25"/>
  <c r="I114" i="25"/>
  <c r="H110" i="31"/>
  <c r="I110" i="31"/>
  <c r="H115" i="4"/>
  <c r="I115" i="4"/>
  <c r="B117" i="6"/>
  <c r="F117" i="6"/>
  <c r="H116" i="8"/>
  <c r="I116" i="8"/>
  <c r="H106" i="40"/>
  <c r="I106" i="40"/>
  <c r="B112" i="27"/>
  <c r="F112" i="27"/>
  <c r="H107" i="37"/>
  <c r="I107" i="37"/>
  <c r="B116" i="3"/>
  <c r="F116" i="3"/>
  <c r="B119" i="10"/>
  <c r="F119" i="10"/>
  <c r="H107" i="39"/>
  <c r="I107" i="39"/>
  <c r="B113" i="24"/>
  <c r="F113" i="24"/>
  <c r="B116" i="5"/>
  <c r="F116" i="5"/>
  <c r="H116" i="6"/>
  <c r="I116" i="6"/>
  <c r="B119" i="7"/>
  <c r="F119" i="7"/>
  <c r="B111" i="28"/>
  <c r="F111" i="28"/>
  <c r="H111" i="27"/>
  <c r="I111" i="27"/>
  <c r="J109" i="46" l="1"/>
  <c r="B111" i="46"/>
  <c r="F111" i="46"/>
  <c r="I110" i="46"/>
  <c r="H110" i="46"/>
  <c r="B109" i="45"/>
  <c r="F109" i="45"/>
  <c r="I108" i="45"/>
  <c r="H108" i="45"/>
  <c r="I109" i="44"/>
  <c r="H109" i="44"/>
  <c r="E110" i="44"/>
  <c r="F110" i="44" s="1"/>
  <c r="B110" i="44"/>
  <c r="F109" i="41"/>
  <c r="D110" i="41" s="1"/>
  <c r="I108" i="38"/>
  <c r="H108" i="38"/>
  <c r="G109" i="42"/>
  <c r="D110" i="42"/>
  <c r="J108" i="42"/>
  <c r="H108" i="41"/>
  <c r="I108" i="41"/>
  <c r="E109" i="38"/>
  <c r="F109" i="38" s="1"/>
  <c r="B109" i="38"/>
  <c r="J109" i="30"/>
  <c r="J117" i="11"/>
  <c r="J107" i="43"/>
  <c r="J118" i="10"/>
  <c r="J115" i="3"/>
  <c r="J118" i="7"/>
  <c r="J111" i="27"/>
  <c r="G119" i="7"/>
  <c r="D120" i="7"/>
  <c r="E120" i="7"/>
  <c r="G116" i="5"/>
  <c r="D117" i="5"/>
  <c r="E117" i="5"/>
  <c r="J107" i="39"/>
  <c r="G116" i="3"/>
  <c r="D117" i="3"/>
  <c r="E117" i="3"/>
  <c r="G112" i="27"/>
  <c r="D113" i="27"/>
  <c r="E113" i="27"/>
  <c r="J116" i="8"/>
  <c r="J115" i="4"/>
  <c r="J114" i="25"/>
  <c r="G108" i="39"/>
  <c r="D109" i="39"/>
  <c r="E109" i="39"/>
  <c r="J114" i="22"/>
  <c r="G108" i="37"/>
  <c r="D109" i="37"/>
  <c r="E109" i="37"/>
  <c r="G107" i="40"/>
  <c r="D108" i="40"/>
  <c r="E108" i="40"/>
  <c r="J110" i="29"/>
  <c r="G111" i="31"/>
  <c r="D112" i="31"/>
  <c r="E112" i="31"/>
  <c r="J113" i="23"/>
  <c r="J115" i="5"/>
  <c r="G114" i="23"/>
  <c r="D115" i="23"/>
  <c r="E115" i="23"/>
  <c r="J112" i="24"/>
  <c r="G111" i="28"/>
  <c r="D112" i="28"/>
  <c r="E112" i="28"/>
  <c r="J116" i="6"/>
  <c r="G113" i="24"/>
  <c r="D114" i="24"/>
  <c r="E114" i="24"/>
  <c r="G119" i="10"/>
  <c r="D120" i="10"/>
  <c r="E120" i="10"/>
  <c r="J107" i="37"/>
  <c r="J106" i="40"/>
  <c r="G117" i="6"/>
  <c r="D118" i="6"/>
  <c r="E118" i="6"/>
  <c r="J110" i="31"/>
  <c r="J117" i="9"/>
  <c r="G118" i="9"/>
  <c r="D119" i="9"/>
  <c r="E119" i="9"/>
  <c r="G117" i="8"/>
  <c r="D118" i="8"/>
  <c r="E118" i="8"/>
  <c r="G116" i="4"/>
  <c r="D117" i="4"/>
  <c r="E117" i="4"/>
  <c r="G115" i="25"/>
  <c r="D116" i="25"/>
  <c r="E116" i="25"/>
  <c r="G110" i="30"/>
  <c r="D111" i="30"/>
  <c r="E111" i="30"/>
  <c r="J110" i="28"/>
  <c r="G118" i="11"/>
  <c r="D119" i="11"/>
  <c r="E119" i="11"/>
  <c r="G111" i="29"/>
  <c r="D112" i="29"/>
  <c r="E112" i="29"/>
  <c r="G108" i="43"/>
  <c r="D109" i="43"/>
  <c r="E109" i="43"/>
  <c r="G115" i="22"/>
  <c r="D116" i="22"/>
  <c r="E116" i="22"/>
  <c r="J110" i="46" l="1"/>
  <c r="D112" i="46"/>
  <c r="G111" i="46"/>
  <c r="E112" i="46"/>
  <c r="G109" i="41"/>
  <c r="H109" i="41" s="1"/>
  <c r="D110" i="45"/>
  <c r="E110" i="45"/>
  <c r="G109" i="45"/>
  <c r="J108" i="45"/>
  <c r="G110" i="44"/>
  <c r="D111" i="44"/>
  <c r="J109" i="44"/>
  <c r="J108" i="38"/>
  <c r="G109" i="38"/>
  <c r="D110" i="38"/>
  <c r="E110" i="42"/>
  <c r="F110" i="42" s="1"/>
  <c r="B110" i="42"/>
  <c r="I109" i="42"/>
  <c r="H109" i="42"/>
  <c r="E110" i="41"/>
  <c r="F110" i="41" s="1"/>
  <c r="B110" i="41"/>
  <c r="J108" i="41"/>
  <c r="I109" i="41"/>
  <c r="I118" i="11"/>
  <c r="H118" i="11"/>
  <c r="I115" i="22"/>
  <c r="H115" i="22"/>
  <c r="B119" i="11"/>
  <c r="F119" i="11"/>
  <c r="B111" i="30"/>
  <c r="F111" i="30"/>
  <c r="H115" i="25"/>
  <c r="I115" i="25"/>
  <c r="B119" i="9"/>
  <c r="F119" i="9"/>
  <c r="H112" i="27"/>
  <c r="I112" i="27"/>
  <c r="B118" i="8"/>
  <c r="F118" i="8"/>
  <c r="I118" i="9"/>
  <c r="H118" i="9"/>
  <c r="B118" i="6"/>
  <c r="F118" i="6"/>
  <c r="B114" i="24"/>
  <c r="F114" i="24"/>
  <c r="B112" i="28"/>
  <c r="F112" i="28"/>
  <c r="B115" i="23"/>
  <c r="F115" i="23"/>
  <c r="B109" i="37"/>
  <c r="F109" i="37"/>
  <c r="B109" i="39"/>
  <c r="F109" i="39"/>
  <c r="B120" i="7"/>
  <c r="F120" i="7"/>
  <c r="B117" i="4"/>
  <c r="F117" i="4"/>
  <c r="B120" i="10"/>
  <c r="F120" i="10"/>
  <c r="H113" i="24"/>
  <c r="I113" i="24"/>
  <c r="H111" i="28"/>
  <c r="I111" i="28"/>
  <c r="H114" i="23"/>
  <c r="I114" i="23"/>
  <c r="B112" i="31"/>
  <c r="F112" i="31"/>
  <c r="B108" i="40"/>
  <c r="F108" i="40"/>
  <c r="I108" i="37"/>
  <c r="H108" i="37"/>
  <c r="H108" i="39"/>
  <c r="I108" i="39"/>
  <c r="B117" i="3"/>
  <c r="F117" i="3"/>
  <c r="B117" i="5"/>
  <c r="F117" i="5"/>
  <c r="H119" i="7"/>
  <c r="I119" i="7"/>
  <c r="B112" i="29"/>
  <c r="F112" i="29"/>
  <c r="H110" i="30"/>
  <c r="I110" i="30"/>
  <c r="B109" i="43"/>
  <c r="F109" i="43"/>
  <c r="H111" i="29"/>
  <c r="I111" i="29"/>
  <c r="H117" i="8"/>
  <c r="I117" i="8"/>
  <c r="H117" i="6"/>
  <c r="I117" i="6"/>
  <c r="B116" i="22"/>
  <c r="F116" i="22"/>
  <c r="H108" i="43"/>
  <c r="I108" i="43"/>
  <c r="B116" i="25"/>
  <c r="F116" i="25"/>
  <c r="H116" i="4"/>
  <c r="I116" i="4"/>
  <c r="H119" i="10"/>
  <c r="I119" i="10"/>
  <c r="I111" i="31"/>
  <c r="H111" i="31"/>
  <c r="H107" i="40"/>
  <c r="I107" i="40"/>
  <c r="B113" i="27"/>
  <c r="F113" i="27"/>
  <c r="H116" i="3"/>
  <c r="I116" i="3"/>
  <c r="H116" i="5"/>
  <c r="I116" i="5"/>
  <c r="I111" i="46" l="1"/>
  <c r="H111" i="46"/>
  <c r="B112" i="46"/>
  <c r="F112" i="46"/>
  <c r="H109" i="45"/>
  <c r="I109" i="45"/>
  <c r="B110" i="45"/>
  <c r="F110" i="45"/>
  <c r="E111" i="44"/>
  <c r="F111" i="44" s="1"/>
  <c r="B111" i="44"/>
  <c r="I110" i="44"/>
  <c r="H110" i="44"/>
  <c r="J109" i="41"/>
  <c r="G110" i="41"/>
  <c r="D111" i="41"/>
  <c r="D111" i="42"/>
  <c r="B111" i="42" s="1"/>
  <c r="G110" i="42"/>
  <c r="E111" i="42"/>
  <c r="J109" i="42"/>
  <c r="E110" i="38"/>
  <c r="F110" i="38" s="1"/>
  <c r="B110" i="38"/>
  <c r="I109" i="38"/>
  <c r="H109" i="38"/>
  <c r="J118" i="9"/>
  <c r="J118" i="11"/>
  <c r="J111" i="31"/>
  <c r="J108" i="37"/>
  <c r="J116" i="5"/>
  <c r="G113" i="27"/>
  <c r="D114" i="27"/>
  <c r="E114" i="27"/>
  <c r="J116" i="4"/>
  <c r="J108" i="43"/>
  <c r="J117" i="6"/>
  <c r="J111" i="29"/>
  <c r="J110" i="30"/>
  <c r="J119" i="7"/>
  <c r="G117" i="3"/>
  <c r="D118" i="3"/>
  <c r="E118" i="3"/>
  <c r="G112" i="31"/>
  <c r="D113" i="31"/>
  <c r="E113" i="31"/>
  <c r="J111" i="28"/>
  <c r="G120" i="10"/>
  <c r="D121" i="10"/>
  <c r="E121" i="10"/>
  <c r="G120" i="7"/>
  <c r="D121" i="7"/>
  <c r="E121" i="7"/>
  <c r="G109" i="37"/>
  <c r="D110" i="37"/>
  <c r="E110" i="37"/>
  <c r="G112" i="28"/>
  <c r="D113" i="28"/>
  <c r="E113" i="28"/>
  <c r="G118" i="6"/>
  <c r="D119" i="6"/>
  <c r="E119" i="6"/>
  <c r="G118" i="8"/>
  <c r="D119" i="8"/>
  <c r="E119" i="8"/>
  <c r="G119" i="9"/>
  <c r="D120" i="9"/>
  <c r="E120" i="9"/>
  <c r="G111" i="30"/>
  <c r="D112" i="30"/>
  <c r="E112" i="30"/>
  <c r="J115" i="22"/>
  <c r="J116" i="3"/>
  <c r="J107" i="40"/>
  <c r="J119" i="10"/>
  <c r="G116" i="25"/>
  <c r="D117" i="25"/>
  <c r="E117" i="25"/>
  <c r="G116" i="22"/>
  <c r="D117" i="22"/>
  <c r="E117" i="22"/>
  <c r="J117" i="8"/>
  <c r="G109" i="43"/>
  <c r="D110" i="43"/>
  <c r="E110" i="43"/>
  <c r="G112" i="29"/>
  <c r="D113" i="29"/>
  <c r="E113" i="29"/>
  <c r="G117" i="5"/>
  <c r="D118" i="5"/>
  <c r="E118" i="5"/>
  <c r="J108" i="39"/>
  <c r="G108" i="40"/>
  <c r="D109" i="40"/>
  <c r="E109" i="40"/>
  <c r="J114" i="23"/>
  <c r="J113" i="24"/>
  <c r="G117" i="4"/>
  <c r="D118" i="4"/>
  <c r="E118" i="4"/>
  <c r="G109" i="39"/>
  <c r="D110" i="39"/>
  <c r="E110" i="39"/>
  <c r="G115" i="23"/>
  <c r="D116" i="23"/>
  <c r="E116" i="23"/>
  <c r="G114" i="24"/>
  <c r="D115" i="24"/>
  <c r="E115" i="24"/>
  <c r="J112" i="27"/>
  <c r="J115" i="25"/>
  <c r="G119" i="11"/>
  <c r="D120" i="11"/>
  <c r="E120" i="11"/>
  <c r="D113" i="46" l="1"/>
  <c r="G112" i="46"/>
  <c r="E113" i="46"/>
  <c r="J111" i="46"/>
  <c r="J109" i="45"/>
  <c r="D111" i="45"/>
  <c r="E111" i="45"/>
  <c r="G110" i="45"/>
  <c r="G111" i="44"/>
  <c r="D112" i="44"/>
  <c r="B112" i="44" s="1"/>
  <c r="E112" i="44"/>
  <c r="J110" i="44"/>
  <c r="D111" i="38"/>
  <c r="B111" i="38" s="1"/>
  <c r="G110" i="38"/>
  <c r="E111" i="38"/>
  <c r="H110" i="42"/>
  <c r="I110" i="42"/>
  <c r="J109" i="38"/>
  <c r="E111" i="41"/>
  <c r="F111" i="41" s="1"/>
  <c r="B111" i="41"/>
  <c r="F111" i="42"/>
  <c r="H110" i="41"/>
  <c r="I110" i="41"/>
  <c r="B110" i="39"/>
  <c r="F110" i="39"/>
  <c r="H117" i="4"/>
  <c r="I117" i="4"/>
  <c r="B109" i="40"/>
  <c r="F109" i="40"/>
  <c r="B118" i="5"/>
  <c r="F118" i="5"/>
  <c r="H112" i="29"/>
  <c r="I112" i="29"/>
  <c r="B112" i="30"/>
  <c r="F112" i="30"/>
  <c r="H119" i="9"/>
  <c r="I119" i="9"/>
  <c r="B113" i="28"/>
  <c r="F113" i="28"/>
  <c r="I109" i="37"/>
  <c r="H109" i="37"/>
  <c r="B118" i="3"/>
  <c r="F118" i="3"/>
  <c r="B116" i="23"/>
  <c r="F116" i="23"/>
  <c r="H109" i="39"/>
  <c r="I109" i="39"/>
  <c r="I108" i="40"/>
  <c r="H108" i="40"/>
  <c r="H117" i="5"/>
  <c r="I117" i="5"/>
  <c r="B117" i="25"/>
  <c r="F117" i="25"/>
  <c r="H111" i="30"/>
  <c r="I111" i="30"/>
  <c r="B119" i="6"/>
  <c r="F119" i="6"/>
  <c r="H112" i="28"/>
  <c r="I112" i="28"/>
  <c r="B121" i="10"/>
  <c r="F121" i="10"/>
  <c r="B113" i="31"/>
  <c r="F113" i="31"/>
  <c r="I117" i="3"/>
  <c r="H117" i="3"/>
  <c r="B114" i="27"/>
  <c r="F114" i="27"/>
  <c r="B120" i="11"/>
  <c r="F120" i="11"/>
  <c r="H119" i="11"/>
  <c r="I119" i="11"/>
  <c r="B115" i="24"/>
  <c r="F115" i="24"/>
  <c r="H115" i="23"/>
  <c r="I115" i="23"/>
  <c r="B110" i="43"/>
  <c r="F110" i="43"/>
  <c r="B117" i="22"/>
  <c r="F117" i="22"/>
  <c r="H116" i="25"/>
  <c r="I116" i="25"/>
  <c r="B119" i="8"/>
  <c r="F119" i="8"/>
  <c r="H118" i="6"/>
  <c r="I118" i="6"/>
  <c r="B121" i="7"/>
  <c r="F121" i="7"/>
  <c r="H120" i="10"/>
  <c r="I120" i="10"/>
  <c r="I112" i="31"/>
  <c r="H112" i="31"/>
  <c r="H113" i="27"/>
  <c r="I113" i="27"/>
  <c r="H114" i="24"/>
  <c r="I114" i="24"/>
  <c r="B118" i="4"/>
  <c r="F118" i="4"/>
  <c r="B113" i="29"/>
  <c r="F113" i="29"/>
  <c r="H109" i="43"/>
  <c r="I109" i="43"/>
  <c r="H116" i="22"/>
  <c r="I116" i="22"/>
  <c r="B120" i="9"/>
  <c r="F120" i="9"/>
  <c r="H118" i="8"/>
  <c r="I118" i="8"/>
  <c r="B110" i="37"/>
  <c r="F110" i="37"/>
  <c r="H120" i="7"/>
  <c r="I120" i="7"/>
  <c r="I112" i="46" l="1"/>
  <c r="J112" i="46" s="1"/>
  <c r="H112" i="46"/>
  <c r="B113" i="46"/>
  <c r="F113" i="46"/>
  <c r="I110" i="45"/>
  <c r="H110" i="45"/>
  <c r="B111" i="45"/>
  <c r="F111" i="45"/>
  <c r="F112" i="44"/>
  <c r="E113" i="44" s="1"/>
  <c r="H111" i="44"/>
  <c r="I111" i="44"/>
  <c r="J110" i="41"/>
  <c r="F111" i="38"/>
  <c r="D112" i="38" s="1"/>
  <c r="B112" i="38" s="1"/>
  <c r="D112" i="41"/>
  <c r="G111" i="41"/>
  <c r="G111" i="42"/>
  <c r="D112" i="42"/>
  <c r="B112" i="42" s="1"/>
  <c r="E112" i="42"/>
  <c r="I110" i="38"/>
  <c r="H110" i="38"/>
  <c r="J110" i="42"/>
  <c r="J117" i="4"/>
  <c r="J108" i="40"/>
  <c r="J117" i="3"/>
  <c r="J109" i="37"/>
  <c r="J112" i="31"/>
  <c r="J120" i="7"/>
  <c r="J118" i="8"/>
  <c r="J116" i="22"/>
  <c r="G113" i="29"/>
  <c r="D114" i="29"/>
  <c r="E114" i="29"/>
  <c r="J114" i="24"/>
  <c r="G121" i="7"/>
  <c r="D122" i="7"/>
  <c r="E122" i="7"/>
  <c r="G119" i="8"/>
  <c r="D120" i="8"/>
  <c r="E120" i="8"/>
  <c r="G117" i="22"/>
  <c r="D118" i="22"/>
  <c r="E118" i="22"/>
  <c r="J115" i="23"/>
  <c r="J119" i="11"/>
  <c r="G114" i="27"/>
  <c r="D115" i="27"/>
  <c r="E115" i="27"/>
  <c r="G113" i="31"/>
  <c r="D114" i="31"/>
  <c r="E114" i="31"/>
  <c r="J112" i="28"/>
  <c r="J111" i="30"/>
  <c r="J117" i="5"/>
  <c r="J109" i="39"/>
  <c r="G118" i="3"/>
  <c r="D119" i="3"/>
  <c r="E119" i="3"/>
  <c r="G113" i="28"/>
  <c r="D114" i="28"/>
  <c r="E114" i="28"/>
  <c r="G112" i="30"/>
  <c r="D113" i="30"/>
  <c r="E113" i="30"/>
  <c r="G118" i="5"/>
  <c r="D119" i="5"/>
  <c r="E119" i="5"/>
  <c r="G110" i="37"/>
  <c r="D111" i="37"/>
  <c r="E111" i="37"/>
  <c r="G120" i="9"/>
  <c r="D121" i="9"/>
  <c r="E121" i="9"/>
  <c r="J109" i="43"/>
  <c r="G118" i="4"/>
  <c r="D119" i="4"/>
  <c r="E119" i="4"/>
  <c r="J113" i="27"/>
  <c r="J120" i="10"/>
  <c r="J118" i="6"/>
  <c r="J116" i="25"/>
  <c r="G110" i="43"/>
  <c r="D111" i="43"/>
  <c r="E111" i="43"/>
  <c r="G115" i="24"/>
  <c r="D116" i="24"/>
  <c r="E116" i="24"/>
  <c r="G120" i="11"/>
  <c r="D121" i="11"/>
  <c r="E121" i="11"/>
  <c r="G121" i="10"/>
  <c r="D122" i="10"/>
  <c r="E122" i="10"/>
  <c r="G119" i="6"/>
  <c r="D120" i="6"/>
  <c r="E120" i="6"/>
  <c r="G117" i="25"/>
  <c r="D118" i="25"/>
  <c r="E118" i="25"/>
  <c r="G116" i="23"/>
  <c r="D117" i="23"/>
  <c r="E117" i="23"/>
  <c r="J119" i="9"/>
  <c r="J112" i="29"/>
  <c r="G109" i="40"/>
  <c r="D110" i="40"/>
  <c r="E110" i="40"/>
  <c r="G110" i="39"/>
  <c r="D111" i="39"/>
  <c r="E111" i="39"/>
  <c r="G113" i="46" l="1"/>
  <c r="E114" i="46"/>
  <c r="D114" i="46"/>
  <c r="E112" i="45"/>
  <c r="G111" i="45"/>
  <c r="D112" i="45"/>
  <c r="J110" i="45"/>
  <c r="D113" i="44"/>
  <c r="B113" i="44" s="1"/>
  <c r="G112" i="44"/>
  <c r="H112" i="44" s="1"/>
  <c r="J111" i="44"/>
  <c r="E112" i="38"/>
  <c r="F112" i="38" s="1"/>
  <c r="G111" i="38"/>
  <c r="H111" i="38" s="1"/>
  <c r="F112" i="42"/>
  <c r="I111" i="42"/>
  <c r="H111" i="42"/>
  <c r="I111" i="41"/>
  <c r="H111" i="41"/>
  <c r="J110" i="38"/>
  <c r="E112" i="41"/>
  <c r="F112" i="41" s="1"/>
  <c r="B112" i="41"/>
  <c r="B120" i="6"/>
  <c r="F120" i="6"/>
  <c r="I121" i="10"/>
  <c r="H121" i="10"/>
  <c r="B111" i="43"/>
  <c r="F111" i="43"/>
  <c r="I118" i="4"/>
  <c r="H118" i="4"/>
  <c r="I120" i="9"/>
  <c r="H120" i="9"/>
  <c r="B113" i="30"/>
  <c r="F113" i="30"/>
  <c r="H113" i="28"/>
  <c r="I113" i="28"/>
  <c r="B115" i="27"/>
  <c r="F115" i="27"/>
  <c r="B120" i="8"/>
  <c r="F120" i="8"/>
  <c r="H121" i="7"/>
  <c r="I121" i="7"/>
  <c r="H113" i="29"/>
  <c r="I113" i="29"/>
  <c r="H110" i="39"/>
  <c r="I110" i="39"/>
  <c r="B110" i="40"/>
  <c r="F110" i="40"/>
  <c r="B118" i="25"/>
  <c r="F118" i="25"/>
  <c r="H119" i="6"/>
  <c r="I119" i="6"/>
  <c r="B116" i="24"/>
  <c r="F116" i="24"/>
  <c r="I110" i="43"/>
  <c r="H110" i="43"/>
  <c r="B119" i="5"/>
  <c r="F119" i="5"/>
  <c r="H112" i="30"/>
  <c r="I112" i="30"/>
  <c r="B114" i="31"/>
  <c r="F114" i="31"/>
  <c r="I114" i="27"/>
  <c r="H114" i="27"/>
  <c r="B118" i="22"/>
  <c r="F118" i="22"/>
  <c r="H119" i="8"/>
  <c r="I119" i="8"/>
  <c r="B111" i="39"/>
  <c r="F111" i="39"/>
  <c r="H109" i="40"/>
  <c r="I109" i="40"/>
  <c r="B117" i="23"/>
  <c r="F117" i="23"/>
  <c r="H117" i="25"/>
  <c r="I117" i="25"/>
  <c r="B121" i="11"/>
  <c r="F121" i="11"/>
  <c r="H115" i="24"/>
  <c r="I115" i="24"/>
  <c r="B111" i="37"/>
  <c r="F111" i="37"/>
  <c r="H118" i="5"/>
  <c r="I118" i="5"/>
  <c r="B119" i="3"/>
  <c r="F119" i="3"/>
  <c r="H113" i="31"/>
  <c r="I113" i="31"/>
  <c r="H117" i="22"/>
  <c r="I117" i="22"/>
  <c r="I116" i="23"/>
  <c r="H116" i="23"/>
  <c r="B122" i="10"/>
  <c r="F122" i="10"/>
  <c r="I120" i="11"/>
  <c r="H120" i="11"/>
  <c r="B119" i="4"/>
  <c r="F119" i="4"/>
  <c r="B121" i="9"/>
  <c r="F121" i="9"/>
  <c r="H110" i="37"/>
  <c r="I110" i="37"/>
  <c r="B114" i="28"/>
  <c r="F114" i="28"/>
  <c r="I118" i="3"/>
  <c r="H118" i="3"/>
  <c r="B122" i="7"/>
  <c r="F122" i="7"/>
  <c r="B114" i="29"/>
  <c r="F114" i="29"/>
  <c r="B114" i="46" l="1"/>
  <c r="F114" i="46"/>
  <c r="I113" i="46"/>
  <c r="H113" i="46"/>
  <c r="I112" i="44"/>
  <c r="J112" i="44" s="1"/>
  <c r="B112" i="45"/>
  <c r="F112" i="45"/>
  <c r="I111" i="45"/>
  <c r="H111" i="45"/>
  <c r="F113" i="44"/>
  <c r="G113" i="44" s="1"/>
  <c r="I111" i="38"/>
  <c r="J111" i="38" s="1"/>
  <c r="J111" i="42"/>
  <c r="D113" i="41"/>
  <c r="G112" i="41"/>
  <c r="J111" i="41"/>
  <c r="J114" i="27"/>
  <c r="D113" i="38"/>
  <c r="B113" i="38" s="1"/>
  <c r="G112" i="38"/>
  <c r="E113" i="38"/>
  <c r="D113" i="42"/>
  <c r="B113" i="42" s="1"/>
  <c r="G112" i="42"/>
  <c r="E113" i="42"/>
  <c r="J110" i="43"/>
  <c r="J120" i="9"/>
  <c r="J113" i="31"/>
  <c r="J118" i="5"/>
  <c r="J118" i="3"/>
  <c r="G114" i="28"/>
  <c r="D115" i="28"/>
  <c r="E115" i="28"/>
  <c r="J120" i="11"/>
  <c r="G114" i="29"/>
  <c r="D115" i="29"/>
  <c r="E115" i="29"/>
  <c r="J110" i="37"/>
  <c r="G119" i="4"/>
  <c r="D120" i="4"/>
  <c r="E120" i="4"/>
  <c r="G122" i="10"/>
  <c r="D123" i="10"/>
  <c r="E123" i="10"/>
  <c r="J117" i="22"/>
  <c r="G119" i="3"/>
  <c r="D120" i="3"/>
  <c r="E120" i="3"/>
  <c r="G111" i="37"/>
  <c r="D112" i="37"/>
  <c r="E112" i="37"/>
  <c r="G121" i="11"/>
  <c r="D122" i="11"/>
  <c r="E122" i="11"/>
  <c r="G117" i="23"/>
  <c r="D118" i="23"/>
  <c r="E118" i="23"/>
  <c r="G111" i="39"/>
  <c r="D112" i="39"/>
  <c r="E112" i="39"/>
  <c r="G118" i="22"/>
  <c r="D119" i="22"/>
  <c r="E119" i="22"/>
  <c r="G114" i="31"/>
  <c r="D115" i="31"/>
  <c r="E115" i="31"/>
  <c r="G119" i="5"/>
  <c r="D120" i="5"/>
  <c r="E120" i="5"/>
  <c r="G116" i="24"/>
  <c r="D117" i="24"/>
  <c r="E117" i="24"/>
  <c r="G118" i="25"/>
  <c r="D119" i="25"/>
  <c r="E119" i="25"/>
  <c r="J110" i="39"/>
  <c r="J121" i="7"/>
  <c r="G115" i="27"/>
  <c r="D116" i="27"/>
  <c r="E116" i="27"/>
  <c r="G113" i="30"/>
  <c r="D114" i="30"/>
  <c r="E114" i="30"/>
  <c r="J118" i="4"/>
  <c r="J121" i="10"/>
  <c r="G122" i="7"/>
  <c r="D123" i="7"/>
  <c r="E123" i="7"/>
  <c r="G121" i="9"/>
  <c r="D122" i="9"/>
  <c r="E122" i="9"/>
  <c r="J115" i="24"/>
  <c r="J117" i="25"/>
  <c r="J109" i="40"/>
  <c r="J119" i="8"/>
  <c r="J112" i="30"/>
  <c r="J119" i="6"/>
  <c r="G110" i="40"/>
  <c r="D111" i="40"/>
  <c r="E111" i="40"/>
  <c r="J113" i="29"/>
  <c r="G120" i="8"/>
  <c r="D121" i="8"/>
  <c r="E121" i="8"/>
  <c r="J113" i="28"/>
  <c r="G111" i="43"/>
  <c r="D112" i="43"/>
  <c r="E112" i="43"/>
  <c r="G120" i="6"/>
  <c r="D121" i="6"/>
  <c r="E121" i="6"/>
  <c r="J116" i="23"/>
  <c r="J113" i="46" l="1"/>
  <c r="D115" i="46"/>
  <c r="B115" i="46" s="1"/>
  <c r="G114" i="46"/>
  <c r="E115" i="46"/>
  <c r="F115" i="46" s="1"/>
  <c r="E114" i="44"/>
  <c r="D114" i="44"/>
  <c r="B114" i="44" s="1"/>
  <c r="J111" i="45"/>
  <c r="E113" i="45"/>
  <c r="G112" i="45"/>
  <c r="D113" i="45"/>
  <c r="I113" i="44"/>
  <c r="H113" i="44"/>
  <c r="F113" i="42"/>
  <c r="G113" i="42" s="1"/>
  <c r="F113" i="38"/>
  <c r="G113" i="38" s="1"/>
  <c r="H112" i="38"/>
  <c r="I112" i="38"/>
  <c r="H112" i="42"/>
  <c r="I112" i="42"/>
  <c r="I112" i="41"/>
  <c r="H112" i="41"/>
  <c r="E113" i="41"/>
  <c r="F113" i="41" s="1"/>
  <c r="B113" i="41"/>
  <c r="B121" i="6"/>
  <c r="F121" i="6"/>
  <c r="H111" i="43"/>
  <c r="I111" i="43"/>
  <c r="H120" i="8"/>
  <c r="I120" i="8"/>
  <c r="H110" i="40"/>
  <c r="I110" i="40"/>
  <c r="B122" i="9"/>
  <c r="F122" i="9"/>
  <c r="H122" i="7"/>
  <c r="I122" i="7"/>
  <c r="B114" i="30"/>
  <c r="F114" i="30"/>
  <c r="H115" i="27"/>
  <c r="I115" i="27"/>
  <c r="B119" i="25"/>
  <c r="F119" i="25"/>
  <c r="I116" i="24"/>
  <c r="H116" i="24"/>
  <c r="B119" i="22"/>
  <c r="F119" i="22"/>
  <c r="H111" i="39"/>
  <c r="I111" i="39"/>
  <c r="B112" i="37"/>
  <c r="F112" i="37"/>
  <c r="H119" i="3"/>
  <c r="I119" i="3"/>
  <c r="H122" i="10"/>
  <c r="I122" i="10"/>
  <c r="B112" i="43"/>
  <c r="F112" i="43"/>
  <c r="H120" i="6"/>
  <c r="I120" i="6"/>
  <c r="H121" i="9"/>
  <c r="I121" i="9"/>
  <c r="I113" i="30"/>
  <c r="H113" i="30"/>
  <c r="H118" i="25"/>
  <c r="I118" i="25"/>
  <c r="B115" i="31"/>
  <c r="F115" i="31"/>
  <c r="I118" i="22"/>
  <c r="H118" i="22"/>
  <c r="B122" i="11"/>
  <c r="F122" i="11"/>
  <c r="H111" i="37"/>
  <c r="I111" i="37"/>
  <c r="B120" i="5"/>
  <c r="F120" i="5"/>
  <c r="I114" i="31"/>
  <c r="H114" i="31"/>
  <c r="B118" i="23"/>
  <c r="F118" i="23"/>
  <c r="H121" i="11"/>
  <c r="I121" i="11"/>
  <c r="B120" i="4"/>
  <c r="F120" i="4"/>
  <c r="B115" i="29"/>
  <c r="F115" i="29"/>
  <c r="B115" i="28"/>
  <c r="F115" i="28"/>
  <c r="B121" i="8"/>
  <c r="F121" i="8"/>
  <c r="B111" i="40"/>
  <c r="F111" i="40"/>
  <c r="B123" i="7"/>
  <c r="F123" i="7"/>
  <c r="B116" i="27"/>
  <c r="F116" i="27"/>
  <c r="B117" i="24"/>
  <c r="F117" i="24"/>
  <c r="I119" i="5"/>
  <c r="H119" i="5"/>
  <c r="B112" i="39"/>
  <c r="F112" i="39"/>
  <c r="H117" i="23"/>
  <c r="I117" i="23"/>
  <c r="B120" i="3"/>
  <c r="F120" i="3"/>
  <c r="B123" i="10"/>
  <c r="F123" i="10"/>
  <c r="H119" i="4"/>
  <c r="I119" i="4"/>
  <c r="I114" i="29"/>
  <c r="H114" i="29"/>
  <c r="H114" i="28"/>
  <c r="I114" i="28"/>
  <c r="G115" i="46" l="1"/>
  <c r="D116" i="46"/>
  <c r="E116" i="46"/>
  <c r="I114" i="46"/>
  <c r="J114" i="46" s="1"/>
  <c r="H114" i="46"/>
  <c r="F114" i="44"/>
  <c r="E115" i="44" s="1"/>
  <c r="B113" i="45"/>
  <c r="F113" i="45"/>
  <c r="I112" i="45"/>
  <c r="H112" i="45"/>
  <c r="D114" i="42"/>
  <c r="B114" i="42" s="1"/>
  <c r="D114" i="38"/>
  <c r="B114" i="38" s="1"/>
  <c r="J113" i="44"/>
  <c r="J112" i="42"/>
  <c r="J112" i="38"/>
  <c r="G113" i="41"/>
  <c r="D114" i="41"/>
  <c r="H113" i="42"/>
  <c r="I113" i="42"/>
  <c r="E114" i="42"/>
  <c r="E114" i="38"/>
  <c r="J112" i="41"/>
  <c r="I113" i="38"/>
  <c r="H113" i="38"/>
  <c r="J121" i="11"/>
  <c r="J111" i="37"/>
  <c r="J118" i="25"/>
  <c r="J119" i="3"/>
  <c r="J111" i="39"/>
  <c r="J115" i="27"/>
  <c r="J122" i="7"/>
  <c r="J110" i="40"/>
  <c r="J111" i="43"/>
  <c r="J120" i="8"/>
  <c r="J114" i="29"/>
  <c r="J119" i="5"/>
  <c r="J113" i="30"/>
  <c r="J114" i="28"/>
  <c r="J119" i="4"/>
  <c r="G120" i="3"/>
  <c r="D121" i="3"/>
  <c r="E121" i="3"/>
  <c r="G112" i="39"/>
  <c r="D113" i="39"/>
  <c r="E113" i="39"/>
  <c r="G117" i="24"/>
  <c r="D118" i="24"/>
  <c r="E118" i="24"/>
  <c r="G123" i="7"/>
  <c r="D124" i="7"/>
  <c r="E124" i="7"/>
  <c r="G121" i="8"/>
  <c r="D122" i="8"/>
  <c r="E122" i="8"/>
  <c r="G115" i="29"/>
  <c r="D116" i="29"/>
  <c r="E116" i="29"/>
  <c r="J121" i="9"/>
  <c r="G112" i="43"/>
  <c r="D113" i="43"/>
  <c r="E113" i="43"/>
  <c r="J114" i="31"/>
  <c r="J118" i="22"/>
  <c r="J116" i="24"/>
  <c r="G123" i="10"/>
  <c r="D124" i="10"/>
  <c r="E124" i="10"/>
  <c r="J117" i="23"/>
  <c r="G116" i="27"/>
  <c r="D117" i="27"/>
  <c r="E117" i="27"/>
  <c r="G111" i="40"/>
  <c r="D112" i="40"/>
  <c r="E112" i="40"/>
  <c r="G115" i="28"/>
  <c r="D116" i="28"/>
  <c r="E116" i="28"/>
  <c r="G120" i="4"/>
  <c r="D121" i="4"/>
  <c r="E121" i="4"/>
  <c r="G118" i="23"/>
  <c r="D119" i="23"/>
  <c r="E119" i="23"/>
  <c r="G120" i="5"/>
  <c r="D121" i="5"/>
  <c r="E121" i="5"/>
  <c r="G122" i="11"/>
  <c r="D123" i="11"/>
  <c r="E123" i="11"/>
  <c r="G115" i="31"/>
  <c r="D116" i="31"/>
  <c r="E116" i="31"/>
  <c r="J120" i="6"/>
  <c r="J122" i="10"/>
  <c r="G112" i="37"/>
  <c r="D113" i="37"/>
  <c r="E113" i="37"/>
  <c r="G119" i="22"/>
  <c r="D120" i="22"/>
  <c r="E120" i="22"/>
  <c r="G119" i="25"/>
  <c r="D120" i="25"/>
  <c r="E120" i="25"/>
  <c r="G114" i="30"/>
  <c r="D115" i="30"/>
  <c r="E115" i="30"/>
  <c r="G122" i="9"/>
  <c r="D123" i="9"/>
  <c r="E123" i="9"/>
  <c r="G121" i="6"/>
  <c r="D122" i="6"/>
  <c r="E122" i="6"/>
  <c r="F116" i="46" l="1"/>
  <c r="B116" i="46"/>
  <c r="I115" i="46"/>
  <c r="H115" i="46"/>
  <c r="G114" i="44"/>
  <c r="H114" i="44" s="1"/>
  <c r="D115" i="44"/>
  <c r="B115" i="44" s="1"/>
  <c r="F114" i="42"/>
  <c r="E115" i="42" s="1"/>
  <c r="D114" i="45"/>
  <c r="G113" i="45"/>
  <c r="E114" i="45"/>
  <c r="J112" i="45"/>
  <c r="F114" i="38"/>
  <c r="G114" i="38" s="1"/>
  <c r="J113" i="38"/>
  <c r="J113" i="42"/>
  <c r="E114" i="41"/>
  <c r="F114" i="41" s="1"/>
  <c r="B114" i="41"/>
  <c r="H113" i="41"/>
  <c r="I113" i="41"/>
  <c r="B115" i="30"/>
  <c r="F115" i="30"/>
  <c r="I119" i="25"/>
  <c r="H119" i="25"/>
  <c r="B121" i="5"/>
  <c r="F121" i="5"/>
  <c r="H118" i="23"/>
  <c r="I118" i="23"/>
  <c r="B112" i="40"/>
  <c r="F112" i="40"/>
  <c r="H116" i="27"/>
  <c r="I116" i="27"/>
  <c r="H123" i="10"/>
  <c r="I123" i="10"/>
  <c r="B122" i="8"/>
  <c r="F122" i="8"/>
  <c r="H123" i="7"/>
  <c r="I123" i="7"/>
  <c r="B121" i="3"/>
  <c r="F121" i="3"/>
  <c r="B123" i="9"/>
  <c r="F123" i="9"/>
  <c r="H114" i="30"/>
  <c r="I114" i="30"/>
  <c r="B113" i="37"/>
  <c r="F113" i="37"/>
  <c r="B123" i="11"/>
  <c r="F123" i="11"/>
  <c r="I120" i="5"/>
  <c r="H120" i="5"/>
  <c r="B116" i="28"/>
  <c r="F116" i="28"/>
  <c r="H111" i="40"/>
  <c r="I111" i="40"/>
  <c r="B113" i="43"/>
  <c r="F113" i="43"/>
  <c r="B116" i="29"/>
  <c r="F116" i="29"/>
  <c r="H121" i="8"/>
  <c r="I121" i="8"/>
  <c r="B113" i="39"/>
  <c r="F113" i="39"/>
  <c r="H120" i="3"/>
  <c r="I120" i="3"/>
  <c r="B120" i="22"/>
  <c r="F120" i="22"/>
  <c r="H112" i="37"/>
  <c r="I112" i="37"/>
  <c r="B116" i="31"/>
  <c r="F116" i="31"/>
  <c r="H122" i="11"/>
  <c r="I122" i="11"/>
  <c r="B121" i="4"/>
  <c r="F121" i="4"/>
  <c r="H115" i="28"/>
  <c r="I115" i="28"/>
  <c r="I112" i="43"/>
  <c r="H112" i="43"/>
  <c r="I115" i="29"/>
  <c r="H115" i="29"/>
  <c r="B118" i="24"/>
  <c r="F118" i="24"/>
  <c r="H112" i="39"/>
  <c r="I112" i="39"/>
  <c r="B122" i="6"/>
  <c r="F122" i="6"/>
  <c r="I122" i="9"/>
  <c r="H122" i="9"/>
  <c r="H121" i="6"/>
  <c r="I121" i="6"/>
  <c r="B120" i="25"/>
  <c r="F120" i="25"/>
  <c r="H119" i="22"/>
  <c r="I119" i="22"/>
  <c r="H115" i="31"/>
  <c r="I115" i="31"/>
  <c r="B119" i="23"/>
  <c r="F119" i="23"/>
  <c r="H120" i="4"/>
  <c r="I120" i="4"/>
  <c r="B117" i="27"/>
  <c r="F117" i="27"/>
  <c r="B124" i="10"/>
  <c r="F124" i="10"/>
  <c r="B124" i="7"/>
  <c r="F124" i="7"/>
  <c r="H117" i="24"/>
  <c r="I117" i="24"/>
  <c r="J115" i="46" l="1"/>
  <c r="G116" i="46"/>
  <c r="D117" i="46"/>
  <c r="B117" i="46" s="1"/>
  <c r="E117" i="46"/>
  <c r="F117" i="46" s="1"/>
  <c r="D115" i="38"/>
  <c r="I114" i="44"/>
  <c r="J114" i="44" s="1"/>
  <c r="G114" i="42"/>
  <c r="H114" i="42" s="1"/>
  <c r="F115" i="44"/>
  <c r="D116" i="44" s="1"/>
  <c r="B116" i="44" s="1"/>
  <c r="D115" i="42"/>
  <c r="B115" i="42" s="1"/>
  <c r="H113" i="45"/>
  <c r="I113" i="45"/>
  <c r="B114" i="45"/>
  <c r="F114" i="45"/>
  <c r="J113" i="41"/>
  <c r="G114" i="41"/>
  <c r="D115" i="41"/>
  <c r="I114" i="38"/>
  <c r="H114" i="38"/>
  <c r="I114" i="42"/>
  <c r="E115" i="38"/>
  <c r="F115" i="38" s="1"/>
  <c r="B115" i="38"/>
  <c r="J112" i="43"/>
  <c r="J120" i="5"/>
  <c r="J116" i="27"/>
  <c r="J117" i="24"/>
  <c r="J120" i="4"/>
  <c r="J119" i="25"/>
  <c r="J122" i="9"/>
  <c r="J115" i="29"/>
  <c r="G124" i="10"/>
  <c r="D125" i="10"/>
  <c r="E125" i="10"/>
  <c r="J115" i="31"/>
  <c r="G120" i="25"/>
  <c r="D121" i="25"/>
  <c r="E121" i="25"/>
  <c r="J112" i="39"/>
  <c r="J115" i="28"/>
  <c r="J122" i="11"/>
  <c r="J112" i="37"/>
  <c r="J120" i="3"/>
  <c r="J121" i="8"/>
  <c r="G113" i="43"/>
  <c r="D114" i="43"/>
  <c r="E114" i="43"/>
  <c r="G116" i="28"/>
  <c r="D117" i="28"/>
  <c r="E117" i="28"/>
  <c r="G123" i="11"/>
  <c r="D124" i="11"/>
  <c r="E124" i="11"/>
  <c r="J114" i="30"/>
  <c r="G121" i="3"/>
  <c r="D122" i="3"/>
  <c r="E122" i="3"/>
  <c r="G122" i="8"/>
  <c r="D123" i="8"/>
  <c r="E123" i="8"/>
  <c r="J118" i="23"/>
  <c r="G124" i="7"/>
  <c r="D125" i="7"/>
  <c r="E125" i="7"/>
  <c r="G117" i="27"/>
  <c r="D118" i="27"/>
  <c r="E118" i="27"/>
  <c r="G119" i="23"/>
  <c r="D120" i="23"/>
  <c r="E120" i="23"/>
  <c r="J119" i="22"/>
  <c r="J121" i="6"/>
  <c r="G122" i="6"/>
  <c r="D123" i="6"/>
  <c r="E123" i="6"/>
  <c r="G118" i="24"/>
  <c r="D119" i="24"/>
  <c r="E119" i="24"/>
  <c r="G121" i="4"/>
  <c r="D122" i="4"/>
  <c r="E122" i="4"/>
  <c r="G116" i="31"/>
  <c r="D117" i="31"/>
  <c r="E117" i="31"/>
  <c r="G120" i="22"/>
  <c r="D121" i="22"/>
  <c r="E121" i="22"/>
  <c r="G113" i="39"/>
  <c r="D114" i="39"/>
  <c r="E114" i="39"/>
  <c r="G116" i="29"/>
  <c r="D117" i="29"/>
  <c r="E117" i="29"/>
  <c r="J111" i="40"/>
  <c r="G113" i="37"/>
  <c r="D114" i="37"/>
  <c r="E114" i="37"/>
  <c r="G123" i="9"/>
  <c r="D124" i="9"/>
  <c r="E124" i="9"/>
  <c r="J123" i="7"/>
  <c r="J123" i="10"/>
  <c r="G112" i="40"/>
  <c r="D113" i="40"/>
  <c r="E113" i="40"/>
  <c r="G121" i="5"/>
  <c r="D122" i="5"/>
  <c r="E122" i="5"/>
  <c r="G115" i="30"/>
  <c r="D116" i="30"/>
  <c r="E116" i="30"/>
  <c r="D118" i="46" l="1"/>
  <c r="G117" i="46"/>
  <c r="E118" i="46"/>
  <c r="H116" i="46"/>
  <c r="I116" i="46"/>
  <c r="F115" i="42"/>
  <c r="D116" i="42" s="1"/>
  <c r="B116" i="42" s="1"/>
  <c r="E116" i="44"/>
  <c r="F116" i="44" s="1"/>
  <c r="G116" i="44" s="1"/>
  <c r="G115" i="44"/>
  <c r="J113" i="45"/>
  <c r="G114" i="45"/>
  <c r="E115" i="45"/>
  <c r="D115" i="45"/>
  <c r="J114" i="38"/>
  <c r="D116" i="38"/>
  <c r="G115" i="38"/>
  <c r="J114" i="42"/>
  <c r="E115" i="41"/>
  <c r="F115" i="41" s="1"/>
  <c r="B115" i="41"/>
  <c r="I114" i="41"/>
  <c r="H114" i="41"/>
  <c r="B116" i="30"/>
  <c r="F116" i="30"/>
  <c r="B122" i="5"/>
  <c r="F122" i="5"/>
  <c r="H112" i="40"/>
  <c r="I112" i="40"/>
  <c r="B124" i="9"/>
  <c r="F124" i="9"/>
  <c r="H113" i="37"/>
  <c r="I113" i="37"/>
  <c r="H116" i="29"/>
  <c r="I116" i="29"/>
  <c r="B117" i="31"/>
  <c r="F117" i="31"/>
  <c r="H121" i="4"/>
  <c r="I121" i="4"/>
  <c r="B125" i="7"/>
  <c r="F125" i="7"/>
  <c r="B123" i="8"/>
  <c r="F123" i="8"/>
  <c r="H121" i="3"/>
  <c r="I121" i="3"/>
  <c r="H123" i="11"/>
  <c r="I123" i="11"/>
  <c r="H121" i="5"/>
  <c r="I121" i="5"/>
  <c r="I123" i="9"/>
  <c r="H123" i="9"/>
  <c r="B121" i="22"/>
  <c r="F121" i="22"/>
  <c r="H116" i="31"/>
  <c r="I116" i="31"/>
  <c r="B123" i="6"/>
  <c r="F123" i="6"/>
  <c r="B118" i="27"/>
  <c r="F118" i="27"/>
  <c r="H124" i="7"/>
  <c r="I124" i="7"/>
  <c r="H122" i="8"/>
  <c r="I122" i="8"/>
  <c r="B114" i="43"/>
  <c r="F114" i="43"/>
  <c r="H115" i="30"/>
  <c r="I115" i="30"/>
  <c r="B114" i="39"/>
  <c r="F114" i="39"/>
  <c r="H120" i="22"/>
  <c r="I120" i="22"/>
  <c r="B119" i="24"/>
  <c r="F119" i="24"/>
  <c r="H122" i="6"/>
  <c r="I122" i="6"/>
  <c r="B120" i="23"/>
  <c r="F120" i="23"/>
  <c r="H117" i="27"/>
  <c r="I117" i="27"/>
  <c r="B117" i="28"/>
  <c r="F117" i="28"/>
  <c r="I113" i="43"/>
  <c r="H113" i="43"/>
  <c r="B121" i="25"/>
  <c r="F121" i="25"/>
  <c r="B125" i="10"/>
  <c r="F125" i="10"/>
  <c r="B113" i="40"/>
  <c r="F113" i="40"/>
  <c r="B114" i="37"/>
  <c r="F114" i="37"/>
  <c r="B117" i="29"/>
  <c r="F117" i="29"/>
  <c r="H113" i="39"/>
  <c r="I113" i="39"/>
  <c r="B122" i="4"/>
  <c r="F122" i="4"/>
  <c r="I118" i="24"/>
  <c r="H118" i="24"/>
  <c r="H119" i="23"/>
  <c r="I119" i="23"/>
  <c r="B122" i="3"/>
  <c r="F122" i="3"/>
  <c r="B124" i="11"/>
  <c r="F124" i="11"/>
  <c r="I116" i="28"/>
  <c r="H116" i="28"/>
  <c r="H120" i="25"/>
  <c r="I120" i="25"/>
  <c r="I124" i="10"/>
  <c r="H124" i="10"/>
  <c r="D117" i="44" l="1"/>
  <c r="I117" i="46"/>
  <c r="H117" i="46"/>
  <c r="J116" i="46"/>
  <c r="F118" i="46"/>
  <c r="B118" i="46"/>
  <c r="G115" i="42"/>
  <c r="E116" i="42"/>
  <c r="I115" i="44"/>
  <c r="H115" i="44"/>
  <c r="B115" i="45"/>
  <c r="F115" i="45"/>
  <c r="I114" i="45"/>
  <c r="H114" i="45"/>
  <c r="H116" i="44"/>
  <c r="I116" i="44"/>
  <c r="E117" i="44"/>
  <c r="F117" i="44" s="1"/>
  <c r="B117" i="44"/>
  <c r="D116" i="41"/>
  <c r="B116" i="41" s="1"/>
  <c r="G115" i="41"/>
  <c r="E116" i="41"/>
  <c r="H115" i="42"/>
  <c r="I115" i="42"/>
  <c r="J114" i="41"/>
  <c r="H115" i="38"/>
  <c r="I115" i="38"/>
  <c r="F116" i="42"/>
  <c r="E116" i="38"/>
  <c r="F116" i="38" s="1"/>
  <c r="B116" i="38"/>
  <c r="J123" i="9"/>
  <c r="J124" i="10"/>
  <c r="J116" i="28"/>
  <c r="J118" i="24"/>
  <c r="J113" i="43"/>
  <c r="G122" i="3"/>
  <c r="D123" i="3"/>
  <c r="E123" i="3"/>
  <c r="J113" i="39"/>
  <c r="G114" i="37"/>
  <c r="D115" i="37"/>
  <c r="E115" i="37"/>
  <c r="G125" i="10"/>
  <c r="D126" i="10"/>
  <c r="E126" i="10"/>
  <c r="J117" i="27"/>
  <c r="J122" i="6"/>
  <c r="J120" i="22"/>
  <c r="J115" i="30"/>
  <c r="J122" i="8"/>
  <c r="G118" i="27"/>
  <c r="D119" i="27"/>
  <c r="E119" i="27"/>
  <c r="J116" i="31"/>
  <c r="J123" i="11"/>
  <c r="G123" i="8"/>
  <c r="D124" i="8"/>
  <c r="E124" i="8"/>
  <c r="J121" i="4"/>
  <c r="J116" i="29"/>
  <c r="G124" i="9"/>
  <c r="D125" i="9"/>
  <c r="E125" i="9"/>
  <c r="G122" i="5"/>
  <c r="D123" i="5"/>
  <c r="E123" i="5"/>
  <c r="J120" i="25"/>
  <c r="G124" i="11"/>
  <c r="D125" i="11"/>
  <c r="E125" i="11"/>
  <c r="J119" i="23"/>
  <c r="G122" i="4"/>
  <c r="D123" i="4"/>
  <c r="E123" i="4"/>
  <c r="G117" i="29"/>
  <c r="D118" i="29"/>
  <c r="E118" i="29"/>
  <c r="G113" i="40"/>
  <c r="D114" i="40"/>
  <c r="E114" i="40"/>
  <c r="G121" i="25"/>
  <c r="D122" i="25"/>
  <c r="E122" i="25"/>
  <c r="G117" i="28"/>
  <c r="D118" i="28"/>
  <c r="E118" i="28"/>
  <c r="G120" i="23"/>
  <c r="D121" i="23"/>
  <c r="E121" i="23"/>
  <c r="G119" i="24"/>
  <c r="D120" i="24"/>
  <c r="E120" i="24"/>
  <c r="G114" i="39"/>
  <c r="D115" i="39"/>
  <c r="E115" i="39"/>
  <c r="G114" i="43"/>
  <c r="D115" i="43"/>
  <c r="E115" i="43"/>
  <c r="J124" i="7"/>
  <c r="G123" i="6"/>
  <c r="D124" i="6"/>
  <c r="E124" i="6"/>
  <c r="G121" i="22"/>
  <c r="D122" i="22"/>
  <c r="E122" i="22"/>
  <c r="J121" i="5"/>
  <c r="J121" i="3"/>
  <c r="G125" i="7"/>
  <c r="D126" i="7"/>
  <c r="E126" i="7"/>
  <c r="G117" i="31"/>
  <c r="D118" i="31"/>
  <c r="E118" i="31"/>
  <c r="J113" i="37"/>
  <c r="J112" i="40"/>
  <c r="G116" i="30"/>
  <c r="D117" i="30"/>
  <c r="E117" i="30"/>
  <c r="J117" i="46" l="1"/>
  <c r="D119" i="46"/>
  <c r="E119" i="46"/>
  <c r="G118" i="46"/>
  <c r="J115" i="44"/>
  <c r="J116" i="44"/>
  <c r="G115" i="45"/>
  <c r="D116" i="45"/>
  <c r="E116" i="45"/>
  <c r="J114" i="45"/>
  <c r="G117" i="44"/>
  <c r="D118" i="44"/>
  <c r="B118" i="44" s="1"/>
  <c r="E118" i="44"/>
  <c r="F116" i="41"/>
  <c r="G116" i="41" s="1"/>
  <c r="D117" i="38"/>
  <c r="G116" i="38"/>
  <c r="J115" i="38"/>
  <c r="I115" i="41"/>
  <c r="H115" i="41"/>
  <c r="G116" i="42"/>
  <c r="D117" i="42"/>
  <c r="J115" i="42"/>
  <c r="B126" i="7"/>
  <c r="F126" i="7"/>
  <c r="B115" i="43"/>
  <c r="F115" i="43"/>
  <c r="H116" i="30"/>
  <c r="I116" i="30"/>
  <c r="B122" i="22"/>
  <c r="F122" i="22"/>
  <c r="H114" i="43"/>
  <c r="I114" i="43"/>
  <c r="H117" i="31"/>
  <c r="I117" i="31"/>
  <c r="I121" i="22"/>
  <c r="H121" i="22"/>
  <c r="B120" i="24"/>
  <c r="F120" i="24"/>
  <c r="H120" i="23"/>
  <c r="I120" i="23"/>
  <c r="B114" i="40"/>
  <c r="F114" i="40"/>
  <c r="H117" i="29"/>
  <c r="I117" i="29"/>
  <c r="I118" i="27"/>
  <c r="H118" i="27"/>
  <c r="I125" i="10"/>
  <c r="H125" i="10"/>
  <c r="B115" i="39"/>
  <c r="F115" i="39"/>
  <c r="H119" i="24"/>
  <c r="I119" i="24"/>
  <c r="B122" i="25"/>
  <c r="F122" i="25"/>
  <c r="H113" i="40"/>
  <c r="I113" i="40"/>
  <c r="B125" i="9"/>
  <c r="F125" i="9"/>
  <c r="B117" i="30"/>
  <c r="F117" i="30"/>
  <c r="B124" i="6"/>
  <c r="F124" i="6"/>
  <c r="H114" i="39"/>
  <c r="I114" i="39"/>
  <c r="B118" i="28"/>
  <c r="F118" i="28"/>
  <c r="I121" i="25"/>
  <c r="H121" i="25"/>
  <c r="B123" i="4"/>
  <c r="F123" i="4"/>
  <c r="B125" i="11"/>
  <c r="F125" i="11"/>
  <c r="B123" i="5"/>
  <c r="F123" i="5"/>
  <c r="H124" i="9"/>
  <c r="I124" i="9"/>
  <c r="B124" i="8"/>
  <c r="F124" i="8"/>
  <c r="B115" i="37"/>
  <c r="F115" i="37"/>
  <c r="B123" i="3"/>
  <c r="F123" i="3"/>
  <c r="B118" i="31"/>
  <c r="F118" i="31"/>
  <c r="I125" i="7"/>
  <c r="H125" i="7"/>
  <c r="I123" i="6"/>
  <c r="H123" i="6"/>
  <c r="B121" i="23"/>
  <c r="F121" i="23"/>
  <c r="H117" i="28"/>
  <c r="I117" i="28"/>
  <c r="B118" i="29"/>
  <c r="F118" i="29"/>
  <c r="H122" i="4"/>
  <c r="I122" i="4"/>
  <c r="H124" i="11"/>
  <c r="I124" i="11"/>
  <c r="H122" i="5"/>
  <c r="I122" i="5"/>
  <c r="H123" i="8"/>
  <c r="I123" i="8"/>
  <c r="B119" i="27"/>
  <c r="F119" i="27"/>
  <c r="B126" i="10"/>
  <c r="F126" i="10"/>
  <c r="H114" i="37"/>
  <c r="I114" i="37"/>
  <c r="H122" i="3"/>
  <c r="I122" i="3"/>
  <c r="I118" i="46" l="1"/>
  <c r="H118" i="46"/>
  <c r="F119" i="46"/>
  <c r="B119" i="46"/>
  <c r="B116" i="45"/>
  <c r="F116" i="45"/>
  <c r="I115" i="45"/>
  <c r="H115" i="45"/>
  <c r="F118" i="44"/>
  <c r="G118" i="44" s="1"/>
  <c r="D117" i="41"/>
  <c r="B117" i="41" s="1"/>
  <c r="I117" i="44"/>
  <c r="H117" i="44"/>
  <c r="H116" i="42"/>
  <c r="I116" i="42"/>
  <c r="I116" i="41"/>
  <c r="H116" i="41"/>
  <c r="J115" i="41"/>
  <c r="H116" i="38"/>
  <c r="I116" i="38"/>
  <c r="E117" i="42"/>
  <c r="F117" i="42" s="1"/>
  <c r="B117" i="42"/>
  <c r="E117" i="41"/>
  <c r="E117" i="38"/>
  <c r="F117" i="38" s="1"/>
  <c r="B117" i="38"/>
  <c r="J121" i="22"/>
  <c r="J118" i="27"/>
  <c r="J125" i="7"/>
  <c r="J114" i="37"/>
  <c r="J122" i="5"/>
  <c r="J122" i="4"/>
  <c r="J117" i="28"/>
  <c r="J124" i="9"/>
  <c r="J114" i="39"/>
  <c r="J113" i="40"/>
  <c r="J119" i="24"/>
  <c r="J117" i="29"/>
  <c r="J120" i="23"/>
  <c r="J122" i="3"/>
  <c r="G126" i="10"/>
  <c r="D127" i="10"/>
  <c r="E127" i="10"/>
  <c r="J123" i="8"/>
  <c r="J124" i="11"/>
  <c r="G118" i="29"/>
  <c r="D119" i="29"/>
  <c r="E119" i="29"/>
  <c r="G121" i="23"/>
  <c r="D122" i="23"/>
  <c r="E122" i="23"/>
  <c r="G123" i="3"/>
  <c r="D124" i="3"/>
  <c r="E124" i="3"/>
  <c r="G124" i="8"/>
  <c r="D125" i="8"/>
  <c r="E125" i="8"/>
  <c r="G123" i="5"/>
  <c r="D124" i="5"/>
  <c r="E124" i="5"/>
  <c r="G123" i="4"/>
  <c r="D124" i="4"/>
  <c r="E124" i="4"/>
  <c r="G118" i="28"/>
  <c r="D119" i="28"/>
  <c r="E119" i="28"/>
  <c r="G124" i="6"/>
  <c r="D125" i="6"/>
  <c r="E125" i="6"/>
  <c r="G125" i="9"/>
  <c r="D126" i="9"/>
  <c r="E126" i="9"/>
  <c r="G122" i="25"/>
  <c r="D123" i="25"/>
  <c r="E123" i="25"/>
  <c r="G115" i="39"/>
  <c r="D116" i="39"/>
  <c r="E116" i="39"/>
  <c r="G114" i="40"/>
  <c r="D115" i="40"/>
  <c r="E115" i="40"/>
  <c r="G120" i="24"/>
  <c r="D121" i="24"/>
  <c r="E121" i="24"/>
  <c r="J117" i="31"/>
  <c r="G122" i="22"/>
  <c r="D123" i="22"/>
  <c r="E123" i="22"/>
  <c r="G115" i="43"/>
  <c r="D116" i="43"/>
  <c r="E116" i="43"/>
  <c r="G119" i="27"/>
  <c r="D120" i="27"/>
  <c r="E120" i="27"/>
  <c r="G118" i="31"/>
  <c r="D119" i="31"/>
  <c r="E119" i="31"/>
  <c r="G115" i="37"/>
  <c r="D116" i="37"/>
  <c r="E116" i="37"/>
  <c r="G125" i="11"/>
  <c r="D126" i="11"/>
  <c r="E126" i="11"/>
  <c r="G117" i="30"/>
  <c r="D118" i="30"/>
  <c r="E118" i="30"/>
  <c r="J114" i="43"/>
  <c r="J116" i="30"/>
  <c r="G126" i="7"/>
  <c r="D127" i="7"/>
  <c r="E127" i="7"/>
  <c r="J123" i="6"/>
  <c r="J121" i="25"/>
  <c r="J125" i="10"/>
  <c r="E120" i="46" l="1"/>
  <c r="D120" i="46"/>
  <c r="G119" i="46"/>
  <c r="J118" i="46"/>
  <c r="G116" i="45"/>
  <c r="E117" i="45"/>
  <c r="D117" i="45"/>
  <c r="J115" i="45"/>
  <c r="D119" i="44"/>
  <c r="B119" i="44" s="1"/>
  <c r="J116" i="42"/>
  <c r="F117" i="41"/>
  <c r="D118" i="41" s="1"/>
  <c r="B118" i="41" s="1"/>
  <c r="J116" i="38"/>
  <c r="J117" i="44"/>
  <c r="E119" i="44"/>
  <c r="H118" i="44"/>
  <c r="I118" i="44"/>
  <c r="G117" i="42"/>
  <c r="D118" i="42"/>
  <c r="D118" i="38"/>
  <c r="B118" i="38" s="1"/>
  <c r="G117" i="38"/>
  <c r="E118" i="38"/>
  <c r="J116" i="41"/>
  <c r="B116" i="37"/>
  <c r="F116" i="37"/>
  <c r="H118" i="31"/>
  <c r="I118" i="31"/>
  <c r="B123" i="22"/>
  <c r="F123" i="22"/>
  <c r="B121" i="24"/>
  <c r="F121" i="24"/>
  <c r="H114" i="40"/>
  <c r="I114" i="40"/>
  <c r="B126" i="9"/>
  <c r="F126" i="9"/>
  <c r="H124" i="6"/>
  <c r="I124" i="6"/>
  <c r="B124" i="5"/>
  <c r="F124" i="5"/>
  <c r="I124" i="8"/>
  <c r="H124" i="8"/>
  <c r="B119" i="29"/>
  <c r="F119" i="29"/>
  <c r="B127" i="7"/>
  <c r="F127" i="7"/>
  <c r="B126" i="11"/>
  <c r="F126" i="11"/>
  <c r="I115" i="37"/>
  <c r="H115" i="37"/>
  <c r="B116" i="43"/>
  <c r="F116" i="43"/>
  <c r="I122" i="22"/>
  <c r="H122" i="22"/>
  <c r="H120" i="24"/>
  <c r="I120" i="24"/>
  <c r="B123" i="25"/>
  <c r="F123" i="25"/>
  <c r="H125" i="9"/>
  <c r="I125" i="9"/>
  <c r="B124" i="4"/>
  <c r="F124" i="4"/>
  <c r="H123" i="5"/>
  <c r="I123" i="5"/>
  <c r="B122" i="23"/>
  <c r="F122" i="23"/>
  <c r="H118" i="29"/>
  <c r="I118" i="29"/>
  <c r="B127" i="10"/>
  <c r="F127" i="10"/>
  <c r="B118" i="30"/>
  <c r="F118" i="30"/>
  <c r="H125" i="11"/>
  <c r="I125" i="11"/>
  <c r="B120" i="27"/>
  <c r="F120" i="27"/>
  <c r="H115" i="43"/>
  <c r="I115" i="43"/>
  <c r="B116" i="39"/>
  <c r="F116" i="39"/>
  <c r="H122" i="25"/>
  <c r="I122" i="25"/>
  <c r="B119" i="28"/>
  <c r="F119" i="28"/>
  <c r="I123" i="4"/>
  <c r="H123" i="4"/>
  <c r="B124" i="3"/>
  <c r="F124" i="3"/>
  <c r="I121" i="23"/>
  <c r="H121" i="23"/>
  <c r="H126" i="10"/>
  <c r="I126" i="10"/>
  <c r="I126" i="7"/>
  <c r="H126" i="7"/>
  <c r="H117" i="30"/>
  <c r="I117" i="30"/>
  <c r="B119" i="31"/>
  <c r="F119" i="31"/>
  <c r="I119" i="27"/>
  <c r="H119" i="27"/>
  <c r="B115" i="40"/>
  <c r="F115" i="40"/>
  <c r="H115" i="39"/>
  <c r="I115" i="39"/>
  <c r="B125" i="6"/>
  <c r="F125" i="6"/>
  <c r="H118" i="28"/>
  <c r="I118" i="28"/>
  <c r="B125" i="8"/>
  <c r="F125" i="8"/>
  <c r="H123" i="3"/>
  <c r="I123" i="3"/>
  <c r="I119" i="46" l="1"/>
  <c r="H119" i="46"/>
  <c r="B120" i="46"/>
  <c r="F120" i="46"/>
  <c r="B117" i="45"/>
  <c r="F117" i="45"/>
  <c r="H116" i="45"/>
  <c r="I116" i="45"/>
  <c r="G117" i="41"/>
  <c r="H117" i="41" s="1"/>
  <c r="F119" i="44"/>
  <c r="D120" i="44" s="1"/>
  <c r="B120" i="44" s="1"/>
  <c r="E118" i="41"/>
  <c r="F118" i="41" s="1"/>
  <c r="J118" i="44"/>
  <c r="F118" i="38"/>
  <c r="E119" i="38" s="1"/>
  <c r="H117" i="38"/>
  <c r="I117" i="38"/>
  <c r="E118" i="42"/>
  <c r="F118" i="42" s="1"/>
  <c r="B118" i="42"/>
  <c r="H117" i="42"/>
  <c r="I117" i="42"/>
  <c r="J118" i="31"/>
  <c r="J124" i="6"/>
  <c r="J119" i="27"/>
  <c r="J126" i="7"/>
  <c r="J121" i="23"/>
  <c r="J123" i="4"/>
  <c r="J122" i="22"/>
  <c r="J115" i="37"/>
  <c r="J123" i="3"/>
  <c r="J118" i="28"/>
  <c r="J115" i="39"/>
  <c r="J117" i="30"/>
  <c r="J126" i="10"/>
  <c r="G124" i="3"/>
  <c r="D125" i="3"/>
  <c r="E125" i="3"/>
  <c r="G119" i="28"/>
  <c r="D120" i="28"/>
  <c r="E120" i="28"/>
  <c r="G116" i="39"/>
  <c r="D117" i="39"/>
  <c r="E117" i="39"/>
  <c r="G120" i="27"/>
  <c r="D121" i="27"/>
  <c r="E121" i="27"/>
  <c r="G118" i="30"/>
  <c r="D119" i="30"/>
  <c r="E119" i="30"/>
  <c r="J118" i="29"/>
  <c r="J123" i="5"/>
  <c r="J125" i="9"/>
  <c r="J120" i="24"/>
  <c r="G116" i="43"/>
  <c r="D117" i="43"/>
  <c r="E117" i="43"/>
  <c r="G126" i="11"/>
  <c r="D127" i="11"/>
  <c r="E127" i="11"/>
  <c r="G119" i="29"/>
  <c r="D120" i="29"/>
  <c r="E120" i="29"/>
  <c r="G124" i="5"/>
  <c r="D125" i="5"/>
  <c r="E125" i="5"/>
  <c r="G126" i="9"/>
  <c r="D127" i="9"/>
  <c r="E127" i="9"/>
  <c r="G121" i="24"/>
  <c r="D122" i="24"/>
  <c r="E122" i="24"/>
  <c r="G125" i="8"/>
  <c r="D126" i="8"/>
  <c r="E126" i="8" s="1"/>
  <c r="G125" i="6"/>
  <c r="D126" i="6"/>
  <c r="E126" i="6"/>
  <c r="G115" i="40"/>
  <c r="D116" i="40"/>
  <c r="E116" i="40"/>
  <c r="G119" i="31"/>
  <c r="D120" i="31"/>
  <c r="E120" i="31"/>
  <c r="J122" i="25"/>
  <c r="J115" i="43"/>
  <c r="J125" i="11"/>
  <c r="G127" i="10"/>
  <c r="D128" i="10"/>
  <c r="E128" i="10"/>
  <c r="G122" i="23"/>
  <c r="D123" i="23"/>
  <c r="E123" i="23"/>
  <c r="G124" i="4"/>
  <c r="D125" i="4"/>
  <c r="E125" i="4"/>
  <c r="G123" i="25"/>
  <c r="D124" i="25"/>
  <c r="E124" i="25"/>
  <c r="G127" i="7"/>
  <c r="D128" i="7"/>
  <c r="E128" i="7"/>
  <c r="J114" i="40"/>
  <c r="G123" i="22"/>
  <c r="D124" i="22"/>
  <c r="E124" i="22"/>
  <c r="G116" i="37"/>
  <c r="D117" i="37"/>
  <c r="E117" i="37"/>
  <c r="J124" i="8"/>
  <c r="G120" i="46" l="1"/>
  <c r="E121" i="46"/>
  <c r="D121" i="46"/>
  <c r="J119" i="46"/>
  <c r="I117" i="41"/>
  <c r="J117" i="41" s="1"/>
  <c r="J116" i="45"/>
  <c r="E118" i="45"/>
  <c r="D118" i="45"/>
  <c r="G117" i="45"/>
  <c r="E120" i="44"/>
  <c r="F120" i="44" s="1"/>
  <c r="D121" i="44" s="1"/>
  <c r="B121" i="44" s="1"/>
  <c r="D119" i="38"/>
  <c r="B119" i="38" s="1"/>
  <c r="G119" i="44"/>
  <c r="H119" i="44" s="1"/>
  <c r="G118" i="38"/>
  <c r="H118" i="38" s="1"/>
  <c r="G118" i="42"/>
  <c r="D119" i="42"/>
  <c r="B119" i="42" s="1"/>
  <c r="E119" i="42"/>
  <c r="D119" i="41"/>
  <c r="G118" i="41"/>
  <c r="J117" i="42"/>
  <c r="J117" i="38"/>
  <c r="H116" i="37"/>
  <c r="I116" i="37"/>
  <c r="B124" i="25"/>
  <c r="F124" i="25"/>
  <c r="H124" i="4"/>
  <c r="I124" i="4"/>
  <c r="H119" i="31"/>
  <c r="I119" i="31"/>
  <c r="B126" i="8"/>
  <c r="F126" i="8"/>
  <c r="H121" i="24"/>
  <c r="I121" i="24"/>
  <c r="B120" i="29"/>
  <c r="F120" i="29"/>
  <c r="H126" i="11"/>
  <c r="I126" i="11"/>
  <c r="B121" i="27"/>
  <c r="F121" i="27"/>
  <c r="H116" i="39"/>
  <c r="I116" i="39"/>
  <c r="B128" i="7"/>
  <c r="F128" i="7"/>
  <c r="B128" i="10"/>
  <c r="F128" i="10"/>
  <c r="B126" i="6"/>
  <c r="F126" i="6"/>
  <c r="H125" i="8"/>
  <c r="I125" i="8"/>
  <c r="B125" i="5"/>
  <c r="F125" i="5"/>
  <c r="H119" i="29"/>
  <c r="I119" i="29"/>
  <c r="B119" i="30"/>
  <c r="F119" i="30"/>
  <c r="H120" i="27"/>
  <c r="I120" i="27"/>
  <c r="B125" i="3"/>
  <c r="F125" i="3"/>
  <c r="B124" i="22"/>
  <c r="F124" i="22"/>
  <c r="H123" i="25"/>
  <c r="I123" i="25"/>
  <c r="B117" i="37"/>
  <c r="F117" i="37"/>
  <c r="H123" i="22"/>
  <c r="I123" i="22"/>
  <c r="H127" i="7"/>
  <c r="I127" i="7"/>
  <c r="B123" i="23"/>
  <c r="F123" i="23"/>
  <c r="H127" i="10"/>
  <c r="I127" i="10"/>
  <c r="B116" i="40"/>
  <c r="F116" i="40"/>
  <c r="I125" i="6"/>
  <c r="H125" i="6"/>
  <c r="B127" i="9"/>
  <c r="F127" i="9"/>
  <c r="I124" i="5"/>
  <c r="H124" i="5"/>
  <c r="B117" i="43"/>
  <c r="F117" i="43"/>
  <c r="I118" i="30"/>
  <c r="H118" i="30"/>
  <c r="B120" i="28"/>
  <c r="F120" i="28"/>
  <c r="H124" i="3"/>
  <c r="I124" i="3"/>
  <c r="B125" i="4"/>
  <c r="F125" i="4"/>
  <c r="H122" i="23"/>
  <c r="I122" i="23"/>
  <c r="B120" i="31"/>
  <c r="F120" i="31"/>
  <c r="I115" i="40"/>
  <c r="H115" i="40"/>
  <c r="B122" i="24"/>
  <c r="F122" i="24"/>
  <c r="H126" i="9"/>
  <c r="I126" i="9"/>
  <c r="B127" i="11"/>
  <c r="F127" i="11"/>
  <c r="H116" i="43"/>
  <c r="I116" i="43"/>
  <c r="B117" i="39"/>
  <c r="F117" i="39"/>
  <c r="H119" i="28"/>
  <c r="I119" i="28"/>
  <c r="B121" i="46" l="1"/>
  <c r="F121" i="46"/>
  <c r="I120" i="46"/>
  <c r="H120" i="46"/>
  <c r="F119" i="38"/>
  <c r="G119" i="38" s="1"/>
  <c r="I117" i="45"/>
  <c r="H117" i="45"/>
  <c r="F118" i="45"/>
  <c r="B118" i="45"/>
  <c r="I119" i="44"/>
  <c r="I118" i="38"/>
  <c r="J118" i="38" s="1"/>
  <c r="D120" i="38"/>
  <c r="B120" i="38" s="1"/>
  <c r="E121" i="44"/>
  <c r="F121" i="44" s="1"/>
  <c r="G121" i="44" s="1"/>
  <c r="G120" i="44"/>
  <c r="I120" i="44" s="1"/>
  <c r="F119" i="42"/>
  <c r="G119" i="42" s="1"/>
  <c r="J119" i="44"/>
  <c r="E120" i="38"/>
  <c r="E119" i="41"/>
  <c r="F119" i="41" s="1"/>
  <c r="B119" i="41"/>
  <c r="H119" i="38"/>
  <c r="I119" i="38"/>
  <c r="H118" i="41"/>
  <c r="I118" i="41"/>
  <c r="H118" i="42"/>
  <c r="I118" i="42"/>
  <c r="J119" i="28"/>
  <c r="J120" i="27"/>
  <c r="J115" i="40"/>
  <c r="J118" i="30"/>
  <c r="J124" i="5"/>
  <c r="J125" i="6"/>
  <c r="J124" i="4"/>
  <c r="J116" i="37"/>
  <c r="J116" i="43"/>
  <c r="J126" i="9"/>
  <c r="J122" i="23"/>
  <c r="J124" i="3"/>
  <c r="J127" i="10"/>
  <c r="J127" i="7"/>
  <c r="G117" i="37"/>
  <c r="D118" i="37"/>
  <c r="E118" i="37"/>
  <c r="G124" i="22"/>
  <c r="D125" i="22"/>
  <c r="E125" i="22" s="1"/>
  <c r="J119" i="29"/>
  <c r="J125" i="8"/>
  <c r="G128" i="10"/>
  <c r="D129" i="10"/>
  <c r="E129" i="10" s="1"/>
  <c r="J116" i="39"/>
  <c r="J126" i="11"/>
  <c r="J121" i="24"/>
  <c r="J119" i="31"/>
  <c r="G124" i="25"/>
  <c r="D125" i="25"/>
  <c r="E125" i="25"/>
  <c r="G117" i="39"/>
  <c r="D118" i="39"/>
  <c r="E118" i="39"/>
  <c r="D128" i="11"/>
  <c r="E128" i="11" s="1"/>
  <c r="G127" i="11"/>
  <c r="G122" i="24"/>
  <c r="D123" i="24"/>
  <c r="E123" i="24"/>
  <c r="G120" i="31"/>
  <c r="D121" i="31"/>
  <c r="E121" i="31"/>
  <c r="G125" i="4"/>
  <c r="D126" i="4"/>
  <c r="E126" i="4"/>
  <c r="G120" i="28"/>
  <c r="D121" i="28"/>
  <c r="E121" i="28"/>
  <c r="G117" i="43"/>
  <c r="D118" i="43"/>
  <c r="E118" i="43"/>
  <c r="G127" i="9"/>
  <c r="D128" i="9"/>
  <c r="E128" i="9" s="1"/>
  <c r="G116" i="40"/>
  <c r="D117" i="40"/>
  <c r="E117" i="40"/>
  <c r="G123" i="23"/>
  <c r="D124" i="23"/>
  <c r="E124" i="23"/>
  <c r="J123" i="22"/>
  <c r="J123" i="25"/>
  <c r="G125" i="3"/>
  <c r="D126" i="3"/>
  <c r="E126" i="3"/>
  <c r="G119" i="30"/>
  <c r="D120" i="30"/>
  <c r="E120" i="30"/>
  <c r="G125" i="5"/>
  <c r="D126" i="5"/>
  <c r="E126" i="5" s="1"/>
  <c r="G126" i="6"/>
  <c r="D127" i="6"/>
  <c r="E127" i="6" s="1"/>
  <c r="G128" i="7"/>
  <c r="D129" i="7"/>
  <c r="E129" i="7" s="1"/>
  <c r="G121" i="27"/>
  <c r="D122" i="27"/>
  <c r="E122" i="27"/>
  <c r="G120" i="29"/>
  <c r="D121" i="29"/>
  <c r="E121" i="29"/>
  <c r="G126" i="8"/>
  <c r="D127" i="8"/>
  <c r="E127" i="8" s="1"/>
  <c r="J120" i="46" l="1"/>
  <c r="E122" i="46"/>
  <c r="D122" i="46"/>
  <c r="G121" i="46"/>
  <c r="G118" i="45"/>
  <c r="D119" i="45"/>
  <c r="B119" i="45" s="1"/>
  <c r="E119" i="45"/>
  <c r="J117" i="45"/>
  <c r="F120" i="38"/>
  <c r="E121" i="38" s="1"/>
  <c r="J118" i="41"/>
  <c r="J119" i="38"/>
  <c r="D122" i="44"/>
  <c r="B122" i="44" s="1"/>
  <c r="H120" i="44"/>
  <c r="J120" i="44" s="1"/>
  <c r="D120" i="42"/>
  <c r="B120" i="42" s="1"/>
  <c r="H121" i="44"/>
  <c r="I121" i="44"/>
  <c r="J118" i="42"/>
  <c r="D120" i="41"/>
  <c r="G119" i="41"/>
  <c r="H119" i="42"/>
  <c r="I119" i="42"/>
  <c r="E120" i="42"/>
  <c r="B127" i="8"/>
  <c r="F127" i="8"/>
  <c r="H126" i="8"/>
  <c r="I126" i="8"/>
  <c r="B129" i="7"/>
  <c r="F129" i="7"/>
  <c r="H126" i="6"/>
  <c r="I126" i="6"/>
  <c r="B126" i="3"/>
  <c r="F126" i="3"/>
  <c r="B117" i="40"/>
  <c r="F117" i="40"/>
  <c r="H127" i="9"/>
  <c r="I127" i="9"/>
  <c r="B126" i="4"/>
  <c r="F126" i="4"/>
  <c r="H120" i="31"/>
  <c r="I120" i="31"/>
  <c r="B118" i="39"/>
  <c r="F118" i="39"/>
  <c r="H124" i="25"/>
  <c r="I124" i="25"/>
  <c r="I124" i="22"/>
  <c r="H124" i="22"/>
  <c r="B121" i="29"/>
  <c r="F121" i="29"/>
  <c r="B122" i="27"/>
  <c r="F122" i="27"/>
  <c r="H128" i="7"/>
  <c r="I128" i="7"/>
  <c r="B120" i="30"/>
  <c r="F120" i="30"/>
  <c r="H125" i="3"/>
  <c r="I125" i="3"/>
  <c r="B124" i="23"/>
  <c r="F124" i="23"/>
  <c r="H116" i="40"/>
  <c r="I116" i="40"/>
  <c r="B121" i="28"/>
  <c r="F121" i="28"/>
  <c r="I125" i="4"/>
  <c r="H125" i="4"/>
  <c r="H127" i="11"/>
  <c r="I127" i="11"/>
  <c r="H117" i="39"/>
  <c r="I117" i="39"/>
  <c r="I121" i="27"/>
  <c r="H121" i="27"/>
  <c r="B126" i="5"/>
  <c r="F126" i="5"/>
  <c r="H119" i="30"/>
  <c r="I119" i="30"/>
  <c r="H123" i="23"/>
  <c r="I123" i="23"/>
  <c r="B118" i="43"/>
  <c r="F118" i="43"/>
  <c r="H120" i="28"/>
  <c r="I120" i="28"/>
  <c r="B123" i="24"/>
  <c r="F123" i="24"/>
  <c r="B128" i="11"/>
  <c r="F128" i="11"/>
  <c r="B129" i="10"/>
  <c r="F129" i="10"/>
  <c r="B118" i="37"/>
  <c r="F118" i="37"/>
  <c r="H120" i="29"/>
  <c r="I120" i="29"/>
  <c r="B127" i="6"/>
  <c r="F127" i="6"/>
  <c r="H125" i="5"/>
  <c r="I125" i="5"/>
  <c r="B128" i="9"/>
  <c r="F128" i="9"/>
  <c r="H117" i="43"/>
  <c r="I117" i="43"/>
  <c r="B121" i="31"/>
  <c r="F121" i="31"/>
  <c r="H122" i="24"/>
  <c r="I122" i="24"/>
  <c r="B125" i="25"/>
  <c r="F125" i="25"/>
  <c r="H128" i="10"/>
  <c r="I128" i="10"/>
  <c r="B125" i="22"/>
  <c r="F125" i="22"/>
  <c r="H117" i="37"/>
  <c r="I117" i="37"/>
  <c r="I121" i="46" l="1"/>
  <c r="H121" i="46"/>
  <c r="B122" i="46"/>
  <c r="F122" i="46"/>
  <c r="D121" i="38"/>
  <c r="B121" i="38" s="1"/>
  <c r="G120" i="38"/>
  <c r="F119" i="45"/>
  <c r="G119" i="45" s="1"/>
  <c r="I118" i="45"/>
  <c r="H118" i="45"/>
  <c r="E122" i="44"/>
  <c r="F122" i="44" s="1"/>
  <c r="D123" i="44" s="1"/>
  <c r="B123" i="44" s="1"/>
  <c r="F120" i="42"/>
  <c r="G120" i="42" s="1"/>
  <c r="J121" i="44"/>
  <c r="J119" i="42"/>
  <c r="H120" i="38"/>
  <c r="I120" i="38"/>
  <c r="I119" i="41"/>
  <c r="H119" i="41"/>
  <c r="F121" i="38"/>
  <c r="E120" i="41"/>
  <c r="F120" i="41" s="1"/>
  <c r="B120" i="41"/>
  <c r="J125" i="4"/>
  <c r="J121" i="27"/>
  <c r="J124" i="22"/>
  <c r="J117" i="37"/>
  <c r="J128" i="10"/>
  <c r="J122" i="24"/>
  <c r="J117" i="43"/>
  <c r="J125" i="5"/>
  <c r="J120" i="29"/>
  <c r="G129" i="10"/>
  <c r="D130" i="10"/>
  <c r="E130" i="10" s="1"/>
  <c r="G123" i="24"/>
  <c r="D124" i="24"/>
  <c r="E124" i="24" s="1"/>
  <c r="G118" i="43"/>
  <c r="D119" i="43"/>
  <c r="E119" i="43"/>
  <c r="J119" i="30"/>
  <c r="J127" i="11"/>
  <c r="G121" i="28"/>
  <c r="D122" i="28"/>
  <c r="E122" i="28"/>
  <c r="G124" i="23"/>
  <c r="D125" i="23"/>
  <c r="E125" i="23" s="1"/>
  <c r="G120" i="30"/>
  <c r="D121" i="30"/>
  <c r="E121" i="30"/>
  <c r="G122" i="27"/>
  <c r="D123" i="27"/>
  <c r="E123" i="27" s="1"/>
  <c r="G118" i="39"/>
  <c r="D119" i="39"/>
  <c r="E119" i="39"/>
  <c r="G126" i="4"/>
  <c r="D127" i="4"/>
  <c r="E127" i="4" s="1"/>
  <c r="G117" i="40"/>
  <c r="D118" i="40"/>
  <c r="E118" i="40"/>
  <c r="J126" i="6"/>
  <c r="J126" i="8"/>
  <c r="G125" i="22"/>
  <c r="D126" i="22"/>
  <c r="E126" i="22" s="1"/>
  <c r="G125" i="25"/>
  <c r="D126" i="25"/>
  <c r="E126" i="25"/>
  <c r="G121" i="31"/>
  <c r="D122" i="31"/>
  <c r="E122" i="31"/>
  <c r="G128" i="9"/>
  <c r="D129" i="9"/>
  <c r="E129" i="9" s="1"/>
  <c r="G127" i="6"/>
  <c r="D128" i="6"/>
  <c r="E128" i="6"/>
  <c r="G118" i="37"/>
  <c r="D119" i="37"/>
  <c r="E119" i="37"/>
  <c r="G128" i="11"/>
  <c r="D129" i="11"/>
  <c r="E129" i="11" s="1"/>
  <c r="J120" i="28"/>
  <c r="J123" i="23"/>
  <c r="G126" i="5"/>
  <c r="D127" i="5"/>
  <c r="E127" i="5"/>
  <c r="J117" i="39"/>
  <c r="J116" i="40"/>
  <c r="J125" i="3"/>
  <c r="J128" i="7"/>
  <c r="G121" i="29"/>
  <c r="D122" i="29"/>
  <c r="E122" i="29"/>
  <c r="J124" i="25"/>
  <c r="J120" i="31"/>
  <c r="J127" i="9"/>
  <c r="G126" i="3"/>
  <c r="D127" i="3"/>
  <c r="E127" i="3"/>
  <c r="G129" i="7"/>
  <c r="D130" i="7"/>
  <c r="E130" i="7"/>
  <c r="G127" i="8"/>
  <c r="D128" i="8"/>
  <c r="E128" i="8" s="1"/>
  <c r="D123" i="46" l="1"/>
  <c r="E123" i="46"/>
  <c r="G122" i="46"/>
  <c r="J121" i="46"/>
  <c r="D120" i="45"/>
  <c r="B120" i="45" s="1"/>
  <c r="J118" i="45"/>
  <c r="E120" i="45"/>
  <c r="I119" i="45"/>
  <c r="H119" i="45"/>
  <c r="D121" i="42"/>
  <c r="B121" i="42" s="1"/>
  <c r="E123" i="44"/>
  <c r="F123" i="44" s="1"/>
  <c r="D124" i="44" s="1"/>
  <c r="B124" i="44" s="1"/>
  <c r="G122" i="44"/>
  <c r="H122" i="44" s="1"/>
  <c r="J120" i="38"/>
  <c r="D122" i="38"/>
  <c r="G121" i="38"/>
  <c r="D121" i="41"/>
  <c r="B121" i="41" s="1"/>
  <c r="G120" i="41"/>
  <c r="E121" i="42"/>
  <c r="F121" i="42" s="1"/>
  <c r="J119" i="41"/>
  <c r="I120" i="42"/>
  <c r="H120" i="42"/>
  <c r="B128" i="8"/>
  <c r="F128" i="8"/>
  <c r="H129" i="7"/>
  <c r="I129" i="7"/>
  <c r="B122" i="29"/>
  <c r="F122" i="29"/>
  <c r="I126" i="5"/>
  <c r="H126" i="5"/>
  <c r="B129" i="11"/>
  <c r="F129" i="11"/>
  <c r="H118" i="37"/>
  <c r="I118" i="37"/>
  <c r="B122" i="31"/>
  <c r="F122" i="31"/>
  <c r="H125" i="25"/>
  <c r="I125" i="25"/>
  <c r="H117" i="40"/>
  <c r="I117" i="40"/>
  <c r="B123" i="27"/>
  <c r="F123" i="27"/>
  <c r="H120" i="30"/>
  <c r="I120" i="30"/>
  <c r="B130" i="10"/>
  <c r="F130" i="10"/>
  <c r="I127" i="8"/>
  <c r="H127" i="8"/>
  <c r="I121" i="29"/>
  <c r="H121" i="29"/>
  <c r="H128" i="11"/>
  <c r="I128" i="11"/>
  <c r="B129" i="9"/>
  <c r="F129" i="9"/>
  <c r="H121" i="31"/>
  <c r="I121" i="31"/>
  <c r="B119" i="39"/>
  <c r="F119" i="39"/>
  <c r="H122" i="27"/>
  <c r="I122" i="27"/>
  <c r="B122" i="28"/>
  <c r="F122" i="28"/>
  <c r="B124" i="24"/>
  <c r="F124" i="24"/>
  <c r="H129" i="10"/>
  <c r="I129" i="10"/>
  <c r="B127" i="3"/>
  <c r="F127" i="3"/>
  <c r="B128" i="6"/>
  <c r="F128" i="6"/>
  <c r="H128" i="9"/>
  <c r="I128" i="9"/>
  <c r="B126" i="22"/>
  <c r="F126" i="22"/>
  <c r="B127" i="4"/>
  <c r="F127" i="4"/>
  <c r="H118" i="39"/>
  <c r="I118" i="39"/>
  <c r="B125" i="23"/>
  <c r="F125" i="23"/>
  <c r="I121" i="28"/>
  <c r="H121" i="28"/>
  <c r="B119" i="43"/>
  <c r="F119" i="43"/>
  <c r="H123" i="24"/>
  <c r="I123" i="24"/>
  <c r="B130" i="7"/>
  <c r="F130" i="7"/>
  <c r="H126" i="3"/>
  <c r="I126" i="3"/>
  <c r="B127" i="5"/>
  <c r="F127" i="5"/>
  <c r="B119" i="37"/>
  <c r="F119" i="37"/>
  <c r="I127" i="6"/>
  <c r="H127" i="6"/>
  <c r="B126" i="25"/>
  <c r="F126" i="25"/>
  <c r="I125" i="22"/>
  <c r="H125" i="22"/>
  <c r="B118" i="40"/>
  <c r="F118" i="40"/>
  <c r="H126" i="4"/>
  <c r="I126" i="4"/>
  <c r="B121" i="30"/>
  <c r="F121" i="30"/>
  <c r="H124" i="23"/>
  <c r="I124" i="23"/>
  <c r="H118" i="43"/>
  <c r="I118" i="43"/>
  <c r="H122" i="46" l="1"/>
  <c r="I122" i="46"/>
  <c r="F123" i="46"/>
  <c r="B123" i="46"/>
  <c r="F120" i="45"/>
  <c r="E121" i="45" s="1"/>
  <c r="J119" i="45"/>
  <c r="G123" i="44"/>
  <c r="I123" i="44" s="1"/>
  <c r="I122" i="44"/>
  <c r="J122" i="44" s="1"/>
  <c r="E124" i="44"/>
  <c r="F124" i="44" s="1"/>
  <c r="E121" i="41"/>
  <c r="F121" i="41" s="1"/>
  <c r="D122" i="42"/>
  <c r="B122" i="42" s="1"/>
  <c r="G121" i="42"/>
  <c r="E122" i="42"/>
  <c r="J120" i="42"/>
  <c r="I121" i="38"/>
  <c r="H121" i="38"/>
  <c r="E122" i="38"/>
  <c r="F122" i="38" s="1"/>
  <c r="B122" i="38"/>
  <c r="H120" i="41"/>
  <c r="I120" i="41"/>
  <c r="J125" i="22"/>
  <c r="J125" i="25"/>
  <c r="J118" i="37"/>
  <c r="J129" i="7"/>
  <c r="J127" i="6"/>
  <c r="J127" i="8"/>
  <c r="J121" i="28"/>
  <c r="J121" i="29"/>
  <c r="J124" i="23"/>
  <c r="J128" i="9"/>
  <c r="J122" i="27"/>
  <c r="J121" i="31"/>
  <c r="J118" i="43"/>
  <c r="G121" i="30"/>
  <c r="D122" i="30"/>
  <c r="E122" i="30"/>
  <c r="G118" i="40"/>
  <c r="D119" i="40"/>
  <c r="E119" i="40"/>
  <c r="G126" i="25"/>
  <c r="D127" i="25"/>
  <c r="E127" i="25" s="1"/>
  <c r="G119" i="37"/>
  <c r="D120" i="37"/>
  <c r="E120" i="37"/>
  <c r="J126" i="3"/>
  <c r="J123" i="24"/>
  <c r="J118" i="39"/>
  <c r="G126" i="22"/>
  <c r="D127" i="22"/>
  <c r="E127" i="22" s="1"/>
  <c r="G128" i="6"/>
  <c r="D129" i="6"/>
  <c r="E129" i="6" s="1"/>
  <c r="J129" i="10"/>
  <c r="G122" i="28"/>
  <c r="D123" i="28"/>
  <c r="E123" i="28" s="1"/>
  <c r="G119" i="39"/>
  <c r="D120" i="39"/>
  <c r="E120" i="39"/>
  <c r="G129" i="9"/>
  <c r="D130" i="9"/>
  <c r="E130" i="9"/>
  <c r="G130" i="10"/>
  <c r="D131" i="10"/>
  <c r="E131" i="10" s="1"/>
  <c r="G123" i="27"/>
  <c r="D124" i="27"/>
  <c r="E124" i="27" s="1"/>
  <c r="J126" i="5"/>
  <c r="J126" i="4"/>
  <c r="G127" i="5"/>
  <c r="D128" i="5"/>
  <c r="E128" i="5" s="1"/>
  <c r="G130" i="7"/>
  <c r="D131" i="7"/>
  <c r="E131" i="7" s="1"/>
  <c r="G119" i="43"/>
  <c r="D120" i="43"/>
  <c r="E120" i="43"/>
  <c r="G125" i="23"/>
  <c r="D126" i="23"/>
  <c r="E126" i="23"/>
  <c r="G127" i="4"/>
  <c r="D128" i="4"/>
  <c r="E128" i="4" s="1"/>
  <c r="G127" i="3"/>
  <c r="D128" i="3"/>
  <c r="E128" i="3" s="1"/>
  <c r="G124" i="24"/>
  <c r="D125" i="24"/>
  <c r="E125" i="24"/>
  <c r="J128" i="11"/>
  <c r="J120" i="30"/>
  <c r="J117" i="40"/>
  <c r="G122" i="31"/>
  <c r="D123" i="31"/>
  <c r="E123" i="31" s="1"/>
  <c r="G129" i="11"/>
  <c r="D130" i="11"/>
  <c r="E130" i="11" s="1"/>
  <c r="G122" i="29"/>
  <c r="D123" i="29"/>
  <c r="E123" i="29"/>
  <c r="G128" i="8"/>
  <c r="D129" i="8"/>
  <c r="E129" i="8"/>
  <c r="G123" i="46" l="1"/>
  <c r="D124" i="46"/>
  <c r="E124" i="46"/>
  <c r="J122" i="46"/>
  <c r="G120" i="45"/>
  <c r="D121" i="45"/>
  <c r="F121" i="45" s="1"/>
  <c r="H123" i="44"/>
  <c r="J123" i="44" s="1"/>
  <c r="H120" i="45"/>
  <c r="I120" i="45"/>
  <c r="B121" i="45"/>
  <c r="G124" i="44"/>
  <c r="H124" i="44" s="1"/>
  <c r="D125" i="44"/>
  <c r="B125" i="44" s="1"/>
  <c r="E125" i="44"/>
  <c r="J120" i="41"/>
  <c r="F122" i="42"/>
  <c r="G122" i="42" s="1"/>
  <c r="J121" i="38"/>
  <c r="G122" i="38"/>
  <c r="D123" i="38"/>
  <c r="G121" i="41"/>
  <c r="D122" i="41"/>
  <c r="H121" i="42"/>
  <c r="I121" i="42"/>
  <c r="B130" i="11"/>
  <c r="F130" i="11"/>
  <c r="B123" i="29"/>
  <c r="F123" i="29"/>
  <c r="H129" i="11"/>
  <c r="I129" i="11"/>
  <c r="B125" i="24"/>
  <c r="F125" i="24"/>
  <c r="I127" i="3"/>
  <c r="H127" i="3"/>
  <c r="B120" i="43"/>
  <c r="F120" i="43"/>
  <c r="H130" i="7"/>
  <c r="I130" i="7"/>
  <c r="H123" i="27"/>
  <c r="I123" i="27"/>
  <c r="B120" i="39"/>
  <c r="F120" i="39"/>
  <c r="H122" i="28"/>
  <c r="I122" i="28"/>
  <c r="H128" i="6"/>
  <c r="I128" i="6"/>
  <c r="B120" i="37"/>
  <c r="F120" i="37"/>
  <c r="H126" i="25"/>
  <c r="I126" i="25"/>
  <c r="B129" i="8"/>
  <c r="F129" i="8"/>
  <c r="H122" i="29"/>
  <c r="I122" i="29"/>
  <c r="H124" i="24"/>
  <c r="I124" i="24"/>
  <c r="B126" i="23"/>
  <c r="F126" i="23"/>
  <c r="H119" i="43"/>
  <c r="I119" i="43"/>
  <c r="B130" i="9"/>
  <c r="F130" i="9"/>
  <c r="H119" i="39"/>
  <c r="I119" i="39"/>
  <c r="H119" i="37"/>
  <c r="I119" i="37"/>
  <c r="B122" i="30"/>
  <c r="F122" i="30"/>
  <c r="H128" i="8"/>
  <c r="I128" i="8"/>
  <c r="B128" i="4"/>
  <c r="F128" i="4"/>
  <c r="I125" i="23"/>
  <c r="H125" i="23"/>
  <c r="B128" i="5"/>
  <c r="F128" i="5"/>
  <c r="B131" i="10"/>
  <c r="F131" i="10"/>
  <c r="H129" i="9"/>
  <c r="I129" i="9"/>
  <c r="B127" i="22"/>
  <c r="F127" i="22"/>
  <c r="B119" i="40"/>
  <c r="F119" i="40"/>
  <c r="H121" i="30"/>
  <c r="I121" i="30"/>
  <c r="B123" i="31"/>
  <c r="F123" i="31"/>
  <c r="I122" i="31"/>
  <c r="H122" i="31"/>
  <c r="B128" i="3"/>
  <c r="F128" i="3"/>
  <c r="H127" i="4"/>
  <c r="I127" i="4"/>
  <c r="B131" i="7"/>
  <c r="F131" i="7"/>
  <c r="H127" i="5"/>
  <c r="I127" i="5"/>
  <c r="B124" i="27"/>
  <c r="F124" i="27"/>
  <c r="I130" i="10"/>
  <c r="H130" i="10"/>
  <c r="B123" i="28"/>
  <c r="F123" i="28"/>
  <c r="B129" i="6"/>
  <c r="F129" i="6"/>
  <c r="H126" i="22"/>
  <c r="I126" i="22"/>
  <c r="B127" i="25"/>
  <c r="F127" i="25"/>
  <c r="H118" i="40"/>
  <c r="I118" i="40"/>
  <c r="B124" i="46" l="1"/>
  <c r="F124" i="46"/>
  <c r="H123" i="46"/>
  <c r="I123" i="46"/>
  <c r="J123" i="46" s="1"/>
  <c r="I124" i="44"/>
  <c r="J124" i="44" s="1"/>
  <c r="J120" i="45"/>
  <c r="F125" i="44"/>
  <c r="G125" i="44" s="1"/>
  <c r="G121" i="45"/>
  <c r="D122" i="45"/>
  <c r="D123" i="42"/>
  <c r="B123" i="42" s="1"/>
  <c r="D126" i="44"/>
  <c r="J121" i="42"/>
  <c r="E122" i="41"/>
  <c r="F122" i="41" s="1"/>
  <c r="B122" i="41"/>
  <c r="I121" i="41"/>
  <c r="H121" i="41"/>
  <c r="E123" i="42"/>
  <c r="E123" i="38"/>
  <c r="F123" i="38" s="1"/>
  <c r="B123" i="38"/>
  <c r="H122" i="42"/>
  <c r="I122" i="42"/>
  <c r="I122" i="38"/>
  <c r="H122" i="38"/>
  <c r="J127" i="5"/>
  <c r="J122" i="29"/>
  <c r="J127" i="4"/>
  <c r="J121" i="30"/>
  <c r="J128" i="8"/>
  <c r="J119" i="37"/>
  <c r="J126" i="25"/>
  <c r="J127" i="3"/>
  <c r="G127" i="25"/>
  <c r="D128" i="25"/>
  <c r="E128" i="25" s="1"/>
  <c r="J118" i="40"/>
  <c r="J126" i="22"/>
  <c r="G123" i="28"/>
  <c r="D124" i="28"/>
  <c r="E124" i="28" s="1"/>
  <c r="G124" i="27"/>
  <c r="D125" i="27"/>
  <c r="E125" i="27" s="1"/>
  <c r="G131" i="7"/>
  <c r="D132" i="7"/>
  <c r="E132" i="7" s="1"/>
  <c r="G128" i="3"/>
  <c r="D129" i="3"/>
  <c r="E129" i="3"/>
  <c r="G123" i="31"/>
  <c r="D124" i="31"/>
  <c r="E124" i="31"/>
  <c r="G119" i="40"/>
  <c r="D120" i="40"/>
  <c r="E120" i="40"/>
  <c r="J129" i="9"/>
  <c r="G128" i="5"/>
  <c r="D129" i="5"/>
  <c r="E129" i="5" s="1"/>
  <c r="G128" i="4"/>
  <c r="D129" i="4"/>
  <c r="E129" i="4" s="1"/>
  <c r="G122" i="30"/>
  <c r="D123" i="30"/>
  <c r="E123" i="30" s="1"/>
  <c r="J119" i="39"/>
  <c r="J119" i="43"/>
  <c r="J124" i="24"/>
  <c r="G129" i="8"/>
  <c r="D130" i="8"/>
  <c r="E130" i="8" s="1"/>
  <c r="G120" i="37"/>
  <c r="D121" i="37"/>
  <c r="E121" i="37" s="1"/>
  <c r="J122" i="28"/>
  <c r="J123" i="27"/>
  <c r="G120" i="43"/>
  <c r="D121" i="43"/>
  <c r="E121" i="43" s="1"/>
  <c r="G125" i="24"/>
  <c r="D126" i="24"/>
  <c r="E126" i="24" s="1"/>
  <c r="G123" i="29"/>
  <c r="D124" i="29"/>
  <c r="E124" i="29" s="1"/>
  <c r="G129" i="6"/>
  <c r="D130" i="6"/>
  <c r="E130" i="6" s="1"/>
  <c r="G127" i="22"/>
  <c r="D128" i="22"/>
  <c r="E128" i="22" s="1"/>
  <c r="G131" i="10"/>
  <c r="D132" i="10"/>
  <c r="E132" i="10" s="1"/>
  <c r="G130" i="9"/>
  <c r="D131" i="9"/>
  <c r="E131" i="9"/>
  <c r="G126" i="23"/>
  <c r="D127" i="23"/>
  <c r="E127" i="23" s="1"/>
  <c r="J128" i="6"/>
  <c r="G120" i="39"/>
  <c r="D121" i="39"/>
  <c r="E121" i="39" s="1"/>
  <c r="J130" i="7"/>
  <c r="J129" i="11"/>
  <c r="G130" i="11"/>
  <c r="D131" i="11"/>
  <c r="E131" i="11" s="1"/>
  <c r="J130" i="10"/>
  <c r="J122" i="31"/>
  <c r="J125" i="23"/>
  <c r="D125" i="46" l="1"/>
  <c r="B125" i="46" s="1"/>
  <c r="G124" i="46"/>
  <c r="E125" i="46"/>
  <c r="F123" i="42"/>
  <c r="G123" i="42" s="1"/>
  <c r="E122" i="45"/>
  <c r="F122" i="45" s="1"/>
  <c r="B122" i="45"/>
  <c r="I121" i="45"/>
  <c r="H121" i="45"/>
  <c r="H125" i="44"/>
  <c r="I125" i="44"/>
  <c r="E126" i="44"/>
  <c r="F126" i="44" s="1"/>
  <c r="B126" i="44"/>
  <c r="J121" i="41"/>
  <c r="G123" i="38"/>
  <c r="D124" i="38"/>
  <c r="B124" i="38" s="1"/>
  <c r="E124" i="38"/>
  <c r="J122" i="38"/>
  <c r="D123" i="41"/>
  <c r="G122" i="41"/>
  <c r="J122" i="42"/>
  <c r="B131" i="11"/>
  <c r="F131" i="11"/>
  <c r="B131" i="9"/>
  <c r="F131" i="9"/>
  <c r="H131" i="10"/>
  <c r="I131" i="10"/>
  <c r="B124" i="29"/>
  <c r="F124" i="29"/>
  <c r="H125" i="24"/>
  <c r="I125" i="24"/>
  <c r="H120" i="37"/>
  <c r="I120" i="37"/>
  <c r="B123" i="30"/>
  <c r="F123" i="30"/>
  <c r="I128" i="4"/>
  <c r="H128" i="4"/>
  <c r="B129" i="3"/>
  <c r="F129" i="3"/>
  <c r="H131" i="7"/>
  <c r="I131" i="7"/>
  <c r="B121" i="39"/>
  <c r="F121" i="39"/>
  <c r="B127" i="23"/>
  <c r="F127" i="23"/>
  <c r="I130" i="9"/>
  <c r="H130" i="9"/>
  <c r="B130" i="6"/>
  <c r="F130" i="6"/>
  <c r="I123" i="29"/>
  <c r="H123" i="29"/>
  <c r="H122" i="30"/>
  <c r="I122" i="30"/>
  <c r="B124" i="31"/>
  <c r="F124" i="31"/>
  <c r="I128" i="3"/>
  <c r="H128" i="3"/>
  <c r="B124" i="28"/>
  <c r="F124" i="28"/>
  <c r="H126" i="23"/>
  <c r="I126" i="23"/>
  <c r="B128" i="22"/>
  <c r="F128" i="22"/>
  <c r="H129" i="6"/>
  <c r="I129" i="6"/>
  <c r="B121" i="43"/>
  <c r="F121" i="43"/>
  <c r="B130" i="8"/>
  <c r="F130" i="8"/>
  <c r="B129" i="5"/>
  <c r="F129" i="5"/>
  <c r="B120" i="40"/>
  <c r="F120" i="40"/>
  <c r="H123" i="31"/>
  <c r="I123" i="31"/>
  <c r="B125" i="27"/>
  <c r="F125" i="27"/>
  <c r="H123" i="28"/>
  <c r="I123" i="28"/>
  <c r="B128" i="25"/>
  <c r="F128" i="25"/>
  <c r="H130" i="11"/>
  <c r="I130" i="11"/>
  <c r="H120" i="39"/>
  <c r="I120" i="39"/>
  <c r="B132" i="10"/>
  <c r="F132" i="10"/>
  <c r="I127" i="22"/>
  <c r="H127" i="22"/>
  <c r="B126" i="24"/>
  <c r="F126" i="24"/>
  <c r="H120" i="43"/>
  <c r="I120" i="43"/>
  <c r="B121" i="37"/>
  <c r="F121" i="37"/>
  <c r="I129" i="8"/>
  <c r="H129" i="8"/>
  <c r="B129" i="4"/>
  <c r="F129" i="4"/>
  <c r="H128" i="5"/>
  <c r="I128" i="5"/>
  <c r="H119" i="40"/>
  <c r="I119" i="40"/>
  <c r="B132" i="7"/>
  <c r="F132" i="7"/>
  <c r="H124" i="27"/>
  <c r="I124" i="27"/>
  <c r="H127" i="25"/>
  <c r="I127" i="25"/>
  <c r="D124" i="42" l="1"/>
  <c r="F125" i="46"/>
  <c r="H124" i="46"/>
  <c r="I124" i="46"/>
  <c r="J124" i="46" s="1"/>
  <c r="J121" i="45"/>
  <c r="G122" i="45"/>
  <c r="D123" i="45"/>
  <c r="B123" i="45" s="1"/>
  <c r="E123" i="45"/>
  <c r="J125" i="44"/>
  <c r="G126" i="44"/>
  <c r="D127" i="44"/>
  <c r="F124" i="38"/>
  <c r="G124" i="38" s="1"/>
  <c r="H122" i="41"/>
  <c r="I122" i="41"/>
  <c r="I123" i="42"/>
  <c r="H123" i="42"/>
  <c r="E123" i="41"/>
  <c r="F123" i="41" s="1"/>
  <c r="B123" i="41"/>
  <c r="E124" i="42"/>
  <c r="F124" i="42" s="1"/>
  <c r="B124" i="42"/>
  <c r="I123" i="38"/>
  <c r="H123" i="38"/>
  <c r="J123" i="29"/>
  <c r="J130" i="9"/>
  <c r="J155" i="9" s="1"/>
  <c r="J128" i="3"/>
  <c r="J128" i="4"/>
  <c r="J129" i="8"/>
  <c r="J127" i="22"/>
  <c r="J127" i="25"/>
  <c r="J129" i="6"/>
  <c r="G132" i="7"/>
  <c r="D133" i="7"/>
  <c r="E133" i="7" s="1"/>
  <c r="J128" i="5"/>
  <c r="J120" i="43"/>
  <c r="J120" i="39"/>
  <c r="G128" i="25"/>
  <c r="D129" i="25"/>
  <c r="E129" i="25"/>
  <c r="G125" i="27"/>
  <c r="D126" i="27"/>
  <c r="E126" i="27" s="1"/>
  <c r="G120" i="40"/>
  <c r="D121" i="40"/>
  <c r="E121" i="40" s="1"/>
  <c r="G130" i="8"/>
  <c r="D131" i="8"/>
  <c r="E131" i="8"/>
  <c r="J126" i="23"/>
  <c r="J122" i="30"/>
  <c r="G130" i="6"/>
  <c r="D131" i="6"/>
  <c r="E131" i="6" s="1"/>
  <c r="G127" i="23"/>
  <c r="D128" i="23"/>
  <c r="E128" i="23" s="1"/>
  <c r="J131" i="7"/>
  <c r="J120" i="37"/>
  <c r="G124" i="29"/>
  <c r="D125" i="29"/>
  <c r="E125" i="29" s="1"/>
  <c r="G131" i="9"/>
  <c r="D132" i="9"/>
  <c r="E132" i="9"/>
  <c r="J124" i="27"/>
  <c r="J119" i="40"/>
  <c r="G129" i="4"/>
  <c r="D130" i="4"/>
  <c r="E130" i="4" s="1"/>
  <c r="G121" i="37"/>
  <c r="D122" i="37"/>
  <c r="E122" i="37"/>
  <c r="G126" i="24"/>
  <c r="D127" i="24"/>
  <c r="E127" i="24"/>
  <c r="G132" i="10"/>
  <c r="D133" i="10"/>
  <c r="E133" i="10" s="1"/>
  <c r="J130" i="11"/>
  <c r="J155" i="11" s="1"/>
  <c r="J123" i="28"/>
  <c r="J123" i="31"/>
  <c r="G129" i="5"/>
  <c r="D130" i="5"/>
  <c r="E130" i="5" s="1"/>
  <c r="G121" i="43"/>
  <c r="D122" i="43"/>
  <c r="E122" i="43" s="1"/>
  <c r="G128" i="22"/>
  <c r="D129" i="22"/>
  <c r="E129" i="22" s="1"/>
  <c r="G124" i="28"/>
  <c r="D125" i="28"/>
  <c r="E125" i="28" s="1"/>
  <c r="G124" i="31"/>
  <c r="D125" i="31"/>
  <c r="E125" i="31"/>
  <c r="G121" i="39"/>
  <c r="D122" i="39"/>
  <c r="E122" i="39"/>
  <c r="G129" i="3"/>
  <c r="D130" i="3"/>
  <c r="E130" i="3" s="1"/>
  <c r="G123" i="30"/>
  <c r="D124" i="30"/>
  <c r="E124" i="30" s="1"/>
  <c r="J125" i="24"/>
  <c r="J131" i="10"/>
  <c r="G131" i="11"/>
  <c r="D132" i="11"/>
  <c r="E132" i="11" s="1"/>
  <c r="G125" i="46" l="1"/>
  <c r="D126" i="46"/>
  <c r="E126" i="46"/>
  <c r="F123" i="45"/>
  <c r="G123" i="45" s="1"/>
  <c r="H122" i="45"/>
  <c r="I122" i="45"/>
  <c r="D125" i="38"/>
  <c r="B125" i="38" s="1"/>
  <c r="J122" i="41"/>
  <c r="H126" i="44"/>
  <c r="I126" i="44"/>
  <c r="E127" i="44"/>
  <c r="F127" i="44" s="1"/>
  <c r="B127" i="44"/>
  <c r="J123" i="42"/>
  <c r="D125" i="42"/>
  <c r="G124" i="42"/>
  <c r="E125" i="38"/>
  <c r="G123" i="41"/>
  <c r="D124" i="41"/>
  <c r="B124" i="41" s="1"/>
  <c r="J123" i="38"/>
  <c r="H124" i="38"/>
  <c r="I124" i="38"/>
  <c r="F130" i="5"/>
  <c r="B130" i="5"/>
  <c r="B122" i="39"/>
  <c r="F122" i="39"/>
  <c r="H124" i="31"/>
  <c r="I124" i="31"/>
  <c r="B122" i="43"/>
  <c r="F122" i="43"/>
  <c r="H129" i="5"/>
  <c r="I129" i="5"/>
  <c r="B127" i="24"/>
  <c r="F127" i="24"/>
  <c r="H121" i="37"/>
  <c r="I121" i="37"/>
  <c r="I131" i="9"/>
  <c r="H131" i="9"/>
  <c r="I127" i="23"/>
  <c r="H127" i="23"/>
  <c r="H130" i="8"/>
  <c r="I130" i="8"/>
  <c r="B129" i="25"/>
  <c r="F129" i="25"/>
  <c r="I131" i="11"/>
  <c r="H131" i="11"/>
  <c r="H123" i="30"/>
  <c r="I123" i="30"/>
  <c r="B132" i="11"/>
  <c r="F132" i="11"/>
  <c r="B130" i="3"/>
  <c r="F130" i="3"/>
  <c r="H121" i="39"/>
  <c r="I121" i="39"/>
  <c r="B129" i="22"/>
  <c r="F129" i="22"/>
  <c r="H121" i="43"/>
  <c r="I121" i="43"/>
  <c r="B133" i="10"/>
  <c r="F133" i="10"/>
  <c r="H126" i="24"/>
  <c r="I126" i="24"/>
  <c r="B126" i="27"/>
  <c r="F126" i="27"/>
  <c r="I128" i="25"/>
  <c r="H128" i="25"/>
  <c r="B124" i="30"/>
  <c r="F124" i="30"/>
  <c r="H129" i="3"/>
  <c r="I129" i="3"/>
  <c r="B125" i="28"/>
  <c r="F125" i="28"/>
  <c r="H128" i="22"/>
  <c r="I128" i="22"/>
  <c r="H132" i="10"/>
  <c r="I132" i="10"/>
  <c r="B130" i="4"/>
  <c r="F130" i="4"/>
  <c r="B125" i="29"/>
  <c r="F125" i="29"/>
  <c r="B131" i="6"/>
  <c r="F131" i="6"/>
  <c r="B121" i="40"/>
  <c r="F121" i="40"/>
  <c r="H125" i="27"/>
  <c r="I125" i="27"/>
  <c r="B133" i="7"/>
  <c r="F133" i="7"/>
  <c r="B125" i="31"/>
  <c r="F125" i="31"/>
  <c r="H124" i="28"/>
  <c r="I124" i="28"/>
  <c r="B122" i="37"/>
  <c r="F122" i="37"/>
  <c r="H129" i="4"/>
  <c r="I129" i="4"/>
  <c r="B132" i="9"/>
  <c r="F132" i="9"/>
  <c r="H124" i="29"/>
  <c r="I124" i="29"/>
  <c r="B128" i="23"/>
  <c r="F128" i="23"/>
  <c r="H130" i="6"/>
  <c r="I130" i="6"/>
  <c r="B131" i="8"/>
  <c r="F131" i="8"/>
  <c r="H120" i="40"/>
  <c r="I120" i="40"/>
  <c r="H132" i="7"/>
  <c r="I132" i="7"/>
  <c r="B126" i="46" l="1"/>
  <c r="F126" i="46"/>
  <c r="I125" i="46"/>
  <c r="H125" i="46"/>
  <c r="E124" i="45"/>
  <c r="D124" i="45"/>
  <c r="B124" i="45" s="1"/>
  <c r="F125" i="38"/>
  <c r="G125" i="38" s="1"/>
  <c r="J122" i="45"/>
  <c r="H123" i="45"/>
  <c r="I123" i="45"/>
  <c r="G127" i="44"/>
  <c r="D128" i="44"/>
  <c r="B128" i="44" s="1"/>
  <c r="E128" i="44"/>
  <c r="J126" i="44"/>
  <c r="J124" i="38"/>
  <c r="E124" i="41"/>
  <c r="F124" i="41" s="1"/>
  <c r="G124" i="41" s="1"/>
  <c r="H123" i="41"/>
  <c r="I123" i="41"/>
  <c r="I124" i="42"/>
  <c r="H124" i="42"/>
  <c r="E125" i="42"/>
  <c r="F125" i="42" s="1"/>
  <c r="B125" i="42"/>
  <c r="J121" i="37"/>
  <c r="J129" i="5"/>
  <c r="J124" i="31"/>
  <c r="J120" i="40"/>
  <c r="J123" i="30"/>
  <c r="J128" i="25"/>
  <c r="J132" i="7"/>
  <c r="G131" i="8"/>
  <c r="D132" i="8"/>
  <c r="E132" i="8"/>
  <c r="G128" i="23"/>
  <c r="D129" i="23"/>
  <c r="E129" i="23" s="1"/>
  <c r="G132" i="9"/>
  <c r="D133" i="9"/>
  <c r="E133" i="9" s="1"/>
  <c r="G122" i="37"/>
  <c r="D123" i="37"/>
  <c r="E123" i="37" s="1"/>
  <c r="G125" i="31"/>
  <c r="D126" i="31"/>
  <c r="E126" i="31"/>
  <c r="J125" i="27"/>
  <c r="G131" i="6"/>
  <c r="D132" i="6"/>
  <c r="E132" i="6"/>
  <c r="G130" i="4"/>
  <c r="D131" i="4"/>
  <c r="E131" i="4" s="1"/>
  <c r="J128" i="22"/>
  <c r="J129" i="3"/>
  <c r="J126" i="24"/>
  <c r="J121" i="43"/>
  <c r="J121" i="39"/>
  <c r="G132" i="11"/>
  <c r="D133" i="11"/>
  <c r="E133" i="11" s="1"/>
  <c r="J130" i="8"/>
  <c r="G127" i="24"/>
  <c r="D128" i="24"/>
  <c r="E128" i="24" s="1"/>
  <c r="G122" i="43"/>
  <c r="D123" i="43"/>
  <c r="E123" i="43"/>
  <c r="G122" i="39"/>
  <c r="D123" i="39"/>
  <c r="E123" i="39" s="1"/>
  <c r="J130" i="6"/>
  <c r="J124" i="29"/>
  <c r="J129" i="4"/>
  <c r="J124" i="28"/>
  <c r="G133" i="7"/>
  <c r="D134" i="7"/>
  <c r="E134" i="7"/>
  <c r="G121" i="40"/>
  <c r="D122" i="40"/>
  <c r="E122" i="40" s="1"/>
  <c r="G125" i="29"/>
  <c r="D126" i="29"/>
  <c r="E126" i="29" s="1"/>
  <c r="J132" i="10"/>
  <c r="G125" i="28"/>
  <c r="D126" i="28"/>
  <c r="E126" i="28" s="1"/>
  <c r="G124" i="30"/>
  <c r="D125" i="30"/>
  <c r="E125" i="30"/>
  <c r="G126" i="27"/>
  <c r="D127" i="27"/>
  <c r="E127" i="27"/>
  <c r="G133" i="10"/>
  <c r="D134" i="10"/>
  <c r="E134" i="10" s="1"/>
  <c r="G129" i="22"/>
  <c r="D130" i="22"/>
  <c r="E130" i="22" s="1"/>
  <c r="G130" i="3"/>
  <c r="D131" i="3"/>
  <c r="E131" i="3" s="1"/>
  <c r="G129" i="25"/>
  <c r="D130" i="25"/>
  <c r="E130" i="25" s="1"/>
  <c r="J127" i="23"/>
  <c r="G130" i="5"/>
  <c r="D131" i="5"/>
  <c r="E131" i="5" s="1"/>
  <c r="J125" i="46" l="1"/>
  <c r="G126" i="46"/>
  <c r="D127" i="46"/>
  <c r="E127" i="46"/>
  <c r="D126" i="38"/>
  <c r="F124" i="45"/>
  <c r="J123" i="45"/>
  <c r="F128" i="44"/>
  <c r="G128" i="44" s="1"/>
  <c r="I127" i="44"/>
  <c r="H127" i="44"/>
  <c r="D125" i="41"/>
  <c r="B125" i="41" s="1"/>
  <c r="J123" i="41"/>
  <c r="J124" i="42"/>
  <c r="H124" i="41"/>
  <c r="I124" i="41"/>
  <c r="G125" i="42"/>
  <c r="D126" i="42"/>
  <c r="I125" i="38"/>
  <c r="H125" i="38"/>
  <c r="E126" i="38"/>
  <c r="B126" i="38"/>
  <c r="B131" i="5"/>
  <c r="F131" i="5"/>
  <c r="H130" i="3"/>
  <c r="I130" i="3"/>
  <c r="H130" i="5"/>
  <c r="I130" i="5"/>
  <c r="B131" i="3"/>
  <c r="F131" i="3"/>
  <c r="I129" i="22"/>
  <c r="H129" i="22"/>
  <c r="B125" i="30"/>
  <c r="F125" i="30"/>
  <c r="H125" i="28"/>
  <c r="I125" i="28"/>
  <c r="H125" i="29"/>
  <c r="I125" i="29"/>
  <c r="B123" i="39"/>
  <c r="F123" i="39"/>
  <c r="H122" i="43"/>
  <c r="I122" i="43"/>
  <c r="B123" i="37"/>
  <c r="F123" i="37"/>
  <c r="H132" i="9"/>
  <c r="I132" i="9"/>
  <c r="B130" i="25"/>
  <c r="F130" i="25"/>
  <c r="B127" i="27"/>
  <c r="F127" i="27"/>
  <c r="H124" i="30"/>
  <c r="I124" i="30"/>
  <c r="B134" i="7"/>
  <c r="F134" i="7"/>
  <c r="H122" i="39"/>
  <c r="I122" i="39"/>
  <c r="B132" i="6"/>
  <c r="F132" i="6"/>
  <c r="B126" i="31"/>
  <c r="F126" i="31"/>
  <c r="I122" i="37"/>
  <c r="H122" i="37"/>
  <c r="B132" i="8"/>
  <c r="F132" i="8"/>
  <c r="B134" i="10"/>
  <c r="F134" i="10"/>
  <c r="I126" i="27"/>
  <c r="H126" i="27"/>
  <c r="B122" i="40"/>
  <c r="F122" i="40"/>
  <c r="H133" i="7"/>
  <c r="I133" i="7"/>
  <c r="B128" i="24"/>
  <c r="F128" i="24"/>
  <c r="B133" i="11"/>
  <c r="F133" i="11"/>
  <c r="B131" i="4"/>
  <c r="F131" i="4"/>
  <c r="H131" i="6"/>
  <c r="I131" i="6"/>
  <c r="I125" i="31"/>
  <c r="H125" i="31"/>
  <c r="B129" i="23"/>
  <c r="F129" i="23"/>
  <c r="H131" i="8"/>
  <c r="I131" i="8"/>
  <c r="H129" i="25"/>
  <c r="I129" i="25"/>
  <c r="B130" i="22"/>
  <c r="F130" i="22"/>
  <c r="H133" i="10"/>
  <c r="I133" i="10"/>
  <c r="B126" i="28"/>
  <c r="F126" i="28"/>
  <c r="B126" i="29"/>
  <c r="F126" i="29"/>
  <c r="H121" i="40"/>
  <c r="I121" i="40"/>
  <c r="B123" i="43"/>
  <c r="F123" i="43"/>
  <c r="I127" i="24"/>
  <c r="H127" i="24"/>
  <c r="I132" i="11"/>
  <c r="H132" i="11"/>
  <c r="H130" i="4"/>
  <c r="I130" i="4"/>
  <c r="B133" i="9"/>
  <c r="F133" i="9"/>
  <c r="H128" i="23"/>
  <c r="I128" i="23"/>
  <c r="F127" i="46" l="1"/>
  <c r="B127" i="46"/>
  <c r="I126" i="46"/>
  <c r="H126" i="46"/>
  <c r="F126" i="38"/>
  <c r="D127" i="38" s="1"/>
  <c r="D129" i="44"/>
  <c r="B129" i="44" s="1"/>
  <c r="E125" i="45"/>
  <c r="G124" i="45"/>
  <c r="D125" i="45"/>
  <c r="E125" i="41"/>
  <c r="F125" i="41" s="1"/>
  <c r="D126" i="41" s="1"/>
  <c r="J124" i="41"/>
  <c r="J127" i="44"/>
  <c r="E129" i="44"/>
  <c r="H128" i="44"/>
  <c r="I128" i="44"/>
  <c r="E126" i="42"/>
  <c r="F126" i="42" s="1"/>
  <c r="B126" i="42"/>
  <c r="I125" i="42"/>
  <c r="H125" i="42"/>
  <c r="J125" i="38"/>
  <c r="J130" i="3"/>
  <c r="J129" i="22"/>
  <c r="J122" i="37"/>
  <c r="J125" i="31"/>
  <c r="J127" i="24"/>
  <c r="J126" i="27"/>
  <c r="J133" i="10"/>
  <c r="J122" i="39"/>
  <c r="J124" i="30"/>
  <c r="J128" i="23"/>
  <c r="J130" i="4"/>
  <c r="J121" i="40"/>
  <c r="G126" i="28"/>
  <c r="D127" i="28"/>
  <c r="E127" i="28" s="1"/>
  <c r="G130" i="22"/>
  <c r="D131" i="22"/>
  <c r="E131" i="22"/>
  <c r="J131" i="8"/>
  <c r="G131" i="4"/>
  <c r="D132" i="4"/>
  <c r="E132" i="4"/>
  <c r="G128" i="24"/>
  <c r="D129" i="24"/>
  <c r="E129" i="24"/>
  <c r="G122" i="40"/>
  <c r="D123" i="40"/>
  <c r="E123" i="40" s="1"/>
  <c r="G134" i="10"/>
  <c r="D135" i="10"/>
  <c r="E135" i="10" s="1"/>
  <c r="G132" i="6"/>
  <c r="D133" i="6"/>
  <c r="E133" i="6" s="1"/>
  <c r="G134" i="7"/>
  <c r="D135" i="7"/>
  <c r="E135" i="7"/>
  <c r="G127" i="27"/>
  <c r="D128" i="27"/>
  <c r="E128" i="27" s="1"/>
  <c r="J122" i="43"/>
  <c r="J125" i="29"/>
  <c r="G125" i="30"/>
  <c r="D126" i="30"/>
  <c r="E126" i="30"/>
  <c r="G131" i="3"/>
  <c r="D132" i="3"/>
  <c r="E132" i="3" s="1"/>
  <c r="G133" i="9"/>
  <c r="D134" i="9"/>
  <c r="E134" i="9" s="1"/>
  <c r="G123" i="43"/>
  <c r="D124" i="43"/>
  <c r="E124" i="43" s="1"/>
  <c r="G126" i="29"/>
  <c r="D127" i="29"/>
  <c r="E127" i="29"/>
  <c r="J129" i="25"/>
  <c r="G129" i="23"/>
  <c r="D130" i="23"/>
  <c r="E130" i="23"/>
  <c r="J131" i="6"/>
  <c r="G133" i="11"/>
  <c r="D134" i="11"/>
  <c r="E134" i="11"/>
  <c r="J133" i="7"/>
  <c r="G132" i="8"/>
  <c r="D133" i="8"/>
  <c r="E133" i="8"/>
  <c r="G126" i="31"/>
  <c r="D127" i="31"/>
  <c r="E127" i="31" s="1"/>
  <c r="G130" i="25"/>
  <c r="D131" i="25"/>
  <c r="E131" i="25" s="1"/>
  <c r="G123" i="37"/>
  <c r="D124" i="37"/>
  <c r="E124" i="37" s="1"/>
  <c r="G123" i="39"/>
  <c r="D124" i="39"/>
  <c r="E124" i="39" s="1"/>
  <c r="J125" i="28"/>
  <c r="J130" i="5"/>
  <c r="G131" i="5"/>
  <c r="D132" i="5"/>
  <c r="E132" i="5" s="1"/>
  <c r="J126" i="46" l="1"/>
  <c r="D128" i="46"/>
  <c r="G127" i="46"/>
  <c r="E128" i="46"/>
  <c r="G126" i="38"/>
  <c r="F129" i="44"/>
  <c r="D130" i="44" s="1"/>
  <c r="H124" i="45"/>
  <c r="I124" i="45"/>
  <c r="B125" i="45"/>
  <c r="F125" i="45"/>
  <c r="G125" i="41"/>
  <c r="H125" i="41" s="1"/>
  <c r="J128" i="44"/>
  <c r="D127" i="42"/>
  <c r="B127" i="42" s="1"/>
  <c r="G126" i="42"/>
  <c r="E126" i="41"/>
  <c r="F126" i="41" s="1"/>
  <c r="B126" i="41"/>
  <c r="J125" i="42"/>
  <c r="I126" i="38"/>
  <c r="H126" i="38"/>
  <c r="E127" i="38"/>
  <c r="F127" i="38" s="1"/>
  <c r="B127" i="38"/>
  <c r="B132" i="5"/>
  <c r="F132" i="5"/>
  <c r="B124" i="37"/>
  <c r="F124" i="37"/>
  <c r="H130" i="25"/>
  <c r="I130" i="25"/>
  <c r="B124" i="43"/>
  <c r="F124" i="43"/>
  <c r="H133" i="9"/>
  <c r="I133" i="9"/>
  <c r="B133" i="6"/>
  <c r="F133" i="6"/>
  <c r="H134" i="10"/>
  <c r="I134" i="10"/>
  <c r="B132" i="4"/>
  <c r="F132" i="4"/>
  <c r="B131" i="22"/>
  <c r="F131" i="22"/>
  <c r="H126" i="28"/>
  <c r="I126" i="28"/>
  <c r="H131" i="5"/>
  <c r="I131" i="5"/>
  <c r="B133" i="8"/>
  <c r="F133" i="8"/>
  <c r="B134" i="11"/>
  <c r="F134" i="11"/>
  <c r="B130" i="23"/>
  <c r="F130" i="23"/>
  <c r="B127" i="29"/>
  <c r="F127" i="29"/>
  <c r="I123" i="43"/>
  <c r="H123" i="43"/>
  <c r="B126" i="30"/>
  <c r="F126" i="30"/>
  <c r="B135" i="7"/>
  <c r="F135" i="7"/>
  <c r="H132" i="6"/>
  <c r="I132" i="6"/>
  <c r="B129" i="24"/>
  <c r="F129" i="24"/>
  <c r="H131" i="4"/>
  <c r="I131" i="4"/>
  <c r="H130" i="22"/>
  <c r="I130" i="22"/>
  <c r="B124" i="39"/>
  <c r="F124" i="39"/>
  <c r="H123" i="39"/>
  <c r="I123" i="39"/>
  <c r="B127" i="31"/>
  <c r="F127" i="31"/>
  <c r="H132" i="8"/>
  <c r="I132" i="8"/>
  <c r="H133" i="11"/>
  <c r="I133" i="11"/>
  <c r="H129" i="23"/>
  <c r="I129" i="23"/>
  <c r="H126" i="29"/>
  <c r="I126" i="29"/>
  <c r="B132" i="3"/>
  <c r="F132" i="3"/>
  <c r="I125" i="30"/>
  <c r="H125" i="30"/>
  <c r="B128" i="27"/>
  <c r="F128" i="27"/>
  <c r="H134" i="7"/>
  <c r="I134" i="7"/>
  <c r="B123" i="40"/>
  <c r="F123" i="40"/>
  <c r="I128" i="24"/>
  <c r="H128" i="24"/>
  <c r="H123" i="37"/>
  <c r="I123" i="37"/>
  <c r="B131" i="25"/>
  <c r="F131" i="25"/>
  <c r="I126" i="31"/>
  <c r="H126" i="31"/>
  <c r="B134" i="9"/>
  <c r="F134" i="9"/>
  <c r="H131" i="3"/>
  <c r="I131" i="3"/>
  <c r="H127" i="27"/>
  <c r="I127" i="27"/>
  <c r="B135" i="10"/>
  <c r="F135" i="10"/>
  <c r="H122" i="40"/>
  <c r="I122" i="40"/>
  <c r="B127" i="28"/>
  <c r="F127" i="28"/>
  <c r="J124" i="45" l="1"/>
  <c r="I127" i="46"/>
  <c r="H127" i="46"/>
  <c r="B128" i="46"/>
  <c r="F128" i="46"/>
  <c r="G129" i="44"/>
  <c r="G125" i="45"/>
  <c r="D126" i="45"/>
  <c r="E126" i="45"/>
  <c r="I125" i="41"/>
  <c r="I129" i="44"/>
  <c r="H129" i="44"/>
  <c r="E130" i="44"/>
  <c r="F130" i="44" s="1"/>
  <c r="B130" i="44"/>
  <c r="J126" i="38"/>
  <c r="E127" i="42"/>
  <c r="F127" i="42" s="1"/>
  <c r="D128" i="42" s="1"/>
  <c r="B128" i="42" s="1"/>
  <c r="G126" i="41"/>
  <c r="D127" i="41"/>
  <c r="B127" i="41" s="1"/>
  <c r="G127" i="38"/>
  <c r="D128" i="38"/>
  <c r="B128" i="38" s="1"/>
  <c r="E128" i="38"/>
  <c r="J125" i="41"/>
  <c r="I126" i="42"/>
  <c r="H126" i="42"/>
  <c r="J125" i="30"/>
  <c r="J126" i="31"/>
  <c r="J123" i="43"/>
  <c r="J122" i="40"/>
  <c r="J131" i="4"/>
  <c r="J127" i="27"/>
  <c r="J134" i="7"/>
  <c r="J128" i="24"/>
  <c r="G127" i="28"/>
  <c r="D128" i="28"/>
  <c r="E128" i="28" s="1"/>
  <c r="G135" i="10"/>
  <c r="D136" i="10"/>
  <c r="E136" i="10"/>
  <c r="J131" i="3"/>
  <c r="J123" i="37"/>
  <c r="G123" i="40"/>
  <c r="D124" i="40"/>
  <c r="E124" i="40" s="1"/>
  <c r="G128" i="27"/>
  <c r="D129" i="27"/>
  <c r="E129" i="27" s="1"/>
  <c r="G132" i="3"/>
  <c r="D133" i="3"/>
  <c r="E133" i="3"/>
  <c r="J129" i="23"/>
  <c r="J132" i="8"/>
  <c r="J123" i="39"/>
  <c r="J130" i="22"/>
  <c r="J155" i="22" s="1"/>
  <c r="G129" i="24"/>
  <c r="D130" i="24"/>
  <c r="E130" i="24"/>
  <c r="G135" i="7"/>
  <c r="D136" i="7"/>
  <c r="E136" i="7" s="1"/>
  <c r="G130" i="23"/>
  <c r="D131" i="23"/>
  <c r="E131" i="23"/>
  <c r="G133" i="8"/>
  <c r="D134" i="8"/>
  <c r="E134" i="8"/>
  <c r="J126" i="28"/>
  <c r="G132" i="4"/>
  <c r="D133" i="4"/>
  <c r="E133" i="4"/>
  <c r="G133" i="6"/>
  <c r="D134" i="6"/>
  <c r="E134" i="6"/>
  <c r="G124" i="43"/>
  <c r="D125" i="43"/>
  <c r="E125" i="43" s="1"/>
  <c r="G124" i="37"/>
  <c r="D125" i="37"/>
  <c r="E125" i="37"/>
  <c r="G134" i="9"/>
  <c r="D135" i="9"/>
  <c r="E135" i="9"/>
  <c r="D132" i="25"/>
  <c r="E132" i="25" s="1"/>
  <c r="G131" i="25"/>
  <c r="J126" i="29"/>
  <c r="G127" i="31"/>
  <c r="D128" i="31"/>
  <c r="E128" i="31"/>
  <c r="G124" i="39"/>
  <c r="D125" i="39"/>
  <c r="E125" i="39" s="1"/>
  <c r="J132" i="6"/>
  <c r="G126" i="30"/>
  <c r="D127" i="30"/>
  <c r="E127" i="30" s="1"/>
  <c r="G127" i="29"/>
  <c r="D128" i="29"/>
  <c r="E128" i="29"/>
  <c r="G134" i="11"/>
  <c r="D135" i="11"/>
  <c r="E135" i="11"/>
  <c r="J131" i="5"/>
  <c r="G131" i="22"/>
  <c r="D132" i="22"/>
  <c r="E132" i="22"/>
  <c r="J134" i="10"/>
  <c r="J130" i="25"/>
  <c r="G132" i="5"/>
  <c r="D133" i="5"/>
  <c r="E133" i="5"/>
  <c r="J127" i="46" l="1"/>
  <c r="D129" i="46"/>
  <c r="B129" i="46" s="1"/>
  <c r="G128" i="46"/>
  <c r="E129" i="46"/>
  <c r="F129" i="46" s="1"/>
  <c r="I125" i="45"/>
  <c r="H125" i="45"/>
  <c r="F126" i="45"/>
  <c r="B126" i="45"/>
  <c r="G130" i="44"/>
  <c r="D131" i="44"/>
  <c r="B131" i="44" s="1"/>
  <c r="J129" i="44"/>
  <c r="G127" i="42"/>
  <c r="I127" i="42" s="1"/>
  <c r="F128" i="38"/>
  <c r="G128" i="38" s="1"/>
  <c r="E128" i="42"/>
  <c r="F128" i="42" s="1"/>
  <c r="E127" i="41"/>
  <c r="F127" i="41" s="1"/>
  <c r="G127" i="41" s="1"/>
  <c r="I127" i="38"/>
  <c r="H127" i="38"/>
  <c r="J126" i="42"/>
  <c r="I126" i="41"/>
  <c r="H126" i="41"/>
  <c r="I132" i="5"/>
  <c r="H132" i="5"/>
  <c r="B135" i="11"/>
  <c r="F135" i="11"/>
  <c r="H127" i="29"/>
  <c r="I127" i="29"/>
  <c r="B135" i="9"/>
  <c r="F135" i="9"/>
  <c r="H124" i="37"/>
  <c r="I124" i="37"/>
  <c r="B133" i="4"/>
  <c r="F133" i="4"/>
  <c r="B134" i="8"/>
  <c r="F134" i="8"/>
  <c r="H130" i="23"/>
  <c r="I130" i="23"/>
  <c r="B133" i="3"/>
  <c r="F133" i="3"/>
  <c r="H128" i="27"/>
  <c r="I128" i="27"/>
  <c r="H135" i="10"/>
  <c r="I135" i="10"/>
  <c r="B133" i="5"/>
  <c r="F133" i="5"/>
  <c r="B132" i="22"/>
  <c r="F132" i="22"/>
  <c r="I131" i="22"/>
  <c r="H131" i="22"/>
  <c r="I134" i="11"/>
  <c r="H134" i="11"/>
  <c r="B128" i="31"/>
  <c r="F128" i="31"/>
  <c r="H131" i="25"/>
  <c r="I131" i="25"/>
  <c r="I134" i="9"/>
  <c r="H134" i="9"/>
  <c r="B134" i="6"/>
  <c r="F134" i="6"/>
  <c r="I132" i="4"/>
  <c r="H132" i="4"/>
  <c r="I133" i="8"/>
  <c r="H133" i="8"/>
  <c r="B130" i="24"/>
  <c r="F130" i="24"/>
  <c r="I132" i="3"/>
  <c r="H132" i="3"/>
  <c r="B127" i="30"/>
  <c r="F127" i="30"/>
  <c r="B125" i="39"/>
  <c r="F125" i="39"/>
  <c r="H127" i="31"/>
  <c r="I127" i="31"/>
  <c r="B132" i="25"/>
  <c r="F132" i="25"/>
  <c r="B125" i="43"/>
  <c r="F125" i="43"/>
  <c r="H133" i="6"/>
  <c r="I133" i="6"/>
  <c r="B136" i="7"/>
  <c r="F136" i="7"/>
  <c r="H129" i="24"/>
  <c r="I129" i="24"/>
  <c r="B124" i="40"/>
  <c r="F124" i="40"/>
  <c r="B128" i="28"/>
  <c r="F128" i="28"/>
  <c r="B128" i="29"/>
  <c r="F128" i="29"/>
  <c r="H126" i="30"/>
  <c r="I126" i="30"/>
  <c r="I124" i="39"/>
  <c r="H124" i="39"/>
  <c r="B125" i="37"/>
  <c r="F125" i="37"/>
  <c r="I124" i="43"/>
  <c r="H124" i="43"/>
  <c r="B131" i="23"/>
  <c r="F131" i="23"/>
  <c r="H135" i="7"/>
  <c r="I135" i="7"/>
  <c r="B129" i="27"/>
  <c r="F129" i="27"/>
  <c r="H123" i="40"/>
  <c r="I123" i="40"/>
  <c r="B136" i="10"/>
  <c r="F136" i="10"/>
  <c r="H127" i="28"/>
  <c r="I127" i="28"/>
  <c r="G129" i="46" l="1"/>
  <c r="D130" i="46"/>
  <c r="B130" i="46" s="1"/>
  <c r="E130" i="46"/>
  <c r="F130" i="46" s="1"/>
  <c r="I128" i="46"/>
  <c r="J128" i="46" s="1"/>
  <c r="H128" i="46"/>
  <c r="J125" i="45"/>
  <c r="D127" i="45"/>
  <c r="B127" i="45" s="1"/>
  <c r="G126" i="45"/>
  <c r="E127" i="45"/>
  <c r="E131" i="44"/>
  <c r="F131" i="44" s="1"/>
  <c r="H127" i="42"/>
  <c r="J127" i="42" s="1"/>
  <c r="D129" i="38"/>
  <c r="B129" i="38" s="1"/>
  <c r="I130" i="44"/>
  <c r="H130" i="44"/>
  <c r="D129" i="42"/>
  <c r="B129" i="42" s="1"/>
  <c r="G128" i="42"/>
  <c r="I128" i="42" s="1"/>
  <c r="D128" i="41"/>
  <c r="B128" i="41" s="1"/>
  <c r="E129" i="42"/>
  <c r="H127" i="41"/>
  <c r="I127" i="41"/>
  <c r="J126" i="41"/>
  <c r="H128" i="38"/>
  <c r="I128" i="38"/>
  <c r="J127" i="38"/>
  <c r="J124" i="39"/>
  <c r="J132" i="4"/>
  <c r="J124" i="43"/>
  <c r="J132" i="3"/>
  <c r="J124" i="37"/>
  <c r="J127" i="29"/>
  <c r="J133" i="8"/>
  <c r="J127" i="28"/>
  <c r="J123" i="40"/>
  <c r="J135" i="7"/>
  <c r="G128" i="29"/>
  <c r="D129" i="29"/>
  <c r="E129" i="29" s="1"/>
  <c r="G124" i="40"/>
  <c r="D125" i="40"/>
  <c r="E125" i="40" s="1"/>
  <c r="G136" i="7"/>
  <c r="D137" i="7"/>
  <c r="E137" i="7" s="1"/>
  <c r="G125" i="43"/>
  <c r="D126" i="43"/>
  <c r="E126" i="43"/>
  <c r="J127" i="31"/>
  <c r="G127" i="30"/>
  <c r="D128" i="30"/>
  <c r="E128" i="30"/>
  <c r="G130" i="24"/>
  <c r="D131" i="24"/>
  <c r="E131" i="24" s="1"/>
  <c r="G128" i="31"/>
  <c r="D129" i="31"/>
  <c r="E129" i="31"/>
  <c r="G133" i="5"/>
  <c r="D134" i="5"/>
  <c r="E134" i="5" s="1"/>
  <c r="J128" i="27"/>
  <c r="J130" i="23"/>
  <c r="J155" i="23" s="1"/>
  <c r="G133" i="4"/>
  <c r="D134" i="4"/>
  <c r="E134" i="4"/>
  <c r="G135" i="9"/>
  <c r="D136" i="9"/>
  <c r="E136" i="9" s="1"/>
  <c r="D136" i="11"/>
  <c r="G135" i="11"/>
  <c r="E136" i="11"/>
  <c r="G136" i="10"/>
  <c r="D137" i="10"/>
  <c r="E137" i="10"/>
  <c r="G129" i="27"/>
  <c r="D130" i="27"/>
  <c r="E130" i="27" s="1"/>
  <c r="G131" i="23"/>
  <c r="D132" i="23"/>
  <c r="E132" i="23" s="1"/>
  <c r="G125" i="37"/>
  <c r="D126" i="37"/>
  <c r="E126" i="37" s="1"/>
  <c r="J126" i="30"/>
  <c r="G128" i="28"/>
  <c r="D129" i="28"/>
  <c r="E129" i="28" s="1"/>
  <c r="J129" i="24"/>
  <c r="J133" i="6"/>
  <c r="G132" i="25"/>
  <c r="D133" i="25"/>
  <c r="E133" i="25" s="1"/>
  <c r="G125" i="39"/>
  <c r="D126" i="39"/>
  <c r="E126" i="39" s="1"/>
  <c r="G134" i="6"/>
  <c r="D135" i="6"/>
  <c r="E135" i="6"/>
  <c r="J131" i="25"/>
  <c r="G132" i="22"/>
  <c r="D133" i="22"/>
  <c r="E133" i="22"/>
  <c r="J135" i="10"/>
  <c r="G133" i="3"/>
  <c r="D134" i="3"/>
  <c r="E134" i="3"/>
  <c r="G134" i="8"/>
  <c r="D135" i="8"/>
  <c r="E135" i="8"/>
  <c r="J132" i="5"/>
  <c r="E131" i="46" l="1"/>
  <c r="D131" i="46"/>
  <c r="G130" i="46"/>
  <c r="H129" i="46"/>
  <c r="I129" i="46"/>
  <c r="F127" i="45"/>
  <c r="D128" i="45" s="1"/>
  <c r="H126" i="45"/>
  <c r="I126" i="45"/>
  <c r="D132" i="44"/>
  <c r="B132" i="44" s="1"/>
  <c r="G131" i="44"/>
  <c r="I131" i="44" s="1"/>
  <c r="H128" i="42"/>
  <c r="J128" i="42" s="1"/>
  <c r="E129" i="38"/>
  <c r="F129" i="38" s="1"/>
  <c r="G129" i="38" s="1"/>
  <c r="E128" i="41"/>
  <c r="F128" i="41" s="1"/>
  <c r="G128" i="41" s="1"/>
  <c r="I128" i="41" s="1"/>
  <c r="F129" i="42"/>
  <c r="G129" i="42" s="1"/>
  <c r="J130" i="44"/>
  <c r="J155" i="44" s="1"/>
  <c r="E132" i="44"/>
  <c r="J128" i="38"/>
  <c r="J127" i="41"/>
  <c r="B135" i="8"/>
  <c r="F135" i="8"/>
  <c r="H133" i="3"/>
  <c r="I133" i="3"/>
  <c r="I132" i="22"/>
  <c r="H132" i="22"/>
  <c r="H134" i="6"/>
  <c r="I134" i="6"/>
  <c r="B130" i="27"/>
  <c r="F130" i="27"/>
  <c r="H136" i="10"/>
  <c r="I136" i="10"/>
  <c r="B134" i="4"/>
  <c r="F134" i="4"/>
  <c r="B129" i="31"/>
  <c r="F129" i="31"/>
  <c r="H130" i="24"/>
  <c r="I130" i="24"/>
  <c r="B125" i="40"/>
  <c r="F125" i="40"/>
  <c r="I128" i="29"/>
  <c r="H128" i="29"/>
  <c r="H134" i="8"/>
  <c r="I134" i="8"/>
  <c r="B133" i="25"/>
  <c r="F133" i="25"/>
  <c r="B132" i="23"/>
  <c r="F132" i="23"/>
  <c r="H129" i="27"/>
  <c r="I129" i="27"/>
  <c r="B136" i="9"/>
  <c r="F136" i="9"/>
  <c r="H133" i="4"/>
  <c r="I133" i="4"/>
  <c r="B134" i="5"/>
  <c r="F134" i="5"/>
  <c r="H128" i="31"/>
  <c r="I128" i="31"/>
  <c r="B137" i="7"/>
  <c r="F137" i="7"/>
  <c r="H124" i="40"/>
  <c r="I124" i="40"/>
  <c r="B126" i="39"/>
  <c r="F126" i="39"/>
  <c r="H132" i="25"/>
  <c r="I132" i="25"/>
  <c r="B129" i="28"/>
  <c r="F129" i="28"/>
  <c r="B126" i="37"/>
  <c r="F126" i="37"/>
  <c r="I131" i="23"/>
  <c r="H131" i="23"/>
  <c r="I135" i="11"/>
  <c r="H135" i="11"/>
  <c r="I135" i="9"/>
  <c r="H135" i="9"/>
  <c r="H133" i="5"/>
  <c r="I133" i="5"/>
  <c r="B128" i="30"/>
  <c r="F128" i="30"/>
  <c r="B126" i="43"/>
  <c r="F126" i="43"/>
  <c r="H136" i="7"/>
  <c r="I136" i="7"/>
  <c r="B134" i="3"/>
  <c r="F134" i="3"/>
  <c r="B133" i="22"/>
  <c r="F133" i="22"/>
  <c r="B135" i="6"/>
  <c r="F135" i="6"/>
  <c r="H125" i="39"/>
  <c r="I125" i="39"/>
  <c r="H128" i="28"/>
  <c r="I128" i="28"/>
  <c r="H125" i="37"/>
  <c r="I125" i="37"/>
  <c r="B137" i="10"/>
  <c r="F137" i="10"/>
  <c r="B136" i="11"/>
  <c r="F136" i="11"/>
  <c r="B131" i="24"/>
  <c r="F131" i="24"/>
  <c r="H127" i="30"/>
  <c r="I127" i="30"/>
  <c r="I125" i="43"/>
  <c r="H125" i="43"/>
  <c r="B129" i="29"/>
  <c r="F129" i="29"/>
  <c r="E128" i="45" l="1"/>
  <c r="J126" i="45"/>
  <c r="G127" i="45"/>
  <c r="I127" i="45" s="1"/>
  <c r="H130" i="46"/>
  <c r="I130" i="46"/>
  <c r="B131" i="46"/>
  <c r="F131" i="46"/>
  <c r="J129" i="46"/>
  <c r="H131" i="44"/>
  <c r="H127" i="45"/>
  <c r="B128" i="45"/>
  <c r="F128" i="45"/>
  <c r="F132" i="44"/>
  <c r="G132" i="44" s="1"/>
  <c r="D130" i="38"/>
  <c r="B130" i="38" s="1"/>
  <c r="D130" i="42"/>
  <c r="B130" i="42" s="1"/>
  <c r="D129" i="41"/>
  <c r="B129" i="41" s="1"/>
  <c r="H128" i="41"/>
  <c r="J128" i="41" s="1"/>
  <c r="E129" i="41"/>
  <c r="H129" i="38"/>
  <c r="I129" i="38"/>
  <c r="E130" i="42"/>
  <c r="I129" i="42"/>
  <c r="H129" i="42"/>
  <c r="E130" i="38"/>
  <c r="J136" i="10"/>
  <c r="J134" i="6"/>
  <c r="J133" i="3"/>
  <c r="J128" i="28"/>
  <c r="J133" i="5"/>
  <c r="J132" i="25"/>
  <c r="J155" i="25" s="1"/>
  <c r="J124" i="40"/>
  <c r="J128" i="31"/>
  <c r="J133" i="4"/>
  <c r="J129" i="27"/>
  <c r="J130" i="24"/>
  <c r="J155" i="24" s="1"/>
  <c r="G131" i="24"/>
  <c r="D132" i="24"/>
  <c r="E132" i="24"/>
  <c r="D135" i="3"/>
  <c r="E135" i="3" s="1"/>
  <c r="G134" i="3"/>
  <c r="G126" i="37"/>
  <c r="D127" i="37"/>
  <c r="E127" i="37"/>
  <c r="G129" i="29"/>
  <c r="D130" i="29"/>
  <c r="E130" i="29"/>
  <c r="J127" i="30"/>
  <c r="G136" i="11"/>
  <c r="D137" i="11"/>
  <c r="E137" i="11"/>
  <c r="J125" i="37"/>
  <c r="J125" i="39"/>
  <c r="G133" i="22"/>
  <c r="D134" i="22"/>
  <c r="E134" i="22"/>
  <c r="J136" i="7"/>
  <c r="G128" i="30"/>
  <c r="D129" i="30"/>
  <c r="E129" i="30"/>
  <c r="G129" i="28"/>
  <c r="D130" i="28"/>
  <c r="E130" i="28"/>
  <c r="G126" i="39"/>
  <c r="D127" i="39"/>
  <c r="E127" i="39" s="1"/>
  <c r="G137" i="7"/>
  <c r="D138" i="7"/>
  <c r="E138" i="7" s="1"/>
  <c r="G134" i="5"/>
  <c r="D135" i="5"/>
  <c r="E135" i="5" s="1"/>
  <c r="G136" i="9"/>
  <c r="D137" i="9"/>
  <c r="E137" i="9"/>
  <c r="G132" i="23"/>
  <c r="D133" i="23"/>
  <c r="E133" i="23"/>
  <c r="J134" i="8"/>
  <c r="G125" i="40"/>
  <c r="D126" i="40"/>
  <c r="E126" i="40"/>
  <c r="G129" i="31"/>
  <c r="D130" i="31"/>
  <c r="E130" i="31" s="1"/>
  <c r="G137" i="10"/>
  <c r="D138" i="10"/>
  <c r="E138" i="10"/>
  <c r="G135" i="6"/>
  <c r="D136" i="6"/>
  <c r="E136" i="6"/>
  <c r="G126" i="43"/>
  <c r="D127" i="43"/>
  <c r="E127" i="43"/>
  <c r="G134" i="4"/>
  <c r="D135" i="4"/>
  <c r="E135" i="4" s="1"/>
  <c r="G130" i="27"/>
  <c r="D131" i="27"/>
  <c r="E131" i="27"/>
  <c r="G135" i="8"/>
  <c r="D136" i="8"/>
  <c r="E136" i="8"/>
  <c r="G133" i="25"/>
  <c r="D134" i="25"/>
  <c r="E134" i="25" s="1"/>
  <c r="J125" i="43"/>
  <c r="J128" i="29"/>
  <c r="J130" i="46" l="1"/>
  <c r="J155" i="46" s="1"/>
  <c r="G131" i="46"/>
  <c r="E132" i="46"/>
  <c r="D132" i="46"/>
  <c r="D133" i="44"/>
  <c r="B133" i="44" s="1"/>
  <c r="F130" i="38"/>
  <c r="G130" i="38" s="1"/>
  <c r="E133" i="44"/>
  <c r="D129" i="45"/>
  <c r="E129" i="45"/>
  <c r="G128" i="45"/>
  <c r="J127" i="45"/>
  <c r="F130" i="42"/>
  <c r="D131" i="42" s="1"/>
  <c r="B131" i="42" s="1"/>
  <c r="F129" i="41"/>
  <c r="D130" i="41" s="1"/>
  <c r="B130" i="41" s="1"/>
  <c r="J129" i="38"/>
  <c r="I132" i="44"/>
  <c r="H132" i="44"/>
  <c r="J129" i="42"/>
  <c r="D131" i="38"/>
  <c r="B131" i="38" s="1"/>
  <c r="I134" i="4"/>
  <c r="H134" i="4"/>
  <c r="B138" i="10"/>
  <c r="F138" i="10"/>
  <c r="I129" i="31"/>
  <c r="H129" i="31"/>
  <c r="B135" i="5"/>
  <c r="F135" i="5"/>
  <c r="H137" i="7"/>
  <c r="I137" i="7"/>
  <c r="B129" i="30"/>
  <c r="F129" i="30"/>
  <c r="B134" i="22"/>
  <c r="F134" i="22"/>
  <c r="B127" i="37"/>
  <c r="F127" i="37"/>
  <c r="B135" i="3"/>
  <c r="F135" i="3"/>
  <c r="B136" i="8"/>
  <c r="F136" i="8"/>
  <c r="H130" i="27"/>
  <c r="I130" i="27"/>
  <c r="B136" i="6"/>
  <c r="F136" i="6"/>
  <c r="I137" i="10"/>
  <c r="H137" i="10"/>
  <c r="B137" i="9"/>
  <c r="F137" i="9"/>
  <c r="H134" i="5"/>
  <c r="I134" i="5"/>
  <c r="B130" i="28"/>
  <c r="F130" i="28"/>
  <c r="H128" i="30"/>
  <c r="I128" i="30"/>
  <c r="H133" i="22"/>
  <c r="I133" i="22"/>
  <c r="B137" i="11"/>
  <c r="F137" i="11"/>
  <c r="B130" i="29"/>
  <c r="F130" i="29"/>
  <c r="I126" i="37"/>
  <c r="H126" i="37"/>
  <c r="H135" i="8"/>
  <c r="I135" i="8"/>
  <c r="B127" i="43"/>
  <c r="F127" i="43"/>
  <c r="H135" i="6"/>
  <c r="I135" i="6"/>
  <c r="B126" i="40"/>
  <c r="F126" i="40"/>
  <c r="B133" i="23"/>
  <c r="F133" i="23"/>
  <c r="H136" i="9"/>
  <c r="I136" i="9"/>
  <c r="B127" i="39"/>
  <c r="F127" i="39"/>
  <c r="H129" i="28"/>
  <c r="I129" i="28"/>
  <c r="H136" i="11"/>
  <c r="I136" i="11"/>
  <c r="H129" i="29"/>
  <c r="I129" i="29"/>
  <c r="B132" i="24"/>
  <c r="F132" i="24"/>
  <c r="B131" i="27"/>
  <c r="F131" i="27"/>
  <c r="B134" i="25"/>
  <c r="F134" i="25"/>
  <c r="H133" i="25"/>
  <c r="I133" i="25"/>
  <c r="B135" i="4"/>
  <c r="F135" i="4"/>
  <c r="H126" i="43"/>
  <c r="I126" i="43"/>
  <c r="B130" i="31"/>
  <c r="F130" i="31"/>
  <c r="I125" i="40"/>
  <c r="H125" i="40"/>
  <c r="I132" i="23"/>
  <c r="H132" i="23"/>
  <c r="B138" i="7"/>
  <c r="F138" i="7"/>
  <c r="H126" i="39"/>
  <c r="I126" i="39"/>
  <c r="H134" i="3"/>
  <c r="I134" i="3"/>
  <c r="H131" i="24"/>
  <c r="I131" i="24"/>
  <c r="B132" i="46" l="1"/>
  <c r="F132" i="46"/>
  <c r="F133" i="44"/>
  <c r="D134" i="44" s="1"/>
  <c r="B134" i="44" s="1"/>
  <c r="H131" i="46"/>
  <c r="I131" i="46"/>
  <c r="G130" i="42"/>
  <c r="F129" i="45"/>
  <c r="B129" i="45"/>
  <c r="E131" i="42"/>
  <c r="F131" i="42" s="1"/>
  <c r="H128" i="45"/>
  <c r="I128" i="45"/>
  <c r="G129" i="41"/>
  <c r="E130" i="41"/>
  <c r="F130" i="41" s="1"/>
  <c r="D131" i="41" s="1"/>
  <c r="B131" i="41" s="1"/>
  <c r="E131" i="38"/>
  <c r="F131" i="38" s="1"/>
  <c r="G133" i="44"/>
  <c r="I133" i="44" s="1"/>
  <c r="H130" i="42"/>
  <c r="I130" i="42"/>
  <c r="I130" i="38"/>
  <c r="H130" i="38"/>
  <c r="J137" i="7"/>
  <c r="J125" i="40"/>
  <c r="J128" i="30"/>
  <c r="J134" i="5"/>
  <c r="J126" i="39"/>
  <c r="G130" i="31"/>
  <c r="D131" i="31"/>
  <c r="E131" i="31" s="1"/>
  <c r="G135" i="4"/>
  <c r="D136" i="4"/>
  <c r="E136" i="4" s="1"/>
  <c r="G134" i="25"/>
  <c r="D135" i="25"/>
  <c r="E135" i="25" s="1"/>
  <c r="D133" i="24"/>
  <c r="G132" i="24"/>
  <c r="E133" i="24"/>
  <c r="G127" i="39"/>
  <c r="D128" i="39"/>
  <c r="E128" i="39" s="1"/>
  <c r="G133" i="23"/>
  <c r="D134" i="23"/>
  <c r="E134" i="23"/>
  <c r="J135" i="6"/>
  <c r="J135" i="8"/>
  <c r="G130" i="29"/>
  <c r="D131" i="29"/>
  <c r="E131" i="29" s="1"/>
  <c r="G130" i="28"/>
  <c r="D131" i="28"/>
  <c r="E131" i="28"/>
  <c r="D138" i="9"/>
  <c r="E138" i="9" s="1"/>
  <c r="G137" i="9"/>
  <c r="G136" i="6"/>
  <c r="D137" i="6"/>
  <c r="E137" i="6"/>
  <c r="G136" i="8"/>
  <c r="D137" i="8"/>
  <c r="E137" i="8" s="1"/>
  <c r="G127" i="37"/>
  <c r="D128" i="37"/>
  <c r="E128" i="37" s="1"/>
  <c r="G129" i="30"/>
  <c r="D130" i="30"/>
  <c r="E130" i="30" s="1"/>
  <c r="G135" i="5"/>
  <c r="D136" i="5"/>
  <c r="E136" i="5" s="1"/>
  <c r="G138" i="10"/>
  <c r="D139" i="10"/>
  <c r="E139" i="10" s="1"/>
  <c r="J134" i="3"/>
  <c r="G138" i="7"/>
  <c r="D139" i="7"/>
  <c r="E139" i="7" s="1"/>
  <c r="J126" i="43"/>
  <c r="G131" i="27"/>
  <c r="D132" i="27"/>
  <c r="E132" i="27" s="1"/>
  <c r="J129" i="29"/>
  <c r="J129" i="28"/>
  <c r="G126" i="40"/>
  <c r="D127" i="40"/>
  <c r="E127" i="40"/>
  <c r="G127" i="43"/>
  <c r="D128" i="43"/>
  <c r="E128" i="43" s="1"/>
  <c r="D138" i="11"/>
  <c r="E138" i="11" s="1"/>
  <c r="G137" i="11"/>
  <c r="J130" i="27"/>
  <c r="G135" i="3"/>
  <c r="D136" i="3"/>
  <c r="E136" i="3"/>
  <c r="G134" i="22"/>
  <c r="D135" i="22"/>
  <c r="E135" i="22" s="1"/>
  <c r="J126" i="37"/>
  <c r="J137" i="10"/>
  <c r="J129" i="31"/>
  <c r="J134" i="4"/>
  <c r="E134" i="44" l="1"/>
  <c r="F134" i="44" s="1"/>
  <c r="D135" i="44" s="1"/>
  <c r="B135" i="44" s="1"/>
  <c r="E133" i="46"/>
  <c r="D133" i="46"/>
  <c r="G132" i="46"/>
  <c r="J128" i="45"/>
  <c r="E130" i="45"/>
  <c r="D130" i="45"/>
  <c r="B130" i="45" s="1"/>
  <c r="G129" i="45"/>
  <c r="E131" i="41"/>
  <c r="G130" i="41"/>
  <c r="I130" i="41" s="1"/>
  <c r="I129" i="41"/>
  <c r="H129" i="41"/>
  <c r="E135" i="44"/>
  <c r="F135" i="44" s="1"/>
  <c r="D136" i="44" s="1"/>
  <c r="H133" i="44"/>
  <c r="G134" i="44"/>
  <c r="H134" i="44" s="1"/>
  <c r="D132" i="38"/>
  <c r="B132" i="38" s="1"/>
  <c r="G131" i="38"/>
  <c r="I131" i="38" s="1"/>
  <c r="F131" i="41"/>
  <c r="D132" i="41" s="1"/>
  <c r="B132" i="41" s="1"/>
  <c r="J130" i="38"/>
  <c r="J155" i="38" s="1"/>
  <c r="G131" i="42"/>
  <c r="D132" i="42"/>
  <c r="J130" i="42"/>
  <c r="J155" i="42" s="1"/>
  <c r="H130" i="41"/>
  <c r="B136" i="3"/>
  <c r="F136" i="3"/>
  <c r="H127" i="43"/>
  <c r="I127" i="43"/>
  <c r="H131" i="27"/>
  <c r="I131" i="27"/>
  <c r="B128" i="37"/>
  <c r="F128" i="37"/>
  <c r="H136" i="8"/>
  <c r="I136" i="8"/>
  <c r="B134" i="23"/>
  <c r="F134" i="23"/>
  <c r="I127" i="39"/>
  <c r="H127" i="39"/>
  <c r="B135" i="22"/>
  <c r="F135" i="22"/>
  <c r="H135" i="3"/>
  <c r="I135" i="3"/>
  <c r="B130" i="30"/>
  <c r="F130" i="30"/>
  <c r="H137" i="9"/>
  <c r="I137" i="9"/>
  <c r="H133" i="23"/>
  <c r="I133" i="23"/>
  <c r="B135" i="25"/>
  <c r="F135" i="25"/>
  <c r="I135" i="4"/>
  <c r="H135" i="4"/>
  <c r="I134" i="22"/>
  <c r="H134" i="22"/>
  <c r="B127" i="40"/>
  <c r="F127" i="40"/>
  <c r="B136" i="5"/>
  <c r="F136" i="5"/>
  <c r="H129" i="30"/>
  <c r="I129" i="30"/>
  <c r="B137" i="6"/>
  <c r="F137" i="6"/>
  <c r="B138" i="9"/>
  <c r="F138" i="9"/>
  <c r="H132" i="24"/>
  <c r="I132" i="24"/>
  <c r="I134" i="25"/>
  <c r="H134" i="25"/>
  <c r="I137" i="11"/>
  <c r="H137" i="11"/>
  <c r="H138" i="7"/>
  <c r="I138" i="7"/>
  <c r="H138" i="10"/>
  <c r="I138" i="10"/>
  <c r="B131" i="28"/>
  <c r="F131" i="28"/>
  <c r="H130" i="29"/>
  <c r="I130" i="29"/>
  <c r="B136" i="4"/>
  <c r="F136" i="4"/>
  <c r="H130" i="31"/>
  <c r="I130" i="31"/>
  <c r="B138" i="11"/>
  <c r="F138" i="11"/>
  <c r="H127" i="37"/>
  <c r="I127" i="37"/>
  <c r="H130" i="28"/>
  <c r="I130" i="28"/>
  <c r="B128" i="43"/>
  <c r="F128" i="43"/>
  <c r="H126" i="40"/>
  <c r="I126" i="40"/>
  <c r="B132" i="27"/>
  <c r="F132" i="27"/>
  <c r="B139" i="7"/>
  <c r="F139" i="7"/>
  <c r="B139" i="10"/>
  <c r="F139" i="10"/>
  <c r="I135" i="5"/>
  <c r="H135" i="5"/>
  <c r="B137" i="8"/>
  <c r="F137" i="8"/>
  <c r="H136" i="6"/>
  <c r="I136" i="6"/>
  <c r="B131" i="29"/>
  <c r="F131" i="29"/>
  <c r="B128" i="39"/>
  <c r="F128" i="39"/>
  <c r="B133" i="24"/>
  <c r="F133" i="24"/>
  <c r="B131" i="31"/>
  <c r="F131" i="31"/>
  <c r="I132" i="46" l="1"/>
  <c r="H132" i="46"/>
  <c r="F133" i="46"/>
  <c r="B133" i="46"/>
  <c r="F130" i="45"/>
  <c r="I129" i="45"/>
  <c r="H129" i="45"/>
  <c r="J129" i="41"/>
  <c r="H131" i="38"/>
  <c r="I134" i="44"/>
  <c r="E132" i="38"/>
  <c r="F132" i="38" s="1"/>
  <c r="D133" i="38" s="1"/>
  <c r="G135" i="44"/>
  <c r="H135" i="44" s="1"/>
  <c r="G131" i="41"/>
  <c r="H131" i="41" s="1"/>
  <c r="J130" i="41"/>
  <c r="E136" i="44"/>
  <c r="F136" i="44" s="1"/>
  <c r="B136" i="44"/>
  <c r="E132" i="41"/>
  <c r="F132" i="41" s="1"/>
  <c r="G132" i="41" s="1"/>
  <c r="E132" i="42"/>
  <c r="F132" i="42" s="1"/>
  <c r="B132" i="42"/>
  <c r="H131" i="42"/>
  <c r="I131" i="42"/>
  <c r="J127" i="43"/>
  <c r="J136" i="6"/>
  <c r="J126" i="40"/>
  <c r="J130" i="28"/>
  <c r="J138" i="7"/>
  <c r="J129" i="30"/>
  <c r="J127" i="39"/>
  <c r="G139" i="7"/>
  <c r="D140" i="7"/>
  <c r="E140" i="7" s="1"/>
  <c r="G138" i="11"/>
  <c r="D139" i="11"/>
  <c r="E139" i="11" s="1"/>
  <c r="G136" i="4"/>
  <c r="D137" i="4"/>
  <c r="E137" i="4"/>
  <c r="G131" i="28"/>
  <c r="D132" i="28"/>
  <c r="E132" i="28"/>
  <c r="G138" i="9"/>
  <c r="D139" i="9"/>
  <c r="E139" i="9" s="1"/>
  <c r="G127" i="40"/>
  <c r="D128" i="40"/>
  <c r="E128" i="40"/>
  <c r="G130" i="30"/>
  <c r="D131" i="30"/>
  <c r="E131" i="30"/>
  <c r="G135" i="22"/>
  <c r="D136" i="22"/>
  <c r="E136" i="22"/>
  <c r="G134" i="23"/>
  <c r="D135" i="23"/>
  <c r="E135" i="23" s="1"/>
  <c r="G128" i="37"/>
  <c r="D129" i="37"/>
  <c r="E129" i="37"/>
  <c r="G131" i="31"/>
  <c r="D132" i="31"/>
  <c r="E132" i="31"/>
  <c r="G128" i="39"/>
  <c r="D129" i="39"/>
  <c r="E129" i="39" s="1"/>
  <c r="J135" i="5"/>
  <c r="J135" i="4"/>
  <c r="G133" i="24"/>
  <c r="D134" i="24"/>
  <c r="E134" i="24" s="1"/>
  <c r="G131" i="29"/>
  <c r="D132" i="29"/>
  <c r="E132" i="29" s="1"/>
  <c r="G137" i="8"/>
  <c r="D138" i="8"/>
  <c r="E138" i="8" s="1"/>
  <c r="G139" i="10"/>
  <c r="D140" i="10"/>
  <c r="E140" i="10" s="1"/>
  <c r="G132" i="27"/>
  <c r="D133" i="27"/>
  <c r="E133" i="27" s="1"/>
  <c r="G128" i="43"/>
  <c r="D129" i="43"/>
  <c r="E129" i="43"/>
  <c r="J127" i="37"/>
  <c r="J130" i="31"/>
  <c r="J130" i="29"/>
  <c r="J138" i="10"/>
  <c r="G137" i="6"/>
  <c r="D138" i="6"/>
  <c r="E138" i="6" s="1"/>
  <c r="G136" i="5"/>
  <c r="D137" i="5"/>
  <c r="E137" i="5" s="1"/>
  <c r="G135" i="25"/>
  <c r="D136" i="25"/>
  <c r="E136" i="25"/>
  <c r="J135" i="3"/>
  <c r="J136" i="8"/>
  <c r="J131" i="27"/>
  <c r="G136" i="3"/>
  <c r="D137" i="3"/>
  <c r="E137" i="3" s="1"/>
  <c r="G133" i="46" l="1"/>
  <c r="E134" i="46"/>
  <c r="D134" i="46"/>
  <c r="J129" i="45"/>
  <c r="J155" i="41"/>
  <c r="G130" i="45"/>
  <c r="E131" i="45"/>
  <c r="D131" i="45"/>
  <c r="I131" i="41"/>
  <c r="I135" i="44"/>
  <c r="G132" i="38"/>
  <c r="H132" i="38" s="1"/>
  <c r="D137" i="44"/>
  <c r="G136" i="44"/>
  <c r="D133" i="41"/>
  <c r="B133" i="41" s="1"/>
  <c r="D133" i="42"/>
  <c r="G132" i="42"/>
  <c r="E133" i="38"/>
  <c r="F133" i="38" s="1"/>
  <c r="B133" i="38"/>
  <c r="I132" i="41"/>
  <c r="H132" i="41"/>
  <c r="E133" i="41"/>
  <c r="B136" i="25"/>
  <c r="F136" i="25"/>
  <c r="H136" i="5"/>
  <c r="I136" i="5"/>
  <c r="B133" i="27"/>
  <c r="F133" i="27"/>
  <c r="H139" i="10"/>
  <c r="I139" i="10"/>
  <c r="B134" i="24"/>
  <c r="F134" i="24"/>
  <c r="B132" i="31"/>
  <c r="F132" i="31"/>
  <c r="H128" i="37"/>
  <c r="I128" i="37"/>
  <c r="B131" i="30"/>
  <c r="F131" i="30"/>
  <c r="H127" i="40"/>
  <c r="I127" i="40"/>
  <c r="B137" i="4"/>
  <c r="F137" i="4"/>
  <c r="I138" i="11"/>
  <c r="H138" i="11"/>
  <c r="H135" i="25"/>
  <c r="I135" i="25"/>
  <c r="B129" i="43"/>
  <c r="F129" i="43"/>
  <c r="I132" i="27"/>
  <c r="H132" i="27"/>
  <c r="B132" i="29"/>
  <c r="F132" i="29"/>
  <c r="H133" i="24"/>
  <c r="I133" i="24"/>
  <c r="B129" i="39"/>
  <c r="F129" i="39"/>
  <c r="I131" i="31"/>
  <c r="H131" i="31"/>
  <c r="B136" i="22"/>
  <c r="F136" i="22"/>
  <c r="I130" i="30"/>
  <c r="H130" i="30"/>
  <c r="B132" i="28"/>
  <c r="F132" i="28"/>
  <c r="H136" i="4"/>
  <c r="I136" i="4"/>
  <c r="B138" i="6"/>
  <c r="F138" i="6"/>
  <c r="I128" i="43"/>
  <c r="H128" i="43"/>
  <c r="B138" i="8"/>
  <c r="F138" i="8"/>
  <c r="I131" i="29"/>
  <c r="H131" i="29"/>
  <c r="H128" i="39"/>
  <c r="I128" i="39"/>
  <c r="B135" i="23"/>
  <c r="F135" i="23"/>
  <c r="H135" i="22"/>
  <c r="I135" i="22"/>
  <c r="B139" i="9"/>
  <c r="F139" i="9"/>
  <c r="I131" i="28"/>
  <c r="H131" i="28"/>
  <c r="B140" i="7"/>
  <c r="F140" i="7"/>
  <c r="B137" i="3"/>
  <c r="F137" i="3"/>
  <c r="H136" i="3"/>
  <c r="I136" i="3"/>
  <c r="B137" i="5"/>
  <c r="F137" i="5"/>
  <c r="H137" i="6"/>
  <c r="I137" i="6"/>
  <c r="B140" i="10"/>
  <c r="F140" i="10"/>
  <c r="H137" i="8"/>
  <c r="I137" i="8"/>
  <c r="B129" i="37"/>
  <c r="F129" i="37"/>
  <c r="H134" i="23"/>
  <c r="I134" i="23"/>
  <c r="B128" i="40"/>
  <c r="F128" i="40"/>
  <c r="I138" i="9"/>
  <c r="H138" i="9"/>
  <c r="B139" i="11"/>
  <c r="F139" i="11"/>
  <c r="H139" i="7"/>
  <c r="I139" i="7"/>
  <c r="B134" i="46" l="1"/>
  <c r="F134" i="46"/>
  <c r="H133" i="46"/>
  <c r="I133" i="46"/>
  <c r="I130" i="45"/>
  <c r="H130" i="45"/>
  <c r="F131" i="45"/>
  <c r="B131" i="45"/>
  <c r="I132" i="38"/>
  <c r="I136" i="44"/>
  <c r="H136" i="44"/>
  <c r="F133" i="41"/>
  <c r="G133" i="41" s="1"/>
  <c r="E137" i="44"/>
  <c r="F137" i="44" s="1"/>
  <c r="B137" i="44"/>
  <c r="D134" i="38"/>
  <c r="G133" i="38"/>
  <c r="I132" i="42"/>
  <c r="H132" i="42"/>
  <c r="E133" i="42"/>
  <c r="F133" i="42" s="1"/>
  <c r="B133" i="42"/>
  <c r="J131" i="29"/>
  <c r="J128" i="43"/>
  <c r="J130" i="30"/>
  <c r="J131" i="31"/>
  <c r="J131" i="28"/>
  <c r="J132" i="27"/>
  <c r="J139" i="7"/>
  <c r="J137" i="8"/>
  <c r="J137" i="6"/>
  <c r="J136" i="3"/>
  <c r="D141" i="7"/>
  <c r="E141" i="7" s="1"/>
  <c r="G140" i="7"/>
  <c r="G139" i="9"/>
  <c r="D140" i="9"/>
  <c r="E140" i="9" s="1"/>
  <c r="G135" i="23"/>
  <c r="D136" i="23"/>
  <c r="E136" i="23"/>
  <c r="J136" i="4"/>
  <c r="G137" i="4"/>
  <c r="D138" i="4"/>
  <c r="E138" i="4"/>
  <c r="G131" i="30"/>
  <c r="D132" i="30"/>
  <c r="E132" i="30"/>
  <c r="G132" i="31"/>
  <c r="D133" i="31"/>
  <c r="E133" i="31" s="1"/>
  <c r="J139" i="10"/>
  <c r="J136" i="5"/>
  <c r="G139" i="11"/>
  <c r="D140" i="11"/>
  <c r="E140" i="11"/>
  <c r="G128" i="40"/>
  <c r="D129" i="40"/>
  <c r="E129" i="40" s="1"/>
  <c r="G129" i="37"/>
  <c r="D130" i="37"/>
  <c r="E130" i="37" s="1"/>
  <c r="G140" i="10"/>
  <c r="D141" i="10"/>
  <c r="E141" i="10" s="1"/>
  <c r="G137" i="5"/>
  <c r="D138" i="5"/>
  <c r="E138" i="5"/>
  <c r="G137" i="3"/>
  <c r="D138" i="3"/>
  <c r="E138" i="3" s="1"/>
  <c r="J128" i="39"/>
  <c r="G138" i="8"/>
  <c r="D139" i="8"/>
  <c r="E139" i="8" s="1"/>
  <c r="G138" i="6"/>
  <c r="D139" i="6"/>
  <c r="E139" i="6" s="1"/>
  <c r="G132" i="28"/>
  <c r="D133" i="28"/>
  <c r="E133" i="28"/>
  <c r="G136" i="22"/>
  <c r="D137" i="22"/>
  <c r="E137" i="22" s="1"/>
  <c r="G129" i="39"/>
  <c r="D130" i="39"/>
  <c r="E130" i="39" s="1"/>
  <c r="G132" i="29"/>
  <c r="D133" i="29"/>
  <c r="E133" i="29" s="1"/>
  <c r="G129" i="43"/>
  <c r="D130" i="43"/>
  <c r="E130" i="43"/>
  <c r="J127" i="40"/>
  <c r="J128" i="37"/>
  <c r="G134" i="24"/>
  <c r="D135" i="24"/>
  <c r="E135" i="24" s="1"/>
  <c r="G133" i="27"/>
  <c r="D134" i="27"/>
  <c r="E134" i="27"/>
  <c r="G136" i="25"/>
  <c r="D137" i="25"/>
  <c r="E137" i="25"/>
  <c r="E135" i="46" l="1"/>
  <c r="G134" i="46"/>
  <c r="D135" i="46"/>
  <c r="E132" i="45"/>
  <c r="D132" i="45"/>
  <c r="G131" i="45"/>
  <c r="J130" i="45"/>
  <c r="J155" i="45" s="1"/>
  <c r="D134" i="41"/>
  <c r="B134" i="41" s="1"/>
  <c r="D138" i="44"/>
  <c r="B138" i="44" s="1"/>
  <c r="G137" i="44"/>
  <c r="G133" i="42"/>
  <c r="D134" i="42"/>
  <c r="I133" i="41"/>
  <c r="H133" i="41"/>
  <c r="I133" i="38"/>
  <c r="H133" i="38"/>
  <c r="E134" i="41"/>
  <c r="E134" i="38"/>
  <c r="F134" i="38" s="1"/>
  <c r="B134" i="38"/>
  <c r="B130" i="43"/>
  <c r="F130" i="43"/>
  <c r="H132" i="29"/>
  <c r="I132" i="29"/>
  <c r="B133" i="28"/>
  <c r="F133" i="28"/>
  <c r="H138" i="6"/>
  <c r="I138" i="6"/>
  <c r="B141" i="10"/>
  <c r="F141" i="10"/>
  <c r="H129" i="37"/>
  <c r="I129" i="37"/>
  <c r="B138" i="4"/>
  <c r="F138" i="4"/>
  <c r="B136" i="23"/>
  <c r="F136" i="23"/>
  <c r="I139" i="9"/>
  <c r="H139" i="9"/>
  <c r="B134" i="27"/>
  <c r="F134" i="27"/>
  <c r="B137" i="25"/>
  <c r="F137" i="25"/>
  <c r="H133" i="27"/>
  <c r="I133" i="27"/>
  <c r="I129" i="43"/>
  <c r="H129" i="43"/>
  <c r="B137" i="22"/>
  <c r="F137" i="22"/>
  <c r="H132" i="28"/>
  <c r="I132" i="28"/>
  <c r="B138" i="5"/>
  <c r="F138" i="5"/>
  <c r="H140" i="10"/>
  <c r="I140" i="10"/>
  <c r="B140" i="11"/>
  <c r="F140" i="11"/>
  <c r="B132" i="30"/>
  <c r="F132" i="30"/>
  <c r="H137" i="4"/>
  <c r="I137" i="4"/>
  <c r="I135" i="23"/>
  <c r="H135" i="23"/>
  <c r="H134" i="24"/>
  <c r="I134" i="24"/>
  <c r="H136" i="25"/>
  <c r="I136" i="25"/>
  <c r="B130" i="39"/>
  <c r="F130" i="39"/>
  <c r="H136" i="22"/>
  <c r="I136" i="22"/>
  <c r="B139" i="8"/>
  <c r="F139" i="8"/>
  <c r="B138" i="3"/>
  <c r="F138" i="3"/>
  <c r="H137" i="5"/>
  <c r="I137" i="5"/>
  <c r="B129" i="40"/>
  <c r="F129" i="40"/>
  <c r="H139" i="11"/>
  <c r="I139" i="11"/>
  <c r="B133" i="31"/>
  <c r="F133" i="31"/>
  <c r="H131" i="30"/>
  <c r="I131" i="30"/>
  <c r="H140" i="7"/>
  <c r="I140" i="7"/>
  <c r="B135" i="24"/>
  <c r="F135" i="24"/>
  <c r="B133" i="29"/>
  <c r="F133" i="29"/>
  <c r="H129" i="39"/>
  <c r="I129" i="39"/>
  <c r="B139" i="6"/>
  <c r="F139" i="6"/>
  <c r="H138" i="8"/>
  <c r="I138" i="8"/>
  <c r="H137" i="3"/>
  <c r="I137" i="3"/>
  <c r="B130" i="37"/>
  <c r="F130" i="37"/>
  <c r="H128" i="40"/>
  <c r="I128" i="40"/>
  <c r="H132" i="31"/>
  <c r="I132" i="31"/>
  <c r="B140" i="9"/>
  <c r="F140" i="9"/>
  <c r="B141" i="7"/>
  <c r="F141" i="7"/>
  <c r="B135" i="46" l="1"/>
  <c r="F135" i="46"/>
  <c r="H134" i="46"/>
  <c r="I134" i="46"/>
  <c r="F134" i="41"/>
  <c r="I131" i="45"/>
  <c r="H131" i="45"/>
  <c r="B132" i="45"/>
  <c r="F132" i="45"/>
  <c r="E138" i="44"/>
  <c r="F138" i="44" s="1"/>
  <c r="I137" i="44"/>
  <c r="H137" i="44"/>
  <c r="G134" i="41"/>
  <c r="D135" i="41"/>
  <c r="D135" i="38"/>
  <c r="G134" i="38"/>
  <c r="E134" i="42"/>
  <c r="F134" i="42" s="1"/>
  <c r="B134" i="42"/>
  <c r="I133" i="42"/>
  <c r="H133" i="42"/>
  <c r="J129" i="37"/>
  <c r="J138" i="6"/>
  <c r="J132" i="29"/>
  <c r="J129" i="43"/>
  <c r="G141" i="7"/>
  <c r="D142" i="7"/>
  <c r="E142" i="7" s="1"/>
  <c r="J132" i="31"/>
  <c r="G130" i="37"/>
  <c r="D131" i="37"/>
  <c r="E131" i="37" s="1"/>
  <c r="J138" i="8"/>
  <c r="J129" i="39"/>
  <c r="G135" i="24"/>
  <c r="D136" i="24"/>
  <c r="E136" i="24" s="1"/>
  <c r="J131" i="30"/>
  <c r="J137" i="5"/>
  <c r="G139" i="8"/>
  <c r="D140" i="8"/>
  <c r="E140" i="8" s="1"/>
  <c r="G130" i="39"/>
  <c r="D131" i="39"/>
  <c r="E131" i="39" s="1"/>
  <c r="J137" i="4"/>
  <c r="G140" i="11"/>
  <c r="D141" i="11"/>
  <c r="E141" i="11" s="1"/>
  <c r="G138" i="5"/>
  <c r="D139" i="5"/>
  <c r="E139" i="5" s="1"/>
  <c r="G137" i="22"/>
  <c r="D138" i="22"/>
  <c r="E138" i="22" s="1"/>
  <c r="J133" i="27"/>
  <c r="G134" i="27"/>
  <c r="D135" i="27"/>
  <c r="E135" i="27" s="1"/>
  <c r="G136" i="23"/>
  <c r="D137" i="23"/>
  <c r="E137" i="23"/>
  <c r="G140" i="9"/>
  <c r="D141" i="9"/>
  <c r="E141" i="9" s="1"/>
  <c r="J128" i="40"/>
  <c r="J137" i="3"/>
  <c r="G139" i="6"/>
  <c r="D140" i="6"/>
  <c r="E140" i="6" s="1"/>
  <c r="G133" i="29"/>
  <c r="D134" i="29"/>
  <c r="E134" i="29" s="1"/>
  <c r="J140" i="7"/>
  <c r="G133" i="31"/>
  <c r="D134" i="31"/>
  <c r="E134" i="31" s="1"/>
  <c r="G129" i="40"/>
  <c r="D130" i="40"/>
  <c r="E130" i="40" s="1"/>
  <c r="G138" i="3"/>
  <c r="D139" i="3"/>
  <c r="E139" i="3" s="1"/>
  <c r="G132" i="30"/>
  <c r="D133" i="30"/>
  <c r="E133" i="30" s="1"/>
  <c r="J140" i="10"/>
  <c r="J132" i="28"/>
  <c r="G137" i="25"/>
  <c r="D138" i="25"/>
  <c r="E138" i="25"/>
  <c r="G138" i="4"/>
  <c r="D139" i="4"/>
  <c r="E139" i="4" s="1"/>
  <c r="G141" i="10"/>
  <c r="D142" i="10"/>
  <c r="E142" i="10" s="1"/>
  <c r="G133" i="28"/>
  <c r="D134" i="28"/>
  <c r="E134" i="28"/>
  <c r="G130" i="43"/>
  <c r="D131" i="43"/>
  <c r="E131" i="43" s="1"/>
  <c r="G135" i="46" l="1"/>
  <c r="D136" i="46"/>
  <c r="B136" i="46" s="1"/>
  <c r="E136" i="46"/>
  <c r="D133" i="45"/>
  <c r="E133" i="45"/>
  <c r="G132" i="45"/>
  <c r="E139" i="44"/>
  <c r="D139" i="44"/>
  <c r="B139" i="44" s="1"/>
  <c r="G138" i="44"/>
  <c r="I138" i="44" s="1"/>
  <c r="I134" i="38"/>
  <c r="H134" i="38"/>
  <c r="D135" i="42"/>
  <c r="G134" i="42"/>
  <c r="E135" i="38"/>
  <c r="F135" i="38" s="1"/>
  <c r="B135" i="38"/>
  <c r="E135" i="41"/>
  <c r="F135" i="41" s="1"/>
  <c r="B135" i="41"/>
  <c r="I134" i="41"/>
  <c r="H134" i="41"/>
  <c r="B139" i="4"/>
  <c r="F139" i="4"/>
  <c r="H137" i="25"/>
  <c r="I137" i="25"/>
  <c r="B133" i="30"/>
  <c r="F133" i="30"/>
  <c r="I138" i="3"/>
  <c r="H138" i="3"/>
  <c r="B140" i="6"/>
  <c r="F140" i="6"/>
  <c r="B137" i="23"/>
  <c r="F137" i="23"/>
  <c r="I134" i="27"/>
  <c r="H134" i="27"/>
  <c r="I137" i="22"/>
  <c r="H137" i="22"/>
  <c r="B140" i="8"/>
  <c r="F140" i="8"/>
  <c r="B142" i="10"/>
  <c r="F142" i="10"/>
  <c r="I138" i="4"/>
  <c r="H138" i="4"/>
  <c r="H132" i="30"/>
  <c r="I132" i="30"/>
  <c r="B134" i="31"/>
  <c r="F134" i="31"/>
  <c r="B134" i="29"/>
  <c r="F134" i="29"/>
  <c r="H139" i="6"/>
  <c r="I139" i="6"/>
  <c r="B141" i="9"/>
  <c r="F141" i="9"/>
  <c r="I136" i="23"/>
  <c r="H136" i="23"/>
  <c r="B141" i="11"/>
  <c r="F141" i="11"/>
  <c r="B131" i="39"/>
  <c r="F131" i="39"/>
  <c r="H139" i="8"/>
  <c r="I139" i="8"/>
  <c r="B136" i="24"/>
  <c r="F136" i="24"/>
  <c r="B134" i="28"/>
  <c r="F134" i="28"/>
  <c r="H141" i="10"/>
  <c r="I141" i="10"/>
  <c r="B130" i="40"/>
  <c r="F130" i="40"/>
  <c r="I133" i="31"/>
  <c r="H133" i="31"/>
  <c r="H133" i="29"/>
  <c r="I133" i="29"/>
  <c r="I140" i="9"/>
  <c r="H140" i="9"/>
  <c r="B139" i="5"/>
  <c r="F139" i="5"/>
  <c r="H140" i="11"/>
  <c r="I140" i="11"/>
  <c r="H130" i="39"/>
  <c r="I130" i="39"/>
  <c r="I135" i="24"/>
  <c r="H135" i="24"/>
  <c r="B131" i="37"/>
  <c r="F131" i="37"/>
  <c r="B142" i="7"/>
  <c r="F142" i="7"/>
  <c r="H130" i="43"/>
  <c r="I130" i="43"/>
  <c r="B131" i="43"/>
  <c r="F131" i="43"/>
  <c r="I133" i="28"/>
  <c r="H133" i="28"/>
  <c r="B138" i="25"/>
  <c r="F138" i="25"/>
  <c r="B139" i="3"/>
  <c r="F139" i="3"/>
  <c r="I129" i="40"/>
  <c r="H129" i="40"/>
  <c r="B135" i="27"/>
  <c r="F135" i="27"/>
  <c r="B138" i="22"/>
  <c r="F138" i="22"/>
  <c r="I138" i="5"/>
  <c r="H138" i="5"/>
  <c r="H130" i="37"/>
  <c r="I130" i="37"/>
  <c r="H141" i="7"/>
  <c r="I141" i="7"/>
  <c r="F136" i="46" l="1"/>
  <c r="D137" i="46"/>
  <c r="B137" i="46" s="1"/>
  <c r="G136" i="46"/>
  <c r="E137" i="46"/>
  <c r="F137" i="46" s="1"/>
  <c r="H135" i="46"/>
  <c r="I135" i="46"/>
  <c r="I132" i="45"/>
  <c r="H132" i="45"/>
  <c r="F139" i="44"/>
  <c r="D140" i="44" s="1"/>
  <c r="B140" i="44" s="1"/>
  <c r="F133" i="45"/>
  <c r="B133" i="45"/>
  <c r="H138" i="44"/>
  <c r="D136" i="41"/>
  <c r="G135" i="41"/>
  <c r="E135" i="42"/>
  <c r="F135" i="42" s="1"/>
  <c r="B135" i="42"/>
  <c r="G135" i="38"/>
  <c r="D136" i="38"/>
  <c r="I134" i="42"/>
  <c r="H134" i="42"/>
  <c r="J138" i="5"/>
  <c r="J133" i="28"/>
  <c r="J130" i="37"/>
  <c r="J155" i="37" s="1"/>
  <c r="J141" i="10"/>
  <c r="J139" i="6"/>
  <c r="J138" i="3"/>
  <c r="G138" i="22"/>
  <c r="D139" i="22"/>
  <c r="E139" i="22" s="1"/>
  <c r="G138" i="25"/>
  <c r="D139" i="25"/>
  <c r="E139" i="25"/>
  <c r="G142" i="7"/>
  <c r="D143" i="7"/>
  <c r="E143" i="7" s="1"/>
  <c r="G136" i="24"/>
  <c r="D137" i="24"/>
  <c r="E137" i="24" s="1"/>
  <c r="G131" i="39"/>
  <c r="D132" i="39"/>
  <c r="E132" i="39" s="1"/>
  <c r="G134" i="31"/>
  <c r="D135" i="31"/>
  <c r="E135" i="31" s="1"/>
  <c r="G140" i="8"/>
  <c r="D141" i="8"/>
  <c r="E141" i="8" s="1"/>
  <c r="G140" i="6"/>
  <c r="D141" i="6"/>
  <c r="E141" i="6" s="1"/>
  <c r="G133" i="30"/>
  <c r="D134" i="30"/>
  <c r="E134" i="30" s="1"/>
  <c r="J138" i="4"/>
  <c r="J134" i="27"/>
  <c r="J141" i="7"/>
  <c r="G135" i="27"/>
  <c r="D136" i="27"/>
  <c r="E136" i="27" s="1"/>
  <c r="G139" i="3"/>
  <c r="D140" i="3"/>
  <c r="E140" i="3" s="1"/>
  <c r="J130" i="43"/>
  <c r="J155" i="43" s="1"/>
  <c r="G131" i="37"/>
  <c r="D132" i="37"/>
  <c r="E132" i="37" s="1"/>
  <c r="J130" i="39"/>
  <c r="J155" i="39" s="1"/>
  <c r="G139" i="5"/>
  <c r="D140" i="5"/>
  <c r="E140" i="5" s="1"/>
  <c r="J133" i="29"/>
  <c r="G130" i="40"/>
  <c r="D131" i="40"/>
  <c r="E131" i="40" s="1"/>
  <c r="G134" i="28"/>
  <c r="D135" i="28"/>
  <c r="E135" i="28"/>
  <c r="J139" i="8"/>
  <c r="G141" i="11"/>
  <c r="D142" i="11"/>
  <c r="E142" i="11"/>
  <c r="G141" i="9"/>
  <c r="D142" i="9"/>
  <c r="E142" i="9" s="1"/>
  <c r="G134" i="29"/>
  <c r="D135" i="29"/>
  <c r="E135" i="29" s="1"/>
  <c r="J132" i="30"/>
  <c r="G142" i="10"/>
  <c r="D143" i="10"/>
  <c r="E143" i="10" s="1"/>
  <c r="G137" i="23"/>
  <c r="D138" i="23"/>
  <c r="E138" i="23" s="1"/>
  <c r="G131" i="43"/>
  <c r="D132" i="43"/>
  <c r="E132" i="43" s="1"/>
  <c r="G139" i="4"/>
  <c r="D140" i="4"/>
  <c r="E140" i="4" s="1"/>
  <c r="J129" i="40"/>
  <c r="J133" i="31"/>
  <c r="G139" i="44" l="1"/>
  <c r="G137" i="46"/>
  <c r="E138" i="46"/>
  <c r="D138" i="46"/>
  <c r="I136" i="46"/>
  <c r="H136" i="46"/>
  <c r="E140" i="44"/>
  <c r="F140" i="44" s="1"/>
  <c r="E134" i="45"/>
  <c r="G133" i="45"/>
  <c r="D134" i="45"/>
  <c r="H139" i="44"/>
  <c r="I139" i="44"/>
  <c r="G135" i="42"/>
  <c r="D136" i="42"/>
  <c r="E136" i="38"/>
  <c r="F136" i="38" s="1"/>
  <c r="B136" i="38"/>
  <c r="I135" i="38"/>
  <c r="H135" i="38"/>
  <c r="I135" i="41"/>
  <c r="H135" i="41"/>
  <c r="E136" i="41"/>
  <c r="F136" i="41" s="1"/>
  <c r="B136" i="41"/>
  <c r="I137" i="23"/>
  <c r="H137" i="23"/>
  <c r="B142" i="11"/>
  <c r="F142" i="11"/>
  <c r="H130" i="40"/>
  <c r="I130" i="40"/>
  <c r="H139" i="5"/>
  <c r="I139" i="5"/>
  <c r="I131" i="37"/>
  <c r="H131" i="37"/>
  <c r="H139" i="3"/>
  <c r="I139" i="3"/>
  <c r="H140" i="6"/>
  <c r="I140" i="6"/>
  <c r="B140" i="4"/>
  <c r="F140" i="4"/>
  <c r="B142" i="9"/>
  <c r="F142" i="9"/>
  <c r="H134" i="28"/>
  <c r="I134" i="28"/>
  <c r="B135" i="31"/>
  <c r="F135" i="31"/>
  <c r="B139" i="25"/>
  <c r="F139" i="25"/>
  <c r="I138" i="22"/>
  <c r="H138" i="22"/>
  <c r="H139" i="4"/>
  <c r="I139" i="4"/>
  <c r="B143" i="10"/>
  <c r="F143" i="10"/>
  <c r="B135" i="29"/>
  <c r="F135" i="29"/>
  <c r="H141" i="9"/>
  <c r="I141" i="9"/>
  <c r="B136" i="27"/>
  <c r="F136" i="27"/>
  <c r="B141" i="8"/>
  <c r="F141" i="8"/>
  <c r="H134" i="31"/>
  <c r="I134" i="31"/>
  <c r="B143" i="7"/>
  <c r="F143" i="7"/>
  <c r="I138" i="25"/>
  <c r="H138" i="25"/>
  <c r="B132" i="43"/>
  <c r="F132" i="43"/>
  <c r="B135" i="28"/>
  <c r="F135" i="28"/>
  <c r="B134" i="30"/>
  <c r="F134" i="30"/>
  <c r="B132" i="39"/>
  <c r="F132" i="39"/>
  <c r="I136" i="24"/>
  <c r="H136" i="24"/>
  <c r="B139" i="22"/>
  <c r="F139" i="22"/>
  <c r="I131" i="43"/>
  <c r="H131" i="43"/>
  <c r="H141" i="11"/>
  <c r="I141" i="11"/>
  <c r="H133" i="30"/>
  <c r="I133" i="30"/>
  <c r="H131" i="39"/>
  <c r="I131" i="39"/>
  <c r="B138" i="23"/>
  <c r="F138" i="23"/>
  <c r="H142" i="10"/>
  <c r="I142" i="10"/>
  <c r="I134" i="29"/>
  <c r="H134" i="29"/>
  <c r="B131" i="40"/>
  <c r="F131" i="40"/>
  <c r="B140" i="5"/>
  <c r="F140" i="5"/>
  <c r="B132" i="37"/>
  <c r="F132" i="37"/>
  <c r="B140" i="3"/>
  <c r="F140" i="3"/>
  <c r="H135" i="27"/>
  <c r="I135" i="27"/>
  <c r="B141" i="6"/>
  <c r="F141" i="6"/>
  <c r="H140" i="8"/>
  <c r="I140" i="8"/>
  <c r="F137" i="24"/>
  <c r="B137" i="24"/>
  <c r="H142" i="7"/>
  <c r="I142" i="7"/>
  <c r="B138" i="46" l="1"/>
  <c r="F138" i="46"/>
  <c r="I137" i="46"/>
  <c r="H137" i="46"/>
  <c r="B134" i="45"/>
  <c r="F134" i="45"/>
  <c r="H133" i="45"/>
  <c r="I133" i="45"/>
  <c r="D141" i="44"/>
  <c r="G140" i="44"/>
  <c r="G136" i="38"/>
  <c r="D137" i="38"/>
  <c r="E136" i="42"/>
  <c r="F136" i="42" s="1"/>
  <c r="B136" i="42"/>
  <c r="G136" i="41"/>
  <c r="D137" i="41"/>
  <c r="B137" i="41" s="1"/>
  <c r="I135" i="42"/>
  <c r="H135" i="42"/>
  <c r="J140" i="6"/>
  <c r="J130" i="40"/>
  <c r="J155" i="40" s="1"/>
  <c r="J133" i="30"/>
  <c r="G141" i="6"/>
  <c r="D142" i="6"/>
  <c r="E142" i="6" s="1"/>
  <c r="G141" i="8"/>
  <c r="D142" i="8"/>
  <c r="E142" i="8" s="1"/>
  <c r="J134" i="29"/>
  <c r="J142" i="7"/>
  <c r="J140" i="8"/>
  <c r="J135" i="27"/>
  <c r="G132" i="37"/>
  <c r="D133" i="37"/>
  <c r="E133" i="37" s="1"/>
  <c r="G131" i="40"/>
  <c r="D132" i="40"/>
  <c r="E132" i="40" s="1"/>
  <c r="J142" i="10"/>
  <c r="G139" i="22"/>
  <c r="D140" i="22"/>
  <c r="E140" i="22" s="1"/>
  <c r="G132" i="39"/>
  <c r="D133" i="39"/>
  <c r="E133" i="39"/>
  <c r="G135" i="28"/>
  <c r="D136" i="28"/>
  <c r="E136" i="28"/>
  <c r="J134" i="31"/>
  <c r="G136" i="27"/>
  <c r="D137" i="27"/>
  <c r="E137" i="27"/>
  <c r="G135" i="29"/>
  <c r="D136" i="29"/>
  <c r="E136" i="29" s="1"/>
  <c r="J139" i="4"/>
  <c r="G139" i="25"/>
  <c r="D140" i="25"/>
  <c r="E140" i="25" s="1"/>
  <c r="J134" i="28"/>
  <c r="G140" i="4"/>
  <c r="D141" i="4"/>
  <c r="E141" i="4" s="1"/>
  <c r="J139" i="3"/>
  <c r="J139" i="5"/>
  <c r="G142" i="11"/>
  <c r="D143" i="11"/>
  <c r="E143" i="11" s="1"/>
  <c r="G140" i="3"/>
  <c r="D141" i="3"/>
  <c r="E141" i="3" s="1"/>
  <c r="G138" i="23"/>
  <c r="D139" i="23"/>
  <c r="E139" i="23" s="1"/>
  <c r="G143" i="7"/>
  <c r="D144" i="7"/>
  <c r="E144" i="7" s="1"/>
  <c r="D136" i="31"/>
  <c r="E136" i="31" s="1"/>
  <c r="G135" i="31"/>
  <c r="G132" i="43"/>
  <c r="D133" i="43"/>
  <c r="E133" i="43" s="1"/>
  <c r="G143" i="10"/>
  <c r="D144" i="10"/>
  <c r="E144" i="10" s="1"/>
  <c r="G142" i="9"/>
  <c r="D143" i="9"/>
  <c r="E143" i="9" s="1"/>
  <c r="G140" i="5"/>
  <c r="D141" i="5"/>
  <c r="E141" i="5" s="1"/>
  <c r="G134" i="30"/>
  <c r="D135" i="30"/>
  <c r="E135" i="30" s="1"/>
  <c r="G137" i="24"/>
  <c r="D138" i="24"/>
  <c r="E138" i="24" s="1"/>
  <c r="G138" i="46" l="1"/>
  <c r="E139" i="46"/>
  <c r="D139" i="46"/>
  <c r="B139" i="46" s="1"/>
  <c r="D135" i="45"/>
  <c r="B135" i="45" s="1"/>
  <c r="E135" i="45"/>
  <c r="G134" i="45"/>
  <c r="I140" i="44"/>
  <c r="H140" i="44"/>
  <c r="E141" i="44"/>
  <c r="F141" i="44" s="1"/>
  <c r="B141" i="44"/>
  <c r="E137" i="41"/>
  <c r="F137" i="41" s="1"/>
  <c r="D138" i="41" s="1"/>
  <c r="D137" i="42"/>
  <c r="G136" i="42"/>
  <c r="H136" i="41"/>
  <c r="I136" i="41"/>
  <c r="E137" i="38"/>
  <c r="F137" i="38" s="1"/>
  <c r="B137" i="38"/>
  <c r="I136" i="38"/>
  <c r="H136" i="38"/>
  <c r="B141" i="3"/>
  <c r="F141" i="3"/>
  <c r="B141" i="4"/>
  <c r="F141" i="4"/>
  <c r="B140" i="25"/>
  <c r="F140" i="25"/>
  <c r="B136" i="29"/>
  <c r="F136" i="29"/>
  <c r="I136" i="27"/>
  <c r="H136" i="27"/>
  <c r="I135" i="28"/>
  <c r="H135" i="28"/>
  <c r="B133" i="37"/>
  <c r="F133" i="37"/>
  <c r="H141" i="8"/>
  <c r="I141" i="8"/>
  <c r="B135" i="30"/>
  <c r="F135" i="30"/>
  <c r="B136" i="31"/>
  <c r="F136" i="31"/>
  <c r="B138" i="24"/>
  <c r="F138" i="24"/>
  <c r="H134" i="30"/>
  <c r="I134" i="30"/>
  <c r="B144" i="10"/>
  <c r="F144" i="10"/>
  <c r="H132" i="43"/>
  <c r="I132" i="43"/>
  <c r="B139" i="23"/>
  <c r="F139" i="23"/>
  <c r="I140" i="3"/>
  <c r="H140" i="3"/>
  <c r="I140" i="4"/>
  <c r="H140" i="4"/>
  <c r="H139" i="25"/>
  <c r="I139" i="25"/>
  <c r="H135" i="29"/>
  <c r="I135" i="29"/>
  <c r="B140" i="22"/>
  <c r="F140" i="22"/>
  <c r="B132" i="40"/>
  <c r="F132" i="40"/>
  <c r="I132" i="37"/>
  <c r="H132" i="37"/>
  <c r="B141" i="5"/>
  <c r="F141" i="5"/>
  <c r="H140" i="5"/>
  <c r="I140" i="5"/>
  <c r="B133" i="43"/>
  <c r="F133" i="43"/>
  <c r="H142" i="11"/>
  <c r="I142" i="11"/>
  <c r="H137" i="24"/>
  <c r="I137" i="24"/>
  <c r="B143" i="9"/>
  <c r="F143" i="9"/>
  <c r="H143" i="10"/>
  <c r="I143" i="10"/>
  <c r="B144" i="7"/>
  <c r="F144" i="7"/>
  <c r="I138" i="23"/>
  <c r="H138" i="23"/>
  <c r="F133" i="39"/>
  <c r="B133" i="39"/>
  <c r="H139" i="22"/>
  <c r="I139" i="22"/>
  <c r="I131" i="40"/>
  <c r="H131" i="40"/>
  <c r="B142" i="6"/>
  <c r="F142" i="6"/>
  <c r="I142" i="9"/>
  <c r="H142" i="9"/>
  <c r="H135" i="31"/>
  <c r="I135" i="31"/>
  <c r="H143" i="7"/>
  <c r="I143" i="7"/>
  <c r="B143" i="11"/>
  <c r="F143" i="11"/>
  <c r="B137" i="27"/>
  <c r="F137" i="27"/>
  <c r="B136" i="28"/>
  <c r="F136" i="28"/>
  <c r="I132" i="39"/>
  <c r="H132" i="39"/>
  <c r="B142" i="8"/>
  <c r="F142" i="8"/>
  <c r="H141" i="6"/>
  <c r="I141" i="6"/>
  <c r="F139" i="46" l="1"/>
  <c r="H138" i="46"/>
  <c r="I138" i="46"/>
  <c r="H134" i="45"/>
  <c r="I134" i="45"/>
  <c r="F135" i="45"/>
  <c r="G137" i="41"/>
  <c r="I137" i="41" s="1"/>
  <c r="D142" i="44"/>
  <c r="G141" i="44"/>
  <c r="D138" i="38"/>
  <c r="G137" i="38"/>
  <c r="H136" i="42"/>
  <c r="I136" i="42"/>
  <c r="E138" i="41"/>
  <c r="F138" i="41" s="1"/>
  <c r="B138" i="41"/>
  <c r="E137" i="42"/>
  <c r="F137" i="42" s="1"/>
  <c r="B137" i="42"/>
  <c r="J140" i="3"/>
  <c r="J135" i="28"/>
  <c r="J140" i="4"/>
  <c r="J141" i="6"/>
  <c r="G137" i="27"/>
  <c r="D138" i="27"/>
  <c r="E138" i="27"/>
  <c r="J143" i="7"/>
  <c r="G144" i="7"/>
  <c r="D145" i="7"/>
  <c r="E145" i="7" s="1"/>
  <c r="G143" i="9"/>
  <c r="D144" i="9"/>
  <c r="E144" i="9" s="1"/>
  <c r="J140" i="5"/>
  <c r="G140" i="22"/>
  <c r="D141" i="22"/>
  <c r="E141" i="22" s="1"/>
  <c r="J134" i="30"/>
  <c r="G136" i="31"/>
  <c r="D137" i="31"/>
  <c r="E137" i="31" s="1"/>
  <c r="J141" i="8"/>
  <c r="G136" i="29"/>
  <c r="D137" i="29"/>
  <c r="E137" i="29" s="1"/>
  <c r="G141" i="4"/>
  <c r="D142" i="4"/>
  <c r="E142" i="4" s="1"/>
  <c r="D134" i="39"/>
  <c r="G133" i="39"/>
  <c r="E134" i="39"/>
  <c r="G142" i="8"/>
  <c r="D143" i="8"/>
  <c r="E143" i="8" s="1"/>
  <c r="D137" i="28"/>
  <c r="E137" i="28" s="1"/>
  <c r="G136" i="28"/>
  <c r="G143" i="11"/>
  <c r="D144" i="11"/>
  <c r="E144" i="11" s="1"/>
  <c r="J135" i="31"/>
  <c r="G142" i="6"/>
  <c r="D143" i="6"/>
  <c r="E143" i="6" s="1"/>
  <c r="J143" i="10"/>
  <c r="G133" i="43"/>
  <c r="D134" i="43"/>
  <c r="E134" i="43" s="1"/>
  <c r="G141" i="5"/>
  <c r="D142" i="5"/>
  <c r="E142" i="5" s="1"/>
  <c r="G132" i="40"/>
  <c r="D133" i="40"/>
  <c r="E133" i="40" s="1"/>
  <c r="J135" i="29"/>
  <c r="G139" i="23"/>
  <c r="D140" i="23"/>
  <c r="E140" i="23" s="1"/>
  <c r="G144" i="10"/>
  <c r="D145" i="10"/>
  <c r="E145" i="10" s="1"/>
  <c r="G138" i="24"/>
  <c r="D139" i="24"/>
  <c r="E139" i="24" s="1"/>
  <c r="G135" i="30"/>
  <c r="D136" i="30"/>
  <c r="E136" i="30" s="1"/>
  <c r="G133" i="37"/>
  <c r="D134" i="37"/>
  <c r="E134" i="37"/>
  <c r="G140" i="25"/>
  <c r="D141" i="25"/>
  <c r="E141" i="25" s="1"/>
  <c r="G141" i="3"/>
  <c r="D142" i="3"/>
  <c r="E142" i="3" s="1"/>
  <c r="J136" i="27"/>
  <c r="G139" i="46" l="1"/>
  <c r="D140" i="46"/>
  <c r="B140" i="46" s="1"/>
  <c r="E140" i="46"/>
  <c r="F140" i="46" s="1"/>
  <c r="H137" i="41"/>
  <c r="E136" i="45"/>
  <c r="G135" i="45"/>
  <c r="D136" i="45"/>
  <c r="B136" i="45" s="1"/>
  <c r="E142" i="44"/>
  <c r="F142" i="44" s="1"/>
  <c r="B142" i="44"/>
  <c r="I141" i="44"/>
  <c r="H141" i="44"/>
  <c r="G138" i="41"/>
  <c r="D139" i="41"/>
  <c r="G137" i="42"/>
  <c r="D138" i="42"/>
  <c r="H137" i="38"/>
  <c r="I137" i="38"/>
  <c r="E138" i="38"/>
  <c r="F138" i="38" s="1"/>
  <c r="B138" i="38"/>
  <c r="B142" i="3"/>
  <c r="F142" i="3"/>
  <c r="I140" i="25"/>
  <c r="H140" i="25"/>
  <c r="I141" i="3"/>
  <c r="H141" i="3"/>
  <c r="B136" i="30"/>
  <c r="F136" i="30"/>
  <c r="H138" i="24"/>
  <c r="I138" i="24"/>
  <c r="B142" i="5"/>
  <c r="F142" i="5"/>
  <c r="H133" i="43"/>
  <c r="I133" i="43"/>
  <c r="H142" i="6"/>
  <c r="I142" i="6"/>
  <c r="I143" i="11"/>
  <c r="H143" i="11"/>
  <c r="H133" i="39"/>
  <c r="I133" i="39"/>
  <c r="I141" i="4"/>
  <c r="H141" i="4"/>
  <c r="H135" i="30"/>
  <c r="I135" i="30"/>
  <c r="B140" i="23"/>
  <c r="F140" i="23"/>
  <c r="B133" i="40"/>
  <c r="F133" i="40"/>
  <c r="H141" i="5"/>
  <c r="I141" i="5"/>
  <c r="B143" i="8"/>
  <c r="F143" i="8"/>
  <c r="B134" i="39"/>
  <c r="F134" i="39"/>
  <c r="B145" i="7"/>
  <c r="F145" i="7"/>
  <c r="B138" i="27"/>
  <c r="F138" i="27"/>
  <c r="B141" i="25"/>
  <c r="F141" i="25"/>
  <c r="B145" i="10"/>
  <c r="F145" i="10"/>
  <c r="I139" i="23"/>
  <c r="H139" i="23"/>
  <c r="H132" i="40"/>
  <c r="I132" i="40"/>
  <c r="H136" i="28"/>
  <c r="I136" i="28"/>
  <c r="H142" i="8"/>
  <c r="I142" i="8"/>
  <c r="B137" i="29"/>
  <c r="F137" i="29"/>
  <c r="B137" i="31"/>
  <c r="F137" i="31"/>
  <c r="B141" i="22"/>
  <c r="F141" i="22"/>
  <c r="B144" i="9"/>
  <c r="F144" i="9"/>
  <c r="I144" i="7"/>
  <c r="H144" i="7"/>
  <c r="I137" i="27"/>
  <c r="H137" i="27"/>
  <c r="B134" i="37"/>
  <c r="F134" i="37"/>
  <c r="I133" i="37"/>
  <c r="H133" i="37"/>
  <c r="B139" i="24"/>
  <c r="F139" i="24"/>
  <c r="I144" i="10"/>
  <c r="H144" i="10"/>
  <c r="B134" i="43"/>
  <c r="F134" i="43"/>
  <c r="B143" i="6"/>
  <c r="F143" i="6"/>
  <c r="B144" i="11"/>
  <c r="F144" i="11"/>
  <c r="B137" i="28"/>
  <c r="F137" i="28"/>
  <c r="B142" i="4"/>
  <c r="F142" i="4"/>
  <c r="H136" i="29"/>
  <c r="I136" i="29"/>
  <c r="I136" i="31"/>
  <c r="H136" i="31"/>
  <c r="H140" i="22"/>
  <c r="I140" i="22"/>
  <c r="H143" i="9"/>
  <c r="I143" i="9"/>
  <c r="D141" i="46" l="1"/>
  <c r="B141" i="46" s="1"/>
  <c r="G140" i="46"/>
  <c r="E141" i="46"/>
  <c r="F141" i="46" s="1"/>
  <c r="I139" i="46"/>
  <c r="H139" i="46"/>
  <c r="H135" i="45"/>
  <c r="I135" i="45"/>
  <c r="F136" i="45"/>
  <c r="D143" i="44"/>
  <c r="B143" i="44" s="1"/>
  <c r="G142" i="44"/>
  <c r="D139" i="38"/>
  <c r="G138" i="38"/>
  <c r="E139" i="41"/>
  <c r="F139" i="41" s="1"/>
  <c r="B139" i="41"/>
  <c r="E138" i="42"/>
  <c r="F138" i="42" s="1"/>
  <c r="B138" i="42"/>
  <c r="I137" i="42"/>
  <c r="H137" i="42"/>
  <c r="H138" i="41"/>
  <c r="I138" i="41"/>
  <c r="J136" i="31"/>
  <c r="J144" i="7"/>
  <c r="J141" i="5"/>
  <c r="J136" i="29"/>
  <c r="J142" i="8"/>
  <c r="J137" i="27"/>
  <c r="G142" i="4"/>
  <c r="D143" i="4"/>
  <c r="E143" i="4" s="1"/>
  <c r="G144" i="11"/>
  <c r="D145" i="11"/>
  <c r="E145" i="11" s="1"/>
  <c r="G134" i="43"/>
  <c r="D135" i="43"/>
  <c r="E135" i="43" s="1"/>
  <c r="G139" i="24"/>
  <c r="D140" i="24"/>
  <c r="E140" i="24" s="1"/>
  <c r="G134" i="37"/>
  <c r="D135" i="37"/>
  <c r="E135" i="37" s="1"/>
  <c r="G141" i="22"/>
  <c r="D142" i="22"/>
  <c r="E142" i="22" s="1"/>
  <c r="G137" i="29"/>
  <c r="D138" i="29"/>
  <c r="E138" i="29" s="1"/>
  <c r="J136" i="28"/>
  <c r="G141" i="25"/>
  <c r="D142" i="25"/>
  <c r="E142" i="25" s="1"/>
  <c r="G145" i="7"/>
  <c r="D146" i="7"/>
  <c r="E146" i="7" s="1"/>
  <c r="G143" i="8"/>
  <c r="D144" i="8"/>
  <c r="E144" i="8" s="1"/>
  <c r="G133" i="40"/>
  <c r="D134" i="40"/>
  <c r="E134" i="40"/>
  <c r="J135" i="30"/>
  <c r="J142" i="6"/>
  <c r="G142" i="5"/>
  <c r="D143" i="5"/>
  <c r="E143" i="5" s="1"/>
  <c r="G136" i="30"/>
  <c r="D137" i="30"/>
  <c r="E137" i="30" s="1"/>
  <c r="D138" i="28"/>
  <c r="E138" i="28" s="1"/>
  <c r="G137" i="28"/>
  <c r="G143" i="6"/>
  <c r="D144" i="6"/>
  <c r="E144" i="6" s="1"/>
  <c r="G144" i="9"/>
  <c r="D145" i="9"/>
  <c r="E145" i="9" s="1"/>
  <c r="G137" i="31"/>
  <c r="D138" i="31"/>
  <c r="E138" i="31" s="1"/>
  <c r="G145" i="10"/>
  <c r="D146" i="10"/>
  <c r="E146" i="10" s="1"/>
  <c r="G138" i="27"/>
  <c r="D139" i="27"/>
  <c r="E139" i="27" s="1"/>
  <c r="G134" i="39"/>
  <c r="D135" i="39"/>
  <c r="E135" i="39"/>
  <c r="G140" i="23"/>
  <c r="D141" i="23"/>
  <c r="E141" i="23" s="1"/>
  <c r="G142" i="3"/>
  <c r="D143" i="3"/>
  <c r="E143" i="3" s="1"/>
  <c r="J144" i="10"/>
  <c r="J141" i="4"/>
  <c r="J141" i="3"/>
  <c r="D142" i="46" l="1"/>
  <c r="B142" i="46" s="1"/>
  <c r="G141" i="46"/>
  <c r="E142" i="46"/>
  <c r="F142" i="46" s="1"/>
  <c r="H140" i="46"/>
  <c r="I140" i="46"/>
  <c r="D137" i="45"/>
  <c r="G136" i="45"/>
  <c r="E137" i="45"/>
  <c r="E143" i="44"/>
  <c r="F143" i="44" s="1"/>
  <c r="I142" i="44"/>
  <c r="H142" i="44"/>
  <c r="I138" i="38"/>
  <c r="H138" i="38"/>
  <c r="G139" i="41"/>
  <c r="D140" i="41"/>
  <c r="B140" i="41" s="1"/>
  <c r="G138" i="42"/>
  <c r="D139" i="42"/>
  <c r="B139" i="42" s="1"/>
  <c r="E139" i="42"/>
  <c r="E139" i="38"/>
  <c r="F139" i="38" s="1"/>
  <c r="B139" i="38"/>
  <c r="H134" i="39"/>
  <c r="I134" i="39"/>
  <c r="B143" i="3"/>
  <c r="F143" i="3"/>
  <c r="H140" i="23"/>
  <c r="I140" i="23"/>
  <c r="B146" i="10"/>
  <c r="F146" i="10"/>
  <c r="H137" i="31"/>
  <c r="I137" i="31"/>
  <c r="H137" i="28"/>
  <c r="I137" i="28"/>
  <c r="H136" i="30"/>
  <c r="I136" i="30"/>
  <c r="I133" i="40"/>
  <c r="H133" i="40"/>
  <c r="B142" i="25"/>
  <c r="F142" i="25"/>
  <c r="B138" i="29"/>
  <c r="F138" i="29"/>
  <c r="H141" i="22"/>
  <c r="I141" i="22"/>
  <c r="B135" i="43"/>
  <c r="F135" i="43"/>
  <c r="H144" i="11"/>
  <c r="I144" i="11"/>
  <c r="H142" i="3"/>
  <c r="I142" i="3"/>
  <c r="B139" i="27"/>
  <c r="F139" i="27"/>
  <c r="H145" i="10"/>
  <c r="I145" i="10"/>
  <c r="B144" i="6"/>
  <c r="F144" i="6"/>
  <c r="B138" i="28"/>
  <c r="F138" i="28"/>
  <c r="B146" i="7"/>
  <c r="F146" i="7"/>
  <c r="I141" i="25"/>
  <c r="H141" i="25"/>
  <c r="H137" i="29"/>
  <c r="I137" i="29"/>
  <c r="B140" i="24"/>
  <c r="F140" i="24"/>
  <c r="H134" i="43"/>
  <c r="I134" i="43"/>
  <c r="B135" i="39"/>
  <c r="F135" i="39"/>
  <c r="I138" i="27"/>
  <c r="H138" i="27"/>
  <c r="B145" i="9"/>
  <c r="F145" i="9"/>
  <c r="I143" i="6"/>
  <c r="H143" i="6"/>
  <c r="B143" i="5"/>
  <c r="F143" i="5"/>
  <c r="B144" i="8"/>
  <c r="F144" i="8"/>
  <c r="I145" i="7"/>
  <c r="H145" i="7"/>
  <c r="B135" i="37"/>
  <c r="F135" i="37"/>
  <c r="H139" i="24"/>
  <c r="I139" i="24"/>
  <c r="B143" i="4"/>
  <c r="F143" i="4"/>
  <c r="B141" i="23"/>
  <c r="F141" i="23"/>
  <c r="B138" i="31"/>
  <c r="F138" i="31"/>
  <c r="I144" i="9"/>
  <c r="H144" i="9"/>
  <c r="B137" i="30"/>
  <c r="F137" i="30"/>
  <c r="I142" i="5"/>
  <c r="H142" i="5"/>
  <c r="B134" i="40"/>
  <c r="F134" i="40"/>
  <c r="H143" i="8"/>
  <c r="I143" i="8"/>
  <c r="B142" i="22"/>
  <c r="F142" i="22"/>
  <c r="H134" i="37"/>
  <c r="I134" i="37"/>
  <c r="B145" i="11"/>
  <c r="F145" i="11"/>
  <c r="H142" i="4"/>
  <c r="I142" i="4"/>
  <c r="G142" i="46" l="1"/>
  <c r="D143" i="46"/>
  <c r="B143" i="46" s="1"/>
  <c r="H141" i="46"/>
  <c r="I141" i="46"/>
  <c r="H136" i="45"/>
  <c r="I136" i="45"/>
  <c r="B137" i="45"/>
  <c r="F137" i="45"/>
  <c r="G143" i="44"/>
  <c r="D144" i="44"/>
  <c r="F139" i="42"/>
  <c r="G139" i="42" s="1"/>
  <c r="E140" i="41"/>
  <c r="F140" i="41" s="1"/>
  <c r="I139" i="41"/>
  <c r="H139" i="41"/>
  <c r="G139" i="38"/>
  <c r="D140" i="38"/>
  <c r="B140" i="38" s="1"/>
  <c r="H138" i="42"/>
  <c r="I138" i="42"/>
  <c r="J137" i="31"/>
  <c r="J142" i="5"/>
  <c r="J145" i="7"/>
  <c r="J136" i="30"/>
  <c r="J137" i="29"/>
  <c r="J142" i="4"/>
  <c r="J143" i="8"/>
  <c r="G141" i="23"/>
  <c r="D142" i="23"/>
  <c r="E142" i="23" s="1"/>
  <c r="G143" i="5"/>
  <c r="D144" i="5"/>
  <c r="E144" i="5" s="1"/>
  <c r="D146" i="9"/>
  <c r="E146" i="9" s="1"/>
  <c r="G145" i="9"/>
  <c r="G135" i="39"/>
  <c r="D136" i="39"/>
  <c r="E136" i="39" s="1"/>
  <c r="G140" i="24"/>
  <c r="D141" i="24"/>
  <c r="E141" i="24" s="1"/>
  <c r="G138" i="28"/>
  <c r="D139" i="28"/>
  <c r="E139" i="28"/>
  <c r="J145" i="10"/>
  <c r="J142" i="3"/>
  <c r="G135" i="43"/>
  <c r="D136" i="43"/>
  <c r="E136" i="43"/>
  <c r="G138" i="29"/>
  <c r="D139" i="29"/>
  <c r="E139" i="29" s="1"/>
  <c r="J137" i="28"/>
  <c r="D147" i="10"/>
  <c r="E147" i="10" s="1"/>
  <c r="G146" i="10"/>
  <c r="G143" i="3"/>
  <c r="D144" i="3"/>
  <c r="E144" i="3" s="1"/>
  <c r="G145" i="11"/>
  <c r="D146" i="11"/>
  <c r="E146" i="11" s="1"/>
  <c r="G142" i="22"/>
  <c r="D143" i="22"/>
  <c r="E143" i="22" s="1"/>
  <c r="G134" i="40"/>
  <c r="D135" i="40"/>
  <c r="E135" i="40" s="1"/>
  <c r="G137" i="30"/>
  <c r="D138" i="30"/>
  <c r="E138" i="30" s="1"/>
  <c r="G138" i="31"/>
  <c r="D139" i="31"/>
  <c r="E139" i="31" s="1"/>
  <c r="G143" i="4"/>
  <c r="D144" i="4"/>
  <c r="E144" i="4" s="1"/>
  <c r="G135" i="37"/>
  <c r="D136" i="37"/>
  <c r="E136" i="37" s="1"/>
  <c r="D145" i="8"/>
  <c r="E145" i="8" s="1"/>
  <c r="G144" i="8"/>
  <c r="G146" i="7"/>
  <c r="D147" i="7"/>
  <c r="E147" i="7" s="1"/>
  <c r="G144" i="6"/>
  <c r="D145" i="6"/>
  <c r="E145" i="6" s="1"/>
  <c r="G139" i="27"/>
  <c r="D140" i="27"/>
  <c r="E140" i="27"/>
  <c r="G142" i="25"/>
  <c r="D143" i="25"/>
  <c r="E143" i="25" s="1"/>
  <c r="J143" i="6"/>
  <c r="J138" i="27"/>
  <c r="E143" i="46" l="1"/>
  <c r="F143" i="46" s="1"/>
  <c r="I142" i="46"/>
  <c r="H142" i="46"/>
  <c r="D138" i="45"/>
  <c r="G137" i="45"/>
  <c r="E138" i="45"/>
  <c r="D140" i="42"/>
  <c r="B140" i="42" s="1"/>
  <c r="E144" i="44"/>
  <c r="F144" i="44" s="1"/>
  <c r="B144" i="44"/>
  <c r="I143" i="44"/>
  <c r="H143" i="44"/>
  <c r="E140" i="38"/>
  <c r="F140" i="38" s="1"/>
  <c r="D141" i="38" s="1"/>
  <c r="B141" i="38" s="1"/>
  <c r="G140" i="41"/>
  <c r="D141" i="41"/>
  <c r="H139" i="42"/>
  <c r="I139" i="42"/>
  <c r="H139" i="38"/>
  <c r="I139" i="38"/>
  <c r="I142" i="25"/>
  <c r="H142" i="25"/>
  <c r="B145" i="8"/>
  <c r="F145" i="8"/>
  <c r="B145" i="6"/>
  <c r="F145" i="6"/>
  <c r="H146" i="7"/>
  <c r="I146" i="7"/>
  <c r="B144" i="4"/>
  <c r="F144" i="4"/>
  <c r="H138" i="31"/>
  <c r="I138" i="31"/>
  <c r="B143" i="22"/>
  <c r="F143" i="22"/>
  <c r="H145" i="11"/>
  <c r="I145" i="11"/>
  <c r="B136" i="43"/>
  <c r="F136" i="43"/>
  <c r="F141" i="24"/>
  <c r="B141" i="24"/>
  <c r="H135" i="39"/>
  <c r="I135" i="39"/>
  <c r="B142" i="23"/>
  <c r="F142" i="23"/>
  <c r="B136" i="37"/>
  <c r="F136" i="37"/>
  <c r="B135" i="40"/>
  <c r="F135" i="40"/>
  <c r="I142" i="22"/>
  <c r="H142" i="22"/>
  <c r="H146" i="10"/>
  <c r="I146" i="10"/>
  <c r="B139" i="29"/>
  <c r="F139" i="29"/>
  <c r="I135" i="43"/>
  <c r="H135" i="43"/>
  <c r="B139" i="28"/>
  <c r="F139" i="28"/>
  <c r="I140" i="24"/>
  <c r="H140" i="24"/>
  <c r="B144" i="5"/>
  <c r="F144" i="5"/>
  <c r="H141" i="23"/>
  <c r="I141" i="23"/>
  <c r="B140" i="27"/>
  <c r="F140" i="27"/>
  <c r="H144" i="6"/>
  <c r="I144" i="6"/>
  <c r="H143" i="4"/>
  <c r="I143" i="4"/>
  <c r="B143" i="25"/>
  <c r="F143" i="25"/>
  <c r="H139" i="27"/>
  <c r="I139" i="27"/>
  <c r="H144" i="8"/>
  <c r="I144" i="8"/>
  <c r="H135" i="37"/>
  <c r="I135" i="37"/>
  <c r="B138" i="30"/>
  <c r="F138" i="30"/>
  <c r="H134" i="40"/>
  <c r="I134" i="40"/>
  <c r="B144" i="3"/>
  <c r="F144" i="3"/>
  <c r="B147" i="10"/>
  <c r="F147" i="10"/>
  <c r="H138" i="29"/>
  <c r="I138" i="29"/>
  <c r="I138" i="28"/>
  <c r="H138" i="28"/>
  <c r="H145" i="9"/>
  <c r="I145" i="9"/>
  <c r="H143" i="5"/>
  <c r="I143" i="5"/>
  <c r="B147" i="7"/>
  <c r="F147" i="7"/>
  <c r="B139" i="31"/>
  <c r="F139" i="31"/>
  <c r="H137" i="30"/>
  <c r="I137" i="30"/>
  <c r="B146" i="11"/>
  <c r="F146" i="11"/>
  <c r="H143" i="3"/>
  <c r="I143" i="3"/>
  <c r="B136" i="39"/>
  <c r="F136" i="39"/>
  <c r="B146" i="9"/>
  <c r="F146" i="9"/>
  <c r="D144" i="46" l="1"/>
  <c r="B144" i="46" s="1"/>
  <c r="G143" i="46"/>
  <c r="E144" i="46"/>
  <c r="F144" i="46" s="1"/>
  <c r="B138" i="45"/>
  <c r="F138" i="45"/>
  <c r="I137" i="45"/>
  <c r="H137" i="45"/>
  <c r="E140" i="42"/>
  <c r="F140" i="42" s="1"/>
  <c r="G144" i="44"/>
  <c r="D145" i="44"/>
  <c r="E141" i="38"/>
  <c r="F141" i="38" s="1"/>
  <c r="G141" i="38" s="1"/>
  <c r="G140" i="38"/>
  <c r="H140" i="38" s="1"/>
  <c r="E141" i="41"/>
  <c r="F141" i="41" s="1"/>
  <c r="B141" i="41"/>
  <c r="H140" i="41"/>
  <c r="I140" i="41"/>
  <c r="J138" i="28"/>
  <c r="G146" i="9"/>
  <c r="D147" i="9"/>
  <c r="E147" i="9" s="1"/>
  <c r="J143" i="3"/>
  <c r="J137" i="30"/>
  <c r="G147" i="7"/>
  <c r="D148" i="7"/>
  <c r="E148" i="7" s="1"/>
  <c r="J138" i="29"/>
  <c r="G144" i="3"/>
  <c r="D145" i="3"/>
  <c r="E145" i="3" s="1"/>
  <c r="G138" i="30"/>
  <c r="D139" i="30"/>
  <c r="E139" i="30"/>
  <c r="J144" i="8"/>
  <c r="G143" i="25"/>
  <c r="D144" i="25"/>
  <c r="E144" i="25" s="1"/>
  <c r="J144" i="6"/>
  <c r="J146" i="10"/>
  <c r="G135" i="40"/>
  <c r="D136" i="40"/>
  <c r="E136" i="40" s="1"/>
  <c r="G142" i="23"/>
  <c r="D143" i="23"/>
  <c r="E143" i="23" s="1"/>
  <c r="J138" i="31"/>
  <c r="J146" i="7"/>
  <c r="G145" i="8"/>
  <c r="D146" i="8"/>
  <c r="E146" i="8" s="1"/>
  <c r="G141" i="24"/>
  <c r="D142" i="24"/>
  <c r="E142" i="24" s="1"/>
  <c r="G136" i="39"/>
  <c r="D137" i="39"/>
  <c r="E137" i="39" s="1"/>
  <c r="G146" i="11"/>
  <c r="D147" i="11"/>
  <c r="E147" i="11" s="1"/>
  <c r="G139" i="31"/>
  <c r="D140" i="31"/>
  <c r="E140" i="31" s="1"/>
  <c r="J143" i="5"/>
  <c r="G147" i="10"/>
  <c r="D148" i="10"/>
  <c r="E148" i="10" s="1"/>
  <c r="J139" i="27"/>
  <c r="J143" i="4"/>
  <c r="G140" i="27"/>
  <c r="D141" i="27"/>
  <c r="E141" i="27" s="1"/>
  <c r="G144" i="5"/>
  <c r="D145" i="5"/>
  <c r="E145" i="5" s="1"/>
  <c r="G139" i="28"/>
  <c r="D140" i="28"/>
  <c r="E140" i="28" s="1"/>
  <c r="D140" i="29"/>
  <c r="E140" i="29" s="1"/>
  <c r="G139" i="29"/>
  <c r="G136" i="37"/>
  <c r="D137" i="37"/>
  <c r="E137" i="37" s="1"/>
  <c r="G136" i="43"/>
  <c r="D137" i="43"/>
  <c r="E137" i="43" s="1"/>
  <c r="G143" i="22"/>
  <c r="D144" i="22"/>
  <c r="E144" i="22" s="1"/>
  <c r="G144" i="4"/>
  <c r="D145" i="4"/>
  <c r="E145" i="4" s="1"/>
  <c r="G145" i="6"/>
  <c r="D146" i="6"/>
  <c r="E146" i="6" s="1"/>
  <c r="G144" i="46" l="1"/>
  <c r="D145" i="46"/>
  <c r="B145" i="46" s="1"/>
  <c r="E145" i="46"/>
  <c r="F145" i="46" s="1"/>
  <c r="H143" i="46"/>
  <c r="I143" i="46"/>
  <c r="G138" i="45"/>
  <c r="E139" i="45"/>
  <c r="D139" i="45"/>
  <c r="D141" i="42"/>
  <c r="B141" i="42" s="1"/>
  <c r="G140" i="42"/>
  <c r="I140" i="42" s="1"/>
  <c r="I140" i="38"/>
  <c r="E145" i="44"/>
  <c r="F145" i="44" s="1"/>
  <c r="B145" i="44"/>
  <c r="H144" i="44"/>
  <c r="I144" i="44"/>
  <c r="D142" i="38"/>
  <c r="B142" i="38" s="1"/>
  <c r="G141" i="41"/>
  <c r="D142" i="41"/>
  <c r="B142" i="41" s="1"/>
  <c r="I141" i="38"/>
  <c r="H141" i="38"/>
  <c r="H140" i="42"/>
  <c r="B146" i="6"/>
  <c r="F146" i="6"/>
  <c r="H144" i="4"/>
  <c r="I144" i="4"/>
  <c r="B137" i="37"/>
  <c r="F137" i="37"/>
  <c r="B140" i="29"/>
  <c r="F140" i="29"/>
  <c r="B141" i="27"/>
  <c r="F141" i="27"/>
  <c r="B147" i="11"/>
  <c r="F147" i="11"/>
  <c r="H136" i="39"/>
  <c r="I136" i="39"/>
  <c r="B148" i="10"/>
  <c r="F148" i="10"/>
  <c r="B140" i="31"/>
  <c r="F140" i="31"/>
  <c r="I146" i="11"/>
  <c r="H146" i="11"/>
  <c r="B146" i="8"/>
  <c r="F146" i="8"/>
  <c r="B136" i="40"/>
  <c r="F136" i="40"/>
  <c r="B145" i="3"/>
  <c r="F145" i="3"/>
  <c r="B148" i="7"/>
  <c r="F148" i="7"/>
  <c r="B137" i="43"/>
  <c r="F137" i="43"/>
  <c r="H136" i="37"/>
  <c r="I136" i="37"/>
  <c r="H140" i="27"/>
  <c r="I140" i="27"/>
  <c r="B140" i="28"/>
  <c r="F140" i="28"/>
  <c r="H144" i="5"/>
  <c r="I144" i="5"/>
  <c r="H147" i="10"/>
  <c r="I147" i="10"/>
  <c r="H139" i="31"/>
  <c r="I139" i="31"/>
  <c r="B142" i="24"/>
  <c r="F142" i="24"/>
  <c r="H145" i="8"/>
  <c r="I145" i="8"/>
  <c r="B143" i="23"/>
  <c r="F143" i="23"/>
  <c r="H135" i="40"/>
  <c r="I135" i="40"/>
  <c r="B144" i="25"/>
  <c r="F144" i="25"/>
  <c r="B139" i="30"/>
  <c r="F139" i="30"/>
  <c r="H144" i="3"/>
  <c r="I144" i="3"/>
  <c r="H147" i="7"/>
  <c r="I147" i="7"/>
  <c r="B147" i="9"/>
  <c r="F147" i="9"/>
  <c r="H145" i="6"/>
  <c r="I145" i="6"/>
  <c r="B145" i="5"/>
  <c r="F145" i="5"/>
  <c r="B144" i="22"/>
  <c r="F144" i="22"/>
  <c r="I136" i="43"/>
  <c r="H136" i="43"/>
  <c r="B145" i="4"/>
  <c r="F145" i="4"/>
  <c r="I143" i="22"/>
  <c r="H143" i="22"/>
  <c r="H139" i="29"/>
  <c r="I139" i="29"/>
  <c r="H139" i="28"/>
  <c r="I139" i="28"/>
  <c r="B137" i="39"/>
  <c r="F137" i="39"/>
  <c r="H141" i="24"/>
  <c r="I141" i="24"/>
  <c r="I142" i="23"/>
  <c r="H142" i="23"/>
  <c r="H143" i="25"/>
  <c r="I143" i="25"/>
  <c r="I138" i="30"/>
  <c r="H138" i="30"/>
  <c r="I146" i="9"/>
  <c r="H146" i="9"/>
  <c r="G145" i="46" l="1"/>
  <c r="D146" i="46"/>
  <c r="B146" i="46" s="1"/>
  <c r="I144" i="46"/>
  <c r="H144" i="46"/>
  <c r="B139" i="45"/>
  <c r="F139" i="45"/>
  <c r="E141" i="42"/>
  <c r="F141" i="42" s="1"/>
  <c r="D142" i="42" s="1"/>
  <c r="I138" i="45"/>
  <c r="H138" i="45"/>
  <c r="E142" i="38"/>
  <c r="F142" i="38" s="1"/>
  <c r="G142" i="38" s="1"/>
  <c r="D146" i="44"/>
  <c r="G145" i="44"/>
  <c r="E142" i="41"/>
  <c r="F142" i="41" s="1"/>
  <c r="G142" i="41" s="1"/>
  <c r="I141" i="41"/>
  <c r="H141" i="41"/>
  <c r="J144" i="4"/>
  <c r="J138" i="30"/>
  <c r="J139" i="28"/>
  <c r="D146" i="5"/>
  <c r="E146" i="5" s="1"/>
  <c r="G145" i="5"/>
  <c r="G147" i="9"/>
  <c r="D148" i="9"/>
  <c r="E148" i="9" s="1"/>
  <c r="J144" i="3"/>
  <c r="G144" i="25"/>
  <c r="D145" i="25"/>
  <c r="E145" i="25" s="1"/>
  <c r="G143" i="23"/>
  <c r="D144" i="23"/>
  <c r="E144" i="23" s="1"/>
  <c r="G142" i="24"/>
  <c r="D143" i="24"/>
  <c r="E143" i="24" s="1"/>
  <c r="J147" i="10"/>
  <c r="G140" i="28"/>
  <c r="D141" i="28"/>
  <c r="E141" i="28" s="1"/>
  <c r="G148" i="7"/>
  <c r="D149" i="7"/>
  <c r="E149" i="7" s="1"/>
  <c r="G136" i="40"/>
  <c r="D137" i="40"/>
  <c r="E137" i="40" s="1"/>
  <c r="G148" i="10"/>
  <c r="D149" i="10"/>
  <c r="E149" i="10" s="1"/>
  <c r="D148" i="11"/>
  <c r="E148" i="11" s="1"/>
  <c r="G147" i="11"/>
  <c r="G140" i="29"/>
  <c r="D141" i="29"/>
  <c r="E141" i="29" s="1"/>
  <c r="G137" i="39"/>
  <c r="D138" i="39"/>
  <c r="E138" i="39" s="1"/>
  <c r="J139" i="29"/>
  <c r="G145" i="4"/>
  <c r="D146" i="4"/>
  <c r="E146" i="4" s="1"/>
  <c r="G144" i="22"/>
  <c r="D145" i="22"/>
  <c r="E145" i="22" s="1"/>
  <c r="J145" i="6"/>
  <c r="J147" i="7"/>
  <c r="G139" i="30"/>
  <c r="D140" i="30"/>
  <c r="E140" i="30" s="1"/>
  <c r="J145" i="8"/>
  <c r="J139" i="31"/>
  <c r="J144" i="5"/>
  <c r="J140" i="27"/>
  <c r="G137" i="43"/>
  <c r="D138" i="43"/>
  <c r="E138" i="43" s="1"/>
  <c r="G145" i="3"/>
  <c r="D146" i="3"/>
  <c r="E146" i="3" s="1"/>
  <c r="G146" i="8"/>
  <c r="D147" i="8"/>
  <c r="E147" i="8" s="1"/>
  <c r="G140" i="31"/>
  <c r="D141" i="31"/>
  <c r="E141" i="31" s="1"/>
  <c r="G141" i="27"/>
  <c r="D142" i="27"/>
  <c r="E142" i="27" s="1"/>
  <c r="G137" i="37"/>
  <c r="D138" i="37"/>
  <c r="E138" i="37" s="1"/>
  <c r="G146" i="6"/>
  <c r="D147" i="6"/>
  <c r="E147" i="6" s="1"/>
  <c r="E146" i="46" l="1"/>
  <c r="F146" i="46" s="1"/>
  <c r="H145" i="46"/>
  <c r="I145" i="46"/>
  <c r="G141" i="42"/>
  <c r="I141" i="42" s="1"/>
  <c r="G139" i="45"/>
  <c r="D140" i="45"/>
  <c r="D143" i="38"/>
  <c r="B143" i="38" s="1"/>
  <c r="I145" i="44"/>
  <c r="H145" i="44"/>
  <c r="E146" i="44"/>
  <c r="F146" i="44" s="1"/>
  <c r="B146" i="44"/>
  <c r="D143" i="41"/>
  <c r="B143" i="41" s="1"/>
  <c r="E142" i="42"/>
  <c r="F142" i="42" s="1"/>
  <c r="B142" i="42"/>
  <c r="H142" i="38"/>
  <c r="I142" i="38"/>
  <c r="H142" i="41"/>
  <c r="I142" i="41"/>
  <c r="H146" i="6"/>
  <c r="I146" i="6"/>
  <c r="B146" i="4"/>
  <c r="F146" i="4"/>
  <c r="B138" i="43"/>
  <c r="F138" i="43"/>
  <c r="H139" i="30"/>
  <c r="I139" i="30"/>
  <c r="H145" i="4"/>
  <c r="I145" i="4"/>
  <c r="I137" i="39"/>
  <c r="H137" i="39"/>
  <c r="B138" i="37"/>
  <c r="F138" i="37"/>
  <c r="H141" i="27"/>
  <c r="I141" i="27"/>
  <c r="B146" i="3"/>
  <c r="F146" i="3"/>
  <c r="I137" i="43"/>
  <c r="H137" i="43"/>
  <c r="I144" i="22"/>
  <c r="H144" i="22"/>
  <c r="I147" i="11"/>
  <c r="H147" i="11"/>
  <c r="I148" i="10"/>
  <c r="H148" i="10"/>
  <c r="B141" i="28"/>
  <c r="F141" i="28"/>
  <c r="B143" i="24"/>
  <c r="F143" i="24"/>
  <c r="H143" i="23"/>
  <c r="I143" i="23"/>
  <c r="B141" i="31"/>
  <c r="F141" i="31"/>
  <c r="I146" i="8"/>
  <c r="H146" i="8"/>
  <c r="B142" i="27"/>
  <c r="F142" i="27"/>
  <c r="H140" i="31"/>
  <c r="I140" i="31"/>
  <c r="B147" i="6"/>
  <c r="F147" i="6"/>
  <c r="H137" i="37"/>
  <c r="I137" i="37"/>
  <c r="B147" i="8"/>
  <c r="F147" i="8"/>
  <c r="H145" i="3"/>
  <c r="I145" i="3"/>
  <c r="B141" i="29"/>
  <c r="F141" i="29"/>
  <c r="B148" i="11"/>
  <c r="F148" i="11"/>
  <c r="B149" i="7"/>
  <c r="F149" i="7"/>
  <c r="H140" i="28"/>
  <c r="I140" i="28"/>
  <c r="I142" i="24"/>
  <c r="H142" i="24"/>
  <c r="H145" i="5"/>
  <c r="I145" i="5"/>
  <c r="B140" i="30"/>
  <c r="F140" i="30"/>
  <c r="B138" i="39"/>
  <c r="F138" i="39"/>
  <c r="H140" i="29"/>
  <c r="I140" i="29"/>
  <c r="B137" i="40"/>
  <c r="F137" i="40"/>
  <c r="I148" i="7"/>
  <c r="H148" i="7"/>
  <c r="B145" i="25"/>
  <c r="F145" i="25"/>
  <c r="B148" i="9"/>
  <c r="F148" i="9"/>
  <c r="B146" i="5"/>
  <c r="F146" i="5"/>
  <c r="B145" i="22"/>
  <c r="F145" i="22"/>
  <c r="B149" i="10"/>
  <c r="F149" i="10"/>
  <c r="I136" i="40"/>
  <c r="H136" i="40"/>
  <c r="B144" i="23"/>
  <c r="F144" i="23"/>
  <c r="I144" i="25"/>
  <c r="H144" i="25"/>
  <c r="H147" i="9"/>
  <c r="I147" i="9"/>
  <c r="H141" i="42" l="1"/>
  <c r="G146" i="46"/>
  <c r="D147" i="46"/>
  <c r="B147" i="46" s="1"/>
  <c r="E147" i="46"/>
  <c r="F147" i="46" s="1"/>
  <c r="E140" i="45"/>
  <c r="F140" i="45" s="1"/>
  <c r="B140" i="45"/>
  <c r="I139" i="45"/>
  <c r="H139" i="45"/>
  <c r="E143" i="38"/>
  <c r="F143" i="38" s="1"/>
  <c r="G143" i="38" s="1"/>
  <c r="E143" i="41"/>
  <c r="F143" i="41" s="1"/>
  <c r="D144" i="41" s="1"/>
  <c r="D147" i="44"/>
  <c r="G146" i="44"/>
  <c r="G142" i="42"/>
  <c r="D143" i="42"/>
  <c r="B143" i="42" s="1"/>
  <c r="J145" i="4"/>
  <c r="J146" i="6"/>
  <c r="J148" i="7"/>
  <c r="J146" i="8"/>
  <c r="G144" i="23"/>
  <c r="D145" i="23"/>
  <c r="E145" i="23" s="1"/>
  <c r="G149" i="10"/>
  <c r="D150" i="10"/>
  <c r="E150" i="10" s="1"/>
  <c r="G146" i="5"/>
  <c r="D147" i="5"/>
  <c r="E147" i="5" s="1"/>
  <c r="G145" i="25"/>
  <c r="D146" i="25"/>
  <c r="E146" i="25" s="1"/>
  <c r="G137" i="40"/>
  <c r="D138" i="40"/>
  <c r="E138" i="40" s="1"/>
  <c r="G138" i="39"/>
  <c r="D139" i="39"/>
  <c r="E139" i="39"/>
  <c r="J145" i="5"/>
  <c r="J140" i="28"/>
  <c r="G148" i="11"/>
  <c r="D149" i="11"/>
  <c r="E149" i="11" s="1"/>
  <c r="J145" i="3"/>
  <c r="J140" i="31"/>
  <c r="G141" i="28"/>
  <c r="D142" i="28"/>
  <c r="E142" i="28" s="1"/>
  <c r="J141" i="27"/>
  <c r="J139" i="30"/>
  <c r="G146" i="4"/>
  <c r="D147" i="4"/>
  <c r="E147" i="4" s="1"/>
  <c r="G145" i="22"/>
  <c r="D146" i="22"/>
  <c r="E146" i="22" s="1"/>
  <c r="G148" i="9"/>
  <c r="D149" i="9"/>
  <c r="E149" i="9" s="1"/>
  <c r="J140" i="29"/>
  <c r="G140" i="30"/>
  <c r="D141" i="30"/>
  <c r="E141" i="30" s="1"/>
  <c r="G149" i="7"/>
  <c r="D150" i="7"/>
  <c r="E150" i="7" s="1"/>
  <c r="G141" i="29"/>
  <c r="D142" i="29"/>
  <c r="E142" i="29" s="1"/>
  <c r="G147" i="8"/>
  <c r="D148" i="8"/>
  <c r="E148" i="8" s="1"/>
  <c r="G147" i="6"/>
  <c r="D148" i="6"/>
  <c r="E148" i="6" s="1"/>
  <c r="G142" i="27"/>
  <c r="D143" i="27"/>
  <c r="E143" i="27" s="1"/>
  <c r="G141" i="31"/>
  <c r="D142" i="31"/>
  <c r="E142" i="31" s="1"/>
  <c r="G143" i="24"/>
  <c r="D144" i="24"/>
  <c r="E144" i="24" s="1"/>
  <c r="G146" i="3"/>
  <c r="D147" i="3"/>
  <c r="G138" i="37"/>
  <c r="D139" i="37"/>
  <c r="E139" i="37" s="1"/>
  <c r="G138" i="43"/>
  <c r="D139" i="43"/>
  <c r="E139" i="43"/>
  <c r="J148" i="10"/>
  <c r="D148" i="46" l="1"/>
  <c r="B148" i="46" s="1"/>
  <c r="G147" i="46"/>
  <c r="H146" i="46"/>
  <c r="I146" i="46"/>
  <c r="G140" i="45"/>
  <c r="D141" i="45"/>
  <c r="B141" i="45" s="1"/>
  <c r="D144" i="38"/>
  <c r="B144" i="38" s="1"/>
  <c r="G143" i="41"/>
  <c r="I143" i="41" s="1"/>
  <c r="I146" i="44"/>
  <c r="H146" i="44"/>
  <c r="E147" i="44"/>
  <c r="F147" i="44" s="1"/>
  <c r="B147" i="44"/>
  <c r="E143" i="42"/>
  <c r="F143" i="42" s="1"/>
  <c r="D144" i="42" s="1"/>
  <c r="H143" i="38"/>
  <c r="I143" i="38"/>
  <c r="E144" i="41"/>
  <c r="F144" i="41" s="1"/>
  <c r="B144" i="41"/>
  <c r="I142" i="42"/>
  <c r="H142" i="42"/>
  <c r="B147" i="3"/>
  <c r="B143" i="27"/>
  <c r="F143" i="27"/>
  <c r="H147" i="6"/>
  <c r="I147" i="6"/>
  <c r="B139" i="43"/>
  <c r="F139" i="43"/>
  <c r="I138" i="37"/>
  <c r="H138" i="37"/>
  <c r="B142" i="31"/>
  <c r="F142" i="31"/>
  <c r="H142" i="27"/>
  <c r="I142" i="27"/>
  <c r="B142" i="29"/>
  <c r="F142" i="29"/>
  <c r="H149" i="7"/>
  <c r="I149" i="7"/>
  <c r="B147" i="4"/>
  <c r="F147" i="4"/>
  <c r="I138" i="39"/>
  <c r="H138" i="39"/>
  <c r="B147" i="5"/>
  <c r="F147" i="5"/>
  <c r="H149" i="10"/>
  <c r="I149" i="10"/>
  <c r="B139" i="37"/>
  <c r="F139" i="37"/>
  <c r="H146" i="3"/>
  <c r="I146" i="3"/>
  <c r="I138" i="43"/>
  <c r="H138" i="43"/>
  <c r="E147" i="3"/>
  <c r="F147" i="3" s="1"/>
  <c r="B144" i="24"/>
  <c r="F144" i="24"/>
  <c r="H141" i="31"/>
  <c r="I141" i="31"/>
  <c r="B148" i="8"/>
  <c r="F148" i="8"/>
  <c r="H141" i="29"/>
  <c r="I141" i="29"/>
  <c r="B146" i="22"/>
  <c r="F146" i="22"/>
  <c r="H146" i="4"/>
  <c r="I146" i="4"/>
  <c r="F142" i="28"/>
  <c r="B142" i="28"/>
  <c r="B146" i="25"/>
  <c r="F146" i="25"/>
  <c r="I146" i="5"/>
  <c r="H146" i="5"/>
  <c r="B148" i="6"/>
  <c r="F148" i="6"/>
  <c r="H147" i="8"/>
  <c r="I147" i="8"/>
  <c r="B141" i="30"/>
  <c r="F141" i="30"/>
  <c r="B149" i="9"/>
  <c r="F149" i="9"/>
  <c r="H145" i="22"/>
  <c r="I145" i="22"/>
  <c r="H141" i="28"/>
  <c r="I141" i="28"/>
  <c r="B149" i="11"/>
  <c r="F149" i="11"/>
  <c r="B138" i="40"/>
  <c r="F138" i="40"/>
  <c r="I145" i="25"/>
  <c r="H145" i="25"/>
  <c r="B145" i="23"/>
  <c r="F145" i="23"/>
  <c r="H143" i="24"/>
  <c r="I143" i="24"/>
  <c r="B150" i="7"/>
  <c r="F150" i="7"/>
  <c r="I140" i="30"/>
  <c r="H140" i="30"/>
  <c r="I148" i="9"/>
  <c r="H148" i="9"/>
  <c r="I148" i="11"/>
  <c r="H148" i="11"/>
  <c r="B139" i="39"/>
  <c r="F139" i="39"/>
  <c r="H137" i="40"/>
  <c r="I137" i="40"/>
  <c r="B150" i="10"/>
  <c r="F150" i="10"/>
  <c r="I144" i="23"/>
  <c r="H144" i="23"/>
  <c r="H147" i="46" l="1"/>
  <c r="I147" i="46"/>
  <c r="E148" i="46"/>
  <c r="F148" i="46" s="1"/>
  <c r="H143" i="41"/>
  <c r="E141" i="45"/>
  <c r="F141" i="45" s="1"/>
  <c r="G141" i="45" s="1"/>
  <c r="E144" i="38"/>
  <c r="F144" i="38" s="1"/>
  <c r="D145" i="38" s="1"/>
  <c r="B145" i="38" s="1"/>
  <c r="H140" i="45"/>
  <c r="I140" i="45"/>
  <c r="D148" i="44"/>
  <c r="G147" i="44"/>
  <c r="G143" i="42"/>
  <c r="I143" i="42" s="1"/>
  <c r="J146" i="4"/>
  <c r="J141" i="29"/>
  <c r="J141" i="31"/>
  <c r="E144" i="42"/>
  <c r="F144" i="42" s="1"/>
  <c r="B144" i="42"/>
  <c r="D145" i="41"/>
  <c r="G144" i="41"/>
  <c r="J146" i="5"/>
  <c r="J146" i="3"/>
  <c r="J149" i="10"/>
  <c r="J149" i="7"/>
  <c r="D148" i="3"/>
  <c r="E148" i="3" s="1"/>
  <c r="G147" i="3"/>
  <c r="D150" i="11"/>
  <c r="G149" i="11"/>
  <c r="G141" i="30"/>
  <c r="D142" i="30"/>
  <c r="E142" i="30" s="1"/>
  <c r="G146" i="25"/>
  <c r="D147" i="25"/>
  <c r="E147" i="25" s="1"/>
  <c r="J140" i="30"/>
  <c r="G139" i="37"/>
  <c r="D140" i="37"/>
  <c r="E140" i="37" s="1"/>
  <c r="G147" i="5"/>
  <c r="D148" i="5"/>
  <c r="E148" i="5" s="1"/>
  <c r="G147" i="4"/>
  <c r="D148" i="4"/>
  <c r="E148" i="4" s="1"/>
  <c r="G142" i="29"/>
  <c r="D143" i="29"/>
  <c r="E143" i="29" s="1"/>
  <c r="G142" i="31"/>
  <c r="D143" i="31"/>
  <c r="E143" i="31" s="1"/>
  <c r="G139" i="43"/>
  <c r="D140" i="43"/>
  <c r="E140" i="43" s="1"/>
  <c r="G143" i="27"/>
  <c r="D144" i="27"/>
  <c r="E144" i="27" s="1"/>
  <c r="G142" i="28"/>
  <c r="D143" i="28"/>
  <c r="E143" i="28" s="1"/>
  <c r="G148" i="6"/>
  <c r="D149" i="6"/>
  <c r="E149" i="6" s="1"/>
  <c r="G150" i="10"/>
  <c r="D151" i="10"/>
  <c r="E151" i="10" s="1"/>
  <c r="G139" i="39"/>
  <c r="D140" i="39"/>
  <c r="E140" i="39" s="1"/>
  <c r="G150" i="7"/>
  <c r="D151" i="7"/>
  <c r="G145" i="23"/>
  <c r="D146" i="23"/>
  <c r="E146" i="23" s="1"/>
  <c r="G138" i="40"/>
  <c r="D139" i="40"/>
  <c r="E139" i="40" s="1"/>
  <c r="J141" i="28"/>
  <c r="G149" i="9"/>
  <c r="D150" i="9"/>
  <c r="E150" i="9" s="1"/>
  <c r="J147" i="8"/>
  <c r="G146" i="22"/>
  <c r="D147" i="22"/>
  <c r="E147" i="22" s="1"/>
  <c r="G148" i="8"/>
  <c r="D149" i="8"/>
  <c r="E149" i="8" s="1"/>
  <c r="D145" i="24"/>
  <c r="E145" i="24" s="1"/>
  <c r="G144" i="24"/>
  <c r="J142" i="27"/>
  <c r="J147" i="6"/>
  <c r="G148" i="46" l="1"/>
  <c r="D149" i="46"/>
  <c r="D142" i="45"/>
  <c r="B142" i="45" s="1"/>
  <c r="G144" i="38"/>
  <c r="H144" i="38" s="1"/>
  <c r="E145" i="38"/>
  <c r="F145" i="38" s="1"/>
  <c r="D146" i="38" s="1"/>
  <c r="B146" i="38" s="1"/>
  <c r="H141" i="45"/>
  <c r="I141" i="45"/>
  <c r="I144" i="38"/>
  <c r="H143" i="42"/>
  <c r="H147" i="44"/>
  <c r="I147" i="44"/>
  <c r="E148" i="44"/>
  <c r="F148" i="44" s="1"/>
  <c r="B148" i="44"/>
  <c r="G144" i="42"/>
  <c r="D145" i="42"/>
  <c r="B145" i="42" s="1"/>
  <c r="H144" i="41"/>
  <c r="I144" i="41"/>
  <c r="E145" i="41"/>
  <c r="F145" i="41" s="1"/>
  <c r="B145" i="41"/>
  <c r="H144" i="24"/>
  <c r="I144" i="24"/>
  <c r="H148" i="8"/>
  <c r="I148" i="8"/>
  <c r="B151" i="7"/>
  <c r="H139" i="39"/>
  <c r="I139" i="39"/>
  <c r="B143" i="28"/>
  <c r="F143" i="28"/>
  <c r="H143" i="27"/>
  <c r="I143" i="27"/>
  <c r="B143" i="29"/>
  <c r="F143" i="29"/>
  <c r="H147" i="4"/>
  <c r="I147" i="4"/>
  <c r="B142" i="30"/>
  <c r="F142" i="30"/>
  <c r="B150" i="11"/>
  <c r="B145" i="24"/>
  <c r="F145" i="24"/>
  <c r="B146" i="23"/>
  <c r="F146" i="23"/>
  <c r="H150" i="7"/>
  <c r="I150" i="7"/>
  <c r="B149" i="6"/>
  <c r="F149" i="6"/>
  <c r="H142" i="28"/>
  <c r="I142" i="28"/>
  <c r="B143" i="31"/>
  <c r="F143" i="31"/>
  <c r="H142" i="29"/>
  <c r="I142" i="29"/>
  <c r="B140" i="37"/>
  <c r="F140" i="37"/>
  <c r="B147" i="25"/>
  <c r="F147" i="25"/>
  <c r="H141" i="30"/>
  <c r="I141" i="30"/>
  <c r="B147" i="22"/>
  <c r="F147" i="22"/>
  <c r="B150" i="9"/>
  <c r="F150" i="9"/>
  <c r="B139" i="40"/>
  <c r="F139" i="40"/>
  <c r="I145" i="23"/>
  <c r="H145" i="23"/>
  <c r="B151" i="10"/>
  <c r="F151" i="10"/>
  <c r="H148" i="6"/>
  <c r="I148" i="6"/>
  <c r="B140" i="43"/>
  <c r="F140" i="43"/>
  <c r="H142" i="31"/>
  <c r="I142" i="31"/>
  <c r="B148" i="5"/>
  <c r="F148" i="5"/>
  <c r="H139" i="37"/>
  <c r="I139" i="37"/>
  <c r="I146" i="25"/>
  <c r="H146" i="25"/>
  <c r="E150" i="11"/>
  <c r="F150" i="11" s="1"/>
  <c r="H147" i="3"/>
  <c r="I147" i="3"/>
  <c r="B149" i="8"/>
  <c r="F149" i="8"/>
  <c r="H146" i="22"/>
  <c r="I146" i="22"/>
  <c r="H149" i="9"/>
  <c r="I149" i="9"/>
  <c r="I138" i="40"/>
  <c r="H138" i="40"/>
  <c r="E151" i="7"/>
  <c r="F151" i="7" s="1"/>
  <c r="B140" i="39"/>
  <c r="F140" i="39"/>
  <c r="H150" i="10"/>
  <c r="I150" i="10"/>
  <c r="B144" i="27"/>
  <c r="F144" i="27"/>
  <c r="I139" i="43"/>
  <c r="H139" i="43"/>
  <c r="B148" i="4"/>
  <c r="F148" i="4"/>
  <c r="H147" i="5"/>
  <c r="I147" i="5"/>
  <c r="I149" i="11"/>
  <c r="H149" i="11"/>
  <c r="B148" i="3"/>
  <c r="F148" i="3"/>
  <c r="B149" i="46" l="1"/>
  <c r="E142" i="45"/>
  <c r="F142" i="45" s="1"/>
  <c r="G142" i="45" s="1"/>
  <c r="E149" i="46"/>
  <c r="F149" i="46" s="1"/>
  <c r="H148" i="46"/>
  <c r="I148" i="46"/>
  <c r="G145" i="38"/>
  <c r="H145" i="38" s="1"/>
  <c r="E146" i="38"/>
  <c r="F146" i="38" s="1"/>
  <c r="D147" i="38" s="1"/>
  <c r="B147" i="38" s="1"/>
  <c r="D143" i="45"/>
  <c r="B143" i="45" s="1"/>
  <c r="D149" i="44"/>
  <c r="G148" i="44"/>
  <c r="E145" i="42"/>
  <c r="F145" i="42" s="1"/>
  <c r="G145" i="42" s="1"/>
  <c r="J147" i="3"/>
  <c r="G145" i="41"/>
  <c r="D146" i="41"/>
  <c r="H144" i="42"/>
  <c r="I144" i="42"/>
  <c r="J147" i="4"/>
  <c r="J143" i="27"/>
  <c r="J148" i="8"/>
  <c r="J142" i="31"/>
  <c r="J148" i="6"/>
  <c r="J141" i="30"/>
  <c r="G151" i="7"/>
  <c r="D152" i="7"/>
  <c r="E152" i="7" s="1"/>
  <c r="D151" i="11"/>
  <c r="E151" i="11" s="1"/>
  <c r="G150" i="11"/>
  <c r="G148" i="4"/>
  <c r="D149" i="4"/>
  <c r="G144" i="27"/>
  <c r="D145" i="27"/>
  <c r="E145" i="27" s="1"/>
  <c r="G140" i="39"/>
  <c r="D141" i="39"/>
  <c r="E141" i="39" s="1"/>
  <c r="G150" i="9"/>
  <c r="D151" i="9"/>
  <c r="E151" i="9" s="1"/>
  <c r="G140" i="37"/>
  <c r="D141" i="37"/>
  <c r="E141" i="37" s="1"/>
  <c r="G143" i="31"/>
  <c r="D144" i="31"/>
  <c r="E144" i="31" s="1"/>
  <c r="G149" i="6"/>
  <c r="D150" i="6"/>
  <c r="E150" i="6" s="1"/>
  <c r="G146" i="23"/>
  <c r="D147" i="23"/>
  <c r="E147" i="23" s="1"/>
  <c r="G149" i="8"/>
  <c r="D150" i="8"/>
  <c r="G148" i="3"/>
  <c r="D149" i="3"/>
  <c r="E149" i="3" s="1"/>
  <c r="J147" i="5"/>
  <c r="J150" i="10"/>
  <c r="G148" i="5"/>
  <c r="D149" i="5"/>
  <c r="G140" i="43"/>
  <c r="D141" i="43"/>
  <c r="E141" i="43" s="1"/>
  <c r="G151" i="10"/>
  <c r="D152" i="10"/>
  <c r="E152" i="10" s="1"/>
  <c r="G139" i="40"/>
  <c r="D140" i="40"/>
  <c r="E140" i="40" s="1"/>
  <c r="G147" i="22"/>
  <c r="D148" i="22"/>
  <c r="G147" i="25"/>
  <c r="D148" i="25"/>
  <c r="E148" i="25" s="1"/>
  <c r="J142" i="29"/>
  <c r="J142" i="28"/>
  <c r="J150" i="7"/>
  <c r="G145" i="24"/>
  <c r="D146" i="24"/>
  <c r="E146" i="24" s="1"/>
  <c r="G142" i="30"/>
  <c r="D143" i="30"/>
  <c r="E143" i="30" s="1"/>
  <c r="G143" i="29"/>
  <c r="D144" i="29"/>
  <c r="E144" i="29" s="1"/>
  <c r="D144" i="28"/>
  <c r="E144" i="28" s="1"/>
  <c r="G143" i="28"/>
  <c r="I145" i="38" l="1"/>
  <c r="D150" i="46"/>
  <c r="B150" i="46" s="1"/>
  <c r="G149" i="46"/>
  <c r="E143" i="45"/>
  <c r="F143" i="45" s="1"/>
  <c r="G143" i="45" s="1"/>
  <c r="G146" i="38"/>
  <c r="H146" i="38" s="1"/>
  <c r="E147" i="38"/>
  <c r="F147" i="38" s="1"/>
  <c r="D148" i="38" s="1"/>
  <c r="H142" i="45"/>
  <c r="I142" i="45"/>
  <c r="I148" i="44"/>
  <c r="H148" i="44"/>
  <c r="D146" i="42"/>
  <c r="E146" i="42" s="1"/>
  <c r="F146" i="42" s="1"/>
  <c r="E149" i="44"/>
  <c r="F149" i="44" s="1"/>
  <c r="B149" i="44"/>
  <c r="E146" i="41"/>
  <c r="F146" i="41" s="1"/>
  <c r="B146" i="41"/>
  <c r="H145" i="41"/>
  <c r="I145" i="41"/>
  <c r="I145" i="42"/>
  <c r="H145" i="42"/>
  <c r="B143" i="30"/>
  <c r="F143" i="30"/>
  <c r="I145" i="24"/>
  <c r="H145" i="24"/>
  <c r="B148" i="22"/>
  <c r="I139" i="40"/>
  <c r="H139" i="40"/>
  <c r="B149" i="5"/>
  <c r="B150" i="8"/>
  <c r="I146" i="23"/>
  <c r="H146" i="23"/>
  <c r="B141" i="37"/>
  <c r="F141" i="37"/>
  <c r="I150" i="9"/>
  <c r="H150" i="9"/>
  <c r="B149" i="4"/>
  <c r="B151" i="11"/>
  <c r="F151" i="11"/>
  <c r="B149" i="3"/>
  <c r="F149" i="3"/>
  <c r="H149" i="8"/>
  <c r="I149" i="8"/>
  <c r="F144" i="31"/>
  <c r="B144" i="31"/>
  <c r="H140" i="37"/>
  <c r="I140" i="37"/>
  <c r="B145" i="27"/>
  <c r="F145" i="27"/>
  <c r="H148" i="4"/>
  <c r="I148" i="4"/>
  <c r="B144" i="29"/>
  <c r="F144" i="29"/>
  <c r="I142" i="30"/>
  <c r="H142" i="30"/>
  <c r="I147" i="22"/>
  <c r="H147" i="22"/>
  <c r="B141" i="43"/>
  <c r="F141" i="43"/>
  <c r="H148" i="5"/>
  <c r="I148" i="5"/>
  <c r="H143" i="28"/>
  <c r="I143" i="28"/>
  <c r="H143" i="29"/>
  <c r="I143" i="29"/>
  <c r="I147" i="25"/>
  <c r="H147" i="25"/>
  <c r="B152" i="10"/>
  <c r="F152" i="10"/>
  <c r="H140" i="43"/>
  <c r="I140" i="43"/>
  <c r="I148" i="3"/>
  <c r="H148" i="3"/>
  <c r="B150" i="6"/>
  <c r="F150" i="6"/>
  <c r="I143" i="31"/>
  <c r="H143" i="31"/>
  <c r="B141" i="39"/>
  <c r="F141" i="39"/>
  <c r="I144" i="27"/>
  <c r="H144" i="27"/>
  <c r="B152" i="7"/>
  <c r="F152" i="7"/>
  <c r="B148" i="25"/>
  <c r="F148" i="25"/>
  <c r="B144" i="28"/>
  <c r="F144" i="28"/>
  <c r="B146" i="24"/>
  <c r="F146" i="24"/>
  <c r="E148" i="22"/>
  <c r="F148" i="22" s="1"/>
  <c r="B140" i="40"/>
  <c r="F140" i="40"/>
  <c r="I151" i="10"/>
  <c r="H151" i="10"/>
  <c r="E149" i="5"/>
  <c r="F149" i="5" s="1"/>
  <c r="E150" i="8"/>
  <c r="F150" i="8" s="1"/>
  <c r="B147" i="23"/>
  <c r="F147" i="23"/>
  <c r="I149" i="6"/>
  <c r="H149" i="6"/>
  <c r="B151" i="9"/>
  <c r="F151" i="9"/>
  <c r="I140" i="39"/>
  <c r="H140" i="39"/>
  <c r="E149" i="4"/>
  <c r="F149" i="4" s="1"/>
  <c r="H150" i="11"/>
  <c r="I150" i="11"/>
  <c r="I151" i="7"/>
  <c r="H151" i="7"/>
  <c r="D144" i="45" l="1"/>
  <c r="B144" i="45" s="1"/>
  <c r="E150" i="46"/>
  <c r="F150" i="46" s="1"/>
  <c r="H149" i="46"/>
  <c r="I149" i="46"/>
  <c r="G147" i="38"/>
  <c r="I146" i="38"/>
  <c r="E144" i="45"/>
  <c r="F144" i="45" s="1"/>
  <c r="G144" i="45" s="1"/>
  <c r="I143" i="45"/>
  <c r="H143" i="45"/>
  <c r="D150" i="44"/>
  <c r="B150" i="44" s="1"/>
  <c r="G149" i="44"/>
  <c r="B146" i="42"/>
  <c r="D147" i="42"/>
  <c r="G146" i="42"/>
  <c r="D147" i="41"/>
  <c r="G146" i="41"/>
  <c r="I147" i="38"/>
  <c r="H147" i="38"/>
  <c r="E148" i="38"/>
  <c r="F148" i="38" s="1"/>
  <c r="B148" i="38"/>
  <c r="J142" i="30"/>
  <c r="J151" i="7"/>
  <c r="J144" i="27"/>
  <c r="J143" i="31"/>
  <c r="J148" i="3"/>
  <c r="G148" i="22"/>
  <c r="D149" i="22"/>
  <c r="E149" i="22" s="1"/>
  <c r="G149" i="4"/>
  <c r="D150" i="4"/>
  <c r="E150" i="4" s="1"/>
  <c r="G150" i="8"/>
  <c r="D151" i="8"/>
  <c r="G149" i="5"/>
  <c r="D150" i="5"/>
  <c r="E150" i="5" s="1"/>
  <c r="J151" i="10"/>
  <c r="G146" i="24"/>
  <c r="D147" i="24"/>
  <c r="E147" i="24" s="1"/>
  <c r="G148" i="25"/>
  <c r="D149" i="25"/>
  <c r="E149" i="25" s="1"/>
  <c r="G152" i="10"/>
  <c r="D153" i="10"/>
  <c r="E153" i="10" s="1"/>
  <c r="J143" i="29"/>
  <c r="J148" i="5"/>
  <c r="G144" i="29"/>
  <c r="D145" i="29"/>
  <c r="E145" i="29" s="1"/>
  <c r="G145" i="27"/>
  <c r="D146" i="27"/>
  <c r="E146" i="27" s="1"/>
  <c r="G149" i="3"/>
  <c r="D150" i="3"/>
  <c r="G141" i="37"/>
  <c r="D142" i="37"/>
  <c r="E142" i="37" s="1"/>
  <c r="G144" i="31"/>
  <c r="D145" i="31"/>
  <c r="E145" i="31" s="1"/>
  <c r="G140" i="40"/>
  <c r="D141" i="40"/>
  <c r="E141" i="40" s="1"/>
  <c r="J149" i="6"/>
  <c r="G144" i="28"/>
  <c r="D145" i="28"/>
  <c r="E145" i="28" s="1"/>
  <c r="D153" i="7"/>
  <c r="G152" i="7"/>
  <c r="G141" i="39"/>
  <c r="D142" i="39"/>
  <c r="E142" i="39" s="1"/>
  <c r="G150" i="6"/>
  <c r="D151" i="6"/>
  <c r="E151" i="6" s="1"/>
  <c r="J143" i="28"/>
  <c r="G141" i="43"/>
  <c r="D142" i="43"/>
  <c r="E142" i="43" s="1"/>
  <c r="J148" i="4"/>
  <c r="J149" i="8"/>
  <c r="G151" i="11"/>
  <c r="D152" i="11"/>
  <c r="E152" i="11" s="1"/>
  <c r="G143" i="30"/>
  <c r="D144" i="30"/>
  <c r="E144" i="30" s="1"/>
  <c r="D152" i="9"/>
  <c r="E152" i="9" s="1"/>
  <c r="G151" i="9"/>
  <c r="G147" i="23"/>
  <c r="D148" i="23"/>
  <c r="G150" i="46" l="1"/>
  <c r="D151" i="46"/>
  <c r="D145" i="45"/>
  <c r="H144" i="45"/>
  <c r="I144" i="45"/>
  <c r="E150" i="44"/>
  <c r="F150" i="44" s="1"/>
  <c r="G150" i="44" s="1"/>
  <c r="I149" i="44"/>
  <c r="H149" i="44"/>
  <c r="E147" i="41"/>
  <c r="F147" i="41" s="1"/>
  <c r="B147" i="41"/>
  <c r="D149" i="38"/>
  <c r="G148" i="38"/>
  <c r="I146" i="42"/>
  <c r="H146" i="42"/>
  <c r="H146" i="41"/>
  <c r="I146" i="41"/>
  <c r="E147" i="42"/>
  <c r="F147" i="42" s="1"/>
  <c r="B147" i="42"/>
  <c r="H147" i="23"/>
  <c r="I147" i="23"/>
  <c r="B148" i="23"/>
  <c r="B152" i="9"/>
  <c r="F152" i="9"/>
  <c r="H152" i="7"/>
  <c r="I152" i="7"/>
  <c r="H144" i="28"/>
  <c r="I144" i="28"/>
  <c r="H140" i="40"/>
  <c r="I140" i="40"/>
  <c r="B150" i="3"/>
  <c r="H145" i="27"/>
  <c r="I145" i="27"/>
  <c r="I152" i="10"/>
  <c r="H152" i="10"/>
  <c r="B151" i="8"/>
  <c r="H149" i="4"/>
  <c r="I149" i="4"/>
  <c r="B152" i="11"/>
  <c r="F152" i="11"/>
  <c r="B142" i="39"/>
  <c r="F142" i="39"/>
  <c r="B153" i="7"/>
  <c r="B142" i="37"/>
  <c r="F142" i="37"/>
  <c r="H149" i="3"/>
  <c r="I149" i="3"/>
  <c r="B147" i="24"/>
  <c r="F147" i="24"/>
  <c r="B150" i="5"/>
  <c r="F150" i="5"/>
  <c r="I150" i="8"/>
  <c r="H150" i="8"/>
  <c r="B142" i="43"/>
  <c r="F142" i="43"/>
  <c r="B151" i="6"/>
  <c r="F151" i="6"/>
  <c r="H141" i="39"/>
  <c r="I141" i="39"/>
  <c r="B145" i="31"/>
  <c r="F145" i="31"/>
  <c r="I141" i="37"/>
  <c r="H141" i="37"/>
  <c r="B145" i="29"/>
  <c r="F145" i="29"/>
  <c r="B149" i="25"/>
  <c r="F149" i="25"/>
  <c r="H146" i="24"/>
  <c r="I146" i="24"/>
  <c r="H149" i="5"/>
  <c r="I149" i="5"/>
  <c r="B149" i="22"/>
  <c r="F149" i="22"/>
  <c r="B144" i="30"/>
  <c r="F144" i="30"/>
  <c r="I151" i="11"/>
  <c r="H151" i="11"/>
  <c r="E148" i="23"/>
  <c r="F148" i="23" s="1"/>
  <c r="I151" i="9"/>
  <c r="H151" i="9"/>
  <c r="H143" i="30"/>
  <c r="I143" i="30"/>
  <c r="I141" i="43"/>
  <c r="H141" i="43"/>
  <c r="H150" i="6"/>
  <c r="I150" i="6"/>
  <c r="E153" i="7"/>
  <c r="F153" i="7" s="1"/>
  <c r="B145" i="28"/>
  <c r="F145" i="28"/>
  <c r="B141" i="40"/>
  <c r="F141" i="40"/>
  <c r="I144" i="31"/>
  <c r="H144" i="31"/>
  <c r="E150" i="3"/>
  <c r="F150" i="3" s="1"/>
  <c r="B146" i="27"/>
  <c r="F146" i="27"/>
  <c r="H144" i="29"/>
  <c r="I144" i="29"/>
  <c r="B153" i="10"/>
  <c r="F153" i="10"/>
  <c r="I148" i="25"/>
  <c r="H148" i="25"/>
  <c r="E151" i="8"/>
  <c r="F151" i="8" s="1"/>
  <c r="B150" i="4"/>
  <c r="F150" i="4"/>
  <c r="I148" i="22"/>
  <c r="H148" i="22"/>
  <c r="B151" i="46" l="1"/>
  <c r="E151" i="46"/>
  <c r="F151" i="46" s="1"/>
  <c r="I150" i="46"/>
  <c r="H150" i="46"/>
  <c r="B145" i="45"/>
  <c r="E145" i="45"/>
  <c r="F145" i="45" s="1"/>
  <c r="D151" i="44"/>
  <c r="E151" i="44" s="1"/>
  <c r="F151" i="44" s="1"/>
  <c r="H150" i="44"/>
  <c r="I150" i="44"/>
  <c r="J144" i="29"/>
  <c r="E149" i="38"/>
  <c r="F149" i="38" s="1"/>
  <c r="B149" i="38"/>
  <c r="G147" i="42"/>
  <c r="D148" i="42"/>
  <c r="G147" i="41"/>
  <c r="D148" i="41"/>
  <c r="B148" i="41" s="1"/>
  <c r="I148" i="38"/>
  <c r="H148" i="38"/>
  <c r="J150" i="6"/>
  <c r="J143" i="30"/>
  <c r="J145" i="27"/>
  <c r="J144" i="31"/>
  <c r="J152" i="10"/>
  <c r="J150" i="8"/>
  <c r="G151" i="8"/>
  <c r="D152" i="8"/>
  <c r="E152" i="8" s="1"/>
  <c r="G153" i="7"/>
  <c r="D154" i="7"/>
  <c r="E154" i="7" s="1"/>
  <c r="E155" i="7" s="1"/>
  <c r="G148" i="23"/>
  <c r="D149" i="23"/>
  <c r="D151" i="3"/>
  <c r="E151" i="3" s="1"/>
  <c r="G150" i="3"/>
  <c r="G153" i="10"/>
  <c r="D154" i="10"/>
  <c r="E154" i="10" s="1"/>
  <c r="E155" i="10" s="1"/>
  <c r="G141" i="40"/>
  <c r="D142" i="40"/>
  <c r="E142" i="40" s="1"/>
  <c r="G144" i="30"/>
  <c r="D145" i="30"/>
  <c r="E145" i="30" s="1"/>
  <c r="J149" i="5"/>
  <c r="G149" i="25"/>
  <c r="D150" i="25"/>
  <c r="G142" i="43"/>
  <c r="D143" i="43"/>
  <c r="E143" i="43" s="1"/>
  <c r="G150" i="5"/>
  <c r="D151" i="5"/>
  <c r="E151" i="5" s="1"/>
  <c r="J149" i="3"/>
  <c r="G152" i="11"/>
  <c r="D153" i="11"/>
  <c r="E153" i="11" s="1"/>
  <c r="J152" i="7"/>
  <c r="G150" i="4"/>
  <c r="D151" i="4"/>
  <c r="E151" i="4" s="1"/>
  <c r="G145" i="28"/>
  <c r="D146" i="28"/>
  <c r="E146" i="28" s="1"/>
  <c r="G149" i="22"/>
  <c r="D150" i="22"/>
  <c r="G145" i="29"/>
  <c r="D146" i="29"/>
  <c r="E146" i="29" s="1"/>
  <c r="G145" i="31"/>
  <c r="D146" i="31"/>
  <c r="E146" i="31" s="1"/>
  <c r="D152" i="6"/>
  <c r="E152" i="6" s="1"/>
  <c r="G151" i="6"/>
  <c r="G147" i="24"/>
  <c r="D148" i="24"/>
  <c r="G142" i="37"/>
  <c r="D143" i="37"/>
  <c r="E143" i="37" s="1"/>
  <c r="G142" i="39"/>
  <c r="D143" i="39"/>
  <c r="E143" i="39" s="1"/>
  <c r="J149" i="4"/>
  <c r="J144" i="28"/>
  <c r="D153" i="9"/>
  <c r="E153" i="9" s="1"/>
  <c r="G152" i="9"/>
  <c r="G146" i="27"/>
  <c r="D147" i="27"/>
  <c r="E147" i="27" s="1"/>
  <c r="G151" i="46" l="1"/>
  <c r="D152" i="46"/>
  <c r="B152" i="46" s="1"/>
  <c r="E152" i="46"/>
  <c r="F152" i="46" s="1"/>
  <c r="G145" i="45"/>
  <c r="D146" i="45"/>
  <c r="B146" i="45" s="1"/>
  <c r="B151" i="44"/>
  <c r="G151" i="44"/>
  <c r="D152" i="44"/>
  <c r="E148" i="41"/>
  <c r="F148" i="41" s="1"/>
  <c r="G148" i="41" s="1"/>
  <c r="H147" i="41"/>
  <c r="I147" i="41"/>
  <c r="D150" i="38"/>
  <c r="G149" i="38"/>
  <c r="I147" i="42"/>
  <c r="H147" i="42"/>
  <c r="E148" i="42"/>
  <c r="F148" i="42" s="1"/>
  <c r="B148" i="42"/>
  <c r="B148" i="24"/>
  <c r="F152" i="6"/>
  <c r="B152" i="6"/>
  <c r="B150" i="22"/>
  <c r="H145" i="28"/>
  <c r="I145" i="28"/>
  <c r="B150" i="25"/>
  <c r="B145" i="30"/>
  <c r="F145" i="30"/>
  <c r="I141" i="40"/>
  <c r="H141" i="40"/>
  <c r="B149" i="23"/>
  <c r="I153" i="7"/>
  <c r="H153" i="7"/>
  <c r="B153" i="9"/>
  <c r="F153" i="9"/>
  <c r="H152" i="9"/>
  <c r="I152" i="9"/>
  <c r="B143" i="37"/>
  <c r="F143" i="37"/>
  <c r="H147" i="24"/>
  <c r="I147" i="24"/>
  <c r="B146" i="29"/>
  <c r="F146" i="29"/>
  <c r="H149" i="22"/>
  <c r="I149" i="22"/>
  <c r="B143" i="43"/>
  <c r="F143" i="43"/>
  <c r="H149" i="25"/>
  <c r="I149" i="25"/>
  <c r="H144" i="30"/>
  <c r="I144" i="30"/>
  <c r="H150" i="3"/>
  <c r="I150" i="3"/>
  <c r="H148" i="23"/>
  <c r="I148" i="23"/>
  <c r="B143" i="39"/>
  <c r="F143" i="39"/>
  <c r="I142" i="37"/>
  <c r="H142" i="37"/>
  <c r="B146" i="31"/>
  <c r="F146" i="31"/>
  <c r="H145" i="29"/>
  <c r="I145" i="29"/>
  <c r="B153" i="11"/>
  <c r="F153" i="11"/>
  <c r="B151" i="5"/>
  <c r="F151" i="5"/>
  <c r="I142" i="43"/>
  <c r="H142" i="43"/>
  <c r="B154" i="10"/>
  <c r="F154" i="10"/>
  <c r="G154" i="10" s="1"/>
  <c r="B151" i="3"/>
  <c r="F151" i="3"/>
  <c r="B152" i="8"/>
  <c r="F152" i="8"/>
  <c r="B147" i="27"/>
  <c r="F147" i="27"/>
  <c r="B151" i="4"/>
  <c r="F151" i="4"/>
  <c r="H146" i="27"/>
  <c r="I146" i="27"/>
  <c r="I142" i="39"/>
  <c r="H142" i="39"/>
  <c r="E148" i="24"/>
  <c r="F148" i="24" s="1"/>
  <c r="H151" i="6"/>
  <c r="I151" i="6"/>
  <c r="H145" i="31"/>
  <c r="I145" i="31"/>
  <c r="E150" i="22"/>
  <c r="F150" i="22" s="1"/>
  <c r="B146" i="28"/>
  <c r="F146" i="28"/>
  <c r="H150" i="4"/>
  <c r="I150" i="4"/>
  <c r="I152" i="11"/>
  <c r="H152" i="11"/>
  <c r="H150" i="5"/>
  <c r="I150" i="5"/>
  <c r="E150" i="25"/>
  <c r="F150" i="25" s="1"/>
  <c r="B142" i="40"/>
  <c r="F142" i="40"/>
  <c r="H153" i="10"/>
  <c r="I153" i="10"/>
  <c r="E149" i="23"/>
  <c r="F149" i="23" s="1"/>
  <c r="B154" i="7"/>
  <c r="F154" i="7"/>
  <c r="G154" i="7" s="1"/>
  <c r="H151" i="8"/>
  <c r="I151" i="8"/>
  <c r="G152" i="46" l="1"/>
  <c r="D153" i="46"/>
  <c r="B153" i="46" s="1"/>
  <c r="I151" i="46"/>
  <c r="H151" i="46"/>
  <c r="I145" i="45"/>
  <c r="H145" i="45"/>
  <c r="E146" i="45"/>
  <c r="F146" i="45" s="1"/>
  <c r="E152" i="44"/>
  <c r="F152" i="44" s="1"/>
  <c r="B152" i="44"/>
  <c r="H151" i="44"/>
  <c r="I151" i="44"/>
  <c r="D149" i="41"/>
  <c r="B149" i="41" s="1"/>
  <c r="H149" i="38"/>
  <c r="I149" i="38"/>
  <c r="G148" i="42"/>
  <c r="D149" i="42"/>
  <c r="E150" i="38"/>
  <c r="F150" i="38" s="1"/>
  <c r="B150" i="38"/>
  <c r="H148" i="41"/>
  <c r="I148" i="41"/>
  <c r="J151" i="6"/>
  <c r="J145" i="28"/>
  <c r="J153" i="10"/>
  <c r="J145" i="31"/>
  <c r="J153" i="7"/>
  <c r="G150" i="25"/>
  <c r="D151" i="25"/>
  <c r="E151" i="25" s="1"/>
  <c r="G149" i="23"/>
  <c r="D150" i="23"/>
  <c r="E150" i="23" s="1"/>
  <c r="G150" i="22"/>
  <c r="D151" i="22"/>
  <c r="E151" i="22" s="1"/>
  <c r="G148" i="24"/>
  <c r="D149" i="24"/>
  <c r="E149" i="24" s="1"/>
  <c r="J151" i="8"/>
  <c r="G146" i="28"/>
  <c r="D147" i="28"/>
  <c r="E147" i="28" s="1"/>
  <c r="G151" i="4"/>
  <c r="D152" i="4"/>
  <c r="E152" i="4" s="1"/>
  <c r="G152" i="8"/>
  <c r="D153" i="8"/>
  <c r="E153" i="8" s="1"/>
  <c r="H154" i="10"/>
  <c r="H155" i="10" s="1"/>
  <c r="I154" i="10"/>
  <c r="G151" i="5"/>
  <c r="D152" i="5"/>
  <c r="E152" i="5" s="1"/>
  <c r="J145" i="29"/>
  <c r="J144" i="30"/>
  <c r="G143" i="43"/>
  <c r="D144" i="43"/>
  <c r="E144" i="43" s="1"/>
  <c r="G146" i="29"/>
  <c r="D147" i="29"/>
  <c r="E147" i="29" s="1"/>
  <c r="G143" i="37"/>
  <c r="D144" i="37"/>
  <c r="E144" i="37" s="1"/>
  <c r="D154" i="9"/>
  <c r="G153" i="9"/>
  <c r="G145" i="30"/>
  <c r="D146" i="30"/>
  <c r="E146" i="30" s="1"/>
  <c r="D153" i="6"/>
  <c r="E153" i="6" s="1"/>
  <c r="G152" i="6"/>
  <c r="I154" i="7"/>
  <c r="H154" i="7"/>
  <c r="H155" i="7" s="1"/>
  <c r="J150" i="5"/>
  <c r="J150" i="4"/>
  <c r="J146" i="27"/>
  <c r="G147" i="27"/>
  <c r="D148" i="27"/>
  <c r="E148" i="27" s="1"/>
  <c r="G151" i="3"/>
  <c r="D152" i="3"/>
  <c r="E152" i="3" s="1"/>
  <c r="D154" i="11"/>
  <c r="E154" i="11" s="1"/>
  <c r="E155" i="11" s="1"/>
  <c r="G153" i="11"/>
  <c r="G146" i="31"/>
  <c r="D147" i="31"/>
  <c r="E147" i="31" s="1"/>
  <c r="G143" i="39"/>
  <c r="D144" i="39"/>
  <c r="E144" i="39" s="1"/>
  <c r="J150" i="3"/>
  <c r="G142" i="40"/>
  <c r="D143" i="40"/>
  <c r="E143" i="40" s="1"/>
  <c r="E153" i="46" l="1"/>
  <c r="F153" i="46" s="1"/>
  <c r="I152" i="46"/>
  <c r="H152" i="46"/>
  <c r="G146" i="45"/>
  <c r="D147" i="45"/>
  <c r="B147" i="45" s="1"/>
  <c r="G152" i="44"/>
  <c r="D153" i="44"/>
  <c r="E149" i="41"/>
  <c r="F149" i="41" s="1"/>
  <c r="G149" i="41" s="1"/>
  <c r="H149" i="41" s="1"/>
  <c r="D151" i="38"/>
  <c r="G150" i="38"/>
  <c r="E149" i="42"/>
  <c r="F149" i="42" s="1"/>
  <c r="B149" i="42"/>
  <c r="I148" i="42"/>
  <c r="H148" i="42"/>
  <c r="B143" i="40"/>
  <c r="F143" i="40"/>
  <c r="H142" i="40"/>
  <c r="I142" i="40"/>
  <c r="I153" i="11"/>
  <c r="H153" i="11"/>
  <c r="H151" i="3"/>
  <c r="I151" i="3"/>
  <c r="J154" i="7"/>
  <c r="J155" i="7" s="1"/>
  <c r="I155" i="7"/>
  <c r="I153" i="9"/>
  <c r="H153" i="9"/>
  <c r="H143" i="37"/>
  <c r="I143" i="37"/>
  <c r="J154" i="10"/>
  <c r="J155" i="10" s="1"/>
  <c r="I155" i="10"/>
  <c r="H152" i="8"/>
  <c r="I152" i="8"/>
  <c r="B151" i="22"/>
  <c r="F151" i="22"/>
  <c r="H149" i="23"/>
  <c r="I149" i="23"/>
  <c r="B146" i="30"/>
  <c r="F146" i="30"/>
  <c r="B154" i="9"/>
  <c r="B144" i="43"/>
  <c r="F144" i="43"/>
  <c r="B147" i="28"/>
  <c r="F147" i="28"/>
  <c r="B149" i="24"/>
  <c r="F149" i="24"/>
  <c r="I150" i="22"/>
  <c r="H150" i="22"/>
  <c r="B154" i="11"/>
  <c r="F154" i="11"/>
  <c r="G154" i="11" s="1"/>
  <c r="B148" i="27"/>
  <c r="F148" i="27"/>
  <c r="I152" i="6"/>
  <c r="H152" i="6"/>
  <c r="I145" i="30"/>
  <c r="H145" i="30"/>
  <c r="B147" i="29"/>
  <c r="F147" i="29"/>
  <c r="I143" i="43"/>
  <c r="H143" i="43"/>
  <c r="B152" i="5"/>
  <c r="F152" i="5"/>
  <c r="B152" i="4"/>
  <c r="F152" i="4"/>
  <c r="I146" i="28"/>
  <c r="H146" i="28"/>
  <c r="H148" i="24"/>
  <c r="I148" i="24"/>
  <c r="B151" i="25"/>
  <c r="F151" i="25"/>
  <c r="B147" i="31"/>
  <c r="F147" i="31"/>
  <c r="B144" i="39"/>
  <c r="F144" i="39"/>
  <c r="H146" i="31"/>
  <c r="I146" i="31"/>
  <c r="H143" i="39"/>
  <c r="I143" i="39"/>
  <c r="B152" i="3"/>
  <c r="F152" i="3"/>
  <c r="H147" i="27"/>
  <c r="I147" i="27"/>
  <c r="B153" i="6"/>
  <c r="F153" i="6"/>
  <c r="E154" i="9"/>
  <c r="E155" i="9" s="1"/>
  <c r="B144" i="37"/>
  <c r="F144" i="37"/>
  <c r="H146" i="29"/>
  <c r="I146" i="29"/>
  <c r="H151" i="5"/>
  <c r="I151" i="5"/>
  <c r="B153" i="8"/>
  <c r="F153" i="8"/>
  <c r="H151" i="4"/>
  <c r="I151" i="4"/>
  <c r="B150" i="23"/>
  <c r="F150" i="23"/>
  <c r="H150" i="25"/>
  <c r="I150" i="25"/>
  <c r="G153" i="46" l="1"/>
  <c r="D154" i="46"/>
  <c r="E154" i="46" s="1"/>
  <c r="E155" i="46" s="1"/>
  <c r="E147" i="45"/>
  <c r="F147" i="45" s="1"/>
  <c r="I146" i="45"/>
  <c r="H146" i="45"/>
  <c r="D150" i="41"/>
  <c r="B150" i="41" s="1"/>
  <c r="I149" i="41"/>
  <c r="E153" i="44"/>
  <c r="F153" i="44" s="1"/>
  <c r="B153" i="44"/>
  <c r="H152" i="44"/>
  <c r="I152" i="44"/>
  <c r="H150" i="38"/>
  <c r="I150" i="38"/>
  <c r="G149" i="42"/>
  <c r="D150" i="42"/>
  <c r="B150" i="42" s="1"/>
  <c r="E151" i="38"/>
  <c r="F151" i="38" s="1"/>
  <c r="B151" i="38"/>
  <c r="J151" i="3"/>
  <c r="J146" i="29"/>
  <c r="J146" i="28"/>
  <c r="J152" i="6"/>
  <c r="J152" i="8"/>
  <c r="J151" i="4"/>
  <c r="J151" i="5"/>
  <c r="J145" i="30"/>
  <c r="D154" i="8"/>
  <c r="E154" i="8" s="1"/>
  <c r="E155" i="8" s="1"/>
  <c r="G153" i="8"/>
  <c r="J147" i="27"/>
  <c r="G144" i="39"/>
  <c r="D145" i="39"/>
  <c r="E145" i="39" s="1"/>
  <c r="G151" i="25"/>
  <c r="D152" i="25"/>
  <c r="E152" i="25" s="1"/>
  <c r="G152" i="5"/>
  <c r="D153" i="5"/>
  <c r="E153" i="5" s="1"/>
  <c r="G147" i="29"/>
  <c r="D148" i="29"/>
  <c r="E148" i="29" s="1"/>
  <c r="H154" i="11"/>
  <c r="H155" i="11" s="1"/>
  <c r="I154" i="11"/>
  <c r="I155" i="11" s="1"/>
  <c r="G149" i="24"/>
  <c r="D150" i="24"/>
  <c r="E150" i="24" s="1"/>
  <c r="G144" i="43"/>
  <c r="D145" i="43"/>
  <c r="E145" i="43" s="1"/>
  <c r="G146" i="30"/>
  <c r="D147" i="30"/>
  <c r="E147" i="30" s="1"/>
  <c r="G151" i="22"/>
  <c r="D152" i="22"/>
  <c r="E152" i="22" s="1"/>
  <c r="D154" i="6"/>
  <c r="E154" i="6" s="1"/>
  <c r="E155" i="6" s="1"/>
  <c r="G153" i="6"/>
  <c r="G152" i="3"/>
  <c r="D153" i="3"/>
  <c r="E153" i="3" s="1"/>
  <c r="J146" i="31"/>
  <c r="G147" i="31"/>
  <c r="D148" i="31"/>
  <c r="E148" i="31" s="1"/>
  <c r="G152" i="4"/>
  <c r="D153" i="4"/>
  <c r="E153" i="4" s="1"/>
  <c r="G148" i="27"/>
  <c r="D149" i="27"/>
  <c r="E149" i="27" s="1"/>
  <c r="G147" i="28"/>
  <c r="D148" i="28"/>
  <c r="E148" i="28" s="1"/>
  <c r="F154" i="9"/>
  <c r="G154" i="9" s="1"/>
  <c r="G143" i="40"/>
  <c r="D144" i="40"/>
  <c r="E144" i="40" s="1"/>
  <c r="D151" i="23"/>
  <c r="E151" i="23" s="1"/>
  <c r="G150" i="23"/>
  <c r="G144" i="37"/>
  <c r="D145" i="37"/>
  <c r="E145" i="37" s="1"/>
  <c r="B154" i="46" l="1"/>
  <c r="F154" i="46"/>
  <c r="G154" i="46" s="1"/>
  <c r="I153" i="46"/>
  <c r="H153" i="46"/>
  <c r="G147" i="45"/>
  <c r="D148" i="45"/>
  <c r="B148" i="45" s="1"/>
  <c r="D154" i="44"/>
  <c r="G153" i="44"/>
  <c r="E150" i="41"/>
  <c r="F150" i="41" s="1"/>
  <c r="E150" i="42"/>
  <c r="F150" i="42" s="1"/>
  <c r="D151" i="42" s="1"/>
  <c r="D152" i="38"/>
  <c r="G151" i="38"/>
  <c r="I149" i="42"/>
  <c r="H149" i="42"/>
  <c r="B144" i="40"/>
  <c r="F144" i="40"/>
  <c r="B148" i="28"/>
  <c r="F148" i="28"/>
  <c r="H148" i="27"/>
  <c r="I148" i="27"/>
  <c r="H153" i="6"/>
  <c r="I153" i="6"/>
  <c r="H151" i="22"/>
  <c r="I151" i="22"/>
  <c r="B150" i="24"/>
  <c r="F150" i="24"/>
  <c r="B153" i="5"/>
  <c r="F153" i="5"/>
  <c r="I151" i="25"/>
  <c r="H151" i="25"/>
  <c r="H150" i="23"/>
  <c r="I150" i="23"/>
  <c r="I143" i="40"/>
  <c r="H143" i="40"/>
  <c r="I147" i="28"/>
  <c r="H147" i="28"/>
  <c r="B148" i="31"/>
  <c r="F148" i="31"/>
  <c r="B153" i="3"/>
  <c r="F153" i="3"/>
  <c r="B154" i="6"/>
  <c r="F154" i="6"/>
  <c r="G154" i="6" s="1"/>
  <c r="B145" i="43"/>
  <c r="F145" i="43"/>
  <c r="H149" i="24"/>
  <c r="I149" i="24"/>
  <c r="B148" i="29"/>
  <c r="F148" i="29"/>
  <c r="H152" i="5"/>
  <c r="I152" i="5"/>
  <c r="B151" i="23"/>
  <c r="F151" i="23"/>
  <c r="H154" i="9"/>
  <c r="H155" i="9" s="1"/>
  <c r="I154" i="9"/>
  <c r="I155" i="9" s="1"/>
  <c r="B153" i="4"/>
  <c r="F153" i="4"/>
  <c r="H147" i="31"/>
  <c r="I147" i="31"/>
  <c r="H152" i="3"/>
  <c r="I152" i="3"/>
  <c r="B147" i="30"/>
  <c r="F147" i="30"/>
  <c r="H144" i="43"/>
  <c r="I144" i="43"/>
  <c r="H147" i="29"/>
  <c r="I147" i="29"/>
  <c r="B145" i="39"/>
  <c r="F145" i="39"/>
  <c r="H153" i="8"/>
  <c r="I153" i="8"/>
  <c r="B145" i="37"/>
  <c r="F145" i="37"/>
  <c r="H144" i="37"/>
  <c r="I144" i="37"/>
  <c r="B149" i="27"/>
  <c r="F149" i="27"/>
  <c r="H152" i="4"/>
  <c r="I152" i="4"/>
  <c r="B152" i="22"/>
  <c r="F152" i="22"/>
  <c r="H146" i="30"/>
  <c r="I146" i="30"/>
  <c r="B152" i="25"/>
  <c r="F152" i="25"/>
  <c r="H144" i="39"/>
  <c r="I144" i="39"/>
  <c r="B154" i="8"/>
  <c r="F154" i="8"/>
  <c r="G154" i="8" s="1"/>
  <c r="H154" i="46" l="1"/>
  <c r="H155" i="46" s="1"/>
  <c r="I154" i="46"/>
  <c r="I155" i="46" s="1"/>
  <c r="E148" i="45"/>
  <c r="F148" i="45" s="1"/>
  <c r="H147" i="45"/>
  <c r="I147" i="45"/>
  <c r="G150" i="42"/>
  <c r="I150" i="42" s="1"/>
  <c r="D151" i="41"/>
  <c r="G150" i="41"/>
  <c r="H153" i="44"/>
  <c r="I153" i="44"/>
  <c r="E151" i="41"/>
  <c r="E154" i="44"/>
  <c r="E155" i="44" s="1"/>
  <c r="B154" i="44"/>
  <c r="H150" i="42"/>
  <c r="E151" i="42"/>
  <c r="F151" i="42" s="1"/>
  <c r="B151" i="42"/>
  <c r="H151" i="38"/>
  <c r="I151" i="38"/>
  <c r="E152" i="38"/>
  <c r="F152" i="38" s="1"/>
  <c r="B152" i="38"/>
  <c r="J148" i="27"/>
  <c r="J146" i="30"/>
  <c r="J152" i="4"/>
  <c r="J153" i="8"/>
  <c r="J147" i="29"/>
  <c r="G147" i="30"/>
  <c r="D148" i="30"/>
  <c r="E148" i="30" s="1"/>
  <c r="J147" i="31"/>
  <c r="J152" i="5"/>
  <c r="H154" i="6"/>
  <c r="H155" i="6" s="1"/>
  <c r="I154" i="6"/>
  <c r="D149" i="31"/>
  <c r="E149" i="31" s="1"/>
  <c r="G148" i="31"/>
  <c r="G150" i="24"/>
  <c r="D151" i="24"/>
  <c r="E151" i="24" s="1"/>
  <c r="J153" i="6"/>
  <c r="G148" i="28"/>
  <c r="D149" i="28"/>
  <c r="E149" i="28" s="1"/>
  <c r="H154" i="8"/>
  <c r="H155" i="8" s="1"/>
  <c r="I154" i="8"/>
  <c r="G152" i="25"/>
  <c r="D153" i="25"/>
  <c r="E153" i="25" s="1"/>
  <c r="G152" i="22"/>
  <c r="D153" i="22"/>
  <c r="E153" i="22" s="1"/>
  <c r="D150" i="27"/>
  <c r="E150" i="27" s="1"/>
  <c r="G149" i="27"/>
  <c r="G145" i="37"/>
  <c r="D146" i="37"/>
  <c r="E146" i="37" s="1"/>
  <c r="G145" i="39"/>
  <c r="D146" i="39"/>
  <c r="E146" i="39" s="1"/>
  <c r="J152" i="3"/>
  <c r="G153" i="4"/>
  <c r="D154" i="4"/>
  <c r="E154" i="4" s="1"/>
  <c r="E155" i="4" s="1"/>
  <c r="G151" i="23"/>
  <c r="D152" i="23"/>
  <c r="E152" i="23" s="1"/>
  <c r="G148" i="29"/>
  <c r="D149" i="29"/>
  <c r="E149" i="29" s="1"/>
  <c r="G145" i="43"/>
  <c r="D146" i="43"/>
  <c r="E146" i="43" s="1"/>
  <c r="G153" i="3"/>
  <c r="D154" i="3"/>
  <c r="E154" i="3" s="1"/>
  <c r="E155" i="3" s="1"/>
  <c r="G153" i="5"/>
  <c r="D154" i="5"/>
  <c r="E154" i="5" s="1"/>
  <c r="E155" i="5" s="1"/>
  <c r="G144" i="40"/>
  <c r="D145" i="40"/>
  <c r="E145" i="40" s="1"/>
  <c r="J147" i="28"/>
  <c r="G148" i="45" l="1"/>
  <c r="D149" i="45"/>
  <c r="B149" i="45" s="1"/>
  <c r="F154" i="44"/>
  <c r="G154" i="44" s="1"/>
  <c r="H154" i="44" s="1"/>
  <c r="H155" i="44" s="1"/>
  <c r="I150" i="41"/>
  <c r="H150" i="41"/>
  <c r="B151" i="41"/>
  <c r="F151" i="41"/>
  <c r="G151" i="42"/>
  <c r="D152" i="42"/>
  <c r="D153" i="38"/>
  <c r="B153" i="38" s="1"/>
  <c r="G152" i="38"/>
  <c r="B154" i="3"/>
  <c r="F154" i="3"/>
  <c r="G154" i="3" s="1"/>
  <c r="I145" i="43"/>
  <c r="H145" i="43"/>
  <c r="B154" i="4"/>
  <c r="F154" i="4"/>
  <c r="G154" i="4" s="1"/>
  <c r="B146" i="39"/>
  <c r="F146" i="39"/>
  <c r="H145" i="37"/>
  <c r="I145" i="37"/>
  <c r="B153" i="25"/>
  <c r="F153" i="25"/>
  <c r="H148" i="31"/>
  <c r="I148" i="31"/>
  <c r="H147" i="30"/>
  <c r="I147" i="30"/>
  <c r="H153" i="3"/>
  <c r="I153" i="3"/>
  <c r="F152" i="23"/>
  <c r="B152" i="23"/>
  <c r="H153" i="4"/>
  <c r="I153" i="4"/>
  <c r="H145" i="39"/>
  <c r="I145" i="39"/>
  <c r="B153" i="22"/>
  <c r="F153" i="22"/>
  <c r="H152" i="25"/>
  <c r="I152" i="25"/>
  <c r="B149" i="28"/>
  <c r="F149" i="28"/>
  <c r="B151" i="24"/>
  <c r="F151" i="24"/>
  <c r="B149" i="31"/>
  <c r="F149" i="31"/>
  <c r="I144" i="40"/>
  <c r="H144" i="40"/>
  <c r="B154" i="5"/>
  <c r="F154" i="5"/>
  <c r="G154" i="5" s="1"/>
  <c r="B145" i="40"/>
  <c r="F145" i="40"/>
  <c r="H153" i="5"/>
  <c r="I153" i="5"/>
  <c r="B149" i="29"/>
  <c r="F149" i="29"/>
  <c r="H151" i="23"/>
  <c r="I151" i="23"/>
  <c r="H149" i="27"/>
  <c r="I149" i="27"/>
  <c r="I152" i="22"/>
  <c r="H152" i="22"/>
  <c r="J154" i="8"/>
  <c r="J155" i="8" s="1"/>
  <c r="I155" i="8"/>
  <c r="I148" i="28"/>
  <c r="H148" i="28"/>
  <c r="I150" i="24"/>
  <c r="H150" i="24"/>
  <c r="J154" i="6"/>
  <c r="J155" i="6" s="1"/>
  <c r="I155" i="6"/>
  <c r="B146" i="43"/>
  <c r="F146" i="43"/>
  <c r="H148" i="29"/>
  <c r="I148" i="29"/>
  <c r="B146" i="37"/>
  <c r="F146" i="37"/>
  <c r="B150" i="27"/>
  <c r="F150" i="27"/>
  <c r="B148" i="30"/>
  <c r="F148" i="30"/>
  <c r="E149" i="45" l="1"/>
  <c r="F149" i="45" s="1"/>
  <c r="I148" i="45"/>
  <c r="H148" i="45"/>
  <c r="I154" i="44"/>
  <c r="I155" i="44" s="1"/>
  <c r="D152" i="41"/>
  <c r="G151" i="41"/>
  <c r="E152" i="42"/>
  <c r="F152" i="42" s="1"/>
  <c r="B152" i="42"/>
  <c r="E153" i="38"/>
  <c r="F153" i="38" s="1"/>
  <c r="H151" i="42"/>
  <c r="I151" i="42"/>
  <c r="I152" i="38"/>
  <c r="H152" i="38"/>
  <c r="J153" i="4"/>
  <c r="J153" i="5"/>
  <c r="J153" i="3"/>
  <c r="J148" i="31"/>
  <c r="J148" i="29"/>
  <c r="D151" i="27"/>
  <c r="E151" i="27" s="1"/>
  <c r="G150" i="27"/>
  <c r="G148" i="30"/>
  <c r="D149" i="30"/>
  <c r="E149" i="30" s="1"/>
  <c r="G146" i="37"/>
  <c r="D147" i="37"/>
  <c r="E147" i="37" s="1"/>
  <c r="G146" i="43"/>
  <c r="D147" i="43"/>
  <c r="E147" i="43" s="1"/>
  <c r="J149" i="27"/>
  <c r="G149" i="29"/>
  <c r="D150" i="29"/>
  <c r="E150" i="29" s="1"/>
  <c r="G145" i="40"/>
  <c r="D146" i="40"/>
  <c r="E146" i="40" s="1"/>
  <c r="G151" i="24"/>
  <c r="D152" i="24"/>
  <c r="E152" i="24" s="1"/>
  <c r="J147" i="30"/>
  <c r="G153" i="25"/>
  <c r="D154" i="25"/>
  <c r="E154" i="25" s="1"/>
  <c r="E155" i="25" s="1"/>
  <c r="G146" i="39"/>
  <c r="D147" i="39"/>
  <c r="E147" i="39" s="1"/>
  <c r="D153" i="23"/>
  <c r="E153" i="23" s="1"/>
  <c r="G152" i="23"/>
  <c r="H154" i="5"/>
  <c r="H155" i="5" s="1"/>
  <c r="I154" i="5"/>
  <c r="G149" i="31"/>
  <c r="D150" i="31"/>
  <c r="E150" i="31" s="1"/>
  <c r="D150" i="28"/>
  <c r="E150" i="28" s="1"/>
  <c r="G149" i="28"/>
  <c r="G153" i="22"/>
  <c r="D154" i="22"/>
  <c r="E154" i="22" s="1"/>
  <c r="E155" i="22" s="1"/>
  <c r="H154" i="4"/>
  <c r="H155" i="4" s="1"/>
  <c r="I154" i="4"/>
  <c r="H154" i="3"/>
  <c r="H155" i="3" s="1"/>
  <c r="I154" i="3"/>
  <c r="J148" i="28"/>
  <c r="G149" i="45" l="1"/>
  <c r="D150" i="45"/>
  <c r="B150" i="45" s="1"/>
  <c r="I151" i="41"/>
  <c r="H151" i="41"/>
  <c r="E152" i="41"/>
  <c r="F152" i="41" s="1"/>
  <c r="B152" i="41"/>
  <c r="D153" i="42"/>
  <c r="G152" i="42"/>
  <c r="G153" i="38"/>
  <c r="D154" i="38"/>
  <c r="B150" i="31"/>
  <c r="F150" i="31"/>
  <c r="F147" i="39"/>
  <c r="B147" i="39"/>
  <c r="I153" i="25"/>
  <c r="H153" i="25"/>
  <c r="I151" i="24"/>
  <c r="H151" i="24"/>
  <c r="B147" i="37"/>
  <c r="F147" i="37"/>
  <c r="I148" i="30"/>
  <c r="H148" i="30"/>
  <c r="I153" i="22"/>
  <c r="H153" i="22"/>
  <c r="J154" i="3"/>
  <c r="J155" i="3" s="1"/>
  <c r="I155" i="3"/>
  <c r="H149" i="28"/>
  <c r="I149" i="28"/>
  <c r="I149" i="31"/>
  <c r="H149" i="31"/>
  <c r="I152" i="23"/>
  <c r="H152" i="23"/>
  <c r="H146" i="39"/>
  <c r="I146" i="39"/>
  <c r="B150" i="29"/>
  <c r="F150" i="29"/>
  <c r="B147" i="43"/>
  <c r="F147" i="43"/>
  <c r="I146" i="37"/>
  <c r="H146" i="37"/>
  <c r="B154" i="22"/>
  <c r="F154" i="22"/>
  <c r="G154" i="22" s="1"/>
  <c r="B150" i="28"/>
  <c r="F150" i="28"/>
  <c r="J154" i="5"/>
  <c r="J155" i="5" s="1"/>
  <c r="I155" i="5"/>
  <c r="B153" i="23"/>
  <c r="F153" i="23"/>
  <c r="B146" i="40"/>
  <c r="F146" i="40"/>
  <c r="H149" i="29"/>
  <c r="I149" i="29"/>
  <c r="H146" i="43"/>
  <c r="I146" i="43"/>
  <c r="H150" i="27"/>
  <c r="I150" i="27"/>
  <c r="J154" i="4"/>
  <c r="J155" i="4" s="1"/>
  <c r="I155" i="4"/>
  <c r="B154" i="25"/>
  <c r="F154" i="25"/>
  <c r="G154" i="25" s="1"/>
  <c r="B152" i="24"/>
  <c r="F152" i="24"/>
  <c r="I145" i="40"/>
  <c r="H145" i="40"/>
  <c r="B149" i="30"/>
  <c r="F149" i="30"/>
  <c r="B151" i="27"/>
  <c r="F151" i="27"/>
  <c r="E150" i="45" l="1"/>
  <c r="F150" i="45" s="1"/>
  <c r="I149" i="45"/>
  <c r="H149" i="45"/>
  <c r="G152" i="41"/>
  <c r="D153" i="41"/>
  <c r="B153" i="41" s="1"/>
  <c r="E154" i="38"/>
  <c r="E155" i="38" s="1"/>
  <c r="B154" i="38"/>
  <c r="I153" i="38"/>
  <c r="H153" i="38"/>
  <c r="I152" i="42"/>
  <c r="H152" i="42"/>
  <c r="E153" i="42"/>
  <c r="F153" i="42" s="1"/>
  <c r="B153" i="42"/>
  <c r="J149" i="28"/>
  <c r="J149" i="31"/>
  <c r="G152" i="24"/>
  <c r="D153" i="24"/>
  <c r="E153" i="24" s="1"/>
  <c r="G146" i="40"/>
  <c r="D147" i="40"/>
  <c r="E147" i="40" s="1"/>
  <c r="H154" i="22"/>
  <c r="H155" i="22" s="1"/>
  <c r="I154" i="22"/>
  <c r="I155" i="22" s="1"/>
  <c r="G147" i="43"/>
  <c r="D148" i="43"/>
  <c r="E148" i="43" s="1"/>
  <c r="J148" i="30"/>
  <c r="G147" i="39"/>
  <c r="D148" i="39"/>
  <c r="E148" i="39" s="1"/>
  <c r="D152" i="27"/>
  <c r="E152" i="27" s="1"/>
  <c r="G151" i="27"/>
  <c r="I154" i="25"/>
  <c r="I155" i="25" s="1"/>
  <c r="H154" i="25"/>
  <c r="H155" i="25" s="1"/>
  <c r="J150" i="27"/>
  <c r="J149" i="29"/>
  <c r="G153" i="23"/>
  <c r="D154" i="23"/>
  <c r="G150" i="28"/>
  <c r="D151" i="28"/>
  <c r="E151" i="28" s="1"/>
  <c r="G150" i="29"/>
  <c r="D151" i="29"/>
  <c r="E151" i="29" s="1"/>
  <c r="G147" i="37"/>
  <c r="D148" i="37"/>
  <c r="E148" i="37" s="1"/>
  <c r="G150" i="31"/>
  <c r="D151" i="31"/>
  <c r="G149" i="30"/>
  <c r="D150" i="30"/>
  <c r="E150" i="30" s="1"/>
  <c r="D151" i="45" l="1"/>
  <c r="B151" i="45" s="1"/>
  <c r="G150" i="45"/>
  <c r="E151" i="45"/>
  <c r="F151" i="45" s="1"/>
  <c r="E153" i="41"/>
  <c r="F153" i="41" s="1"/>
  <c r="D154" i="41" s="1"/>
  <c r="E154" i="41" s="1"/>
  <c r="E155" i="41" s="1"/>
  <c r="F154" i="38"/>
  <c r="G154" i="38" s="1"/>
  <c r="H154" i="38" s="1"/>
  <c r="H155" i="38" s="1"/>
  <c r="H152" i="41"/>
  <c r="I152" i="41"/>
  <c r="D154" i="42"/>
  <c r="G153" i="42"/>
  <c r="I147" i="37"/>
  <c r="H147" i="37"/>
  <c r="B154" i="23"/>
  <c r="B152" i="27"/>
  <c r="F152" i="27"/>
  <c r="I146" i="40"/>
  <c r="H146" i="40"/>
  <c r="H150" i="31"/>
  <c r="I150" i="31"/>
  <c r="B151" i="28"/>
  <c r="F151" i="28"/>
  <c r="H153" i="23"/>
  <c r="I153" i="23"/>
  <c r="B150" i="30"/>
  <c r="F150" i="30"/>
  <c r="H149" i="30"/>
  <c r="I149" i="30"/>
  <c r="H150" i="28"/>
  <c r="I150" i="28"/>
  <c r="B148" i="39"/>
  <c r="F148" i="39"/>
  <c r="B148" i="43"/>
  <c r="F148" i="43"/>
  <c r="B153" i="24"/>
  <c r="F153" i="24"/>
  <c r="B151" i="31"/>
  <c r="B151" i="29"/>
  <c r="F151" i="29"/>
  <c r="E151" i="31"/>
  <c r="F151" i="31" s="1"/>
  <c r="B148" i="37"/>
  <c r="F148" i="37"/>
  <c r="I150" i="29"/>
  <c r="H150" i="29"/>
  <c r="E154" i="23"/>
  <c r="E155" i="23" s="1"/>
  <c r="H151" i="27"/>
  <c r="I151" i="27"/>
  <c r="I147" i="39"/>
  <c r="H147" i="39"/>
  <c r="H147" i="43"/>
  <c r="I147" i="43"/>
  <c r="B147" i="40"/>
  <c r="F147" i="40"/>
  <c r="I152" i="24"/>
  <c r="H152" i="24"/>
  <c r="D152" i="45" l="1"/>
  <c r="B152" i="45" s="1"/>
  <c r="G151" i="45"/>
  <c r="H150" i="45"/>
  <c r="I150" i="45"/>
  <c r="I154" i="38"/>
  <c r="I155" i="38" s="1"/>
  <c r="G153" i="41"/>
  <c r="F154" i="41"/>
  <c r="G154" i="41" s="1"/>
  <c r="H154" i="41" s="1"/>
  <c r="B154" i="41"/>
  <c r="I153" i="42"/>
  <c r="H153" i="42"/>
  <c r="E154" i="42"/>
  <c r="E155" i="42" s="1"/>
  <c r="B154" i="42"/>
  <c r="J151" i="27"/>
  <c r="J149" i="30"/>
  <c r="J150" i="31"/>
  <c r="G151" i="31"/>
  <c r="D152" i="31"/>
  <c r="E152" i="31" s="1"/>
  <c r="G148" i="43"/>
  <c r="D149" i="43"/>
  <c r="E149" i="43" s="1"/>
  <c r="J150" i="28"/>
  <c r="G150" i="30"/>
  <c r="D151" i="30"/>
  <c r="E151" i="30" s="1"/>
  <c r="G151" i="28"/>
  <c r="D152" i="28"/>
  <c r="E152" i="28" s="1"/>
  <c r="F154" i="23"/>
  <c r="G154" i="23" s="1"/>
  <c r="G147" i="40"/>
  <c r="D148" i="40"/>
  <c r="E148" i="40" s="1"/>
  <c r="J150" i="29"/>
  <c r="G151" i="29"/>
  <c r="D152" i="29"/>
  <c r="E152" i="29" s="1"/>
  <c r="G153" i="24"/>
  <c r="D154" i="24"/>
  <c r="E154" i="24" s="1"/>
  <c r="E155" i="24" s="1"/>
  <c r="G148" i="39"/>
  <c r="D149" i="39"/>
  <c r="E149" i="39" s="1"/>
  <c r="G152" i="27"/>
  <c r="D153" i="27"/>
  <c r="G148" i="37"/>
  <c r="D149" i="37"/>
  <c r="E149" i="37" s="1"/>
  <c r="E152" i="45" l="1"/>
  <c r="F152" i="45" s="1"/>
  <c r="G152" i="45"/>
  <c r="D153" i="45"/>
  <c r="B153" i="45" s="1"/>
  <c r="I151" i="45"/>
  <c r="H151" i="45"/>
  <c r="I154" i="41"/>
  <c r="H153" i="41"/>
  <c r="H155" i="41" s="1"/>
  <c r="I153" i="41"/>
  <c r="I155" i="41" s="1"/>
  <c r="F154" i="42"/>
  <c r="G154" i="42" s="1"/>
  <c r="I154" i="42" s="1"/>
  <c r="I155" i="42" s="1"/>
  <c r="B153" i="27"/>
  <c r="H148" i="39"/>
  <c r="I148" i="39"/>
  <c r="I152" i="27"/>
  <c r="H152" i="27"/>
  <c r="F152" i="29"/>
  <c r="B152" i="29"/>
  <c r="B148" i="40"/>
  <c r="F148" i="40"/>
  <c r="B152" i="28"/>
  <c r="F152" i="28"/>
  <c r="H150" i="30"/>
  <c r="I150" i="30"/>
  <c r="H148" i="43"/>
  <c r="I148" i="43"/>
  <c r="E153" i="27"/>
  <c r="F153" i="27" s="1"/>
  <c r="B149" i="37"/>
  <c r="F149" i="37"/>
  <c r="H148" i="37"/>
  <c r="I148" i="37"/>
  <c r="B154" i="24"/>
  <c r="F154" i="24"/>
  <c r="G154" i="24" s="1"/>
  <c r="H151" i="29"/>
  <c r="I151" i="29"/>
  <c r="I147" i="40"/>
  <c r="H147" i="40"/>
  <c r="I151" i="28"/>
  <c r="H151" i="28"/>
  <c r="F149" i="39"/>
  <c r="B149" i="39"/>
  <c r="H153" i="24"/>
  <c r="I153" i="24"/>
  <c r="I154" i="23"/>
  <c r="I155" i="23" s="1"/>
  <c r="H154" i="23"/>
  <c r="H155" i="23" s="1"/>
  <c r="F152" i="31"/>
  <c r="B152" i="31"/>
  <c r="B151" i="30"/>
  <c r="F151" i="30"/>
  <c r="B149" i="43"/>
  <c r="F149" i="43"/>
  <c r="H151" i="31"/>
  <c r="I151" i="31"/>
  <c r="E153" i="45" l="1"/>
  <c r="F153" i="45" s="1"/>
  <c r="I152" i="45"/>
  <c r="H152" i="45"/>
  <c r="H154" i="42"/>
  <c r="H155" i="42" s="1"/>
  <c r="J151" i="29"/>
  <c r="J151" i="31"/>
  <c r="J150" i="30"/>
  <c r="G153" i="27"/>
  <c r="D154" i="27"/>
  <c r="E154" i="27" s="1"/>
  <c r="E155" i="27" s="1"/>
  <c r="G152" i="31"/>
  <c r="D153" i="31"/>
  <c r="E153" i="31" s="1"/>
  <c r="J151" i="28"/>
  <c r="G152" i="28"/>
  <c r="D153" i="28"/>
  <c r="E153" i="28" s="1"/>
  <c r="G151" i="30"/>
  <c r="D152" i="30"/>
  <c r="E152" i="30" s="1"/>
  <c r="I154" i="24"/>
  <c r="I155" i="24" s="1"/>
  <c r="H154" i="24"/>
  <c r="H155" i="24" s="1"/>
  <c r="G149" i="37"/>
  <c r="D150" i="37"/>
  <c r="E150" i="37" s="1"/>
  <c r="G152" i="29"/>
  <c r="D153" i="29"/>
  <c r="E153" i="29" s="1"/>
  <c r="G149" i="39"/>
  <c r="D150" i="39"/>
  <c r="E150" i="39" s="1"/>
  <c r="G148" i="40"/>
  <c r="D149" i="40"/>
  <c r="E149" i="40" s="1"/>
  <c r="G149" i="43"/>
  <c r="D150" i="43"/>
  <c r="E150" i="43" s="1"/>
  <c r="J152" i="27"/>
  <c r="D154" i="45" l="1"/>
  <c r="E154" i="45" s="1"/>
  <c r="E155" i="45" s="1"/>
  <c r="G153" i="45"/>
  <c r="H149" i="43"/>
  <c r="I149" i="43"/>
  <c r="B153" i="29"/>
  <c r="F153" i="29"/>
  <c r="I149" i="37"/>
  <c r="H149" i="37"/>
  <c r="B152" i="30"/>
  <c r="F152" i="30"/>
  <c r="H152" i="28"/>
  <c r="I152" i="28"/>
  <c r="H152" i="31"/>
  <c r="I152" i="31"/>
  <c r="B150" i="39"/>
  <c r="F150" i="39"/>
  <c r="H152" i="29"/>
  <c r="I152" i="29"/>
  <c r="H151" i="30"/>
  <c r="I151" i="30"/>
  <c r="B149" i="40"/>
  <c r="F149" i="40"/>
  <c r="H149" i="39"/>
  <c r="I149" i="39"/>
  <c r="B154" i="27"/>
  <c r="F154" i="27"/>
  <c r="G154" i="27" s="1"/>
  <c r="B150" i="43"/>
  <c r="F150" i="43"/>
  <c r="H148" i="40"/>
  <c r="I148" i="40"/>
  <c r="B150" i="37"/>
  <c r="F150" i="37"/>
  <c r="B153" i="28"/>
  <c r="F153" i="28"/>
  <c r="B153" i="31"/>
  <c r="F153" i="31"/>
  <c r="I153" i="27"/>
  <c r="H153" i="27"/>
  <c r="I153" i="45" l="1"/>
  <c r="H153" i="45"/>
  <c r="B154" i="45"/>
  <c r="F154" i="45"/>
  <c r="G154" i="45" s="1"/>
  <c r="J152" i="28"/>
  <c r="J151" i="30"/>
  <c r="J153" i="27"/>
  <c r="G153" i="28"/>
  <c r="D154" i="28"/>
  <c r="E154" i="28" s="1"/>
  <c r="E155" i="28" s="1"/>
  <c r="H154" i="27"/>
  <c r="H155" i="27" s="1"/>
  <c r="I154" i="27"/>
  <c r="D150" i="40"/>
  <c r="E150" i="40" s="1"/>
  <c r="G149" i="40"/>
  <c r="J152" i="29"/>
  <c r="J152" i="31"/>
  <c r="G152" i="30"/>
  <c r="D153" i="30"/>
  <c r="G153" i="29"/>
  <c r="D154" i="29"/>
  <c r="E154" i="29" s="1"/>
  <c r="E155" i="29" s="1"/>
  <c r="G153" i="31"/>
  <c r="D154" i="31"/>
  <c r="E154" i="31" s="1"/>
  <c r="E155" i="31" s="1"/>
  <c r="G150" i="37"/>
  <c r="D151" i="37"/>
  <c r="E151" i="37" s="1"/>
  <c r="G150" i="43"/>
  <c r="D151" i="43"/>
  <c r="G150" i="39"/>
  <c r="D151" i="39"/>
  <c r="E151" i="39" s="1"/>
  <c r="H154" i="45" l="1"/>
  <c r="H155" i="45" s="1"/>
  <c r="I154" i="45"/>
  <c r="I155" i="45" s="1"/>
  <c r="B153" i="30"/>
  <c r="B151" i="39"/>
  <c r="F151" i="39"/>
  <c r="H150" i="43"/>
  <c r="I150" i="43"/>
  <c r="B154" i="29"/>
  <c r="F154" i="29"/>
  <c r="G154" i="29" s="1"/>
  <c r="I152" i="30"/>
  <c r="H152" i="30"/>
  <c r="H149" i="40"/>
  <c r="I149" i="40"/>
  <c r="B151" i="43"/>
  <c r="H150" i="37"/>
  <c r="I150" i="37"/>
  <c r="H150" i="39"/>
  <c r="I150" i="39"/>
  <c r="H153" i="29"/>
  <c r="I153" i="29"/>
  <c r="B150" i="40"/>
  <c r="F150" i="40"/>
  <c r="F154" i="28"/>
  <c r="G154" i="28" s="1"/>
  <c r="B154" i="28"/>
  <c r="B154" i="31"/>
  <c r="F154" i="31"/>
  <c r="G154" i="31" s="1"/>
  <c r="E151" i="43"/>
  <c r="F151" i="43" s="1"/>
  <c r="B151" i="37"/>
  <c r="F151" i="37"/>
  <c r="H153" i="31"/>
  <c r="I153" i="31"/>
  <c r="E153" i="30"/>
  <c r="F153" i="30" s="1"/>
  <c r="J154" i="27"/>
  <c r="J155" i="27" s="1"/>
  <c r="I155" i="27"/>
  <c r="H153" i="28"/>
  <c r="I153" i="28"/>
  <c r="J153" i="31" l="1"/>
  <c r="G153" i="30"/>
  <c r="D154" i="30"/>
  <c r="E154" i="30" s="1"/>
  <c r="E155" i="30" s="1"/>
  <c r="G151" i="43"/>
  <c r="D152" i="43"/>
  <c r="E152" i="43" s="1"/>
  <c r="J153" i="28"/>
  <c r="J153" i="29"/>
  <c r="H154" i="29"/>
  <c r="H155" i="29" s="1"/>
  <c r="I154" i="29"/>
  <c r="G151" i="39"/>
  <c r="D152" i="39"/>
  <c r="H154" i="28"/>
  <c r="H155" i="28" s="1"/>
  <c r="I154" i="28"/>
  <c r="H154" i="31"/>
  <c r="H155" i="31" s="1"/>
  <c r="I154" i="31"/>
  <c r="G150" i="40"/>
  <c r="D151" i="40"/>
  <c r="E151" i="40" s="1"/>
  <c r="G151" i="37"/>
  <c r="D152" i="37"/>
  <c r="E152" i="37" s="1"/>
  <c r="J152" i="30"/>
  <c r="B152" i="39" l="1"/>
  <c r="H151" i="43"/>
  <c r="I151" i="43"/>
  <c r="B151" i="40"/>
  <c r="F151" i="40"/>
  <c r="I151" i="39"/>
  <c r="H151" i="39"/>
  <c r="J154" i="29"/>
  <c r="J155" i="29" s="1"/>
  <c r="I155" i="29"/>
  <c r="B154" i="30"/>
  <c r="F154" i="30"/>
  <c r="G154" i="30" s="1"/>
  <c r="J154" i="28"/>
  <c r="J155" i="28" s="1"/>
  <c r="I155" i="28"/>
  <c r="B152" i="37"/>
  <c r="F152" i="37"/>
  <c r="I150" i="40"/>
  <c r="H150" i="40"/>
  <c r="H151" i="37"/>
  <c r="I151" i="37"/>
  <c r="J154" i="31"/>
  <c r="J155" i="31" s="1"/>
  <c r="I155" i="31"/>
  <c r="E152" i="39"/>
  <c r="F152" i="39" s="1"/>
  <c r="B152" i="43"/>
  <c r="F152" i="43"/>
  <c r="H153" i="30"/>
  <c r="I153" i="30"/>
  <c r="G152" i="37" l="1"/>
  <c r="D153" i="37"/>
  <c r="E153" i="37" s="1"/>
  <c r="H154" i="30"/>
  <c r="H155" i="30" s="1"/>
  <c r="I154" i="30"/>
  <c r="G152" i="43"/>
  <c r="D153" i="43"/>
  <c r="E153" i="43" s="1"/>
  <c r="J153" i="30"/>
  <c r="G151" i="40"/>
  <c r="D152" i="40"/>
  <c r="G152" i="39"/>
  <c r="D153" i="39"/>
  <c r="E153" i="39" s="1"/>
  <c r="B152" i="40" l="1"/>
  <c r="B153" i="43"/>
  <c r="F153" i="43"/>
  <c r="E152" i="40"/>
  <c r="F152" i="40" s="1"/>
  <c r="B153" i="37"/>
  <c r="F153" i="37"/>
  <c r="B153" i="39"/>
  <c r="F153" i="39"/>
  <c r="I151" i="40"/>
  <c r="H151" i="40"/>
  <c r="H152" i="43"/>
  <c r="I152" i="43"/>
  <c r="I152" i="39"/>
  <c r="H152" i="39"/>
  <c r="J154" i="30"/>
  <c r="J155" i="30" s="1"/>
  <c r="I155" i="30"/>
  <c r="I152" i="37"/>
  <c r="H152" i="37"/>
  <c r="D153" i="40" l="1"/>
  <c r="E153" i="40" s="1"/>
  <c r="G152" i="40"/>
  <c r="G153" i="43"/>
  <c r="D154" i="43"/>
  <c r="E154" i="43" s="1"/>
  <c r="E155" i="43" s="1"/>
  <c r="D154" i="37"/>
  <c r="E154" i="37" s="1"/>
  <c r="E155" i="37" s="1"/>
  <c r="G153" i="37"/>
  <c r="G153" i="39"/>
  <c r="D154" i="39"/>
  <c r="E154" i="39" s="1"/>
  <c r="E155" i="39" s="1"/>
  <c r="H153" i="37" l="1"/>
  <c r="I153" i="37"/>
  <c r="H153" i="43"/>
  <c r="I153" i="43"/>
  <c r="F154" i="37"/>
  <c r="G154" i="37" s="1"/>
  <c r="B154" i="37"/>
  <c r="B154" i="39"/>
  <c r="F154" i="39"/>
  <c r="G154" i="39" s="1"/>
  <c r="H153" i="39"/>
  <c r="I153" i="39"/>
  <c r="I152" i="40"/>
  <c r="H152" i="40"/>
  <c r="B154" i="43"/>
  <c r="F154" i="43"/>
  <c r="G154" i="43" s="1"/>
  <c r="F153" i="40"/>
  <c r="B153" i="40"/>
  <c r="H154" i="39" l="1"/>
  <c r="H155" i="39" s="1"/>
  <c r="I154" i="39"/>
  <c r="I155" i="39" s="1"/>
  <c r="G153" i="40"/>
  <c r="D154" i="40"/>
  <c r="I154" i="43"/>
  <c r="I155" i="43" s="1"/>
  <c r="H154" i="43"/>
  <c r="H155" i="43" s="1"/>
  <c r="H154" i="37"/>
  <c r="H155" i="37" s="1"/>
  <c r="I154" i="37"/>
  <c r="I155" i="37" s="1"/>
  <c r="B154" i="40" l="1"/>
  <c r="I153" i="40"/>
  <c r="H153" i="40"/>
  <c r="E154" i="40"/>
  <c r="E155" i="40" s="1"/>
  <c r="F154" i="40" l="1"/>
  <c r="G154" i="40" s="1"/>
  <c r="H154" i="40" s="1"/>
  <c r="H155" i="40" s="1"/>
  <c r="I154" i="40" l="1"/>
  <c r="I155" i="40" s="1"/>
  <c r="I48" i="17" l="1"/>
  <c r="L35" i="17" l="1"/>
  <c r="V35" i="17" s="1"/>
  <c r="L21" i="17"/>
  <c r="V21" i="17" s="1"/>
  <c r="L20" i="17"/>
  <c r="V20" i="17" s="1"/>
  <c r="L27" i="17"/>
  <c r="V27" i="17" s="1"/>
  <c r="L43" i="17"/>
  <c r="V43" i="17" s="1"/>
  <c r="L22" i="17"/>
  <c r="V22" i="17" s="1"/>
  <c r="L37" i="17"/>
  <c r="V37" i="17" s="1"/>
  <c r="L30" i="17"/>
  <c r="V30" i="17" s="1"/>
  <c r="L28" i="17"/>
  <c r="V28" i="17" s="1"/>
  <c r="L19" i="17"/>
  <c r="V19" i="17" s="1"/>
  <c r="L32" i="17"/>
  <c r="V32" i="17" s="1"/>
  <c r="L38" i="17"/>
  <c r="V38" i="17" s="1"/>
  <c r="L25" i="17"/>
  <c r="V25" i="17" s="1"/>
  <c r="L33" i="17"/>
  <c r="V33" i="17" s="1"/>
  <c r="L31" i="17"/>
  <c r="V31" i="17" s="1"/>
  <c r="L40" i="17"/>
  <c r="V40" i="17" s="1"/>
  <c r="L29" i="17"/>
  <c r="V29" i="17" s="1"/>
  <c r="L18" i="17"/>
  <c r="L34" i="17"/>
  <c r="V34" i="17" s="1"/>
  <c r="L44" i="17"/>
  <c r="V44" i="17" s="1"/>
  <c r="L24" i="17"/>
  <c r="V24" i="17" s="1"/>
  <c r="L26" i="17"/>
  <c r="V26" i="17" s="1"/>
  <c r="L36" i="17"/>
  <c r="V36" i="17" s="1"/>
  <c r="L23" i="17"/>
  <c r="V23" i="17" s="1"/>
  <c r="L41" i="17" l="1"/>
  <c r="V41" i="17" s="1"/>
  <c r="L42" i="17"/>
  <c r="V42" i="17" s="1"/>
  <c r="L39" i="17"/>
  <c r="V39" i="17" s="1"/>
  <c r="K48" i="17"/>
  <c r="V18" i="17"/>
  <c r="L47" i="17" l="1"/>
  <c r="V47" i="17"/>
  <c r="Q39" i="17" s="1"/>
  <c r="Q42" i="17" l="1"/>
  <c r="R42" i="17" s="1"/>
  <c r="T42" i="17" s="1"/>
  <c r="Q45" i="17"/>
  <c r="R45" i="17" s="1"/>
  <c r="T45" i="17" s="1"/>
  <c r="Q44" i="17"/>
  <c r="R44" i="17" s="1"/>
  <c r="T44" i="17" s="1"/>
  <c r="Q32" i="17"/>
  <c r="R32" i="17" s="1"/>
  <c r="T32" i="17" s="1"/>
  <c r="Q19" i="17"/>
  <c r="R19" i="17" s="1"/>
  <c r="T19" i="17" s="1"/>
  <c r="Q40" i="17"/>
  <c r="R40" i="17" s="1"/>
  <c r="T40" i="17" s="1"/>
  <c r="Q37" i="17"/>
  <c r="R37" i="17" s="1"/>
  <c r="T37" i="17" s="1"/>
  <c r="Q28" i="17"/>
  <c r="R28" i="17" s="1"/>
  <c r="T28" i="17" s="1"/>
  <c r="Q38" i="17"/>
  <c r="R38" i="17" s="1"/>
  <c r="T38" i="17" s="1"/>
  <c r="Q20" i="17"/>
  <c r="R20" i="17" s="1"/>
  <c r="T20" i="17" s="1"/>
  <c r="Q22" i="17"/>
  <c r="R22" i="17" s="1"/>
  <c r="T22" i="17" s="1"/>
  <c r="Q30" i="17"/>
  <c r="R30" i="17" s="1"/>
  <c r="T30" i="17" s="1"/>
  <c r="Q24" i="17"/>
  <c r="R24" i="17" s="1"/>
  <c r="T24" i="17" s="1"/>
  <c r="Q43" i="17"/>
  <c r="R43" i="17" s="1"/>
  <c r="T43" i="17" s="1"/>
  <c r="Q27" i="17"/>
  <c r="R27" i="17" s="1"/>
  <c r="T27" i="17" s="1"/>
  <c r="Q26" i="17"/>
  <c r="R26" i="17" s="1"/>
  <c r="T26" i="17" s="1"/>
  <c r="Q21" i="17"/>
  <c r="R21" i="17" s="1"/>
  <c r="T21" i="17" s="1"/>
  <c r="Q36" i="17"/>
  <c r="R36" i="17" s="1"/>
  <c r="T36" i="17" s="1"/>
  <c r="Q29" i="17"/>
  <c r="R29" i="17" s="1"/>
  <c r="T29" i="17" s="1"/>
  <c r="Q35" i="17"/>
  <c r="R35" i="17" s="1"/>
  <c r="T35" i="17" s="1"/>
  <c r="Q34" i="17"/>
  <c r="R34" i="17" s="1"/>
  <c r="T34" i="17" s="1"/>
  <c r="Q23" i="17"/>
  <c r="R23" i="17" s="1"/>
  <c r="T23" i="17" s="1"/>
  <c r="Q25" i="17"/>
  <c r="R25" i="17" s="1"/>
  <c r="T25" i="17" s="1"/>
  <c r="Q33" i="17"/>
  <c r="R33" i="17" s="1"/>
  <c r="T33" i="17" s="1"/>
  <c r="Q31" i="17"/>
  <c r="R31" i="17" s="1"/>
  <c r="T31" i="17" s="1"/>
  <c r="Q41" i="17"/>
  <c r="R41" i="17" s="1"/>
  <c r="T41" i="17" s="1"/>
  <c r="R39" i="17"/>
  <c r="T39" i="17" s="1"/>
  <c r="Q18" i="17"/>
  <c r="Q48" i="17" l="1"/>
  <c r="R18" i="17"/>
  <c r="T18" i="17" s="1"/>
  <c r="T47" i="17" s="1"/>
  <c r="R47" i="17" l="1"/>
</calcChain>
</file>

<file path=xl/comments1.xml><?xml version="1.0" encoding="utf-8"?>
<comments xmlns="http://schemas.openxmlformats.org/spreadsheetml/2006/main">
  <authors>
    <author>R.Pennybaker</author>
    <author>AEP</author>
    <author>rlp</author>
    <author>S177040</author>
  </authors>
  <commentList>
    <comment ref="C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 Descriptions are in cell [P.xxx]!$D$7]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Year In Service is in cell [P.xxx]!$D$11]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Base ARR is in cell [P.xxx]!$N$5]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Incentive ARR is in WS-F cell N7.</t>
        </r>
      </text>
    </comment>
    <comment ref="I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"TRUE-UP Adjustment (i.e., Forecast Error) is from WS-G sheet [P.00x] in cell M89.</t>
        </r>
      </text>
    </comment>
    <comment ref="J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"Manually input from previous year's update "</t>
        </r>
        <r>
          <rPr>
            <i/>
            <sz val="8"/>
            <color indexed="81"/>
            <rFont val="Tahoma"/>
            <family val="2"/>
          </rPr>
          <t>Schedule 11 Rates by Project</t>
        </r>
        <r>
          <rPr>
            <sz val="8"/>
            <color indexed="81"/>
            <rFont val="Tahoma"/>
            <family val="2"/>
          </rPr>
          <t>" sheet column Q.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These values reflect SPP remittance to AEP of Schedule 11 revenues for prior Calendar Year T-service transactions.</t>
        </r>
      </text>
    </comment>
    <comment ref="L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can also be referred to as the Billing Error.</t>
        </r>
      </text>
    </comment>
    <comment ref="N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This is "Prior Year True-Up (WS-G)"; and "Incentive Amounts" O88</t>
        </r>
      </text>
    </comment>
    <comment ref="O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Prior Year Projected (WS-F) and Incentive Amounts [cell O87]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 xml:space="preserve">AEP:
</t>
        </r>
        <r>
          <rPr>
            <sz val="9"/>
            <color indexed="81"/>
            <rFont val="Tahoma"/>
            <family val="2"/>
          </rPr>
          <t xml:space="preserve">The SPP NTC only allows 94% of this project to be Base Plan.  Therefore, from 2014 Update onward, the indicated ATTR is based upon 94% of actual project investment.
In previous annual Updates, AEP provided 100% investment based ATRR thus SPP only collected 94% of the indicated ATRRs.  
Repeating:  from 2014 Update onward, no scaling is required by SPP as the indicated ATRR is already refelcting the 94% scaler per the original NTC.
</t>
        </r>
      </text>
    </comment>
    <comment ref="K47" authorId="2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This amount was booked by AEP during CY 2014.  Represents Sch. 11 revenues remitted from SPP&gt;</t>
        </r>
      </text>
    </comment>
    <comment ref="Q47" authorId="3" shapeId="0">
      <text>
        <r>
          <rPr>
            <b/>
            <sz val="9"/>
            <color indexed="81"/>
            <rFont val="Tahoma"/>
            <family val="2"/>
          </rPr>
          <t>S177040:</t>
        </r>
        <r>
          <rPr>
            <sz val="9"/>
            <color indexed="81"/>
            <rFont val="Tahoma"/>
            <family val="2"/>
          </rPr>
          <t xml:space="preserve">
From "33" Base Plan Interest file</t>
        </r>
      </text>
    </comment>
  </commentList>
</comments>
</file>

<file path=xl/comments2.xml><?xml version="1.0" encoding="utf-8"?>
<comments xmlns="http://schemas.openxmlformats.org/spreadsheetml/2006/main">
  <authors>
    <author>R.Pennybaker</author>
  </authors>
  <commentList>
    <comment ref="L19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value comes from Formula Template file via data INPUT table below.  Then, it supuplies the project year value to the P.xxx sheets.</t>
        </r>
      </text>
    </comment>
  </commentList>
</comments>
</file>

<file path=xl/comments3.xml><?xml version="1.0" encoding="utf-8"?>
<comments xmlns="http://schemas.openxmlformats.org/spreadsheetml/2006/main">
  <authors>
    <author>rlp</author>
  </authors>
  <commentList>
    <comment ref="D18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previous years depreciation.</t>
        </r>
      </text>
    </comment>
  </commentList>
</comments>
</file>

<file path=xl/comments4.xml><?xml version="1.0" encoding="utf-8"?>
<comments xmlns="http://schemas.openxmlformats.org/spreadsheetml/2006/main">
  <authors>
    <author>Mary Williamson</author>
    <author>rlp</author>
  </authors>
  <commentList>
    <comment ref="O5" authorId="0" shapeId="0">
      <text>
        <r>
          <rPr>
            <b/>
            <sz val="9"/>
            <color indexed="81"/>
            <rFont val="Tahoma"/>
            <family val="2"/>
          </rPr>
          <t>Mary Williamson:</t>
        </r>
        <r>
          <rPr>
            <sz val="9"/>
            <color indexed="81"/>
            <rFont val="Tahoma"/>
            <family val="2"/>
          </rPr>
          <t xml:space="preserve">
Wavetrap at Snyder portion of this project is being DA to WFEC due to the cancellation of their power plant construction.</t>
        </r>
      </text>
    </comment>
    <comment ref="D100" authorId="1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prior year(s) depreciation.</t>
        </r>
      </text>
    </comment>
  </commentList>
</comments>
</file>

<file path=xl/comments5.xml><?xml version="1.0" encoding="utf-8"?>
<comments xmlns="http://schemas.openxmlformats.org/spreadsheetml/2006/main">
  <authors>
    <author>rlp</author>
  </authors>
  <commentList>
    <comment ref="G17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Projected 2008 ARR not published in 2008 update because project not included until 2009 update.</t>
        </r>
      </text>
    </comment>
  </commentList>
</comments>
</file>

<file path=xl/comments6.xml><?xml version="1.0" encoding="utf-8"?>
<comments xmlns="http://schemas.openxmlformats.org/spreadsheetml/2006/main">
  <authors>
    <author>rlp</author>
  </authors>
  <commentList>
    <comment ref="D2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(not prev published).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2007/6 historic values from 09 template calculations (not prev published).</t>
        </r>
      </text>
    </comment>
  </commentList>
</comments>
</file>

<file path=xl/comments7.xml><?xml version="1.0" encoding="utf-8"?>
<comments xmlns="http://schemas.openxmlformats.org/spreadsheetml/2006/main">
  <authors>
    <author>rlp</author>
  </authors>
  <commentList>
    <comment ref="D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calculations (data not prev published).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2008/7 hist values from 09 template (not prev published).</t>
        </r>
      </text>
    </comment>
  </commentList>
</comments>
</file>

<file path=xl/comments8.xml><?xml version="1.0" encoding="utf-8"?>
<comments xmlns="http://schemas.openxmlformats.org/spreadsheetml/2006/main">
  <authors>
    <author>AEP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Per SPP NTC, Investment (EOY) is input as 94% of actual total investment provided by Planning.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This year's Beginning Balance changed by both an IU (investment update) as well as starting the 94% scaler.  This year (2014) reflects 1st year Investment (EOY) value is scaled 94% on the front end vs SPP scaling ARR values on the back end.</t>
        </r>
      </text>
    </comment>
  </commentList>
</comments>
</file>

<file path=xl/sharedStrings.xml><?xml version="1.0" encoding="utf-8"?>
<sst xmlns="http://schemas.openxmlformats.org/spreadsheetml/2006/main" count="3703" uniqueCount="370">
  <si>
    <t>I.</t>
  </si>
  <si>
    <t xml:space="preserve">   Project ROE Incentive Adder (Enter as whole number)</t>
  </si>
  <si>
    <t>&lt;==Incentive ROE  Cannot Exceed 12.45%</t>
  </si>
  <si>
    <t>SUMMARY OF PROJECTED ANNUAL BASE PLAN AND  NON-BASE PLAN REVENUE REQUIREMENTS</t>
  </si>
  <si>
    <t>%</t>
  </si>
  <si>
    <t>Cost</t>
  </si>
  <si>
    <t>Weighted cost</t>
  </si>
  <si>
    <t>Long Term Debt</t>
  </si>
  <si>
    <t>Rev Require</t>
  </si>
  <si>
    <t xml:space="preserve"> W Incentives</t>
  </si>
  <si>
    <t>Incentive Amounts</t>
  </si>
  <si>
    <t>Preferred Stock</t>
  </si>
  <si>
    <t>Common Stock</t>
  </si>
  <si>
    <t>PROJECTED YEAR</t>
  </si>
  <si>
    <t>R =</t>
  </si>
  <si>
    <r>
      <t xml:space="preserve">Note:  </t>
    </r>
    <r>
      <rPr>
        <sz val="10"/>
        <rFont val="Arial"/>
        <family val="2"/>
      </rPr>
      <t xml:space="preserve">Review formulas in summary to ensure the proper year's revenue requirement is being </t>
    </r>
  </si>
  <si>
    <t>accumulated for each project from the tables below.</t>
  </si>
  <si>
    <t xml:space="preserve">   R   (fom A. above)</t>
  </si>
  <si>
    <t xml:space="preserve">   Return (Rate Base  x  R)</t>
  </si>
  <si>
    <t xml:space="preserve">   Return   (from B. above)</t>
  </si>
  <si>
    <t xml:space="preserve">   EIT=(T/(1-T)) * (1-(WCLTD/WACC)) =</t>
  </si>
  <si>
    <t xml:space="preserve">   Income Tax Calculation  (Return  x  EIT)</t>
  </si>
  <si>
    <t xml:space="preserve">   Income Taxes</t>
  </si>
  <si>
    <t>II.</t>
  </si>
  <si>
    <t>A.   Determine Net Revenue Requirement less return and Income Taxes.</t>
  </si>
  <si>
    <t xml:space="preserve">   Net Revenue Requirement, Less Return and Taxes</t>
  </si>
  <si>
    <t xml:space="preserve">   Income Taxes  (from I.C. above)</t>
  </si>
  <si>
    <t xml:space="preserve">   Revenue Requirement w/ Gross Margin Taxes</t>
  </si>
  <si>
    <t xml:space="preserve">      Basis Point ROE increase (II B. above)</t>
  </si>
  <si>
    <t xml:space="preserve">       Apportioned Texas Revenues</t>
  </si>
  <si>
    <t xml:space="preserve">       Taxable, Apportioned Margin</t>
  </si>
  <si>
    <t xml:space="preserve">       Texas Gross Margin Tax Rate</t>
  </si>
  <si>
    <t xml:space="preserve">       Texas Gross Margin Tax Expense</t>
  </si>
  <si>
    <t xml:space="preserve">      Gross-up Required for Gross Margin Tax Expense </t>
  </si>
  <si>
    <t>Total Additional Gross Margin Tax Revenue Requirement</t>
  </si>
  <si>
    <t>III.</t>
  </si>
  <si>
    <t>Calculation of Composite Depreciation Rate</t>
  </si>
  <si>
    <t>Transmission Plant @ Beginning of Period (P.206, ln 58)</t>
  </si>
  <si>
    <t>Transmission Plant @ End of Period (P.207, ln 58)</t>
  </si>
  <si>
    <t>Composite Depreciation Rate</t>
  </si>
  <si>
    <t>Depreciable Life for Composite Depreciation Rate</t>
  </si>
  <si>
    <t>Round to nearest whole year</t>
  </si>
  <si>
    <t>IV.</t>
  </si>
  <si>
    <t>Determine the Revenue Requirement &amp; Additional Revenue Requirement for facilities receiving incentives.</t>
  </si>
  <si>
    <t>A.   Facilities receiving incentives accepted by FERC in Docket No.</t>
  </si>
  <si>
    <t xml:space="preserve">   (e.g. ER05-925-000)</t>
  </si>
  <si>
    <t xml:space="preserve">Project Description: </t>
  </si>
  <si>
    <t>Current Projected Year Incentive ARR</t>
  </si>
  <si>
    <t>DETAILS</t>
  </si>
  <si>
    <t>TP2006087</t>
  </si>
  <si>
    <t>Investment</t>
  </si>
  <si>
    <t>Current Year</t>
  </si>
  <si>
    <t>CUMMULATIVE HISTORY OF PROJECTED ANNUAL REVENUE REQUIREMENTS:</t>
  </si>
  <si>
    <t>Service Year (yyyy)</t>
  </si>
  <si>
    <t>ROE increase accepted by FERC (Basis Points)</t>
  </si>
  <si>
    <t>Service Month (1-12)</t>
  </si>
  <si>
    <t>FCR w/o incentives, less depreciation</t>
  </si>
  <si>
    <t xml:space="preserve">          TEMPLATE BELOW TO MAINTAIN HISTORY OF PROJECTED ARRS OVER THE </t>
  </si>
  <si>
    <t>Useful life</t>
  </si>
  <si>
    <t>FCR w/incentives approved for these facilities, less dep.</t>
  </si>
  <si>
    <t xml:space="preserve">         LIFE OF THE PROJECT.</t>
  </si>
  <si>
    <t>CIAC (Yes or No)</t>
  </si>
  <si>
    <t>No</t>
  </si>
  <si>
    <t>Annual Depreciation Expense</t>
  </si>
  <si>
    <t>Beginning</t>
  </si>
  <si>
    <t>Depreciation</t>
  </si>
  <si>
    <t>Ending</t>
  </si>
  <si>
    <t>Additional Rev.</t>
  </si>
  <si>
    <t>Project Rev Req't True-up</t>
  </si>
  <si>
    <t>True-up of Incentive</t>
  </si>
  <si>
    <t>Year</t>
  </si>
  <si>
    <t>Balance</t>
  </si>
  <si>
    <t>Expense</t>
  </si>
  <si>
    <t xml:space="preserve">Requirement </t>
  </si>
  <si>
    <t xml:space="preserve">with Incentives </t>
  </si>
  <si>
    <t xml:space="preserve">  </t>
  </si>
  <si>
    <t xml:space="preserve">w/o Incentives </t>
  </si>
  <si>
    <t>Project Totals</t>
  </si>
  <si>
    <t>additional incentive requirement is applicable for the life of this specific project.  Each year the revenue requirement calculated for SPP</t>
  </si>
  <si>
    <t xml:space="preserve">should be incremented by the amount of the incentive revenue calculated for that year on this project. </t>
  </si>
  <si>
    <t>TP2007059</t>
  </si>
  <si>
    <t>TP2006054</t>
  </si>
  <si>
    <t>TP2004147</t>
  </si>
  <si>
    <t>TP2005006</t>
  </si>
  <si>
    <t>Pryor Junction 138/69 Upgrade Transf</t>
  </si>
  <si>
    <t>TP2006090</t>
  </si>
  <si>
    <t>TP2007015</t>
  </si>
  <si>
    <t>TP2005046</t>
  </si>
  <si>
    <t>TP2004033</t>
  </si>
  <si>
    <t>SUMMARY OF TRUED-UP ANNUAL REVENUE REQUIREMENTS FOR SPP BPU &amp; NON-BPU PROJECTS</t>
  </si>
  <si>
    <t>TRUE-UP YEAR</t>
  </si>
  <si>
    <t>Determine the Revenue Requirement, and Additional Revenue Requirement for facilities receiving incentives.</t>
  </si>
  <si>
    <t>Project Description:</t>
  </si>
  <si>
    <t>Details</t>
  </si>
  <si>
    <t>True-Up Year</t>
  </si>
  <si>
    <t>CUMMULATIVE HISTORY OF TRUED-UP ANNUAL REVENUE REQUIREMENTS:</t>
  </si>
  <si>
    <t xml:space="preserve">          TEMPLATE BELOW TO MAINTAIN HISTORY OF TRUED-UP ARRS OVER THE </t>
  </si>
  <si>
    <t>Average</t>
  </si>
  <si>
    <t>Incentive Rev.</t>
  </si>
  <si>
    <t>BPU Rev Req't True-up</t>
  </si>
  <si>
    <r>
      <t xml:space="preserve">** </t>
    </r>
    <r>
      <rPr>
        <sz val="10"/>
        <rFont val="Arial"/>
        <family val="2"/>
      </rPr>
      <t xml:space="preserve"> This is the total amount that needs to be reported to SPP for billing to all regions. </t>
    </r>
  </si>
  <si>
    <t xml:space="preserve">Average </t>
  </si>
  <si>
    <t>BPU Rev. Req't.From Prior Year Template</t>
  </si>
  <si>
    <r>
      <t xml:space="preserve">   Return   (from </t>
    </r>
    <r>
      <rPr>
        <sz val="10"/>
        <rFont val="MS Serif"/>
        <family val="1"/>
      </rPr>
      <t>I</t>
    </r>
    <r>
      <rPr>
        <sz val="10"/>
        <rFont val="Arial"/>
        <family val="2"/>
      </rPr>
      <t>.B. above)</t>
    </r>
  </si>
  <si>
    <r>
      <t xml:space="preserve">Requirement </t>
    </r>
    <r>
      <rPr>
        <b/>
        <sz val="10"/>
        <color indexed="10"/>
        <rFont val="Arial"/>
        <family val="2"/>
      </rPr>
      <t>##</t>
    </r>
  </si>
  <si>
    <r>
      <t>with Incentives</t>
    </r>
    <r>
      <rPr>
        <b/>
        <sz val="10"/>
        <color indexed="10"/>
        <rFont val="Arial"/>
        <family val="2"/>
      </rPr>
      <t xml:space="preserve"> **</t>
    </r>
  </si>
  <si>
    <r>
      <t>##</t>
    </r>
    <r>
      <rPr>
        <b/>
        <sz val="10"/>
        <rFont val="Arial"/>
        <family val="2"/>
      </rPr>
      <t xml:space="preserve"> This is the calculation of  additional incentive revenue on projects deemed by the FERC to be eligible for an incentive return.  This</t>
    </r>
  </si>
  <si>
    <r>
      <t xml:space="preserve">##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</si>
  <si>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>inset project name here</t>
  </si>
  <si>
    <t>Long Term Debt %</t>
  </si>
  <si>
    <t>Long Term Debt Cost</t>
  </si>
  <si>
    <t>Preferred Stock %</t>
  </si>
  <si>
    <t>Preferred Stock Cost</t>
  </si>
  <si>
    <t>Common Stock %</t>
  </si>
  <si>
    <t>EXPORT DATA to Template PSO WS F</t>
  </si>
  <si>
    <t>STEP 2</t>
  </si>
  <si>
    <t>STEP 3</t>
  </si>
  <si>
    <t>PSO</t>
  </si>
  <si>
    <t xml:space="preserve">       Apportionment Factor to Texas (Worksheet K, ln 12)</t>
  </si>
  <si>
    <t>Black text is not used in this workbook.</t>
  </si>
  <si>
    <t>Blue text is used by this workbbok and driven by non WS-F Formula Rate template worksheets</t>
  </si>
  <si>
    <t>SEE INPUT/OUTPUT ranges to the right  ----&gt;</t>
  </si>
  <si>
    <t>SEE INPUT/OUTPUT ranges to the right  ------&gt;</t>
  </si>
  <si>
    <t xml:space="preserve">AEP West SPP Member Companies </t>
  </si>
  <si>
    <t>PUBLIC SERVICE COMPANY OF OKLAHOMA</t>
  </si>
  <si>
    <t>See INPUT/OUTPUT ranges below.</t>
  </si>
  <si>
    <t>STEP 1</t>
  </si>
  <si>
    <t>Is done first in the main Formula Rate template  Worksheet F.</t>
  </si>
  <si>
    <t>STEP 4</t>
  </si>
  <si>
    <t>Is done last in the main Formula Rate template  Worksheet F.</t>
  </si>
  <si>
    <t>Copy to main FR Template</t>
  </si>
  <si>
    <t>Project Description</t>
  </si>
  <si>
    <t>Is done first in the main Formula Rate template  Worksheet G.</t>
  </si>
  <si>
    <t>Is done last in the main Formula Rate template  Worksheet G.</t>
  </si>
  <si>
    <t>EXPORT DATA to main FR Template PSO WS G</t>
  </si>
  <si>
    <t>Blue text below is used by this workbbok and comes from main Formula Rate template WS-G sheet.</t>
  </si>
  <si>
    <t>As Projected in Prior Year WS F   Rev Require</t>
  </si>
  <si>
    <t>As Projected in Prior Year WS F    W Incentives</t>
  </si>
  <si>
    <t>Actual after True-up Rev Require</t>
  </si>
  <si>
    <t>Actual after True-up  W Incentives</t>
  </si>
  <si>
    <r>
      <t>Worksheet F</t>
    </r>
    <r>
      <rPr>
        <sz val="14"/>
        <rFont val="Arial"/>
        <family val="2"/>
      </rPr>
      <t xml:space="preserve"> - Calculation of PROJECTED Annual Revenue Requirement for BPU and Special-billed Projects</t>
    </r>
  </si>
  <si>
    <r>
      <t>Worksheet G</t>
    </r>
    <r>
      <rPr>
        <sz val="14"/>
        <rFont val="Arial"/>
        <family val="2"/>
      </rPr>
      <t xml:space="preserve"> - Calculation of TRUED-UP Annual Revenue Requirement for BPU and Special-billed Projects</t>
    </r>
  </si>
  <si>
    <t>Worksheet F --- DATA INPUT (Paste.Values) from TEMPLATE PSO WS F</t>
  </si>
  <si>
    <t>&lt;----Worksheet data is for</t>
  </si>
  <si>
    <t>Worksheet F</t>
  </si>
  <si>
    <t>Worksheet G</t>
  </si>
  <si>
    <r>
      <t>Worksheet G  --  PUBLIC SERVICE COMPANY OF OKLAHOMA  --  Calculation of "</t>
    </r>
    <r>
      <rPr>
        <b/>
        <u/>
        <sz val="16"/>
        <rFont val="Arial"/>
        <family val="2"/>
      </rPr>
      <t>Trued-Up</t>
    </r>
    <r>
      <rPr>
        <b/>
        <sz val="16"/>
        <rFont val="Arial"/>
        <family val="2"/>
      </rPr>
      <t>" ARR for SPP Base Plan Upgrade Projects</t>
    </r>
  </si>
  <si>
    <r>
      <t>Worksheet F  --  PUBLIC SERVICE COMPANY OF OKLAHOMA  --  Calculation of "</t>
    </r>
    <r>
      <rPr>
        <b/>
        <u/>
        <sz val="16"/>
        <rFont val="Arial"/>
        <family val="2"/>
      </rPr>
      <t>Projected</t>
    </r>
    <r>
      <rPr>
        <b/>
        <sz val="16"/>
        <rFont val="Arial"/>
        <family val="2"/>
      </rPr>
      <t>" ARR for SPP Base Plan Upgrade Projects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</si>
  <si>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</si>
  <si>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</si>
  <si>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 xml:space="preserve">(Worksheet F)    </t>
  </si>
  <si>
    <t xml:space="preserve">(Worksheet G)    </t>
  </si>
  <si>
    <t>basis points</t>
  </si>
  <si>
    <t>w/Incentives</t>
  </si>
  <si>
    <t xml:space="preserve">Prior Year Projected  (WS-F)  </t>
  </si>
  <si>
    <t xml:space="preserve">Prior Year True-Up  (WS-G)  </t>
  </si>
  <si>
    <t xml:space="preserve">True-Up Adjustment  </t>
  </si>
  <si>
    <t>AEP Transmission Formula Rate Template</t>
  </si>
  <si>
    <t xml:space="preserve">AEP Schedule 11 Revenue Requirement Including True-Up of Prior Collections </t>
  </si>
  <si>
    <t>(A)</t>
  </si>
  <si>
    <t>(B)</t>
  </si>
  <si>
    <t>(C )</t>
  </si>
  <si>
    <t>(D)</t>
  </si>
  <si>
    <t>(E)</t>
  </si>
  <si>
    <t>(F)</t>
  </si>
  <si>
    <t>(H)</t>
  </si>
  <si>
    <t>(I)</t>
  </si>
  <si>
    <t>(M)</t>
  </si>
  <si>
    <t>Base ARR</t>
  </si>
  <si>
    <t>Owner</t>
  </si>
  <si>
    <t>Year in Service</t>
  </si>
  <si>
    <t>Incentive</t>
  </si>
  <si>
    <t>Total</t>
  </si>
  <si>
    <t>True-up</t>
  </si>
  <si>
    <t>As Billed</t>
  </si>
  <si>
    <t>Change</t>
  </si>
  <si>
    <t>Interest</t>
  </si>
  <si>
    <t>PSO Total</t>
  </si>
  <si>
    <t>P.001</t>
  </si>
  <si>
    <t>Sheet Name</t>
  </si>
  <si>
    <t>P.002</t>
  </si>
  <si>
    <t>P.003</t>
  </si>
  <si>
    <t>P.004</t>
  </si>
  <si>
    <t>P.005</t>
  </si>
  <si>
    <t>P.006</t>
  </si>
  <si>
    <t>P.007</t>
  </si>
  <si>
    <t>P.008</t>
  </si>
  <si>
    <t>P.009</t>
  </si>
  <si>
    <t>Indirect References</t>
  </si>
  <si>
    <r>
      <t xml:space="preserve">Calculation of Schedule </t>
    </r>
    <r>
      <rPr>
        <sz val="12"/>
        <rFont val="Arial"/>
        <family val="2"/>
      </rPr>
      <t>11 Revenue Requirements For AEP Transmission Projects</t>
    </r>
  </si>
  <si>
    <r>
      <t xml:space="preserve">   DO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delete this row or the formulas above will not work.</t>
    </r>
  </si>
  <si>
    <t>from WS-F &amp; G</t>
  </si>
  <si>
    <t>Do NOT delete.</t>
  </si>
  <si>
    <r>
      <t xml:space="preserve">TRUE-UP Adjustment </t>
    </r>
    <r>
      <rPr>
        <sz val="10"/>
        <rFont val="Arial"/>
        <family val="2"/>
      </rPr>
      <t>(WS-G)</t>
    </r>
  </si>
  <si>
    <r>
      <t xml:space="preserve">Base ARR
</t>
    </r>
    <r>
      <rPr>
        <sz val="10"/>
        <rFont val="Arial"/>
        <family val="2"/>
      </rPr>
      <t>(WS-F)</t>
    </r>
  </si>
  <si>
    <t>COLLECTION Adjustment</t>
  </si>
  <si>
    <t>Incentive ARR</t>
  </si>
  <si>
    <t>(J)</t>
  </si>
  <si>
    <t>(L)</t>
  </si>
  <si>
    <t>(O)</t>
  </si>
  <si>
    <t>Total Adjustments before Interest</t>
  </si>
  <si>
    <t>the column above</t>
  </si>
  <si>
    <t>is used to feed interest</t>
  </si>
  <si>
    <t>calculation engine and its</t>
  </si>
  <si>
    <t>output is put into the interest</t>
  </si>
  <si>
    <t>PROJECTED Rev. Req't From Prior Year Template</t>
  </si>
  <si>
    <t>Catoosa 138 kV Device (Cap. Bank)</t>
  </si>
  <si>
    <t>Cache-Snyder to Altus Jct. 138 kV line (w/2 ring bus stations)</t>
  </si>
  <si>
    <t>WFEC New 138 kV Ties: Sayre to Erick (WFEC) Line &amp; Atoka and Tupelo station work</t>
  </si>
  <si>
    <t>Riverside-Glenpool (81-523) Reconductor</t>
  </si>
  <si>
    <t>Craig Jct. to Broken Bow Dam 138 Rebuild (7.7mi)</t>
  </si>
  <si>
    <t>TRUE-UP Rev. Req't.From Prior Year Template</t>
  </si>
  <si>
    <t xml:space="preserve"> Worksheet G</t>
  </si>
  <si>
    <r>
      <t xml:space="preserve">As Billed
by SPP
</t>
    </r>
    <r>
      <rPr>
        <sz val="10"/>
        <rFont val="Arial"/>
        <family val="2"/>
      </rPr>
      <t>(for Prior Yr
T-Service)</t>
    </r>
  </si>
  <si>
    <t>Elk City - Elk City 69 kV line (CT Upgrades)*</t>
  </si>
  <si>
    <t>Weleetka &amp; Okmulgee Wavetrap replacement 81-805*</t>
  </si>
  <si>
    <t>Tulsa Southeast Upgrade (repl switches)*</t>
  </si>
  <si>
    <t>*&lt;$100K investment</t>
  </si>
  <si>
    <t xml:space="preserve">∑ Prior Year True-Up  (WS-G)  </t>
  </si>
  <si>
    <t xml:space="preserve">∑ Prior Year Projected  (WS-F)  </t>
  </si>
  <si>
    <r>
      <t xml:space="preserve">Total Adjustments
</t>
    </r>
    <r>
      <rPr>
        <sz val="8"/>
        <rFont val="Arial"/>
        <family val="2"/>
      </rPr>
      <t>(True-Up, Billing, &amp; Interest)</t>
    </r>
  </si>
  <si>
    <t>TP2009011</t>
  </si>
  <si>
    <t>P.010</t>
  </si>
  <si>
    <t>Projected ADJUSTED ARR from Prior Update</t>
  </si>
  <si>
    <t>*</t>
  </si>
  <si>
    <t>column to left (Q).</t>
  </si>
  <si>
    <t>Investment (EOY)</t>
  </si>
  <si>
    <t>Worksheet G ---- DATA INPUT (Paste.Values) from main FR TEMPLATE PSO WS G</t>
  </si>
  <si>
    <t>TP2008079-PSO</t>
  </si>
  <si>
    <t>Bartlesville SE to Coffeyville T Rebuild</t>
  </si>
  <si>
    <t>P.011</t>
  </si>
  <si>
    <t xml:space="preserve">   Determine R  (cost of long term debt, cost of preferred stock and percent is from Projected TCOS, lns 147 through 149)</t>
  </si>
  <si>
    <t xml:space="preserve">   Rate Base  (True-Up TCOS, ln 63)</t>
  </si>
  <si>
    <t xml:space="preserve">   Net Transmission Plant  (True-Up TCOS, ln 39)</t>
  </si>
  <si>
    <t xml:space="preserve">   FCR less Depreciation  (True-Up TCOS, ln 12)</t>
  </si>
  <si>
    <t xml:space="preserve">   Determine R  (cost of long term debt, cost of preferred stock and percent is from True-Up TCOS, lns 134 through 136)</t>
  </si>
  <si>
    <t>TP2009095-PSO</t>
  </si>
  <si>
    <t>Canadian River - McAlester City 138 kV Line Conversion</t>
  </si>
  <si>
    <t>P.012</t>
  </si>
  <si>
    <t>TP2008013</t>
  </si>
  <si>
    <t>P.013</t>
  </si>
  <si>
    <t>TP2009092</t>
  </si>
  <si>
    <t>Ashdown West - Craig Junction</t>
  </si>
  <si>
    <t>P.014</t>
  </si>
  <si>
    <t>NOTE:</t>
  </si>
  <si>
    <t>To INSERT a new project line item (row)</t>
  </si>
  <si>
    <t>1.   Insert blank row(s) for new project(s) between TOTAL row and existing last project row.</t>
  </si>
  <si>
    <t>2.  Copy entire contents of last project Row, then Paste into new blank row(s), again….leave 1 blank row to maintain summing formulas.</t>
  </si>
  <si>
    <t>0a.  Always maintain a blank row between TOTAL and last project (this maintains summing formulas in Totalization row.</t>
  </si>
  <si>
    <t>0b.   Always add and fill out new P.0xx Project Sheet(s) before inserting rows on this summary sheet.</t>
  </si>
  <si>
    <t>3.  In the SheetName column in this sheet…change the P.0xx type number(s) to match the corresponding newly added P.0xx sheets.</t>
  </si>
  <si>
    <t>WFEC DA Adjustment</t>
  </si>
  <si>
    <t>TP2009093</t>
  </si>
  <si>
    <t>Locust Grove to Lone Star 115 kV Rebuild 2.1 miles</t>
  </si>
  <si>
    <t>TP2011093</t>
  </si>
  <si>
    <t>Cornville Station Conversion</t>
  </si>
  <si>
    <t>P.015</t>
  </si>
  <si>
    <t>P.016</t>
  </si>
  <si>
    <t>Wavetrap Clinton City-Foss Tap 69kV Ckt 1*</t>
  </si>
  <si>
    <t>CoffeyvilleT to Dearing 138 kv Rebuild - 1.1 mi*</t>
  </si>
  <si>
    <t>Note:  Project's whose investment cost do NOT meet SPP's $100,000 threshold for 'regional' socialization are marked with an asterik "*" as SPP will only collect those ATRRs from the zone.</t>
  </si>
  <si>
    <t xml:space="preserve">  SPP Project ID = 649</t>
  </si>
  <si>
    <t xml:space="preserve">  SPP Project ID = 30346</t>
  </si>
  <si>
    <t>NOTE:  Original NTC indicates only 94% to be Base Plan.</t>
  </si>
  <si>
    <t>&lt;&lt; 2014-present ARR values based on 94% actual cost.  Yrs 2011-13 ARR values based on 100% actual cost (SPP scaled ARR data) &gt;&gt;</t>
  </si>
  <si>
    <t>Grady Customer Connection</t>
  </si>
  <si>
    <t>Darlington-Red Rock 138 kV line</t>
  </si>
  <si>
    <t>P.017</t>
  </si>
  <si>
    <t>P.018</t>
  </si>
  <si>
    <t>***Sch. 11 recovery commenced in 2015 rate year***</t>
  </si>
  <si>
    <t xml:space="preserve"> &lt;--- this value goes to sched 11 interest support file - line 17</t>
  </si>
  <si>
    <t>2013</t>
  </si>
  <si>
    <t>2014</t>
  </si>
  <si>
    <t>TP2012112</t>
  </si>
  <si>
    <t xml:space="preserve">***Sch. 11 recovery commenced in the 2015 rate year.  Beg Bal = to depreciated balance as of 1/1/15. *** </t>
  </si>
  <si>
    <t>P.019</t>
  </si>
  <si>
    <t>P.020</t>
  </si>
  <si>
    <t>P.021</t>
  </si>
  <si>
    <t>P.022</t>
  </si>
  <si>
    <t>Darlington-Roman Nose 138 kV</t>
  </si>
  <si>
    <t>Northeastern Station 138 kV Terminal Upgrades</t>
  </si>
  <si>
    <t>Valliant-NW Texarkana 345 kV</t>
  </si>
  <si>
    <t>Sayre 138 kV Capacitor Bank Addition</t>
  </si>
  <si>
    <t>&lt;==From Input on Worksheet A</t>
  </si>
  <si>
    <t>Current Projected Year ARR</t>
  </si>
  <si>
    <t>Current Projected Year ARR w/ Incentive</t>
  </si>
  <si>
    <t>Beg/Ending 
Average
Revenue</t>
  </si>
  <si>
    <t>Beg/Ending
Average
Revenue Req't.</t>
  </si>
  <si>
    <t xml:space="preserve">       Taxable Percentage of Revenue (22%)</t>
  </si>
  <si>
    <t xml:space="preserve">Worksheet F </t>
  </si>
  <si>
    <t>TP2013002</t>
  </si>
  <si>
    <t xml:space="preserve">  SPP Project ID = 30748</t>
  </si>
  <si>
    <t xml:space="preserve">  SPP Project ID = 770</t>
  </si>
  <si>
    <t xml:space="preserve">  SPP Project ID = 295</t>
  </si>
  <si>
    <t xml:space="preserve">  SPP Project ID = 767</t>
  </si>
  <si>
    <t>TP2009089</t>
  </si>
  <si>
    <t xml:space="preserve">  SPP Project ID = 936</t>
  </si>
  <si>
    <t>TP2015202</t>
  </si>
  <si>
    <t xml:space="preserve">  SPP Project ID = 30997</t>
  </si>
  <si>
    <t>TP2015027</t>
  </si>
  <si>
    <t xml:space="preserve">  SPP Project ID = 30619</t>
  </si>
  <si>
    <t>TP2015169</t>
  </si>
  <si>
    <t xml:space="preserve">  SPP Project ID = 31003</t>
  </si>
  <si>
    <t>Elk City 138KV Move Load</t>
  </si>
  <si>
    <t>TP2011110</t>
  </si>
  <si>
    <t xml:space="preserve">  SPP Project ID = 31005</t>
  </si>
  <si>
    <t>Duncan-Comanche Tap 69 KV Rebuild</t>
  </si>
  <si>
    <t>TP2015191</t>
  </si>
  <si>
    <t xml:space="preserve">  SPP Project ID = 31009</t>
  </si>
  <si>
    <t>P.023</t>
  </si>
  <si>
    <t>P.024</t>
  </si>
  <si>
    <t xml:space="preserve">   ROE w/o incentives  (True-Up TCOS, ln 135)</t>
  </si>
  <si>
    <t xml:space="preserve">   Tax Rate  (True-Up TCOS, ln 105)</t>
  </si>
  <si>
    <t xml:space="preserve">   ITC Adjustment  (True-Up TCOS, ln 102)</t>
  </si>
  <si>
    <t xml:space="preserve">   Net Revenue Requirement  (True-Up TCOS, ln 109)</t>
  </si>
  <si>
    <t xml:space="preserve">   Return  (True-Up TCOS, ln 104)</t>
  </si>
  <si>
    <t xml:space="preserve">   Income Taxes  (True-Up TCOS, ln 103)</t>
  </si>
  <si>
    <t xml:space="preserve">  Gross Margin Taxes  (True-Up TCOS, ln 108)</t>
  </si>
  <si>
    <t xml:space="preserve">   Less: Depreciation  (True-Up TCOS, ln 82)</t>
  </si>
  <si>
    <t>Annual Depreciation Expense  (True-Up TCOS, ln 82)</t>
  </si>
  <si>
    <t>Fort Towson-Valliant Line Rebuild</t>
  </si>
  <si>
    <t>TP2015204</t>
  </si>
  <si>
    <t>P.025</t>
  </si>
  <si>
    <t>Transmission Plant Average Balance for 2018</t>
  </si>
  <si>
    <t xml:space="preserve">   Excess DFIT Adjustment  (TCOS, ln 109)</t>
  </si>
  <si>
    <t xml:space="preserve">   Tax Effect of Permanent and Flow Through Differences (TCOS, ln 110)</t>
  </si>
  <si>
    <t>21% &amp; 11.2 ROE</t>
  </si>
  <si>
    <t>35% &amp; 11.2 ROE</t>
  </si>
  <si>
    <t>E - F</t>
  </si>
  <si>
    <t xml:space="preserve">   Net Transmission Plant  (TCOS, ln 37)</t>
  </si>
  <si>
    <t>True-Up ARR CY 2019 From Worksheet G  (includes adjustment for SPP Collections)</t>
  </si>
  <si>
    <t>P.026</t>
  </si>
  <si>
    <t>P.027</t>
  </si>
  <si>
    <t>Tulsa Southeast - E. 61st St 138 kV Rebuild</t>
  </si>
  <si>
    <t>Broken Arrow North-Lynn Lane East 138 kV</t>
  </si>
  <si>
    <t>TP2017011</t>
  </si>
  <si>
    <t>TP2017016</t>
  </si>
  <si>
    <t>Keystone Dam - Wekiwa 138 kV</t>
  </si>
  <si>
    <t xml:space="preserve">  SPP Project ID = 41233</t>
  </si>
  <si>
    <t>P.028</t>
  </si>
  <si>
    <t>TP2015118</t>
  </si>
  <si>
    <t xml:space="preserve">  SPP Project ID = 30809</t>
  </si>
  <si>
    <t xml:space="preserve">  SPP Project ID = 41202</t>
  </si>
  <si>
    <t xml:space="preserve">  SPP Project ID = 31058</t>
  </si>
  <si>
    <t xml:space="preserve">  SPP Project ID = 30746</t>
  </si>
  <si>
    <t xml:space="preserve">  SPP Project ID = 446</t>
  </si>
  <si>
    <t xml:space="preserve">  SPP Project ID = 289</t>
  </si>
  <si>
    <t xml:space="preserve">  SPP Project ID = 46</t>
  </si>
  <si>
    <t xml:space="preserve">  SPP Project ID = 3</t>
  </si>
  <si>
    <t xml:space="preserve">  SPP Project ID = 118</t>
  </si>
  <si>
    <t xml:space="preserve">  SPP Project ID = 110</t>
  </si>
  <si>
    <t xml:space="preserve">  SPP Project ID = 30001</t>
  </si>
  <si>
    <t xml:space="preserve">  SPP Project ID = 106</t>
  </si>
  <si>
    <t xml:space="preserve">  SPP Project ID = 112</t>
  </si>
  <si>
    <t xml:space="preserve">  SPP Project ID = 230</t>
  </si>
  <si>
    <t xml:space="preserve">  SPP Project ID = 220</t>
  </si>
  <si>
    <t>Projected Year</t>
  </si>
  <si>
    <t xml:space="preserve">   ROE w/o incentives  (TCOS, ln 143)</t>
  </si>
  <si>
    <t xml:space="preserve">   Rate Base  (TCOS, ln 63)</t>
  </si>
  <si>
    <t xml:space="preserve">   Tax Rate  (TCOS, ln 99)</t>
  </si>
  <si>
    <t xml:space="preserve">   ITC Adjustment  (TCOS, ln 108)</t>
  </si>
  <si>
    <t xml:space="preserve">   Tax Effect of Permanent and Flow Through Differences  (TCOS, ln 110)</t>
  </si>
  <si>
    <t xml:space="preserve">   Net Revenue Requirement  (TCOS, ln 117)</t>
  </si>
  <si>
    <t xml:space="preserve">   Return  (TCOS, ln 112)</t>
  </si>
  <si>
    <t xml:space="preserve">   Income Taxes  (TCOS, ln 111)</t>
  </si>
  <si>
    <t xml:space="preserve">  Gross Margin Taxes  (TCOS, ln 116)</t>
  </si>
  <si>
    <t xml:space="preserve">   Less: Depreciation  (TCOS, ln 86)</t>
  </si>
  <si>
    <t xml:space="preserve">   FCR less Depreciation  (TCOS, ln 10)</t>
  </si>
  <si>
    <t>Transmission Plant Average Balance for 2021 (WS A-1 Ln 14 Col (d))</t>
  </si>
  <si>
    <t>Annual Depreciation Expense  (TCOS, ln 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</si>
</sst>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"/>
    <numFmt numFmtId="166" formatCode="#,##0.0000"/>
    <numFmt numFmtId="167" formatCode="0.0000"/>
    <numFmt numFmtId="168" formatCode="&quot;$&quot;#,##0"/>
    <numFmt numFmtId="169" formatCode="&quot;$&quot;#,##0.00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.0000_);_(* \(#,##0.0000\);_(* &quot;-&quot;????_);_(@_)"/>
    <numFmt numFmtId="173" formatCode="_(* #,##0.0000_);_(* \(#,##0.0000\);_(* &quot;-&quot;_);_(@_)"/>
    <numFmt numFmtId="174" formatCode="_(* #,##0.00000_);_(* \(#,##0.00000\);_(* &quot;-&quot;??_);_(@_)"/>
    <numFmt numFmtId="175" formatCode="_(&quot;$&quot;* #,##0.0000000_);_(&quot;$&quot;* \(#,##0.0000000\);_(&quot;$&quot;* &quot;-&quot;??_);_(@_)"/>
    <numFmt numFmtId="176" formatCode="_(* #,##0.0000000000_);_(* \(#,##0.0000000000\);_(* &quot;-&quot;??_);_(@_)"/>
    <numFmt numFmtId="177" formatCode="_(* #,##0.000000_);_(* \(#,##0.000000\);_(* &quot;-&quot;??_);_(@_)"/>
    <numFmt numFmtId="178" formatCode="&quot;$&quot;#,##0\ ;\(&quot;$&quot;#,##0\)"/>
    <numFmt numFmtId="179" formatCode="_(* #,##0.0,_);_(* \(#,##0.0,\);_(* &quot;-   &quot;_);_(@_)"/>
    <numFmt numFmtId="180" formatCode="0.0000%"/>
  </numFmts>
  <fonts count="123">
    <font>
      <sz val="10"/>
      <name val="Arial"/>
    </font>
    <font>
      <sz val="10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8"/>
      <name val="Arial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sz val="12"/>
      <name val="Arial MT"/>
    </font>
    <font>
      <b/>
      <sz val="11"/>
      <color indexed="63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sz val="14"/>
      <name val="Arial"/>
      <family val="2"/>
    </font>
    <font>
      <b/>
      <sz val="14"/>
      <name val="MS Serif"/>
      <family val="1"/>
    </font>
    <font>
      <u/>
      <sz val="10"/>
      <name val="Arial"/>
      <family val="2"/>
    </font>
    <font>
      <sz val="10"/>
      <name val="MS Serif"/>
      <family val="1"/>
    </font>
    <font>
      <b/>
      <sz val="16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57"/>
      <name val="Arial"/>
      <family val="2"/>
    </font>
    <font>
      <sz val="14"/>
      <color indexed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2"/>
      <color indexed="12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i/>
      <sz val="8"/>
      <color indexed="81"/>
      <name val="Tahoma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0"/>
      <color indexed="8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FF"/>
      <name val="Arial"/>
      <family val="2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5">
    <xf numFmtId="0" fontId="0" fillId="0" borderId="0"/>
    <xf numFmtId="0" fontId="2" fillId="2" borderId="0" applyNumberFormat="0" applyBorder="0" applyAlignment="0" applyProtection="0"/>
    <xf numFmtId="0" fontId="104" fillId="30" borderId="0" applyNumberFormat="0" applyBorder="0" applyAlignment="0" applyProtection="0"/>
    <xf numFmtId="0" fontId="81" fillId="2" borderId="0" applyNumberFormat="0" applyBorder="0" applyAlignment="0" applyProtection="0"/>
    <xf numFmtId="0" fontId="2" fillId="3" borderId="0" applyNumberFormat="0" applyBorder="0" applyAlignment="0" applyProtection="0"/>
    <xf numFmtId="0" fontId="104" fillId="31" borderId="0" applyNumberFormat="0" applyBorder="0" applyAlignment="0" applyProtection="0"/>
    <xf numFmtId="0" fontId="81" fillId="3" borderId="0" applyNumberFormat="0" applyBorder="0" applyAlignment="0" applyProtection="0"/>
    <xf numFmtId="0" fontId="2" fillId="4" borderId="0" applyNumberFormat="0" applyBorder="0" applyAlignment="0" applyProtection="0"/>
    <xf numFmtId="0" fontId="104" fillId="32" borderId="0" applyNumberFormat="0" applyBorder="0" applyAlignment="0" applyProtection="0"/>
    <xf numFmtId="0" fontId="81" fillId="4" borderId="0" applyNumberFormat="0" applyBorder="0" applyAlignment="0" applyProtection="0"/>
    <xf numFmtId="0" fontId="2" fillId="5" borderId="0" applyNumberFormat="0" applyBorder="0" applyAlignment="0" applyProtection="0"/>
    <xf numFmtId="0" fontId="104" fillId="33" borderId="0" applyNumberFormat="0" applyBorder="0" applyAlignment="0" applyProtection="0"/>
    <xf numFmtId="0" fontId="81" fillId="5" borderId="0" applyNumberFormat="0" applyBorder="0" applyAlignment="0" applyProtection="0"/>
    <xf numFmtId="0" fontId="2" fillId="6" borderId="0" applyNumberFormat="0" applyBorder="0" applyAlignment="0" applyProtection="0"/>
    <xf numFmtId="0" fontId="104" fillId="34" borderId="0" applyNumberFormat="0" applyBorder="0" applyAlignment="0" applyProtection="0"/>
    <xf numFmtId="0" fontId="81" fillId="6" borderId="0" applyNumberFormat="0" applyBorder="0" applyAlignment="0" applyProtection="0"/>
    <xf numFmtId="0" fontId="2" fillId="7" borderId="0" applyNumberFormat="0" applyBorder="0" applyAlignment="0" applyProtection="0"/>
    <xf numFmtId="0" fontId="104" fillId="35" borderId="0" applyNumberFormat="0" applyBorder="0" applyAlignment="0" applyProtection="0"/>
    <xf numFmtId="0" fontId="81" fillId="7" borderId="0" applyNumberFormat="0" applyBorder="0" applyAlignment="0" applyProtection="0"/>
    <xf numFmtId="0" fontId="2" fillId="8" borderId="0" applyNumberFormat="0" applyBorder="0" applyAlignment="0" applyProtection="0"/>
    <xf numFmtId="0" fontId="104" fillId="36" borderId="0" applyNumberFormat="0" applyBorder="0" applyAlignment="0" applyProtection="0"/>
    <xf numFmtId="0" fontId="81" fillId="8" borderId="0" applyNumberFormat="0" applyBorder="0" applyAlignment="0" applyProtection="0"/>
    <xf numFmtId="0" fontId="2" fillId="9" borderId="0" applyNumberFormat="0" applyBorder="0" applyAlignment="0" applyProtection="0"/>
    <xf numFmtId="0" fontId="104" fillId="37" borderId="0" applyNumberFormat="0" applyBorder="0" applyAlignment="0" applyProtection="0"/>
    <xf numFmtId="0" fontId="81" fillId="9" borderId="0" applyNumberFormat="0" applyBorder="0" applyAlignment="0" applyProtection="0"/>
    <xf numFmtId="0" fontId="2" fillId="10" borderId="0" applyNumberFormat="0" applyBorder="0" applyAlignment="0" applyProtection="0"/>
    <xf numFmtId="0" fontId="104" fillId="38" borderId="0" applyNumberFormat="0" applyBorder="0" applyAlignment="0" applyProtection="0"/>
    <xf numFmtId="0" fontId="81" fillId="10" borderId="0" applyNumberFormat="0" applyBorder="0" applyAlignment="0" applyProtection="0"/>
    <xf numFmtId="0" fontId="2" fillId="5" borderId="0" applyNumberFormat="0" applyBorder="0" applyAlignment="0" applyProtection="0"/>
    <xf numFmtId="0" fontId="104" fillId="39" borderId="0" applyNumberFormat="0" applyBorder="0" applyAlignment="0" applyProtection="0"/>
    <xf numFmtId="0" fontId="81" fillId="5" borderId="0" applyNumberFormat="0" applyBorder="0" applyAlignment="0" applyProtection="0"/>
    <xf numFmtId="0" fontId="2" fillId="8" borderId="0" applyNumberFormat="0" applyBorder="0" applyAlignment="0" applyProtection="0"/>
    <xf numFmtId="0" fontId="104" fillId="40" borderId="0" applyNumberFormat="0" applyBorder="0" applyAlignment="0" applyProtection="0"/>
    <xf numFmtId="0" fontId="81" fillId="8" borderId="0" applyNumberFormat="0" applyBorder="0" applyAlignment="0" applyProtection="0"/>
    <xf numFmtId="0" fontId="2" fillId="11" borderId="0" applyNumberFormat="0" applyBorder="0" applyAlignment="0" applyProtection="0"/>
    <xf numFmtId="0" fontId="104" fillId="41" borderId="0" applyNumberFormat="0" applyBorder="0" applyAlignment="0" applyProtection="0"/>
    <xf numFmtId="0" fontId="81" fillId="11" borderId="0" applyNumberFormat="0" applyBorder="0" applyAlignment="0" applyProtection="0"/>
    <xf numFmtId="0" fontId="3" fillId="12" borderId="0" applyNumberFormat="0" applyBorder="0" applyAlignment="0" applyProtection="0"/>
    <xf numFmtId="0" fontId="105" fillId="42" borderId="0" applyNumberFormat="0" applyBorder="0" applyAlignment="0" applyProtection="0"/>
    <xf numFmtId="0" fontId="87" fillId="12" borderId="0" applyNumberFormat="0" applyBorder="0" applyAlignment="0" applyProtection="0"/>
    <xf numFmtId="0" fontId="3" fillId="9" borderId="0" applyNumberFormat="0" applyBorder="0" applyAlignment="0" applyProtection="0"/>
    <xf numFmtId="0" fontId="105" fillId="43" borderId="0" applyNumberFormat="0" applyBorder="0" applyAlignment="0" applyProtection="0"/>
    <xf numFmtId="0" fontId="87" fillId="9" borderId="0" applyNumberFormat="0" applyBorder="0" applyAlignment="0" applyProtection="0"/>
    <xf numFmtId="0" fontId="3" fillId="10" borderId="0" applyNumberFormat="0" applyBorder="0" applyAlignment="0" applyProtection="0"/>
    <xf numFmtId="0" fontId="105" fillId="44" borderId="0" applyNumberFormat="0" applyBorder="0" applyAlignment="0" applyProtection="0"/>
    <xf numFmtId="0" fontId="87" fillId="10" borderId="0" applyNumberFormat="0" applyBorder="0" applyAlignment="0" applyProtection="0"/>
    <xf numFmtId="0" fontId="3" fillId="13" borderId="0" applyNumberFormat="0" applyBorder="0" applyAlignment="0" applyProtection="0"/>
    <xf numFmtId="0" fontId="105" fillId="45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46" borderId="0" applyNumberFormat="0" applyBorder="0" applyAlignment="0" applyProtection="0"/>
    <xf numFmtId="0" fontId="87" fillId="14" borderId="0" applyNumberFormat="0" applyBorder="0" applyAlignment="0" applyProtection="0"/>
    <xf numFmtId="0" fontId="3" fillId="15" borderId="0" applyNumberFormat="0" applyBorder="0" applyAlignment="0" applyProtection="0"/>
    <xf numFmtId="0" fontId="105" fillId="47" borderId="0" applyNumberFormat="0" applyBorder="0" applyAlignment="0" applyProtection="0"/>
    <xf numFmtId="0" fontId="87" fillId="15" borderId="0" applyNumberFormat="0" applyBorder="0" applyAlignment="0" applyProtection="0"/>
    <xf numFmtId="0" fontId="3" fillId="16" borderId="0" applyNumberFormat="0" applyBorder="0" applyAlignment="0" applyProtection="0"/>
    <xf numFmtId="0" fontId="105" fillId="48" borderId="0" applyNumberFormat="0" applyBorder="0" applyAlignment="0" applyProtection="0"/>
    <xf numFmtId="0" fontId="87" fillId="16" borderId="0" applyNumberFormat="0" applyBorder="0" applyAlignment="0" applyProtection="0"/>
    <xf numFmtId="0" fontId="3" fillId="17" borderId="0" applyNumberFormat="0" applyBorder="0" applyAlignment="0" applyProtection="0"/>
    <xf numFmtId="0" fontId="105" fillId="49" borderId="0" applyNumberFormat="0" applyBorder="0" applyAlignment="0" applyProtection="0"/>
    <xf numFmtId="0" fontId="87" fillId="17" borderId="0" applyNumberFormat="0" applyBorder="0" applyAlignment="0" applyProtection="0"/>
    <xf numFmtId="0" fontId="3" fillId="18" borderId="0" applyNumberFormat="0" applyBorder="0" applyAlignment="0" applyProtection="0"/>
    <xf numFmtId="0" fontId="105" fillId="50" borderId="0" applyNumberFormat="0" applyBorder="0" applyAlignment="0" applyProtection="0"/>
    <xf numFmtId="0" fontId="87" fillId="18" borderId="0" applyNumberFormat="0" applyBorder="0" applyAlignment="0" applyProtection="0"/>
    <xf numFmtId="0" fontId="3" fillId="13" borderId="0" applyNumberFormat="0" applyBorder="0" applyAlignment="0" applyProtection="0"/>
    <xf numFmtId="0" fontId="105" fillId="51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52" borderId="0" applyNumberFormat="0" applyBorder="0" applyAlignment="0" applyProtection="0"/>
    <xf numFmtId="0" fontId="87" fillId="14" borderId="0" applyNumberFormat="0" applyBorder="0" applyAlignment="0" applyProtection="0"/>
    <xf numFmtId="0" fontId="3" fillId="19" borderId="0" applyNumberFormat="0" applyBorder="0" applyAlignment="0" applyProtection="0"/>
    <xf numFmtId="0" fontId="105" fillId="53" borderId="0" applyNumberFormat="0" applyBorder="0" applyAlignment="0" applyProtection="0"/>
    <xf numFmtId="0" fontId="87" fillId="19" borderId="0" applyNumberFormat="0" applyBorder="0" applyAlignment="0" applyProtection="0"/>
    <xf numFmtId="0" fontId="4" fillId="3" borderId="0" applyNumberFormat="0" applyBorder="0" applyAlignment="0" applyProtection="0"/>
    <xf numFmtId="0" fontId="106" fillId="54" borderId="0" applyNumberFormat="0" applyBorder="0" applyAlignment="0" applyProtection="0"/>
    <xf numFmtId="0" fontId="88" fillId="3" borderId="0" applyNumberFormat="0" applyBorder="0" applyAlignment="0" applyProtection="0"/>
    <xf numFmtId="169" fontId="5" fillId="0" borderId="0" applyFill="0"/>
    <xf numFmtId="169" fontId="5" fillId="0" borderId="0">
      <alignment horizontal="center"/>
    </xf>
    <xf numFmtId="0" fontId="5" fillId="0" borderId="0" applyFill="0">
      <alignment horizontal="center"/>
    </xf>
    <xf numFmtId="169" fontId="6" fillId="0" borderId="1" applyFill="0"/>
    <xf numFmtId="0" fontId="7" fillId="0" borderId="0" applyFont="0" applyAlignment="0"/>
    <xf numFmtId="0" fontId="7" fillId="0" borderId="0" applyFont="0" applyAlignment="0"/>
    <xf numFmtId="0" fontId="8" fillId="0" borderId="0" applyFill="0">
      <alignment vertical="top"/>
    </xf>
    <xf numFmtId="0" fontId="6" fillId="0" borderId="0" applyFill="0">
      <alignment horizontal="left" vertical="top"/>
    </xf>
    <xf numFmtId="169" fontId="9" fillId="0" borderId="2" applyFill="0"/>
    <xf numFmtId="0" fontId="7" fillId="0" borderId="0" applyNumberFormat="0" applyFont="0" applyAlignment="0"/>
    <xf numFmtId="0" fontId="7" fillId="0" borderId="0" applyNumberFormat="0" applyFont="0" applyAlignment="0"/>
    <xf numFmtId="0" fontId="8" fillId="0" borderId="0" applyFill="0">
      <alignment wrapText="1"/>
    </xf>
    <xf numFmtId="0" fontId="6" fillId="0" borderId="0" applyFill="0">
      <alignment horizontal="left" vertical="top" wrapText="1"/>
    </xf>
    <xf numFmtId="169" fontId="10" fillId="0" borderId="0" applyFill="0"/>
    <xf numFmtId="0" fontId="11" fillId="0" borderId="0" applyNumberFormat="0" applyFont="0" applyAlignment="0">
      <alignment horizontal="center"/>
    </xf>
    <xf numFmtId="0" fontId="12" fillId="0" borderId="0" applyFill="0">
      <alignment vertical="top" wrapText="1"/>
    </xf>
    <xf numFmtId="0" fontId="9" fillId="0" borderId="0" applyFill="0">
      <alignment horizontal="left" vertical="top" wrapText="1"/>
    </xf>
    <xf numFmtId="169" fontId="7" fillId="0" borderId="0" applyFill="0"/>
    <xf numFmtId="169" fontId="7" fillId="0" borderId="0" applyFill="0"/>
    <xf numFmtId="0" fontId="11" fillId="0" borderId="0" applyNumberFormat="0" applyFont="0" applyAlignment="0">
      <alignment horizontal="center"/>
    </xf>
    <xf numFmtId="0" fontId="13" fillId="0" borderId="0" applyFill="0">
      <alignment vertical="center" wrapText="1"/>
    </xf>
    <xf numFmtId="0" fontId="14" fillId="0" borderId="0">
      <alignment horizontal="left" vertical="center" wrapText="1"/>
    </xf>
    <xf numFmtId="169" fontId="15" fillId="0" borderId="0" applyFill="0"/>
    <xf numFmtId="0" fontId="11" fillId="0" borderId="0" applyNumberFormat="0" applyFont="0" applyAlignment="0">
      <alignment horizontal="center"/>
    </xf>
    <xf numFmtId="0" fontId="16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69" fontId="17" fillId="0" borderId="0" applyFill="0"/>
    <xf numFmtId="0" fontId="11" fillId="0" borderId="0" applyNumberFormat="0" applyFont="0" applyAlignment="0">
      <alignment horizontal="center"/>
    </xf>
    <xf numFmtId="0" fontId="18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69" fontId="20" fillId="0" borderId="0" applyFill="0"/>
    <xf numFmtId="0" fontId="11" fillId="0" borderId="0" applyNumberFormat="0" applyFont="0" applyAlignment="0">
      <alignment horizontal="center"/>
    </xf>
    <xf numFmtId="0" fontId="21" fillId="0" borderId="0">
      <alignment horizontal="center" wrapText="1"/>
    </xf>
    <xf numFmtId="0" fontId="17" fillId="0" borderId="0" applyFill="0">
      <alignment horizontal="center" wrapText="1"/>
    </xf>
    <xf numFmtId="0" fontId="22" fillId="20" borderId="3" applyNumberFormat="0" applyAlignment="0" applyProtection="0"/>
    <xf numFmtId="0" fontId="107" fillId="55" borderId="48" applyNumberFormat="0" applyAlignment="0" applyProtection="0"/>
    <xf numFmtId="0" fontId="89" fillId="20" borderId="3" applyNumberFormat="0" applyAlignment="0" applyProtection="0"/>
    <xf numFmtId="0" fontId="23" fillId="21" borderId="4" applyNumberFormat="0" applyAlignment="0" applyProtection="0"/>
    <xf numFmtId="0" fontId="108" fillId="56" borderId="49" applyNumberFormat="0" applyAlignment="0" applyProtection="0"/>
    <xf numFmtId="0" fontId="90" fillId="21" borderId="4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0" fontId="25" fillId="4" borderId="0" applyNumberFormat="0" applyBorder="0" applyAlignment="0" applyProtection="0"/>
    <xf numFmtId="0" fontId="110" fillId="57" borderId="0" applyNumberFormat="0" applyBorder="0" applyAlignment="0" applyProtection="0"/>
    <xf numFmtId="0" fontId="92" fillId="4" borderId="0" applyNumberFormat="0" applyBorder="0" applyAlignment="0" applyProtection="0"/>
    <xf numFmtId="0" fontId="26" fillId="0" borderId="0" applyFont="0" applyFill="0" applyBorder="0" applyAlignment="0" applyProtection="0"/>
    <xf numFmtId="0" fontId="111" fillId="0" borderId="50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112" fillId="0" borderId="51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113" fillId="0" borderId="52" applyNumberFormat="0" applyFill="0" applyAlignment="0" applyProtection="0"/>
    <xf numFmtId="0" fontId="93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8" fillId="0" borderId="6"/>
    <xf numFmtId="0" fontId="29" fillId="0" borderId="0"/>
    <xf numFmtId="0" fontId="30" fillId="7" borderId="3" applyNumberFormat="0" applyAlignment="0" applyProtection="0"/>
    <xf numFmtId="0" fontId="114" fillId="58" borderId="48" applyNumberFormat="0" applyAlignment="0" applyProtection="0"/>
    <xf numFmtId="0" fontId="94" fillId="7" borderId="3" applyNumberFormat="0" applyAlignment="0" applyProtection="0"/>
    <xf numFmtId="0" fontId="31" fillId="0" borderId="7" applyNumberFormat="0" applyFill="0" applyAlignment="0" applyProtection="0"/>
    <xf numFmtId="0" fontId="115" fillId="0" borderId="53" applyNumberFormat="0" applyFill="0" applyAlignment="0" applyProtection="0"/>
    <xf numFmtId="0" fontId="95" fillId="0" borderId="7" applyNumberFormat="0" applyFill="0" applyAlignment="0" applyProtection="0"/>
    <xf numFmtId="179" fontId="80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0" fontId="32" fillId="22" borderId="0" applyNumberFormat="0" applyBorder="0" applyAlignment="0" applyProtection="0"/>
    <xf numFmtId="0" fontId="116" fillId="59" borderId="0" applyNumberFormat="0" applyBorder="0" applyAlignment="0" applyProtection="0"/>
    <xf numFmtId="0" fontId="96" fillId="22" borderId="0" applyNumberFormat="0" applyBorder="0" applyAlignment="0" applyProtection="0"/>
    <xf numFmtId="0" fontId="104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3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103" fillId="0" borderId="0"/>
    <xf numFmtId="0" fontId="103" fillId="0" borderId="0"/>
    <xf numFmtId="0" fontId="103" fillId="0" borderId="0"/>
    <xf numFmtId="0" fontId="7" fillId="0" borderId="0"/>
    <xf numFmtId="3" fontId="7" fillId="0" borderId="0"/>
    <xf numFmtId="0" fontId="7" fillId="0" borderId="0"/>
    <xf numFmtId="0" fontId="35" fillId="0" borderId="0"/>
    <xf numFmtId="0" fontId="7" fillId="0" borderId="0"/>
    <xf numFmtId="0" fontId="35" fillId="0" borderId="0"/>
    <xf numFmtId="0" fontId="104" fillId="0" borderId="0"/>
    <xf numFmtId="0" fontId="35" fillId="0" borderId="0"/>
    <xf numFmtId="0" fontId="104" fillId="0" borderId="0"/>
    <xf numFmtId="0" fontId="7" fillId="0" borderId="0"/>
    <xf numFmtId="0" fontId="7" fillId="0" borderId="0"/>
    <xf numFmtId="0" fontId="104" fillId="0" borderId="0"/>
    <xf numFmtId="0" fontId="35" fillId="0" borderId="0"/>
    <xf numFmtId="0" fontId="104" fillId="0" borderId="0"/>
    <xf numFmtId="0" fontId="35" fillId="0" borderId="0"/>
    <xf numFmtId="169" fontId="33" fillId="0" borderId="0" applyProtection="0"/>
    <xf numFmtId="0" fontId="33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34" fillId="20" borderId="9" applyNumberFormat="0" applyAlignment="0" applyProtection="0"/>
    <xf numFmtId="0" fontId="117" fillId="55" borderId="55" applyNumberFormat="0" applyAlignment="0" applyProtection="0"/>
    <xf numFmtId="0" fontId="97" fillId="20" borderId="9" applyNumberFormat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7" fillId="0" borderId="0">
      <alignment horizontal="left" vertical="top"/>
    </xf>
    <xf numFmtId="3" fontId="7" fillId="0" borderId="0">
      <alignment horizontal="left" vertical="top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3" fontId="7" fillId="0" borderId="0">
      <alignment horizontal="right" vertical="top"/>
    </xf>
    <xf numFmtId="3" fontId="7" fillId="0" borderId="0">
      <alignment horizontal="right" vertical="top"/>
    </xf>
    <xf numFmtId="41" fontId="14" fillId="25" borderId="10" applyFill="0"/>
    <xf numFmtId="0" fontId="37" fillId="0" borderId="0">
      <alignment horizontal="left" indent="7"/>
    </xf>
    <xf numFmtId="41" fontId="14" fillId="0" borderId="10" applyFill="0">
      <alignment horizontal="left" indent="2"/>
    </xf>
    <xf numFmtId="169" fontId="38" fillId="0" borderId="11" applyFill="0">
      <alignment horizontal="right"/>
    </xf>
    <xf numFmtId="0" fontId="39" fillId="0" borderId="12" applyNumberFormat="0" applyFont="0" applyBorder="0">
      <alignment horizontal="right"/>
    </xf>
    <xf numFmtId="0" fontId="40" fillId="0" borderId="0" applyFill="0"/>
    <xf numFmtId="0" fontId="9" fillId="0" borderId="0" applyFill="0"/>
    <xf numFmtId="4" fontId="38" fillId="0" borderId="11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2" fillId="0" borderId="0" applyFill="0">
      <alignment horizontal="left" indent="1"/>
    </xf>
    <xf numFmtId="0" fontId="41" fillId="0" borderId="0" applyFill="0">
      <alignment horizontal="left" indent="1"/>
    </xf>
    <xf numFmtId="4" fontId="15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12" fillId="0" borderId="0" applyFill="0">
      <alignment horizontal="left" indent="2"/>
    </xf>
    <xf numFmtId="0" fontId="9" fillId="0" borderId="0" applyFill="0">
      <alignment horizontal="left" indent="2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42" fillId="0" borderId="0">
      <alignment horizontal="left" indent="3"/>
    </xf>
    <xf numFmtId="0" fontId="43" fillId="0" borderId="0" applyFill="0">
      <alignment horizontal="left" indent="3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6" fillId="0" borderId="0">
      <alignment horizontal="left" indent="4"/>
    </xf>
    <xf numFmtId="0" fontId="7" fillId="0" borderId="0" applyFill="0">
      <alignment horizontal="left" indent="4"/>
    </xf>
    <xf numFmtId="0" fontId="7" fillId="0" borderId="0" applyFill="0">
      <alignment horizontal="left" indent="4"/>
    </xf>
    <xf numFmtId="4" fontId="17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8" fillId="0" borderId="0">
      <alignment horizontal="left" indent="5"/>
    </xf>
    <xf numFmtId="0" fontId="19" fillId="0" borderId="0" applyFill="0">
      <alignment horizontal="left" indent="5"/>
    </xf>
    <xf numFmtId="4" fontId="20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21" fillId="0" borderId="0" applyFill="0">
      <alignment horizontal="left" indent="6"/>
    </xf>
    <xf numFmtId="0" fontId="17" fillId="0" borderId="0" applyFill="0">
      <alignment horizontal="left" indent="6"/>
    </xf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119" fillId="0" borderId="56" applyNumberForma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4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65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170" fontId="7" fillId="0" borderId="0" xfId="117" applyNumberFormat="1" applyFont="1"/>
    <xf numFmtId="0" fontId="7" fillId="0" borderId="0" xfId="0" applyFont="1" applyBorder="1"/>
    <xf numFmtId="0" fontId="47" fillId="0" borderId="0" xfId="0" applyFont="1" applyFill="1"/>
    <xf numFmtId="0" fontId="0" fillId="0" borderId="0" xfId="0" applyAlignment="1">
      <alignment wrapText="1"/>
    </xf>
    <xf numFmtId="0" fontId="0" fillId="0" borderId="0" xfId="0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Fill="1" applyBorder="1"/>
    <xf numFmtId="10" fontId="7" fillId="0" borderId="0" xfId="0" applyNumberFormat="1" applyFont="1" applyBorder="1"/>
    <xf numFmtId="0" fontId="7" fillId="0" borderId="0" xfId="0" applyFont="1" applyFill="1" applyBorder="1" applyAlignment="1"/>
    <xf numFmtId="0" fontId="14" fillId="0" borderId="0" xfId="549" applyNumberFormat="1" applyFont="1" applyFill="1" applyBorder="1" applyAlignment="1" applyProtection="1">
      <protection locked="0"/>
    </xf>
    <xf numFmtId="0" fontId="6" fillId="0" borderId="0" xfId="0" applyFont="1" applyFill="1"/>
    <xf numFmtId="10" fontId="7" fillId="0" borderId="0" xfId="0" applyNumberFormat="1" applyFont="1"/>
    <xf numFmtId="0" fontId="7" fillId="0" borderId="0" xfId="0" applyFont="1" applyFill="1" applyBorder="1" applyAlignment="1">
      <alignment wrapText="1"/>
    </xf>
    <xf numFmtId="0" fontId="0" fillId="0" borderId="0" xfId="0" applyFill="1"/>
    <xf numFmtId="170" fontId="7" fillId="0" borderId="0" xfId="0" applyNumberFormat="1" applyFont="1"/>
    <xf numFmtId="0" fontId="46" fillId="0" borderId="0" xfId="0" applyFont="1" applyAlignment="1">
      <alignment horizontal="right"/>
    </xf>
    <xf numFmtId="170" fontId="7" fillId="0" borderId="0" xfId="117" applyNumberFormat="1" applyFont="1" applyBorder="1"/>
    <xf numFmtId="0" fontId="39" fillId="0" borderId="0" xfId="0" applyFont="1" applyAlignment="1">
      <alignment horizontal="left"/>
    </xf>
    <xf numFmtId="0" fontId="51" fillId="27" borderId="0" xfId="117" applyNumberFormat="1" applyFont="1" applyFill="1" applyAlignment="1">
      <alignment horizontal="left"/>
    </xf>
    <xf numFmtId="0" fontId="39" fillId="0" borderId="17" xfId="0" applyFont="1" applyBorder="1"/>
    <xf numFmtId="0" fontId="39" fillId="0" borderId="18" xfId="0" applyFont="1" applyBorder="1"/>
    <xf numFmtId="0" fontId="7" fillId="0" borderId="18" xfId="0" applyFont="1" applyBorder="1"/>
    <xf numFmtId="170" fontId="39" fillId="0" borderId="19" xfId="117" applyNumberFormat="1" applyFont="1" applyBorder="1"/>
    <xf numFmtId="0" fontId="14" fillId="0" borderId="0" xfId="117" applyNumberFormat="1" applyFont="1" applyFill="1" applyAlignment="1">
      <alignment horizontal="left"/>
    </xf>
    <xf numFmtId="0" fontId="14" fillId="0" borderId="0" xfId="117" applyNumberFormat="1" applyFont="1" applyFill="1" applyBorder="1" applyAlignment="1">
      <alignment horizontal="left"/>
    </xf>
    <xf numFmtId="0" fontId="39" fillId="0" borderId="13" xfId="0" applyFont="1" applyBorder="1"/>
    <xf numFmtId="0" fontId="9" fillId="0" borderId="0" xfId="117" applyNumberFormat="1" applyFont="1" applyFill="1" applyBorder="1" applyAlignment="1">
      <alignment horizontal="left"/>
    </xf>
    <xf numFmtId="170" fontId="39" fillId="0" borderId="20" xfId="117" applyNumberFormat="1" applyFont="1" applyBorder="1"/>
    <xf numFmtId="0" fontId="39" fillId="0" borderId="0" xfId="0" applyFont="1" applyFill="1"/>
    <xf numFmtId="170" fontId="39" fillId="0" borderId="15" xfId="117" applyNumberFormat="1" applyFont="1" applyBorder="1"/>
    <xf numFmtId="170" fontId="7" fillId="0" borderId="6" xfId="117" applyNumberFormat="1" applyFont="1" applyBorder="1"/>
    <xf numFmtId="170" fontId="7" fillId="0" borderId="16" xfId="117" applyNumberFormat="1" applyFont="1" applyBorder="1"/>
    <xf numFmtId="0" fontId="53" fillId="0" borderId="0" xfId="0" applyFont="1" applyFill="1" applyAlignment="1"/>
    <xf numFmtId="0" fontId="7" fillId="0" borderId="0" xfId="0" applyFont="1" applyFill="1" applyAlignment="1">
      <alignment wrapText="1"/>
    </xf>
    <xf numFmtId="0" fontId="39" fillId="0" borderId="2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Border="1" applyAlignment="1"/>
    <xf numFmtId="170" fontId="54" fillId="27" borderId="14" xfId="117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7" fillId="0" borderId="13" xfId="0" applyFont="1" applyFill="1" applyBorder="1"/>
    <xf numFmtId="0" fontId="54" fillId="27" borderId="14" xfId="0" applyFont="1" applyFill="1" applyBorder="1" applyAlignment="1">
      <alignment horizontal="right"/>
    </xf>
    <xf numFmtId="170" fontId="7" fillId="0" borderId="14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0" fontId="7" fillId="0" borderId="14" xfId="0" applyNumberFormat="1" applyFont="1" applyBorder="1"/>
    <xf numFmtId="10" fontId="7" fillId="0" borderId="0" xfId="0" applyNumberFormat="1" applyFont="1" applyFill="1" applyBorder="1"/>
    <xf numFmtId="170" fontId="7" fillId="0" borderId="14" xfId="117" applyNumberFormat="1" applyFont="1" applyBorder="1"/>
    <xf numFmtId="0" fontId="39" fillId="0" borderId="24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 wrapText="1"/>
    </xf>
    <xf numFmtId="0" fontId="39" fillId="0" borderId="26" xfId="0" applyFont="1" applyBorder="1" applyAlignment="1">
      <alignment horizontal="center"/>
    </xf>
    <xf numFmtId="170" fontId="39" fillId="0" borderId="16" xfId="117" applyNumberFormat="1" applyFont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170" fontId="39" fillId="0" borderId="26" xfId="117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170" fontId="7" fillId="0" borderId="0" xfId="0" applyNumberFormat="1" applyFont="1" applyBorder="1"/>
    <xf numFmtId="170" fontId="7" fillId="0" borderId="24" xfId="117" applyNumberFormat="1" applyFont="1" applyBorder="1"/>
    <xf numFmtId="171" fontId="7" fillId="0" borderId="14" xfId="0" applyNumberFormat="1" applyFont="1" applyBorder="1"/>
    <xf numFmtId="171" fontId="7" fillId="0" borderId="24" xfId="0" applyNumberFormat="1" applyFont="1" applyBorder="1"/>
    <xf numFmtId="171" fontId="7" fillId="0" borderId="25" xfId="0" applyNumberFormat="1" applyFont="1" applyBorder="1"/>
    <xf numFmtId="170" fontId="7" fillId="0" borderId="25" xfId="0" applyNumberFormat="1" applyFont="1" applyBorder="1"/>
    <xf numFmtId="170" fontId="1" fillId="0" borderId="25" xfId="117" applyNumberFormat="1" applyBorder="1"/>
    <xf numFmtId="170" fontId="7" fillId="0" borderId="25" xfId="117" applyNumberFormat="1" applyFont="1" applyBorder="1"/>
    <xf numFmtId="170" fontId="7" fillId="0" borderId="25" xfId="0" applyNumberFormat="1" applyFont="1" applyFill="1" applyBorder="1"/>
    <xf numFmtId="0" fontId="7" fillId="0" borderId="26" xfId="0" applyNumberFormat="1" applyFont="1" applyBorder="1" applyAlignment="1">
      <alignment horizontal="center"/>
    </xf>
    <xf numFmtId="170" fontId="7" fillId="0" borderId="26" xfId="0" applyNumberFormat="1" applyFont="1" applyBorder="1"/>
    <xf numFmtId="170" fontId="1" fillId="0" borderId="26" xfId="117" applyNumberFormat="1" applyBorder="1"/>
    <xf numFmtId="171" fontId="7" fillId="0" borderId="16" xfId="0" applyNumberFormat="1" applyFont="1" applyBorder="1"/>
    <xf numFmtId="171" fontId="7" fillId="0" borderId="26" xfId="0" applyNumberFormat="1" applyFont="1" applyBorder="1"/>
    <xf numFmtId="0" fontId="53" fillId="0" borderId="0" xfId="0" applyFont="1" applyFill="1"/>
    <xf numFmtId="171" fontId="7" fillId="0" borderId="0" xfId="0" applyNumberFormat="1" applyFont="1" applyBorder="1"/>
    <xf numFmtId="170" fontId="55" fillId="0" borderId="0" xfId="0" applyNumberFormat="1" applyFont="1" applyAlignment="1">
      <alignment horizontal="left"/>
    </xf>
    <xf numFmtId="0" fontId="9" fillId="0" borderId="0" xfId="0" applyFont="1" applyFill="1"/>
    <xf numFmtId="170" fontId="39" fillId="0" borderId="0" xfId="117" applyNumberFormat="1" applyFont="1" applyBorder="1"/>
    <xf numFmtId="170" fontId="7" fillId="0" borderId="14" xfId="0" applyNumberFormat="1" applyFont="1" applyBorder="1"/>
    <xf numFmtId="170" fontId="39" fillId="0" borderId="11" xfId="117" applyNumberFormat="1" applyFont="1" applyBorder="1"/>
    <xf numFmtId="170" fontId="7" fillId="0" borderId="20" xfId="0" applyNumberFormat="1" applyFont="1" applyBorder="1"/>
    <xf numFmtId="0" fontId="7" fillId="0" borderId="15" xfId="0" applyFont="1" applyBorder="1"/>
    <xf numFmtId="170" fontId="39" fillId="0" borderId="6" xfId="117" applyNumberFormat="1" applyFont="1" applyFill="1" applyBorder="1" applyAlignment="1">
      <alignment horizontal="left"/>
    </xf>
    <xf numFmtId="170" fontId="39" fillId="0" borderId="16" xfId="117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0" xfId="0" applyFill="1" applyBorder="1" applyAlignment="1"/>
    <xf numFmtId="0" fontId="7" fillId="0" borderId="6" xfId="0" applyFont="1" applyBorder="1" applyAlignment="1">
      <alignment horizontal="center"/>
    </xf>
    <xf numFmtId="0" fontId="0" fillId="0" borderId="6" xfId="0" applyBorder="1"/>
    <xf numFmtId="0" fontId="39" fillId="0" borderId="24" xfId="0" applyFont="1" applyBorder="1" applyAlignment="1">
      <alignment horizontal="center" wrapText="1"/>
    </xf>
    <xf numFmtId="170" fontId="39" fillId="0" borderId="0" xfId="117" applyNumberFormat="1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6" xfId="0" applyFont="1" applyBorder="1" applyAlignment="1">
      <alignment horizontal="center"/>
    </xf>
    <xf numFmtId="170" fontId="7" fillId="0" borderId="24" xfId="0" applyNumberFormat="1" applyFont="1" applyBorder="1"/>
    <xf numFmtId="170" fontId="7" fillId="0" borderId="6" xfId="0" applyNumberFormat="1" applyFont="1" applyBorder="1"/>
    <xf numFmtId="0" fontId="55" fillId="0" borderId="0" xfId="0" applyFont="1"/>
    <xf numFmtId="0" fontId="58" fillId="0" borderId="0" xfId="0" applyFont="1" applyFill="1"/>
    <xf numFmtId="170" fontId="7" fillId="0" borderId="14" xfId="117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52" fillId="27" borderId="0" xfId="0" applyFont="1" applyFill="1" applyAlignment="1">
      <alignment horizontal="left"/>
    </xf>
    <xf numFmtId="0" fontId="39" fillId="0" borderId="22" xfId="0" applyFont="1" applyFill="1" applyBorder="1" applyAlignment="1"/>
    <xf numFmtId="0" fontId="61" fillId="28" borderId="22" xfId="0" applyFont="1" applyFill="1" applyBorder="1" applyAlignment="1">
      <alignment horizontal="center"/>
    </xf>
    <xf numFmtId="0" fontId="39" fillId="0" borderId="0" xfId="0" quotePrefix="1" applyFont="1" applyAlignment="1">
      <alignment horizontal="left"/>
    </xf>
    <xf numFmtId="0" fontId="68" fillId="0" borderId="0" xfId="0" applyFont="1"/>
    <xf numFmtId="0" fontId="7" fillId="0" borderId="0" xfId="0" applyFont="1" applyAlignment="1">
      <alignment horizontal="left"/>
    </xf>
    <xf numFmtId="0" fontId="50" fillId="0" borderId="0" xfId="0" quotePrefix="1" applyFont="1" applyAlignment="1">
      <alignment horizontal="left"/>
    </xf>
    <xf numFmtId="0" fontId="46" fillId="0" borderId="0" xfId="0" quotePrefix="1" applyFont="1" applyAlignment="1">
      <alignment horizontal="center"/>
    </xf>
    <xf numFmtId="171" fontId="46" fillId="0" borderId="0" xfId="0" quotePrefix="1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55" fillId="0" borderId="0" xfId="0" applyFont="1" applyFill="1" applyAlignment="1"/>
    <xf numFmtId="0" fontId="55" fillId="0" borderId="0" xfId="0" quotePrefix="1" applyFont="1" applyAlignment="1">
      <alignment horizontal="left"/>
    </xf>
    <xf numFmtId="0" fontId="67" fillId="0" borderId="0" xfId="0" applyFont="1" applyFill="1" applyAlignment="1">
      <alignment horizontal="right"/>
    </xf>
    <xf numFmtId="0" fontId="46" fillId="0" borderId="0" xfId="0" quotePrefix="1" applyFont="1" applyAlignment="1">
      <alignment horizontal="right"/>
    </xf>
    <xf numFmtId="0" fontId="39" fillId="0" borderId="28" xfId="0" applyFont="1" applyFill="1" applyBorder="1" applyAlignment="1">
      <alignment horizontal="center"/>
    </xf>
    <xf numFmtId="169" fontId="7" fillId="0" borderId="29" xfId="549" applyFont="1" applyBorder="1" applyAlignment="1" applyProtection="1">
      <alignment horizontal="center"/>
      <protection locked="0"/>
    </xf>
    <xf numFmtId="169" fontId="7" fillId="0" borderId="29" xfId="549" quotePrefix="1" applyFont="1" applyBorder="1" applyAlignment="1" applyProtection="1">
      <alignment horizontal="center"/>
      <protection locked="0"/>
    </xf>
    <xf numFmtId="3" fontId="7" fillId="0" borderId="30" xfId="549" applyNumberFormat="1" applyFont="1" applyBorder="1" applyAlignment="1" applyProtection="1">
      <alignment horizontal="center"/>
      <protection locked="0"/>
    </xf>
    <xf numFmtId="0" fontId="55" fillId="0" borderId="24" xfId="0" applyFont="1" applyBorder="1"/>
    <xf numFmtId="170" fontId="7" fillId="0" borderId="13" xfId="117" quotePrefix="1" applyNumberFormat="1" applyFont="1" applyBorder="1" applyAlignment="1">
      <alignment horizontal="right"/>
    </xf>
    <xf numFmtId="0" fontId="57" fillId="0" borderId="31" xfId="117" applyNumberFormat="1" applyFont="1" applyFill="1" applyBorder="1" applyAlignment="1">
      <alignment horizontal="left"/>
    </xf>
    <xf numFmtId="170" fontId="7" fillId="0" borderId="32" xfId="117" quotePrefix="1" applyNumberFormat="1" applyFont="1" applyBorder="1" applyAlignment="1">
      <alignment horizontal="right"/>
    </xf>
    <xf numFmtId="170" fontId="55" fillId="0" borderId="26" xfId="117" applyNumberFormat="1" applyFont="1" applyBorder="1"/>
    <xf numFmtId="0" fontId="7" fillId="0" borderId="15" xfId="0" quotePrefix="1" applyFont="1" applyBorder="1" applyAlignment="1">
      <alignment horizontal="right"/>
    </xf>
    <xf numFmtId="170" fontId="39" fillId="27" borderId="26" xfId="117" applyNumberFormat="1" applyFont="1" applyFill="1" applyBorder="1" applyAlignment="1">
      <alignment horizontal="center"/>
    </xf>
    <xf numFmtId="170" fontId="39" fillId="27" borderId="16" xfId="117" applyNumberFormat="1" applyFont="1" applyFill="1" applyBorder="1" applyAlignment="1">
      <alignment horizontal="center"/>
    </xf>
    <xf numFmtId="170" fontId="54" fillId="0" borderId="25" xfId="117" applyNumberFormat="1" applyFont="1" applyFill="1" applyBorder="1"/>
    <xf numFmtId="171" fontId="54" fillId="27" borderId="24" xfId="0" applyNumberFormat="1" applyFont="1" applyFill="1" applyBorder="1"/>
    <xf numFmtId="171" fontId="54" fillId="27" borderId="25" xfId="0" applyNumberFormat="1" applyFont="1" applyFill="1" applyBorder="1"/>
    <xf numFmtId="171" fontId="54" fillId="27" borderId="26" xfId="0" applyNumberFormat="1" applyFont="1" applyFill="1" applyBorder="1"/>
    <xf numFmtId="171" fontId="54" fillId="0" borderId="24" xfId="0" applyNumberFormat="1" applyFont="1" applyFill="1" applyBorder="1"/>
    <xf numFmtId="170" fontId="39" fillId="0" borderId="24" xfId="117" quotePrefix="1" applyNumberFormat="1" applyFont="1" applyBorder="1" applyAlignment="1">
      <alignment horizontal="center" wrapText="1"/>
    </xf>
    <xf numFmtId="170" fontId="39" fillId="0" borderId="24" xfId="117" applyNumberFormat="1" applyFont="1" applyFill="1" applyBorder="1" applyAlignment="1">
      <alignment horizontal="center" wrapText="1"/>
    </xf>
    <xf numFmtId="170" fontId="39" fillId="0" borderId="26" xfId="117" applyNumberFormat="1" applyFont="1" applyFill="1" applyBorder="1" applyAlignment="1">
      <alignment horizontal="center"/>
    </xf>
    <xf numFmtId="170" fontId="39" fillId="0" borderId="15" xfId="117" applyNumberFormat="1" applyFont="1" applyFill="1" applyBorder="1" applyAlignment="1">
      <alignment horizontal="center"/>
    </xf>
    <xf numFmtId="170" fontId="54" fillId="0" borderId="14" xfId="117" applyNumberFormat="1" applyFont="1" applyFill="1" applyBorder="1"/>
    <xf numFmtId="170" fontId="54" fillId="0" borderId="26" xfId="117" applyNumberFormat="1" applyFont="1" applyFill="1" applyBorder="1"/>
    <xf numFmtId="170" fontId="54" fillId="0" borderId="16" xfId="117" applyNumberFormat="1" applyFont="1" applyFill="1" applyBorder="1"/>
    <xf numFmtId="170" fontId="39" fillId="27" borderId="19" xfId="117" quotePrefix="1" applyNumberFormat="1" applyFont="1" applyFill="1" applyBorder="1" applyAlignment="1">
      <alignment horizontal="center" wrapText="1"/>
    </xf>
    <xf numFmtId="170" fontId="39" fillId="0" borderId="19" xfId="117" quotePrefix="1" applyNumberFormat="1" applyFont="1" applyBorder="1" applyAlignment="1">
      <alignment horizontal="center" wrapText="1"/>
    </xf>
    <xf numFmtId="170" fontId="39" fillId="27" borderId="24" xfId="117" quotePrefix="1" applyNumberFormat="1" applyFont="1" applyFill="1" applyBorder="1" applyAlignment="1">
      <alignment horizontal="center" wrapText="1"/>
    </xf>
    <xf numFmtId="0" fontId="7" fillId="0" borderId="13" xfId="0" quotePrefix="1" applyFont="1" applyFill="1" applyBorder="1" applyAlignment="1">
      <alignment horizontal="left"/>
    </xf>
    <xf numFmtId="170" fontId="7" fillId="0" borderId="26" xfId="117" applyNumberFormat="1" applyFont="1" applyBorder="1"/>
    <xf numFmtId="170" fontId="7" fillId="0" borderId="26" xfId="0" applyNumberFormat="1" applyFont="1" applyFill="1" applyBorder="1"/>
    <xf numFmtId="0" fontId="0" fillId="0" borderId="0" xfId="0" applyProtection="1"/>
    <xf numFmtId="0" fontId="14" fillId="0" borderId="0" xfId="0" applyNumberFormat="1" applyFont="1" applyAlignment="1" applyProtection="1">
      <alignment horizontal="center"/>
    </xf>
    <xf numFmtId="3" fontId="14" fillId="0" borderId="0" xfId="0" quotePrefix="1" applyNumberFormat="1" applyFont="1" applyFill="1" applyAlignment="1" applyProtection="1">
      <alignment horizontal="center"/>
    </xf>
    <xf numFmtId="0" fontId="14" fillId="0" borderId="0" xfId="0" applyNumberFormat="1" applyFont="1" applyFill="1" applyAlignment="1" applyProtection="1">
      <alignment horizontal="center"/>
    </xf>
    <xf numFmtId="169" fontId="14" fillId="0" borderId="0" xfId="549" applyFont="1" applyFill="1" applyAlignment="1" applyProtection="1"/>
    <xf numFmtId="49" fontId="71" fillId="0" borderId="0" xfId="549" applyNumberFormat="1" applyFont="1" applyFill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39" fillId="0" borderId="11" xfId="0" applyFont="1" applyBorder="1" applyAlignment="1" applyProtection="1">
      <alignment horizontal="centerContinuous"/>
    </xf>
    <xf numFmtId="0" fontId="39" fillId="0" borderId="11" xfId="0" applyFont="1" applyBorder="1" applyAlignment="1" applyProtection="1">
      <alignment horizontal="left"/>
    </xf>
    <xf numFmtId="0" fontId="53" fillId="0" borderId="0" xfId="0" quotePrefix="1" applyFont="1" applyAlignment="1" applyProtection="1">
      <alignment horizontal="left"/>
    </xf>
    <xf numFmtId="0" fontId="39" fillId="0" borderId="0" xfId="0" applyFont="1" applyBorder="1" applyAlignment="1" applyProtection="1">
      <alignment horizontal="center"/>
    </xf>
    <xf numFmtId="0" fontId="65" fillId="0" borderId="11" xfId="0" quotePrefix="1" applyFont="1" applyBorder="1" applyAlignment="1" applyProtection="1">
      <alignment horizontal="centerContinuous"/>
    </xf>
    <xf numFmtId="0" fontId="65" fillId="0" borderId="0" xfId="0" quotePrefix="1" applyFont="1" applyBorder="1" applyAlignment="1" applyProtection="1">
      <alignment horizontal="centerContinuous"/>
    </xf>
    <xf numFmtId="0" fontId="65" fillId="0" borderId="11" xfId="0" applyFont="1" applyBorder="1" applyAlignment="1" applyProtection="1">
      <alignment horizontal="centerContinuous"/>
    </xf>
    <xf numFmtId="0" fontId="72" fillId="0" borderId="0" xfId="0" applyFont="1" applyFill="1" applyProtection="1"/>
    <xf numFmtId="0" fontId="65" fillId="0" borderId="0" xfId="0" applyFont="1" applyAlignment="1" applyProtection="1">
      <alignment horizontal="center" wrapText="1"/>
    </xf>
    <xf numFmtId="0" fontId="65" fillId="0" borderId="0" xfId="0" applyFont="1" applyAlignment="1" applyProtection="1">
      <alignment horizontal="center"/>
    </xf>
    <xf numFmtId="0" fontId="65" fillId="0" borderId="0" xfId="0" applyFont="1" applyBorder="1" applyAlignment="1" applyProtection="1">
      <alignment horizontal="center" wrapText="1"/>
    </xf>
    <xf numFmtId="0" fontId="65" fillId="0" borderId="0" xfId="0" quotePrefix="1" applyFont="1" applyBorder="1" applyAlignment="1" applyProtection="1">
      <alignment horizontal="center" wrapText="1"/>
    </xf>
    <xf numFmtId="0" fontId="65" fillId="0" borderId="0" xfId="0" applyFont="1" applyBorder="1" applyAlignment="1" applyProtection="1">
      <alignment horizontal="center"/>
    </xf>
    <xf numFmtId="0" fontId="65" fillId="0" borderId="0" xfId="0" quotePrefix="1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>
      <alignment horizontal="center"/>
    </xf>
    <xf numFmtId="0" fontId="0" fillId="0" borderId="38" xfId="0" applyBorder="1" applyAlignment="1" applyProtection="1">
      <alignment wrapText="1"/>
    </xf>
    <xf numFmtId="0" fontId="39" fillId="0" borderId="0" xfId="0" applyFont="1" applyProtection="1"/>
    <xf numFmtId="0" fontId="0" fillId="0" borderId="25" xfId="0" applyBorder="1" applyProtection="1"/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/>
    </xf>
    <xf numFmtId="170" fontId="1" fillId="0" borderId="0" xfId="117" applyNumberFormat="1" applyFont="1" applyFill="1" applyAlignment="1" applyProtection="1">
      <alignment vertical="center"/>
    </xf>
    <xf numFmtId="170" fontId="1" fillId="0" borderId="0" xfId="117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70" fontId="7" fillId="0" borderId="0" xfId="121" applyNumberFormat="1" applyFont="1" applyFill="1" applyAlignment="1" applyProtection="1">
      <alignment vertical="center"/>
    </xf>
    <xf numFmtId="170" fontId="64" fillId="27" borderId="0" xfId="117" applyNumberFormat="1" applyFont="1" applyFill="1" applyAlignment="1" applyProtection="1">
      <alignment vertical="center"/>
    </xf>
    <xf numFmtId="170" fontId="1" fillId="0" borderId="0" xfId="117" applyNumberFormat="1" applyAlignment="1" applyProtection="1">
      <alignment vertical="center"/>
    </xf>
    <xf numFmtId="170" fontId="39" fillId="0" borderId="0" xfId="117" applyNumberFormat="1" applyFont="1" applyAlignment="1" applyProtection="1">
      <alignment horizontal="center" vertical="center"/>
    </xf>
    <xf numFmtId="170" fontId="0" fillId="0" borderId="25" xfId="0" applyNumberFormat="1" applyBorder="1" applyAlignment="1" applyProtection="1">
      <alignment vertical="center"/>
    </xf>
    <xf numFmtId="170" fontId="39" fillId="0" borderId="0" xfId="117" applyNumberFormat="1" applyFont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170" fontId="1" fillId="0" borderId="0" xfId="117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7" fillId="0" borderId="0" xfId="0" quotePrefix="1" applyFont="1" applyAlignment="1" applyProtection="1">
      <alignment horizontal="center" vertical="center"/>
    </xf>
    <xf numFmtId="0" fontId="0" fillId="0" borderId="0" xfId="0" applyBorder="1" applyProtection="1"/>
    <xf numFmtId="170" fontId="1" fillId="0" borderId="0" xfId="117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70" fontId="1" fillId="0" borderId="0" xfId="117" applyNumberFormat="1" applyFont="1" applyFill="1" applyBorder="1" applyAlignment="1" applyProtection="1">
      <alignment vertical="center"/>
    </xf>
    <xf numFmtId="170" fontId="1" fillId="0" borderId="0" xfId="117" applyNumberFormat="1" applyBorder="1" applyAlignment="1" applyProtection="1">
      <alignment vertical="center"/>
    </xf>
    <xf numFmtId="170" fontId="39" fillId="0" borderId="0" xfId="117" applyNumberFormat="1" applyFont="1" applyBorder="1" applyAlignment="1" applyProtection="1">
      <alignment vertical="center"/>
    </xf>
    <xf numFmtId="170" fontId="1" fillId="0" borderId="0" xfId="117" applyNumberFormat="1" applyFont="1" applyBorder="1" applyAlignment="1" applyProtection="1">
      <alignment vertical="center"/>
    </xf>
    <xf numFmtId="0" fontId="39" fillId="0" borderId="0" xfId="0" applyFont="1" applyAlignment="1" applyProtection="1">
      <alignment horizontal="center" vertical="center"/>
    </xf>
    <xf numFmtId="0" fontId="64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vertical="center"/>
    </xf>
    <xf numFmtId="43" fontId="73" fillId="0" borderId="0" xfId="117" applyNumberFormat="1" applyFont="1" applyAlignment="1" applyProtection="1">
      <alignment horizontal="center" vertical="center"/>
    </xf>
    <xf numFmtId="43" fontId="53" fillId="0" borderId="0" xfId="117" applyFont="1" applyAlignment="1" applyProtection="1">
      <alignment horizontal="center" vertical="center"/>
    </xf>
    <xf numFmtId="43" fontId="75" fillId="0" borderId="0" xfId="117" applyFont="1" applyAlignment="1" applyProtection="1">
      <alignment horizontal="left" vertical="center"/>
    </xf>
    <xf numFmtId="170" fontId="75" fillId="0" borderId="0" xfId="117" applyNumberFormat="1" applyFont="1" applyAlignment="1" applyProtection="1">
      <alignment horizontal="center" vertical="center"/>
    </xf>
    <xf numFmtId="43" fontId="76" fillId="0" borderId="0" xfId="117" applyFont="1" applyAlignment="1" applyProtection="1">
      <alignment vertical="center"/>
    </xf>
    <xf numFmtId="43" fontId="1" fillId="0" borderId="0" xfId="117" applyAlignment="1" applyProtection="1">
      <alignment vertical="center"/>
    </xf>
    <xf numFmtId="170" fontId="0" fillId="0" borderId="26" xfId="0" applyNumberFormat="1" applyBorder="1" applyProtection="1"/>
    <xf numFmtId="0" fontId="0" fillId="0" borderId="0" xfId="0" quotePrefix="1" applyAlignment="1" applyProtection="1">
      <alignment horizontal="left" vertical="center"/>
    </xf>
    <xf numFmtId="13" fontId="5" fillId="0" borderId="0" xfId="0" applyNumberFormat="1" applyFont="1" applyAlignment="1" applyProtection="1">
      <alignment horizontal="center" vertical="center"/>
    </xf>
    <xf numFmtId="170" fontId="0" fillId="0" borderId="0" xfId="117" applyNumberFormat="1" applyFont="1" applyProtection="1"/>
    <xf numFmtId="170" fontId="64" fillId="27" borderId="0" xfId="0" applyNumberFormat="1" applyFont="1" applyFill="1" applyAlignment="1" applyProtection="1">
      <alignment vertical="center"/>
    </xf>
    <xf numFmtId="170" fontId="1" fillId="0" borderId="0" xfId="117" applyNumberFormat="1" applyProtection="1"/>
    <xf numFmtId="164" fontId="1" fillId="0" borderId="0" xfId="0" applyNumberFormat="1" applyFont="1" applyFill="1" applyProtection="1"/>
    <xf numFmtId="43" fontId="1" fillId="0" borderId="0" xfId="117" applyProtection="1"/>
    <xf numFmtId="177" fontId="1" fillId="0" borderId="0" xfId="117" applyNumberFormat="1" applyProtection="1"/>
    <xf numFmtId="0" fontId="0" fillId="0" borderId="33" xfId="0" applyBorder="1" applyProtection="1"/>
    <xf numFmtId="0" fontId="0" fillId="0" borderId="2" xfId="0" applyBorder="1" applyProtection="1"/>
    <xf numFmtId="170" fontId="1" fillId="0" borderId="2" xfId="117" applyNumberFormat="1" applyBorder="1" applyProtection="1"/>
    <xf numFmtId="0" fontId="0" fillId="0" borderId="27" xfId="0" applyBorder="1" applyProtection="1"/>
    <xf numFmtId="0" fontId="0" fillId="0" borderId="34" xfId="0" applyBorder="1" applyProtection="1"/>
    <xf numFmtId="0" fontId="0" fillId="0" borderId="0" xfId="0" applyBorder="1" applyAlignment="1" applyProtection="1">
      <alignment horizontal="center"/>
    </xf>
    <xf numFmtId="49" fontId="71" fillId="0" borderId="0" xfId="549" applyNumberFormat="1" applyFont="1" applyFill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Protection="1"/>
    <xf numFmtId="0" fontId="0" fillId="0" borderId="11" xfId="0" applyBorder="1" applyProtection="1"/>
    <xf numFmtId="170" fontId="1" fillId="0" borderId="11" xfId="117" applyNumberFormat="1" applyBorder="1" applyProtection="1"/>
    <xf numFmtId="0" fontId="0" fillId="0" borderId="37" xfId="0" applyBorder="1" applyProtection="1"/>
    <xf numFmtId="0" fontId="7" fillId="0" borderId="0" xfId="0" applyFont="1" applyProtection="1"/>
    <xf numFmtId="0" fontId="0" fillId="0" borderId="0" xfId="0" quotePrefix="1" applyAlignment="1" applyProtection="1">
      <alignment horizontal="left"/>
    </xf>
    <xf numFmtId="171" fontId="0" fillId="0" borderId="0" xfId="327" applyNumberFormat="1" applyFont="1" applyProtection="1"/>
    <xf numFmtId="0" fontId="0" fillId="0" borderId="0" xfId="0" quotePrefix="1" applyAlignment="1" applyProtection="1">
      <alignment horizontal="center"/>
    </xf>
    <xf numFmtId="170" fontId="0" fillId="0" borderId="0" xfId="0" applyNumberFormat="1" applyProtection="1"/>
    <xf numFmtId="170" fontId="0" fillId="0" borderId="0" xfId="121" applyNumberFormat="1" applyFont="1" applyProtection="1"/>
    <xf numFmtId="170" fontId="0" fillId="0" borderId="0" xfId="561" applyNumberFormat="1" applyFont="1" applyProtection="1"/>
    <xf numFmtId="0" fontId="39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170" fontId="7" fillId="0" borderId="0" xfId="117" applyNumberFormat="1" applyFont="1" applyProtection="1"/>
    <xf numFmtId="0" fontId="7" fillId="0" borderId="0" xfId="0" applyFont="1" applyBorder="1" applyProtection="1"/>
    <xf numFmtId="0" fontId="47" fillId="0" borderId="0" xfId="0" applyFont="1" applyFill="1" applyAlignment="1" applyProtection="1">
      <alignment vertical="top"/>
    </xf>
    <xf numFmtId="0" fontId="9" fillId="0" borderId="0" xfId="0" applyFont="1" applyAlignment="1" applyProtection="1">
      <alignment horizontal="left"/>
    </xf>
    <xf numFmtId="41" fontId="0" fillId="0" borderId="0" xfId="0" applyNumberFormat="1" applyProtection="1"/>
    <xf numFmtId="3" fontId="0" fillId="0" borderId="0" xfId="0" applyNumberFormat="1" applyProtection="1"/>
    <xf numFmtId="0" fontId="7" fillId="0" borderId="0" xfId="549" applyNumberFormat="1" applyFont="1" applyBorder="1" applyAlignment="1" applyProtection="1"/>
    <xf numFmtId="3" fontId="7" fillId="0" borderId="0" xfId="549" applyNumberFormat="1" applyFont="1" applyAlignment="1" applyProtection="1"/>
    <xf numFmtId="10" fontId="7" fillId="0" borderId="0" xfId="549" applyNumberFormat="1" applyFont="1" applyAlignment="1" applyProtection="1"/>
    <xf numFmtId="166" fontId="7" fillId="0" borderId="0" xfId="549" applyNumberFormat="1" applyFont="1" applyAlignment="1" applyProtection="1"/>
    <xf numFmtId="43" fontId="7" fillId="0" borderId="0" xfId="117" applyFont="1" applyAlignment="1" applyProtection="1"/>
    <xf numFmtId="169" fontId="7" fillId="0" borderId="0" xfId="549" applyFont="1" applyAlignment="1" applyProtection="1"/>
    <xf numFmtId="169" fontId="7" fillId="0" borderId="0" xfId="549" applyFont="1" applyBorder="1" applyAlignment="1" applyProtection="1"/>
    <xf numFmtId="0" fontId="7" fillId="28" borderId="0" xfId="117" applyNumberFormat="1" applyFont="1" applyFill="1" applyAlignment="1" applyProtection="1"/>
    <xf numFmtId="10" fontId="7" fillId="0" borderId="0" xfId="549" applyNumberFormat="1" applyFont="1" applyFill="1" applyAlignment="1" applyProtection="1">
      <alignment horizontal="right"/>
    </xf>
    <xf numFmtId="3" fontId="39" fillId="0" borderId="0" xfId="549" applyNumberFormat="1" applyFont="1" applyAlignment="1" applyProtection="1"/>
    <xf numFmtId="3" fontId="48" fillId="0" borderId="0" xfId="549" applyNumberFormat="1" applyFont="1" applyAlignment="1" applyProtection="1">
      <alignment horizontal="center"/>
    </xf>
    <xf numFmtId="10" fontId="48" fillId="0" borderId="0" xfId="549" applyNumberFormat="1" applyFont="1" applyFill="1" applyAlignment="1" applyProtection="1">
      <alignment horizontal="center"/>
    </xf>
    <xf numFmtId="0" fontId="7" fillId="0" borderId="0" xfId="549" applyNumberFormat="1" applyFont="1" applyFill="1" applyBorder="1" applyAlignment="1" applyProtection="1">
      <alignment horizontal="right"/>
    </xf>
    <xf numFmtId="10" fontId="0" fillId="0" borderId="0" xfId="0" applyNumberFormat="1" applyAlignment="1" applyProtection="1">
      <alignment horizontal="center"/>
    </xf>
    <xf numFmtId="166" fontId="7" fillId="0" borderId="0" xfId="549" applyNumberFormat="1" applyFont="1" applyAlignment="1" applyProtection="1">
      <alignment horizontal="center"/>
    </xf>
    <xf numFmtId="167" fontId="7" fillId="0" borderId="0" xfId="549" applyNumberFormat="1" applyFont="1" applyFill="1" applyAlignment="1" applyProtection="1"/>
    <xf numFmtId="165" fontId="7" fillId="0" borderId="0" xfId="549" applyNumberFormat="1" applyFont="1" applyAlignment="1" applyProtection="1">
      <alignment horizontal="center"/>
    </xf>
    <xf numFmtId="165" fontId="7" fillId="0" borderId="0" xfId="549" applyNumberFormat="1" applyFont="1" applyBorder="1" applyAlignment="1" applyProtection="1">
      <alignment horizontal="center"/>
    </xf>
    <xf numFmtId="169" fontId="7" fillId="0" borderId="13" xfId="549" applyFont="1" applyBorder="1" applyAlignment="1" applyProtection="1"/>
    <xf numFmtId="0" fontId="7" fillId="0" borderId="0" xfId="549" applyNumberFormat="1" applyFont="1" applyBorder="1" applyAlignment="1" applyProtection="1">
      <alignment horizontal="center"/>
    </xf>
    <xf numFmtId="3" fontId="7" fillId="0" borderId="14" xfId="549" applyNumberFormat="1" applyFont="1" applyBorder="1" applyAlignment="1" applyProtection="1"/>
    <xf numFmtId="41" fontId="7" fillId="0" borderId="0" xfId="549" applyNumberFormat="1" applyFont="1" applyAlignment="1" applyProtection="1"/>
    <xf numFmtId="41" fontId="7" fillId="0" borderId="0" xfId="549" applyNumberFormat="1" applyFont="1" applyAlignment="1" applyProtection="1">
      <alignment horizontal="center"/>
    </xf>
    <xf numFmtId="41" fontId="7" fillId="0" borderId="0" xfId="549" applyNumberFormat="1" applyFont="1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Protection="1"/>
    <xf numFmtId="0" fontId="7" fillId="0" borderId="0" xfId="549" applyNumberFormat="1" applyFont="1" applyBorder="1" applyAlignment="1" applyProtection="1">
      <alignment horizontal="right"/>
    </xf>
    <xf numFmtId="167" fontId="48" fillId="0" borderId="0" xfId="549" applyNumberFormat="1" applyFont="1" applyFill="1" applyAlignment="1" applyProtection="1"/>
    <xf numFmtId="165" fontId="15" fillId="0" borderId="15" xfId="549" applyNumberFormat="1" applyFont="1" applyBorder="1" applyAlignment="1" applyProtection="1">
      <alignment horizontal="center"/>
    </xf>
    <xf numFmtId="0" fontId="7" fillId="28" borderId="6" xfId="549" applyNumberFormat="1" applyFont="1" applyFill="1" applyBorder="1" applyAlignment="1" applyProtection="1">
      <alignment horizontal="center"/>
    </xf>
    <xf numFmtId="170" fontId="7" fillId="0" borderId="6" xfId="549" applyNumberFormat="1" applyFont="1" applyBorder="1" applyAlignment="1" applyProtection="1">
      <alignment horizontal="center"/>
    </xf>
    <xf numFmtId="171" fontId="0" fillId="0" borderId="16" xfId="0" applyNumberFormat="1" applyBorder="1" applyProtection="1"/>
    <xf numFmtId="3" fontId="7" fillId="0" borderId="0" xfId="549" applyNumberFormat="1" applyFont="1" applyAlignment="1" applyProtection="1">
      <alignment horizontal="right"/>
    </xf>
    <xf numFmtId="0" fontId="63" fillId="0" borderId="0" xfId="0" applyFont="1" applyAlignment="1" applyProtection="1">
      <alignment horizontal="center"/>
    </xf>
    <xf numFmtId="10" fontId="7" fillId="0" borderId="0" xfId="549" applyNumberFormat="1" applyFont="1" applyFill="1" applyAlignment="1" applyProtection="1">
      <alignment horizontal="left"/>
    </xf>
    <xf numFmtId="41" fontId="7" fillId="0" borderId="0" xfId="549" applyNumberFormat="1" applyFont="1" applyBorder="1" applyAlignment="1" applyProtection="1"/>
    <xf numFmtId="41" fontId="7" fillId="0" borderId="0" xfId="549" applyNumberFormat="1" applyFont="1" applyFill="1" applyAlignment="1" applyProtection="1"/>
    <xf numFmtId="0" fontId="7" fillId="0" borderId="0" xfId="549" applyNumberFormat="1" applyFont="1" applyAlignment="1" applyProtection="1">
      <alignment horizontal="center"/>
    </xf>
    <xf numFmtId="41" fontId="7" fillId="0" borderId="0" xfId="549" quotePrefix="1" applyNumberFormat="1" applyFont="1" applyBorder="1" applyAlignment="1" applyProtection="1"/>
    <xf numFmtId="41" fontId="7" fillId="0" borderId="0" xfId="549" applyNumberFormat="1" applyFont="1" applyFill="1" applyBorder="1" applyAlignment="1" applyProtection="1">
      <alignment horizontal="right"/>
    </xf>
    <xf numFmtId="172" fontId="7" fillId="0" borderId="11" xfId="549" applyNumberFormat="1" applyFont="1" applyBorder="1" applyAlignment="1" applyProtection="1"/>
    <xf numFmtId="164" fontId="7" fillId="0" borderId="0" xfId="549" applyNumberFormat="1" applyFont="1" applyFill="1" applyBorder="1" applyAlignment="1" applyProtection="1">
      <alignment horizontal="left"/>
    </xf>
    <xf numFmtId="164" fontId="7" fillId="0" borderId="0" xfId="549" applyNumberFormat="1" applyFont="1" applyBorder="1" applyAlignment="1" applyProtection="1">
      <alignment horizontal="left"/>
    </xf>
    <xf numFmtId="3" fontId="7" fillId="0" borderId="0" xfId="549" applyNumberFormat="1" applyFont="1" applyAlignment="1" applyProtection="1">
      <alignment vertical="center" wrapText="1"/>
    </xf>
    <xf numFmtId="41" fontId="7" fillId="0" borderId="0" xfId="549" applyNumberFormat="1" applyFont="1" applyBorder="1" applyAlignment="1" applyProtection="1">
      <alignment vertical="center"/>
    </xf>
    <xf numFmtId="41" fontId="7" fillId="0" borderId="0" xfId="549" applyNumberFormat="1" applyFont="1" applyBorder="1" applyAlignment="1" applyProtection="1">
      <alignment horizontal="center" vertical="center"/>
    </xf>
    <xf numFmtId="41" fontId="7" fillId="0" borderId="0" xfId="549" applyNumberFormat="1" applyFont="1" applyAlignment="1" applyProtection="1">
      <alignment horizontal="right"/>
    </xf>
    <xf numFmtId="10" fontId="7" fillId="0" borderId="0" xfId="0" applyNumberFormat="1" applyFont="1" applyBorder="1" applyProtection="1"/>
    <xf numFmtId="0" fontId="7" fillId="0" borderId="0" xfId="0" applyFont="1" applyFill="1" applyAlignment="1" applyProtection="1">
      <alignment horizontal="center"/>
    </xf>
    <xf numFmtId="41" fontId="7" fillId="0" borderId="0" xfId="0" applyNumberFormat="1" applyFont="1" applyProtection="1"/>
    <xf numFmtId="3" fontId="14" fillId="0" borderId="0" xfId="549" applyNumberFormat="1" applyFont="1" applyFill="1" applyBorder="1" applyAlignment="1" applyProtection="1"/>
    <xf numFmtId="41" fontId="7" fillId="0" borderId="0" xfId="549" applyNumberFormat="1" applyFont="1" applyFill="1" applyBorder="1" applyAlignment="1" applyProtection="1"/>
    <xf numFmtId="3" fontId="14" fillId="0" borderId="0" xfId="549" applyNumberFormat="1" applyFont="1" applyFill="1" applyBorder="1" applyAlignment="1" applyProtection="1">
      <alignment horizontal="center"/>
    </xf>
    <xf numFmtId="41" fontId="14" fillId="0" borderId="0" xfId="549" applyNumberFormat="1" applyFont="1" applyFill="1" applyBorder="1" applyAlignment="1" applyProtection="1"/>
    <xf numFmtId="0" fontId="14" fillId="0" borderId="0" xfId="549" applyNumberFormat="1" applyFont="1" applyFill="1" applyBorder="1" applyAlignment="1" applyProtection="1"/>
    <xf numFmtId="0" fontId="47" fillId="0" borderId="0" xfId="0" applyFont="1" applyFill="1" applyProtection="1"/>
    <xf numFmtId="0" fontId="6" fillId="0" borderId="0" xfId="0" applyFont="1" applyFill="1" applyProtection="1"/>
    <xf numFmtId="0" fontId="14" fillId="0" borderId="0" xfId="549" applyNumberFormat="1" applyFont="1" applyFill="1" applyBorder="1" applyProtection="1"/>
    <xf numFmtId="0" fontId="7" fillId="0" borderId="0" xfId="549" applyNumberFormat="1" applyFont="1" applyFill="1" applyBorder="1" applyAlignment="1" applyProtection="1"/>
    <xf numFmtId="3" fontId="7" fillId="0" borderId="0" xfId="549" applyNumberFormat="1" applyFont="1" applyFill="1" applyBorder="1" applyAlignment="1" applyProtection="1"/>
    <xf numFmtId="41" fontId="7" fillId="0" borderId="0" xfId="549" applyNumberFormat="1" applyFont="1" applyFill="1" applyBorder="1" applyAlignment="1" applyProtection="1">
      <alignment horizontal="center"/>
    </xf>
    <xf numFmtId="0" fontId="7" fillId="0" borderId="0" xfId="549" applyNumberFormat="1" applyFont="1" applyFill="1" applyBorder="1" applyProtection="1"/>
    <xf numFmtId="3" fontId="7" fillId="0" borderId="0" xfId="549" applyNumberFormat="1" applyFont="1" applyFill="1" applyBorder="1" applyAlignment="1" applyProtection="1">
      <alignment horizontal="center"/>
    </xf>
    <xf numFmtId="41" fontId="7" fillId="0" borderId="11" xfId="549" applyNumberFormat="1" applyFont="1" applyFill="1" applyBorder="1" applyAlignment="1" applyProtection="1"/>
    <xf numFmtId="0" fontId="7" fillId="0" borderId="0" xfId="0" applyFont="1" applyFill="1" applyBorder="1" applyProtection="1"/>
    <xf numFmtId="0" fontId="7" fillId="0" borderId="0" xfId="549" applyNumberFormat="1" applyFont="1" applyFill="1" applyBorder="1" applyAlignment="1" applyProtection="1">
      <alignment horizontal="center"/>
    </xf>
    <xf numFmtId="10" fontId="7" fillId="0" borderId="0" xfId="549" applyNumberFormat="1" applyFont="1" applyFill="1" applyBorder="1" applyAlignment="1" applyProtection="1"/>
    <xf numFmtId="167" fontId="7" fillId="0" borderId="0" xfId="549" applyNumberFormat="1" applyFont="1" applyFill="1" applyBorder="1" applyAlignment="1" applyProtection="1"/>
    <xf numFmtId="169" fontId="7" fillId="0" borderId="0" xfId="549" applyFont="1" applyFill="1" applyBorder="1" applyAlignment="1" applyProtection="1"/>
    <xf numFmtId="3" fontId="7" fillId="0" borderId="0" xfId="549" quotePrefix="1" applyNumberFormat="1" applyFont="1" applyFill="1" applyBorder="1" applyAlignment="1" applyProtection="1"/>
    <xf numFmtId="3" fontId="39" fillId="0" borderId="0" xfId="549" applyNumberFormat="1" applyFont="1" applyFill="1" applyBorder="1" applyAlignment="1" applyProtection="1">
      <alignment horizontal="right"/>
    </xf>
    <xf numFmtId="167" fontId="39" fillId="0" borderId="0" xfId="549" applyNumberFormat="1" applyFont="1" applyFill="1" applyBorder="1" applyAlignment="1" applyProtection="1"/>
    <xf numFmtId="3" fontId="39" fillId="0" borderId="0" xfId="549" quotePrefix="1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41" fontId="7" fillId="0" borderId="0" xfId="0" applyNumberFormat="1" applyFont="1" applyFill="1" applyBorder="1" applyProtection="1"/>
    <xf numFmtId="170" fontId="7" fillId="0" borderId="0" xfId="117" applyNumberFormat="1" applyFont="1" applyFill="1" applyBorder="1" applyProtection="1"/>
    <xf numFmtId="41" fontId="48" fillId="0" borderId="0" xfId="549" applyNumberFormat="1" applyFont="1" applyFill="1" applyBorder="1" applyAlignment="1" applyProtection="1"/>
    <xf numFmtId="0" fontId="7" fillId="0" borderId="0" xfId="0" applyFont="1" applyFill="1" applyBorder="1" applyAlignment="1" applyProtection="1"/>
    <xf numFmtId="0" fontId="0" fillId="0" borderId="0" xfId="0" applyAlignment="1" applyProtection="1"/>
    <xf numFmtId="41" fontId="7" fillId="0" borderId="11" xfId="0" applyNumberFormat="1" applyFont="1" applyFill="1" applyBorder="1" applyProtection="1"/>
    <xf numFmtId="41" fontId="7" fillId="0" borderId="0" xfId="0" applyNumberFormat="1" applyFont="1" applyBorder="1" applyProtection="1"/>
    <xf numFmtId="41" fontId="48" fillId="0" borderId="0" xfId="0" applyNumberFormat="1" applyFont="1" applyProtection="1"/>
    <xf numFmtId="0" fontId="7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0" fillId="0" borderId="0" xfId="0" applyFill="1" applyAlignment="1" applyProtection="1"/>
    <xf numFmtId="41" fontId="7" fillId="0" borderId="0" xfId="0" applyNumberFormat="1" applyFont="1" applyFill="1" applyProtection="1"/>
    <xf numFmtId="170" fontId="7" fillId="0" borderId="0" xfId="117" applyNumberFormat="1" applyFont="1" applyFill="1" applyProtection="1"/>
    <xf numFmtId="10" fontId="7" fillId="0" borderId="11" xfId="0" applyNumberFormat="1" applyFont="1" applyFill="1" applyBorder="1" applyProtection="1"/>
    <xf numFmtId="9" fontId="7" fillId="0" borderId="11" xfId="559" applyFont="1" applyFill="1" applyBorder="1" applyProtection="1"/>
    <xf numFmtId="170" fontId="7" fillId="0" borderId="11" xfId="117" applyNumberFormat="1" applyFont="1" applyFill="1" applyBorder="1" applyAlignment="1" applyProtection="1"/>
    <xf numFmtId="41" fontId="7" fillId="0" borderId="11" xfId="0" applyNumberFormat="1" applyFont="1" applyBorder="1" applyProtection="1"/>
    <xf numFmtId="10" fontId="7" fillId="0" borderId="0" xfId="0" applyNumberFormat="1" applyFont="1" applyProtection="1"/>
    <xf numFmtId="10" fontId="48" fillId="0" borderId="0" xfId="0" applyNumberFormat="1" applyFont="1" applyProtection="1"/>
    <xf numFmtId="170" fontId="7" fillId="0" borderId="11" xfId="117" applyNumberFormat="1" applyFont="1" applyFill="1" applyBorder="1" applyProtection="1"/>
    <xf numFmtId="174" fontId="7" fillId="0" borderId="0" xfId="0" applyNumberFormat="1" applyFont="1" applyProtection="1"/>
    <xf numFmtId="43" fontId="7" fillId="0" borderId="0" xfId="117" applyFont="1" applyProtection="1"/>
    <xf numFmtId="43" fontId="7" fillId="0" borderId="0" xfId="117" applyNumberFormat="1" applyFont="1" applyProtection="1"/>
    <xf numFmtId="170" fontId="7" fillId="0" borderId="0" xfId="0" applyNumberFormat="1" applyFont="1" applyProtection="1"/>
    <xf numFmtId="0" fontId="7" fillId="0" borderId="0" xfId="0" applyNumberFormat="1" applyFont="1" applyBorder="1" applyAlignment="1" applyProtection="1">
      <alignment horizontal="center"/>
    </xf>
    <xf numFmtId="170" fontId="7" fillId="0" borderId="0" xfId="0" applyNumberFormat="1" applyFont="1" applyBorder="1" applyProtection="1"/>
    <xf numFmtId="170" fontId="7" fillId="0" borderId="0" xfId="117" applyNumberFormat="1" applyFont="1" applyBorder="1" applyProtection="1"/>
    <xf numFmtId="171" fontId="7" fillId="0" borderId="0" xfId="0" applyNumberFormat="1" applyFont="1" applyBorder="1" applyProtection="1"/>
    <xf numFmtId="0" fontId="65" fillId="0" borderId="0" xfId="0" quotePrefix="1" applyFont="1" applyAlignment="1" applyProtection="1">
      <alignment horizontal="left"/>
    </xf>
    <xf numFmtId="0" fontId="66" fillId="0" borderId="0" xfId="0" quotePrefix="1" applyFont="1" applyAlignment="1" applyProtection="1">
      <alignment horizontal="left"/>
    </xf>
    <xf numFmtId="0" fontId="7" fillId="0" borderId="17" xfId="0" quotePrefix="1" applyFont="1" applyFill="1" applyBorder="1" applyAlignment="1" applyProtection="1">
      <alignment horizontal="left"/>
    </xf>
    <xf numFmtId="0" fontId="0" fillId="0" borderId="46" xfId="0" quotePrefix="1" applyBorder="1" applyAlignment="1" applyProtection="1">
      <alignment horizontal="left"/>
    </xf>
    <xf numFmtId="0" fontId="121" fillId="0" borderId="41" xfId="0" quotePrefix="1" applyFont="1" applyFill="1" applyBorder="1" applyAlignment="1" applyProtection="1">
      <alignment horizontal="right"/>
    </xf>
    <xf numFmtId="0" fontId="103" fillId="0" borderId="14" xfId="0" applyFont="1" applyBorder="1" applyProtection="1"/>
    <xf numFmtId="10" fontId="7" fillId="0" borderId="0" xfId="0" applyNumberFormat="1" applyFont="1" applyFill="1" applyProtection="1"/>
    <xf numFmtId="170" fontId="121" fillId="0" borderId="41" xfId="308" applyNumberFormat="1" applyFont="1" applyFill="1" applyBorder="1" applyProtection="1"/>
    <xf numFmtId="180" fontId="121" fillId="0" borderId="41" xfId="620" applyNumberFormat="1" applyFont="1" applyFill="1" applyBorder="1" applyProtection="1"/>
    <xf numFmtId="0" fontId="103" fillId="0" borderId="39" xfId="0" applyFont="1" applyBorder="1" applyProtection="1"/>
    <xf numFmtId="0" fontId="103" fillId="0" borderId="40" xfId="0" applyFont="1" applyBorder="1" applyProtection="1"/>
    <xf numFmtId="41" fontId="54" fillId="0" borderId="13" xfId="0" applyNumberFormat="1" applyFont="1" applyBorder="1" applyProtection="1"/>
    <xf numFmtId="3" fontId="7" fillId="0" borderId="43" xfId="484" applyNumberFormat="1" applyFont="1" applyFill="1" applyBorder="1" applyProtection="1"/>
    <xf numFmtId="10" fontId="54" fillId="0" borderId="13" xfId="0" applyNumberFormat="1" applyFont="1" applyBorder="1" applyProtection="1"/>
    <xf numFmtId="0" fontId="7" fillId="0" borderId="14" xfId="484" applyFont="1" applyFill="1" applyBorder="1" applyProtection="1"/>
    <xf numFmtId="10" fontId="121" fillId="0" borderId="41" xfId="561" applyNumberFormat="1" applyFont="1" applyFill="1" applyBorder="1" applyProtection="1"/>
    <xf numFmtId="0" fontId="54" fillId="0" borderId="20" xfId="0" applyFont="1" applyBorder="1" applyProtection="1"/>
    <xf numFmtId="170" fontId="121" fillId="0" borderId="42" xfId="0" applyNumberFormat="1" applyFont="1" applyFill="1" applyBorder="1" applyProtection="1"/>
    <xf numFmtId="0" fontId="54" fillId="0" borderId="44" xfId="0" applyFont="1" applyBorder="1" applyProtection="1"/>
    <xf numFmtId="170" fontId="7" fillId="0" borderId="0" xfId="0" applyNumberFormat="1" applyFont="1" applyFill="1" applyBorder="1" applyProtection="1"/>
    <xf numFmtId="0" fontId="54" fillId="0" borderId="16" xfId="0" applyFont="1" applyBorder="1" applyProtection="1"/>
    <xf numFmtId="170" fontId="54" fillId="0" borderId="24" xfId="0" applyNumberFormat="1" applyFont="1" applyBorder="1" applyProtection="1"/>
    <xf numFmtId="170" fontId="54" fillId="0" borderId="25" xfId="0" applyNumberFormat="1" applyFont="1" applyBorder="1" applyProtection="1"/>
    <xf numFmtId="171" fontId="54" fillId="0" borderId="26" xfId="0" applyNumberFormat="1" applyFont="1" applyBorder="1" applyProtection="1"/>
    <xf numFmtId="0" fontId="50" fillId="0" borderId="0" xfId="0" applyFont="1" applyFill="1" applyProtection="1"/>
    <xf numFmtId="0" fontId="0" fillId="0" borderId="0" xfId="0" applyAlignment="1" applyProtection="1">
      <alignment wrapText="1"/>
    </xf>
    <xf numFmtId="0" fontId="7" fillId="26" borderId="0" xfId="117" applyNumberFormat="1" applyFont="1" applyFill="1" applyAlignment="1" applyProtection="1"/>
    <xf numFmtId="0" fontId="7" fillId="0" borderId="0" xfId="117" applyNumberFormat="1" applyFont="1" applyFill="1" applyAlignment="1" applyProtection="1"/>
    <xf numFmtId="169" fontId="15" fillId="0" borderId="17" xfId="549" applyFont="1" applyBorder="1" applyAlignment="1" applyProtection="1"/>
    <xf numFmtId="169" fontId="7" fillId="0" borderId="18" xfId="549" applyFont="1" applyBorder="1" applyAlignment="1" applyProtection="1"/>
    <xf numFmtId="3" fontId="7" fillId="0" borderId="19" xfId="549" applyNumberFormat="1" applyFont="1" applyBorder="1" applyAlignment="1" applyProtection="1"/>
    <xf numFmtId="0" fontId="7" fillId="28" borderId="0" xfId="549" applyNumberFormat="1" applyFont="1" applyFill="1" applyBorder="1" applyAlignment="1" applyProtection="1">
      <alignment horizontal="center"/>
    </xf>
    <xf numFmtId="167" fontId="7" fillId="0" borderId="0" xfId="549" applyNumberFormat="1" applyFont="1" applyAlignment="1" applyProtection="1"/>
    <xf numFmtId="0" fontId="7" fillId="0" borderId="0" xfId="0" quotePrefix="1" applyFont="1" applyBorder="1" applyAlignment="1" applyProtection="1">
      <alignment horizontal="right"/>
    </xf>
    <xf numFmtId="171" fontId="0" fillId="0" borderId="0" xfId="0" applyNumberFormat="1" applyBorder="1" applyProtection="1"/>
    <xf numFmtId="171" fontId="0" fillId="0" borderId="14" xfId="0" applyNumberFormat="1" applyBorder="1" applyProtection="1"/>
    <xf numFmtId="0" fontId="0" fillId="0" borderId="0" xfId="0" quotePrefix="1" applyBorder="1" applyAlignment="1" applyProtection="1">
      <alignment horizontal="right"/>
    </xf>
    <xf numFmtId="171" fontId="0" fillId="0" borderId="6" xfId="0" applyNumberFormat="1" applyBorder="1" applyProtection="1"/>
    <xf numFmtId="167" fontId="48" fillId="0" borderId="0" xfId="549" applyNumberFormat="1" applyFont="1" applyAlignment="1" applyProtection="1"/>
    <xf numFmtId="0" fontId="0" fillId="0" borderId="0" xfId="0" applyBorder="1" applyAlignment="1" applyProtection="1">
      <alignment horizontal="right"/>
    </xf>
    <xf numFmtId="170" fontId="0" fillId="0" borderId="0" xfId="0" applyNumberFormat="1" applyBorder="1" applyProtection="1"/>
    <xf numFmtId="170" fontId="0" fillId="0" borderId="19" xfId="0" applyNumberFormat="1" applyBorder="1" applyProtection="1"/>
    <xf numFmtId="173" fontId="7" fillId="0" borderId="0" xfId="549" applyNumberFormat="1" applyFont="1" applyAlignment="1" applyProtection="1"/>
    <xf numFmtId="165" fontId="7" fillId="0" borderId="15" xfId="549" applyNumberFormat="1" applyFont="1" applyBorder="1" applyAlignment="1" applyProtection="1">
      <alignment horizontal="center"/>
    </xf>
    <xf numFmtId="0" fontId="7" fillId="0" borderId="6" xfId="549" applyNumberFormat="1" applyFont="1" applyBorder="1" applyAlignment="1" applyProtection="1">
      <alignment horizontal="center"/>
    </xf>
    <xf numFmtId="170" fontId="7" fillId="0" borderId="6" xfId="549" quotePrefix="1" applyNumberFormat="1" applyFont="1" applyBorder="1" applyAlignment="1" applyProtection="1">
      <alignment horizontal="center"/>
    </xf>
    <xf numFmtId="41" fontId="48" fillId="0" borderId="11" xfId="549" applyNumberFormat="1" applyFont="1" applyFill="1" applyBorder="1" applyAlignment="1" applyProtection="1"/>
    <xf numFmtId="10" fontId="7" fillId="0" borderId="0" xfId="0" applyNumberFormat="1" applyFont="1" applyFill="1" applyBorder="1" applyProtection="1"/>
    <xf numFmtId="9" fontId="7" fillId="0" borderId="0" xfId="559" applyFont="1" applyFill="1" applyBorder="1" applyProtection="1"/>
    <xf numFmtId="170" fontId="7" fillId="0" borderId="0" xfId="117" applyNumberFormat="1" applyFont="1" applyFill="1" applyBorder="1" applyAlignment="1" applyProtection="1"/>
    <xf numFmtId="41" fontId="56" fillId="0" borderId="0" xfId="0" applyNumberFormat="1" applyFont="1" applyProtection="1"/>
    <xf numFmtId="10" fontId="0" fillId="0" borderId="0" xfId="0" applyNumberFormat="1" applyProtection="1"/>
    <xf numFmtId="164" fontId="1" fillId="0" borderId="0" xfId="559" applyNumberFormat="1" applyProtection="1"/>
    <xf numFmtId="0" fontId="7" fillId="0" borderId="47" xfId="0" quotePrefix="1" applyFont="1" applyFill="1" applyBorder="1" applyAlignment="1" applyProtection="1">
      <alignment horizontal="left"/>
    </xf>
    <xf numFmtId="0" fontId="0" fillId="0" borderId="19" xfId="0" applyBorder="1" applyProtection="1"/>
    <xf numFmtId="0" fontId="54" fillId="0" borderId="41" xfId="0" quotePrefix="1" applyFont="1" applyFill="1" applyBorder="1" applyAlignment="1" applyProtection="1">
      <alignment horizontal="right"/>
    </xf>
    <xf numFmtId="10" fontId="54" fillId="0" borderId="41" xfId="0" applyNumberFormat="1" applyFont="1" applyBorder="1" applyProtection="1"/>
    <xf numFmtId="170" fontId="54" fillId="0" borderId="41" xfId="317" applyNumberFormat="1" applyFont="1" applyBorder="1" applyProtection="1"/>
    <xf numFmtId="166" fontId="54" fillId="0" borderId="41" xfId="0" applyNumberFormat="1" applyFont="1" applyBorder="1" applyProtection="1"/>
    <xf numFmtId="3" fontId="54" fillId="0" borderId="43" xfId="0" applyNumberFormat="1" applyFont="1" applyBorder="1" applyProtection="1"/>
    <xf numFmtId="0" fontId="54" fillId="0" borderId="14" xfId="0" applyFont="1" applyBorder="1" applyProtection="1"/>
    <xf numFmtId="0" fontId="7" fillId="0" borderId="14" xfId="0" applyFont="1" applyFill="1" applyBorder="1" applyProtection="1"/>
    <xf numFmtId="170" fontId="54" fillId="0" borderId="41" xfId="0" applyNumberFormat="1" applyFont="1" applyBorder="1" applyProtection="1"/>
    <xf numFmtId="170" fontId="54" fillId="0" borderId="42" xfId="0" applyNumberFormat="1" applyFont="1" applyBorder="1" applyProtection="1"/>
    <xf numFmtId="170" fontId="54" fillId="0" borderId="45" xfId="0" applyNumberFormat="1" applyFont="1" applyBorder="1" applyProtection="1"/>
    <xf numFmtId="171" fontId="54" fillId="0" borderId="25" xfId="0" applyNumberFormat="1" applyFont="1" applyBorder="1" applyProtection="1"/>
    <xf numFmtId="0" fontId="50" fillId="0" borderId="0" xfId="0" quotePrefix="1" applyFont="1" applyAlignment="1" applyProtection="1">
      <alignment horizontal="left"/>
    </xf>
    <xf numFmtId="0" fontId="46" fillId="0" borderId="0" xfId="0" applyFont="1" applyAlignment="1" applyProtection="1">
      <alignment horizontal="right"/>
    </xf>
    <xf numFmtId="0" fontId="67" fillId="0" borderId="0" xfId="0" applyFont="1" applyFill="1" applyAlignment="1" applyProtection="1">
      <alignment horizontal="right"/>
    </xf>
    <xf numFmtId="0" fontId="46" fillId="0" borderId="0" xfId="0" quotePrefix="1" applyFont="1" applyAlignment="1" applyProtection="1">
      <alignment horizontal="right"/>
    </xf>
    <xf numFmtId="0" fontId="68" fillId="0" borderId="0" xfId="0" quotePrefix="1" applyFont="1" applyAlignment="1" applyProtection="1">
      <alignment horizontal="left"/>
    </xf>
    <xf numFmtId="0" fontId="39" fillId="0" borderId="0" xfId="0" applyFont="1" applyAlignment="1" applyProtection="1">
      <alignment horizontal="left"/>
    </xf>
    <xf numFmtId="0" fontId="51" fillId="27" borderId="0" xfId="117" applyNumberFormat="1" applyFont="1" applyFill="1" applyAlignment="1" applyProtection="1">
      <alignment horizontal="left"/>
    </xf>
    <xf numFmtId="0" fontId="39" fillId="0" borderId="17" xfId="0" applyFont="1" applyBorder="1" applyProtection="1"/>
    <xf numFmtId="0" fontId="39" fillId="0" borderId="18" xfId="0" applyFont="1" applyBorder="1" applyProtection="1"/>
    <xf numFmtId="0" fontId="7" fillId="0" borderId="18" xfId="0" applyFont="1" applyBorder="1" applyProtection="1"/>
    <xf numFmtId="170" fontId="39" fillId="0" borderId="19" xfId="117" applyNumberFormat="1" applyFont="1" applyBorder="1" applyProtection="1"/>
    <xf numFmtId="0" fontId="14" fillId="0" borderId="0" xfId="117" applyNumberFormat="1" applyFont="1" applyFill="1" applyAlignment="1" applyProtection="1">
      <alignment horizontal="left"/>
    </xf>
    <xf numFmtId="0" fontId="14" fillId="0" borderId="0" xfId="117" applyNumberFormat="1" applyFont="1" applyFill="1" applyBorder="1" applyAlignment="1" applyProtection="1">
      <alignment horizontal="left"/>
    </xf>
    <xf numFmtId="0" fontId="39" fillId="0" borderId="13" xfId="0" applyFont="1" applyBorder="1" applyProtection="1"/>
    <xf numFmtId="0" fontId="9" fillId="0" borderId="0" xfId="117" applyNumberFormat="1" applyFont="1" applyFill="1" applyBorder="1" applyAlignment="1" applyProtection="1">
      <alignment horizontal="left"/>
    </xf>
    <xf numFmtId="170" fontId="39" fillId="0" borderId="20" xfId="117" applyNumberFormat="1" applyFont="1" applyBorder="1" applyProtection="1"/>
    <xf numFmtId="0" fontId="39" fillId="0" borderId="0" xfId="0" applyFont="1" applyFill="1" applyProtection="1"/>
    <xf numFmtId="0" fontId="52" fillId="0" borderId="0" xfId="0" quotePrefix="1" applyFont="1" applyFill="1" applyAlignment="1" applyProtection="1">
      <alignment horizontal="left"/>
    </xf>
    <xf numFmtId="170" fontId="39" fillId="0" borderId="15" xfId="117" applyNumberFormat="1" applyFont="1" applyBorder="1" applyProtection="1"/>
    <xf numFmtId="170" fontId="7" fillId="0" borderId="6" xfId="117" applyNumberFormat="1" applyFont="1" applyBorder="1" applyProtection="1"/>
    <xf numFmtId="170" fontId="7" fillId="0" borderId="16" xfId="117" applyNumberFormat="1" applyFont="1" applyBorder="1" applyProtection="1"/>
    <xf numFmtId="0" fontId="53" fillId="0" borderId="0" xfId="0" applyFont="1" applyFill="1" applyAlignment="1" applyProtection="1"/>
    <xf numFmtId="0" fontId="55" fillId="0" borderId="0" xfId="0" applyFont="1" applyFill="1" applyAlignment="1" applyProtection="1"/>
    <xf numFmtId="0" fontId="7" fillId="0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39" fillId="0" borderId="21" xfId="0" applyFont="1" applyFill="1" applyBorder="1" applyAlignment="1" applyProtection="1">
      <alignment horizontal="center"/>
    </xf>
    <xf numFmtId="0" fontId="61" fillId="28" borderId="22" xfId="0" applyFont="1" applyFill="1" applyBorder="1" applyAlignment="1" applyProtection="1">
      <alignment horizontal="center"/>
    </xf>
    <xf numFmtId="0" fontId="39" fillId="0" borderId="22" xfId="0" applyFont="1" applyFill="1" applyBorder="1" applyAlignment="1" applyProtection="1">
      <alignment horizontal="center"/>
    </xf>
    <xf numFmtId="0" fontId="39" fillId="0" borderId="23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7" fillId="0" borderId="13" xfId="0" quotePrefix="1" applyFont="1" applyFill="1" applyBorder="1" applyAlignment="1" applyProtection="1">
      <alignment horizontal="left"/>
    </xf>
    <xf numFmtId="170" fontId="54" fillId="27" borderId="14" xfId="117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39" fillId="0" borderId="19" xfId="0" applyFont="1" applyFill="1" applyBorder="1" applyAlignment="1" applyProtection="1">
      <alignment horizontal="center"/>
    </xf>
    <xf numFmtId="0" fontId="7" fillId="0" borderId="13" xfId="0" applyFont="1" applyFill="1" applyBorder="1" applyProtection="1"/>
    <xf numFmtId="0" fontId="54" fillId="27" borderId="14" xfId="0" applyFont="1" applyFill="1" applyBorder="1" applyAlignment="1" applyProtection="1">
      <alignment horizontal="right"/>
    </xf>
    <xf numFmtId="170" fontId="7" fillId="0" borderId="14" xfId="0" applyNumberFormat="1" applyFont="1" applyFill="1" applyBorder="1" applyAlignment="1" applyProtection="1">
      <alignment horizontal="right"/>
    </xf>
    <xf numFmtId="170" fontId="7" fillId="0" borderId="0" xfId="0" applyNumberFormat="1" applyFont="1" applyFill="1" applyBorder="1" applyAlignment="1" applyProtection="1">
      <alignment horizontal="right"/>
    </xf>
    <xf numFmtId="10" fontId="7" fillId="0" borderId="14" xfId="0" applyNumberFormat="1" applyFont="1" applyBorder="1" applyProtection="1"/>
    <xf numFmtId="170" fontId="7" fillId="0" borderId="14" xfId="117" applyNumberFormat="1" applyFont="1" applyBorder="1" applyProtection="1"/>
    <xf numFmtId="0" fontId="39" fillId="0" borderId="24" xfId="0" applyFont="1" applyBorder="1" applyAlignment="1" applyProtection="1">
      <alignment horizontal="center"/>
    </xf>
    <xf numFmtId="170" fontId="39" fillId="0" borderId="24" xfId="117" applyNumberFormat="1" applyFont="1" applyBorder="1" applyAlignment="1" applyProtection="1">
      <alignment horizontal="center"/>
    </xf>
    <xf numFmtId="170" fontId="39" fillId="27" borderId="19" xfId="117" quotePrefix="1" applyNumberFormat="1" applyFont="1" applyFill="1" applyBorder="1" applyAlignment="1" applyProtection="1">
      <alignment horizontal="center" wrapText="1"/>
    </xf>
    <xf numFmtId="170" fontId="39" fillId="0" borderId="19" xfId="117" quotePrefix="1" applyNumberFormat="1" applyFont="1" applyBorder="1" applyAlignment="1" applyProtection="1">
      <alignment horizontal="center" wrapText="1"/>
    </xf>
    <xf numFmtId="0" fontId="39" fillId="0" borderId="25" xfId="0" applyFont="1" applyBorder="1" applyAlignment="1" applyProtection="1">
      <alignment horizontal="center"/>
    </xf>
    <xf numFmtId="170" fontId="39" fillId="0" borderId="24" xfId="117" quotePrefix="1" applyNumberFormat="1" applyFont="1" applyBorder="1" applyAlignment="1" applyProtection="1">
      <alignment horizontal="center" wrapText="1"/>
    </xf>
    <xf numFmtId="170" fontId="39" fillId="0" borderId="24" xfId="117" applyNumberFormat="1" applyFont="1" applyFill="1" applyBorder="1" applyAlignment="1" applyProtection="1">
      <alignment horizontal="center" wrapText="1"/>
    </xf>
    <xf numFmtId="170" fontId="39" fillId="0" borderId="24" xfId="117" applyNumberFormat="1" applyFont="1" applyBorder="1" applyAlignment="1" applyProtection="1">
      <alignment horizontal="center" wrapText="1"/>
    </xf>
    <xf numFmtId="0" fontId="39" fillId="0" borderId="26" xfId="0" applyFont="1" applyBorder="1" applyAlignment="1" applyProtection="1">
      <alignment horizontal="center"/>
    </xf>
    <xf numFmtId="170" fontId="39" fillId="27" borderId="16" xfId="117" applyNumberFormat="1" applyFont="1" applyFill="1" applyBorder="1" applyAlignment="1" applyProtection="1">
      <alignment horizontal="center"/>
    </xf>
    <xf numFmtId="170" fontId="39" fillId="0" borderId="16" xfId="117" applyNumberFormat="1" applyFont="1" applyBorder="1" applyAlignment="1" applyProtection="1">
      <alignment horizontal="center"/>
    </xf>
    <xf numFmtId="0" fontId="39" fillId="0" borderId="26" xfId="0" applyFont="1" applyFill="1" applyBorder="1" applyAlignment="1" applyProtection="1">
      <alignment horizontal="center"/>
    </xf>
    <xf numFmtId="0" fontId="39" fillId="0" borderId="25" xfId="0" applyFont="1" applyFill="1" applyBorder="1" applyAlignment="1" applyProtection="1">
      <alignment horizontal="center"/>
    </xf>
    <xf numFmtId="170" fontId="39" fillId="0" borderId="26" xfId="117" applyNumberFormat="1" applyFont="1" applyBorder="1" applyAlignment="1" applyProtection="1">
      <alignment horizontal="center"/>
    </xf>
    <xf numFmtId="170" fontId="39" fillId="0" borderId="26" xfId="117" applyNumberFormat="1" applyFont="1" applyFill="1" applyBorder="1" applyAlignment="1" applyProtection="1">
      <alignment horizontal="center"/>
    </xf>
    <xf numFmtId="170" fontId="39" fillId="0" borderId="15" xfId="117" applyNumberFormat="1" applyFont="1" applyFill="1" applyBorder="1" applyAlignment="1" applyProtection="1">
      <alignment horizontal="center"/>
    </xf>
    <xf numFmtId="0" fontId="7" fillId="0" borderId="25" xfId="0" applyNumberFormat="1" applyFont="1" applyBorder="1" applyAlignment="1" applyProtection="1">
      <alignment horizontal="center"/>
    </xf>
    <xf numFmtId="170" fontId="54" fillId="27" borderId="0" xfId="0" applyNumberFormat="1" applyFont="1" applyFill="1" applyBorder="1" applyProtection="1"/>
    <xf numFmtId="170" fontId="54" fillId="27" borderId="24" xfId="117" applyNumberFormat="1" applyFont="1" applyFill="1" applyBorder="1" applyProtection="1"/>
    <xf numFmtId="171" fontId="7" fillId="0" borderId="14" xfId="0" applyNumberFormat="1" applyFont="1" applyBorder="1" applyProtection="1"/>
    <xf numFmtId="171" fontId="54" fillId="0" borderId="25" xfId="0" applyNumberFormat="1" applyFont="1" applyFill="1" applyBorder="1" applyProtection="1"/>
    <xf numFmtId="171" fontId="7" fillId="0" borderId="24" xfId="0" applyNumberFormat="1" applyFont="1" applyBorder="1" applyProtection="1"/>
    <xf numFmtId="171" fontId="7" fillId="0" borderId="25" xfId="0" applyNumberFormat="1" applyFont="1" applyBorder="1" applyProtection="1"/>
    <xf numFmtId="170" fontId="54" fillId="27" borderId="25" xfId="0" applyNumberFormat="1" applyFont="1" applyFill="1" applyBorder="1" applyProtection="1"/>
    <xf numFmtId="170" fontId="54" fillId="27" borderId="25" xfId="117" applyNumberFormat="1" applyFont="1" applyFill="1" applyBorder="1" applyProtection="1"/>
    <xf numFmtId="170" fontId="54" fillId="27" borderId="14" xfId="117" applyNumberFormat="1" applyFont="1" applyFill="1" applyBorder="1" applyProtection="1"/>
    <xf numFmtId="0" fontId="7" fillId="0" borderId="25" xfId="0" applyNumberFormat="1" applyFont="1" applyFill="1" applyBorder="1" applyAlignment="1" applyProtection="1">
      <alignment horizontal="center"/>
    </xf>
    <xf numFmtId="170" fontId="7" fillId="0" borderId="25" xfId="0" applyNumberFormat="1" applyFont="1" applyFill="1" applyBorder="1" applyProtection="1"/>
    <xf numFmtId="170" fontId="1" fillId="0" borderId="25" xfId="117" applyNumberFormat="1" applyBorder="1" applyProtection="1"/>
    <xf numFmtId="170" fontId="7" fillId="0" borderId="25" xfId="0" applyNumberFormat="1" applyFont="1" applyBorder="1" applyProtection="1"/>
    <xf numFmtId="170" fontId="7" fillId="0" borderId="25" xfId="117" applyNumberFormat="1" applyFont="1" applyBorder="1" applyProtection="1"/>
    <xf numFmtId="171" fontId="54" fillId="27" borderId="25" xfId="0" applyNumberFormat="1" applyFont="1" applyFill="1" applyBorder="1" applyProtection="1"/>
    <xf numFmtId="170" fontId="7" fillId="0" borderId="25" xfId="117" applyNumberFormat="1" applyFont="1" applyFill="1" applyBorder="1" applyProtection="1"/>
    <xf numFmtId="0" fontId="7" fillId="0" borderId="26" xfId="0" applyNumberFormat="1" applyFont="1" applyBorder="1" applyAlignment="1" applyProtection="1">
      <alignment horizontal="center"/>
    </xf>
    <xf numFmtId="170" fontId="7" fillId="0" borderId="26" xfId="0" applyNumberFormat="1" applyFont="1" applyBorder="1" applyProtection="1"/>
    <xf numFmtId="170" fontId="1" fillId="0" borderId="26" xfId="117" applyNumberFormat="1" applyBorder="1" applyProtection="1"/>
    <xf numFmtId="170" fontId="7" fillId="0" borderId="26" xfId="117" applyNumberFormat="1" applyFont="1" applyFill="1" applyBorder="1" applyProtection="1"/>
    <xf numFmtId="171" fontId="7" fillId="0" borderId="16" xfId="0" applyNumberFormat="1" applyFont="1" applyBorder="1" applyProtection="1"/>
    <xf numFmtId="171" fontId="54" fillId="27" borderId="26" xfId="0" applyNumberFormat="1" applyFont="1" applyFill="1" applyBorder="1" applyProtection="1"/>
    <xf numFmtId="171" fontId="7" fillId="0" borderId="26" xfId="0" applyNumberFormat="1" applyFont="1" applyBorder="1" applyProtection="1"/>
    <xf numFmtId="0" fontId="53" fillId="0" borderId="0" xfId="0" applyFont="1" applyFill="1" applyProtection="1"/>
    <xf numFmtId="0" fontId="46" fillId="0" borderId="0" xfId="0" applyFont="1" applyFill="1" applyAlignment="1" applyProtection="1">
      <alignment horizontal="right"/>
    </xf>
    <xf numFmtId="0" fontId="69" fillId="0" borderId="0" xfId="0" applyFont="1" applyProtection="1"/>
    <xf numFmtId="0" fontId="7" fillId="0" borderId="0" xfId="0" applyFont="1" applyAlignment="1" applyProtection="1">
      <alignment horizontal="left"/>
    </xf>
    <xf numFmtId="0" fontId="46" fillId="0" borderId="0" xfId="0" quotePrefix="1" applyFont="1" applyAlignment="1" applyProtection="1">
      <alignment horizontal="center"/>
    </xf>
    <xf numFmtId="0" fontId="9" fillId="0" borderId="0" xfId="0" applyFont="1" applyFill="1" applyProtection="1"/>
    <xf numFmtId="0" fontId="39" fillId="0" borderId="28" xfId="0" applyFont="1" applyFill="1" applyBorder="1" applyAlignment="1" applyProtection="1">
      <alignment horizontal="center"/>
    </xf>
    <xf numFmtId="169" fontId="7" fillId="0" borderId="29" xfId="549" applyFont="1" applyBorder="1" applyAlignment="1" applyProtection="1">
      <alignment horizontal="center"/>
    </xf>
    <xf numFmtId="169" fontId="7" fillId="0" borderId="29" xfId="549" quotePrefix="1" applyFont="1" applyBorder="1" applyAlignment="1" applyProtection="1">
      <alignment horizontal="center"/>
    </xf>
    <xf numFmtId="3" fontId="7" fillId="0" borderId="30" xfId="549" applyNumberFormat="1" applyFont="1" applyBorder="1" applyAlignment="1" applyProtection="1">
      <alignment horizontal="center"/>
    </xf>
    <xf numFmtId="0" fontId="55" fillId="0" borderId="24" xfId="0" applyFont="1" applyBorder="1" applyProtection="1"/>
    <xf numFmtId="170" fontId="7" fillId="0" borderId="13" xfId="117" quotePrefix="1" applyNumberFormat="1" applyFont="1" applyBorder="1" applyAlignment="1" applyProtection="1">
      <alignment horizontal="right"/>
    </xf>
    <xf numFmtId="170" fontId="39" fillId="0" borderId="0" xfId="117" applyNumberFormat="1" applyFont="1" applyBorder="1" applyProtection="1"/>
    <xf numFmtId="170" fontId="7" fillId="0" borderId="14" xfId="0" applyNumberFormat="1" applyFont="1" applyBorder="1" applyProtection="1"/>
    <xf numFmtId="0" fontId="57" fillId="0" borderId="31" xfId="117" applyNumberFormat="1" applyFont="1" applyFill="1" applyBorder="1" applyAlignment="1" applyProtection="1">
      <alignment horizontal="left"/>
    </xf>
    <xf numFmtId="170" fontId="7" fillId="0" borderId="32" xfId="117" quotePrefix="1" applyNumberFormat="1" applyFont="1" applyBorder="1" applyAlignment="1" applyProtection="1">
      <alignment horizontal="right"/>
    </xf>
    <xf numFmtId="170" fontId="39" fillId="0" borderId="11" xfId="117" applyNumberFormat="1" applyFont="1" applyBorder="1" applyProtection="1"/>
    <xf numFmtId="170" fontId="7" fillId="0" borderId="20" xfId="0" applyNumberFormat="1" applyFont="1" applyBorder="1" applyProtection="1"/>
    <xf numFmtId="0" fontId="52" fillId="0" borderId="0" xfId="0" applyFont="1" applyAlignment="1" applyProtection="1">
      <alignment horizontal="left"/>
    </xf>
    <xf numFmtId="170" fontId="55" fillId="0" borderId="26" xfId="117" applyNumberFormat="1" applyFont="1" applyBorder="1" applyProtection="1"/>
    <xf numFmtId="0" fontId="7" fillId="0" borderId="15" xfId="0" quotePrefix="1" applyFont="1" applyBorder="1" applyAlignment="1" applyProtection="1">
      <alignment horizontal="right"/>
    </xf>
    <xf numFmtId="170" fontId="39" fillId="0" borderId="6" xfId="117" applyNumberFormat="1" applyFont="1" applyFill="1" applyBorder="1" applyAlignment="1" applyProtection="1">
      <alignment horizontal="left"/>
    </xf>
    <xf numFmtId="170" fontId="39" fillId="0" borderId="16" xfId="117" applyNumberFormat="1" applyFont="1" applyFill="1" applyBorder="1" applyAlignment="1" applyProtection="1">
      <alignment horizontal="left"/>
    </xf>
    <xf numFmtId="170" fontId="55" fillId="0" borderId="0" xfId="0" applyNumberFormat="1" applyFont="1" applyAlignment="1" applyProtection="1">
      <alignment horizontal="left"/>
    </xf>
    <xf numFmtId="0" fontId="7" fillId="0" borderId="21" xfId="0" applyFont="1" applyFill="1" applyBorder="1" applyAlignment="1" applyProtection="1">
      <alignment horizontal="center"/>
    </xf>
    <xf numFmtId="0" fontId="39" fillId="0" borderId="22" xfId="0" applyFont="1" applyFill="1" applyBorder="1" applyAlignment="1" applyProtection="1"/>
    <xf numFmtId="0" fontId="0" fillId="0" borderId="22" xfId="0" applyBorder="1" applyAlignment="1" applyProtection="1"/>
    <xf numFmtId="0" fontId="0" fillId="0" borderId="23" xfId="0" applyBorder="1" applyAlignment="1" applyProtection="1"/>
    <xf numFmtId="0" fontId="0" fillId="0" borderId="0" xfId="0" applyFill="1" applyBorder="1" applyAlignment="1" applyProtection="1"/>
    <xf numFmtId="0" fontId="7" fillId="0" borderId="14" xfId="0" applyFont="1" applyFill="1" applyBorder="1" applyAlignment="1" applyProtection="1">
      <alignment horizontal="right"/>
    </xf>
    <xf numFmtId="170" fontId="7" fillId="0" borderId="14" xfId="117" applyNumberFormat="1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7" fillId="0" borderId="15" xfId="0" applyFont="1" applyBorder="1" applyProtection="1"/>
    <xf numFmtId="0" fontId="7" fillId="0" borderId="6" xfId="0" applyFont="1" applyBorder="1" applyAlignment="1" applyProtection="1">
      <alignment horizontal="center"/>
    </xf>
    <xf numFmtId="0" fontId="0" fillId="0" borderId="6" xfId="0" applyBorder="1" applyProtection="1"/>
    <xf numFmtId="0" fontId="39" fillId="0" borderId="24" xfId="0" applyFont="1" applyBorder="1" applyAlignment="1" applyProtection="1">
      <alignment horizontal="center" wrapText="1"/>
    </xf>
    <xf numFmtId="170" fontId="39" fillId="0" borderId="0" xfId="117" applyNumberFormat="1" applyFont="1" applyBorder="1" applyAlignment="1" applyProtection="1">
      <alignment horizontal="center" wrapText="1"/>
    </xf>
    <xf numFmtId="170" fontId="39" fillId="27" borderId="24" xfId="117" quotePrefix="1" applyNumberFormat="1" applyFont="1" applyFill="1" applyBorder="1" applyAlignment="1" applyProtection="1">
      <alignment horizontal="center" wrapText="1"/>
    </xf>
    <xf numFmtId="0" fontId="39" fillId="0" borderId="25" xfId="0" applyFont="1" applyBorder="1" applyAlignment="1" applyProtection="1">
      <alignment horizontal="center" wrapText="1"/>
    </xf>
    <xf numFmtId="0" fontId="39" fillId="0" borderId="6" xfId="0" applyFont="1" applyBorder="1" applyAlignment="1" applyProtection="1">
      <alignment horizontal="center"/>
    </xf>
    <xf numFmtId="170" fontId="39" fillId="27" borderId="26" xfId="117" applyNumberFormat="1" applyFont="1" applyFill="1" applyBorder="1" applyAlignment="1" applyProtection="1">
      <alignment horizontal="center"/>
    </xf>
    <xf numFmtId="170" fontId="54" fillId="27" borderId="24" xfId="0" applyNumberFormat="1" applyFont="1" applyFill="1" applyBorder="1" applyProtection="1"/>
    <xf numFmtId="168" fontId="54" fillId="27" borderId="25" xfId="117" applyNumberFormat="1" applyFont="1" applyFill="1" applyBorder="1" applyProtection="1"/>
    <xf numFmtId="168" fontId="54" fillId="27" borderId="14" xfId="117" applyNumberFormat="1" applyFont="1" applyFill="1" applyBorder="1" applyProtection="1"/>
    <xf numFmtId="171" fontId="54" fillId="29" borderId="25" xfId="0" applyNumberFormat="1" applyFont="1" applyFill="1" applyBorder="1" applyProtection="1"/>
    <xf numFmtId="171" fontId="7" fillId="29" borderId="25" xfId="0" applyNumberFormat="1" applyFont="1" applyFill="1" applyBorder="1" applyProtection="1"/>
    <xf numFmtId="170" fontId="7" fillId="0" borderId="14" xfId="117" applyNumberFormat="1" applyFont="1" applyFill="1" applyBorder="1" applyProtection="1"/>
    <xf numFmtId="170" fontId="7" fillId="0" borderId="6" xfId="0" applyNumberFormat="1" applyFont="1" applyBorder="1" applyProtection="1"/>
    <xf numFmtId="170" fontId="7" fillId="0" borderId="26" xfId="117" applyNumberFormat="1" applyFont="1" applyBorder="1" applyProtection="1"/>
    <xf numFmtId="170" fontId="7" fillId="0" borderId="16" xfId="117" applyNumberFormat="1" applyFont="1" applyFill="1" applyBorder="1" applyProtection="1"/>
    <xf numFmtId="0" fontId="55" fillId="0" borderId="0" xfId="0" applyFont="1" applyProtection="1"/>
    <xf numFmtId="0" fontId="58" fillId="0" borderId="0" xfId="0" applyFont="1" applyFill="1" applyProtection="1"/>
    <xf numFmtId="0" fontId="46" fillId="0" borderId="0" xfId="0" applyFont="1" applyAlignment="1" applyProtection="1">
      <alignment horizontal="center"/>
    </xf>
    <xf numFmtId="0" fontId="68" fillId="0" borderId="0" xfId="0" applyFont="1" applyProtection="1"/>
    <xf numFmtId="171" fontId="7" fillId="0" borderId="25" xfId="0" applyNumberFormat="1" applyFont="1" applyFill="1" applyBorder="1" applyProtection="1"/>
    <xf numFmtId="175" fontId="5" fillId="0" borderId="14" xfId="0" applyNumberFormat="1" applyFont="1" applyBorder="1" applyProtection="1"/>
    <xf numFmtId="176" fontId="7" fillId="0" borderId="14" xfId="117" applyNumberFormat="1" applyFont="1" applyBorder="1" applyProtection="1"/>
    <xf numFmtId="171" fontId="46" fillId="0" borderId="0" xfId="0" quotePrefix="1" applyNumberFormat="1" applyFont="1" applyBorder="1" applyAlignment="1" applyProtection="1">
      <alignment horizontal="center"/>
    </xf>
    <xf numFmtId="171" fontId="54" fillId="0" borderId="24" xfId="0" applyNumberFormat="1" applyFont="1" applyFill="1" applyBorder="1" applyProtection="1"/>
    <xf numFmtId="0" fontId="50" fillId="0" borderId="0" xfId="0" applyFont="1" applyProtection="1"/>
    <xf numFmtId="43" fontId="0" fillId="0" borderId="0" xfId="117" applyFont="1" applyProtection="1"/>
    <xf numFmtId="170" fontId="39" fillId="0" borderId="25" xfId="117" applyNumberFormat="1" applyFont="1" applyBorder="1" applyAlignment="1" applyProtection="1">
      <alignment horizontal="center"/>
    </xf>
    <xf numFmtId="170" fontId="54" fillId="27" borderId="0" xfId="0" quotePrefix="1" applyNumberFormat="1" applyFont="1" applyFill="1" applyBorder="1" applyAlignment="1" applyProtection="1">
      <alignment horizontal="left"/>
    </xf>
    <xf numFmtId="171" fontId="7" fillId="0" borderId="19" xfId="0" applyNumberFormat="1" applyFont="1" applyBorder="1" applyProtection="1"/>
    <xf numFmtId="0" fontId="39" fillId="0" borderId="13" xfId="0" applyFont="1" applyFill="1" applyBorder="1" applyAlignment="1" applyProtection="1">
      <alignment horizontal="center"/>
    </xf>
    <xf numFmtId="170" fontId="64" fillId="27" borderId="25" xfId="117" applyNumberFormat="1" applyFont="1" applyFill="1" applyBorder="1" applyProtection="1"/>
    <xf numFmtId="171" fontId="7" fillId="0" borderId="24" xfId="0" applyNumberFormat="1" applyFont="1" applyFill="1" applyBorder="1" applyProtection="1"/>
    <xf numFmtId="0" fontId="55" fillId="0" borderId="0" xfId="0" quotePrefix="1" applyFont="1" applyAlignment="1" applyProtection="1">
      <alignment horizontal="left"/>
    </xf>
    <xf numFmtId="0" fontId="52" fillId="0" borderId="0" xfId="0" applyFont="1" applyFill="1" applyAlignment="1" applyProtection="1">
      <alignment horizontal="left"/>
    </xf>
    <xf numFmtId="0" fontId="68" fillId="0" borderId="0" xfId="0" applyFont="1" applyAlignment="1" applyProtection="1">
      <alignment horizontal="center"/>
    </xf>
    <xf numFmtId="0" fontId="68" fillId="0" borderId="0" xfId="0" applyFont="1" applyFill="1" applyAlignment="1" applyProtection="1">
      <alignment horizontal="center"/>
    </xf>
    <xf numFmtId="171" fontId="54" fillId="29" borderId="24" xfId="0" applyNumberFormat="1" applyFont="1" applyFill="1" applyBorder="1" applyProtection="1"/>
    <xf numFmtId="171" fontId="7" fillId="29" borderId="24" xfId="0" applyNumberFormat="1" applyFont="1" applyFill="1" applyBorder="1" applyProtection="1"/>
    <xf numFmtId="0" fontId="84" fillId="0" borderId="0" xfId="549" applyNumberFormat="1" applyFont="1" applyFill="1" applyBorder="1" applyAlignment="1" applyProtection="1"/>
    <xf numFmtId="0" fontId="83" fillId="0" borderId="0" xfId="0" applyFont="1" applyAlignment="1" applyProtection="1">
      <alignment horizontal="left"/>
    </xf>
    <xf numFmtId="0" fontId="83" fillId="0" borderId="0" xfId="549" applyNumberFormat="1" applyFont="1" applyFill="1" applyBorder="1" applyAlignment="1" applyProtection="1"/>
    <xf numFmtId="0" fontId="61" fillId="28" borderId="22" xfId="0" quotePrefix="1" applyFont="1" applyFill="1" applyBorder="1" applyAlignment="1" applyProtection="1">
      <alignment horizontal="center"/>
    </xf>
    <xf numFmtId="170" fontId="54" fillId="27" borderId="13" xfId="0" applyNumberFormat="1" applyFont="1" applyFill="1" applyBorder="1" applyProtection="1"/>
    <xf numFmtId="171" fontId="7" fillId="0" borderId="13" xfId="0" applyNumberFormat="1" applyFont="1" applyBorder="1" applyProtection="1"/>
    <xf numFmtId="171" fontId="7" fillId="29" borderId="0" xfId="0" applyNumberFormat="1" applyFont="1" applyFill="1" applyBorder="1" applyProtection="1"/>
    <xf numFmtId="170" fontId="7" fillId="0" borderId="15" xfId="0" applyNumberFormat="1" applyFont="1" applyBorder="1" applyProtection="1"/>
    <xf numFmtId="0" fontId="7" fillId="0" borderId="22" xfId="0" applyFont="1" applyFill="1" applyBorder="1" applyAlignment="1" applyProtection="1">
      <alignment horizontal="left"/>
    </xf>
    <xf numFmtId="170" fontId="82" fillId="27" borderId="0" xfId="0" applyNumberFormat="1" applyFont="1" applyFill="1" applyBorder="1" applyProtection="1"/>
    <xf numFmtId="170" fontId="82" fillId="27" borderId="25" xfId="117" applyNumberFormat="1" applyFont="1" applyFill="1" applyBorder="1" applyProtection="1"/>
    <xf numFmtId="170" fontId="82" fillId="27" borderId="25" xfId="0" applyNumberFormat="1" applyFont="1" applyFill="1" applyBorder="1" applyProtection="1"/>
    <xf numFmtId="170" fontId="82" fillId="27" borderId="24" xfId="0" applyNumberFormat="1" applyFont="1" applyFill="1" applyBorder="1" applyProtection="1"/>
    <xf numFmtId="168" fontId="82" fillId="27" borderId="25" xfId="117" applyNumberFormat="1" applyFont="1" applyFill="1" applyBorder="1" applyProtection="1"/>
    <xf numFmtId="168" fontId="82" fillId="27" borderId="14" xfId="117" applyNumberFormat="1" applyFont="1" applyFill="1" applyBorder="1" applyProtection="1"/>
    <xf numFmtId="170" fontId="85" fillId="27" borderId="0" xfId="0" applyNumberFormat="1" applyFont="1" applyFill="1" applyBorder="1" applyProtection="1"/>
    <xf numFmtId="170" fontId="85" fillId="27" borderId="25" xfId="117" applyNumberFormat="1" applyFont="1" applyFill="1" applyBorder="1" applyProtection="1"/>
    <xf numFmtId="170" fontId="85" fillId="27" borderId="25" xfId="0" applyNumberFormat="1" applyFont="1" applyFill="1" applyBorder="1" applyProtection="1"/>
    <xf numFmtId="170" fontId="85" fillId="27" borderId="14" xfId="117" applyNumberFormat="1" applyFont="1" applyFill="1" applyBorder="1" applyProtection="1"/>
    <xf numFmtId="170" fontId="54" fillId="27" borderId="14" xfId="0" applyNumberFormat="1" applyFont="1" applyFill="1" applyBorder="1" applyProtection="1"/>
    <xf numFmtId="171" fontId="7" fillId="0" borderId="18" xfId="0" applyNumberFormat="1" applyFont="1" applyFill="1" applyBorder="1" applyProtection="1"/>
    <xf numFmtId="0" fontId="0" fillId="0" borderId="24" xfId="0" applyBorder="1" applyAlignment="1" applyProtection="1">
      <alignment horizontal="center"/>
    </xf>
    <xf numFmtId="43" fontId="77" fillId="27" borderId="24" xfId="117" applyFont="1" applyFill="1" applyBorder="1" applyAlignment="1" applyProtection="1">
      <alignment horizontal="right"/>
    </xf>
    <xf numFmtId="43" fontId="77" fillId="27" borderId="24" xfId="117" applyFont="1" applyFill="1" applyBorder="1" applyProtection="1"/>
    <xf numFmtId="43" fontId="1" fillId="27" borderId="24" xfId="117" applyFill="1" applyBorder="1" applyProtection="1"/>
    <xf numFmtId="43" fontId="0" fillId="0" borderId="24" xfId="117" applyFont="1" applyBorder="1" applyProtection="1"/>
    <xf numFmtId="43" fontId="77" fillId="27" borderId="25" xfId="117" applyFont="1" applyFill="1" applyBorder="1" applyAlignment="1" applyProtection="1">
      <alignment horizontal="center"/>
    </xf>
    <xf numFmtId="43" fontId="77" fillId="27" borderId="25" xfId="117" applyFont="1" applyFill="1" applyBorder="1" applyProtection="1"/>
    <xf numFmtId="43" fontId="1" fillId="27" borderId="25" xfId="117" applyFill="1" applyBorder="1" applyProtection="1"/>
    <xf numFmtId="43" fontId="0" fillId="0" borderId="25" xfId="117" applyFont="1" applyBorder="1" applyProtection="1"/>
    <xf numFmtId="0" fontId="52" fillId="27" borderId="0" xfId="0" applyFont="1" applyFill="1" applyAlignment="1" applyProtection="1">
      <alignment horizontal="left"/>
    </xf>
    <xf numFmtId="0" fontId="7" fillId="27" borderId="0" xfId="0" applyFont="1" applyFill="1" applyProtection="1"/>
    <xf numFmtId="170" fontId="82" fillId="27" borderId="24" xfId="117" applyNumberFormat="1" applyFont="1" applyFill="1" applyBorder="1" applyProtection="1"/>
    <xf numFmtId="170" fontId="82" fillId="27" borderId="14" xfId="117" applyNumberFormat="1" applyFont="1" applyFill="1" applyBorder="1" applyProtection="1"/>
    <xf numFmtId="171" fontId="7" fillId="0" borderId="0" xfId="0" applyNumberFormat="1" applyFont="1" applyFill="1" applyBorder="1" applyProtection="1"/>
    <xf numFmtId="170" fontId="7" fillId="0" borderId="14" xfId="117" quotePrefix="1" applyNumberFormat="1" applyFont="1" applyFill="1" applyBorder="1" applyAlignment="1" applyProtection="1">
      <alignment horizontal="right"/>
    </xf>
    <xf numFmtId="170" fontId="85" fillId="27" borderId="24" xfId="0" applyNumberFormat="1" applyFont="1" applyFill="1" applyBorder="1" applyProtection="1"/>
    <xf numFmtId="168" fontId="85" fillId="27" borderId="25" xfId="117" applyNumberFormat="1" applyFont="1" applyFill="1" applyBorder="1" applyProtection="1"/>
    <xf numFmtId="168" fontId="85" fillId="27" borderId="14" xfId="117" applyNumberFormat="1" applyFont="1" applyFill="1" applyBorder="1" applyProtection="1"/>
    <xf numFmtId="170" fontId="85" fillId="27" borderId="24" xfId="117" applyNumberFormat="1" applyFont="1" applyFill="1" applyBorder="1" applyProtection="1"/>
    <xf numFmtId="170" fontId="85" fillId="27" borderId="14" xfId="117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70" fontId="7" fillId="0" borderId="0" xfId="0" applyNumberFormat="1" applyFont="1" applyAlignment="1" applyProtection="1">
      <alignment horizontal="left"/>
    </xf>
    <xf numFmtId="170" fontId="7" fillId="0" borderId="26" xfId="0" applyNumberFormat="1" applyFont="1" applyFill="1" applyBorder="1" applyProtection="1"/>
    <xf numFmtId="170" fontId="54" fillId="0" borderId="25" xfId="117" applyNumberFormat="1" applyFont="1" applyFill="1" applyBorder="1" applyProtection="1"/>
    <xf numFmtId="170" fontId="54" fillId="0" borderId="14" xfId="117" applyNumberFormat="1" applyFont="1" applyFill="1" applyBorder="1" applyProtection="1"/>
    <xf numFmtId="170" fontId="54" fillId="0" borderId="26" xfId="117" applyNumberFormat="1" applyFont="1" applyFill="1" applyBorder="1" applyProtection="1"/>
    <xf numFmtId="170" fontId="54" fillId="0" borderId="16" xfId="117" applyNumberFormat="1" applyFont="1" applyFill="1" applyBorder="1" applyProtection="1"/>
    <xf numFmtId="170" fontId="7" fillId="0" borderId="24" xfId="0" applyNumberFormat="1" applyFont="1" applyBorder="1" applyProtection="1"/>
    <xf numFmtId="171" fontId="54" fillId="27" borderId="24" xfId="0" applyNumberFormat="1" applyFont="1" applyFill="1" applyBorder="1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54" fillId="27" borderId="0" xfId="0" applyFont="1" applyFill="1" applyAlignment="1">
      <alignment horizontal="left"/>
    </xf>
    <xf numFmtId="0" fontId="0" fillId="0" borderId="0" xfId="0" applyAlignment="1" applyProtection="1">
      <alignment vertical="center" wrapText="1"/>
    </xf>
    <xf numFmtId="170" fontId="122" fillId="0" borderId="0" xfId="117" applyNumberFormat="1" applyFont="1" applyFill="1" applyAlignment="1" applyProtection="1">
      <alignment vertical="center"/>
    </xf>
    <xf numFmtId="0" fontId="54" fillId="27" borderId="0" xfId="0" applyFont="1" applyFill="1" applyAlignment="1" applyProtection="1">
      <alignment horizontal="left"/>
    </xf>
    <xf numFmtId="0" fontId="1" fillId="0" borderId="22" xfId="0" applyFont="1" applyFill="1" applyBorder="1" applyAlignment="1" applyProtection="1">
      <alignment horizontal="left"/>
    </xf>
    <xf numFmtId="37" fontId="1" fillId="0" borderId="0" xfId="117" applyNumberFormat="1" applyFont="1" applyFill="1" applyAlignment="1" applyProtection="1">
      <alignment vertical="center"/>
    </xf>
    <xf numFmtId="37" fontId="1" fillId="0" borderId="0" xfId="117" applyNumberFormat="1" applyBorder="1" applyAlignment="1" applyProtection="1">
      <alignment vertical="center"/>
    </xf>
    <xf numFmtId="0" fontId="39" fillId="0" borderId="11" xfId="0" applyFont="1" applyBorder="1" applyAlignment="1" applyProtection="1">
      <alignment horizontal="center"/>
    </xf>
    <xf numFmtId="0" fontId="65" fillId="0" borderId="0" xfId="0" applyFont="1" applyFill="1" applyBorder="1" applyAlignment="1" applyProtection="1">
      <alignment horizontal="center" wrapText="1"/>
    </xf>
    <xf numFmtId="169" fontId="7" fillId="0" borderId="17" xfId="549" applyFont="1" applyBorder="1" applyAlignment="1" applyProtection="1">
      <alignment wrapText="1"/>
    </xf>
    <xf numFmtId="0" fontId="7" fillId="0" borderId="18" xfId="0" applyFont="1" applyBorder="1" applyAlignment="1" applyProtection="1">
      <alignment wrapText="1"/>
    </xf>
    <xf numFmtId="0" fontId="7" fillId="0" borderId="19" xfId="0" applyFont="1" applyBorder="1" applyAlignment="1" applyProtection="1">
      <alignment wrapText="1"/>
    </xf>
    <xf numFmtId="0" fontId="7" fillId="0" borderId="13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7" fillId="0" borderId="14" xfId="0" applyFont="1" applyBorder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9" fontId="46" fillId="0" borderId="0" xfId="0" applyNumberFormat="1" applyFont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46" fillId="0" borderId="0" xfId="490" applyFont="1" applyBorder="1" applyAlignment="1" applyProtection="1">
      <alignment horizontal="center"/>
    </xf>
    <xf numFmtId="0" fontId="6" fillId="0" borderId="0" xfId="490" quotePrefix="1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6" fillId="0" borderId="0" xfId="0" applyFont="1" applyFill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46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</cellXfs>
  <cellStyles count="735">
    <cellStyle name="20% - Accent1" xfId="1" builtinId="30" customBuiltin="1"/>
    <cellStyle name="20% - Accent1 2" xfId="2"/>
    <cellStyle name="20% - Accent1 2 2" xfId="3"/>
    <cellStyle name="20% - Accent2" xfId="4" builtinId="34" customBuiltin="1"/>
    <cellStyle name="20% - Accent2 2" xfId="5"/>
    <cellStyle name="20% - Accent2 2 2" xfId="6"/>
    <cellStyle name="20% - Accent3" xfId="7" builtinId="38" customBuiltin="1"/>
    <cellStyle name="20% - Accent3 2" xfId="8"/>
    <cellStyle name="20% - Accent3 2 2" xfId="9"/>
    <cellStyle name="20% - Accent4" xfId="10" builtinId="42" customBuiltin="1"/>
    <cellStyle name="20% - Accent4 2" xfId="11"/>
    <cellStyle name="20% - Accent4 2 2" xfId="12"/>
    <cellStyle name="20% - Accent5" xfId="13" builtinId="46" customBuiltin="1"/>
    <cellStyle name="20% - Accent5 2" xfId="14"/>
    <cellStyle name="20% - Accent5 2 2" xfId="15"/>
    <cellStyle name="20% - Accent6" xfId="16" builtinId="50" customBuiltin="1"/>
    <cellStyle name="20% - Accent6 2" xfId="17"/>
    <cellStyle name="20% - Accent6 2 2" xfId="18"/>
    <cellStyle name="40% - Accent1" xfId="19" builtinId="31" customBuiltin="1"/>
    <cellStyle name="40% - Accent1 2" xfId="20"/>
    <cellStyle name="40% - Accent1 2 2" xfId="21"/>
    <cellStyle name="40% - Accent2" xfId="22" builtinId="35" customBuiltin="1"/>
    <cellStyle name="40% - Accent2 2" xfId="23"/>
    <cellStyle name="40% - Accent2 2 2" xfId="24"/>
    <cellStyle name="40% - Accent3" xfId="25" builtinId="39" customBuiltin="1"/>
    <cellStyle name="40% - Accent3 2" xfId="26"/>
    <cellStyle name="40% - Accent3 2 2" xfId="27"/>
    <cellStyle name="40% - Accent4" xfId="28" builtinId="43" customBuiltin="1"/>
    <cellStyle name="40% - Accent4 2" xfId="29"/>
    <cellStyle name="40% - Accent4 2 2" xfId="30"/>
    <cellStyle name="40% - Accent5" xfId="31" builtinId="47" customBuiltin="1"/>
    <cellStyle name="40% - Accent5 2" xfId="32"/>
    <cellStyle name="40% - Accent5 2 2" xfId="33"/>
    <cellStyle name="40% - Accent6" xfId="34" builtinId="51" customBuiltin="1"/>
    <cellStyle name="40% - Accent6 2" xfId="35"/>
    <cellStyle name="40% - Accent6 2 2" xfId="36"/>
    <cellStyle name="60% - Accent1" xfId="37" builtinId="32" customBuiltin="1"/>
    <cellStyle name="60% - Accent1 2" xfId="38"/>
    <cellStyle name="60% - Accent1 2 2" xfId="39"/>
    <cellStyle name="60% - Accent2" xfId="40" builtinId="36" customBuiltin="1"/>
    <cellStyle name="60% - Accent2 2" xfId="41"/>
    <cellStyle name="60% - Accent2 2 2" xfId="42"/>
    <cellStyle name="60% - Accent3" xfId="43" builtinId="40" customBuiltin="1"/>
    <cellStyle name="60% - Accent3 2" xfId="44"/>
    <cellStyle name="60% - Accent3 2 2" xfId="45"/>
    <cellStyle name="60% - Accent4" xfId="46" builtinId="44" customBuiltin="1"/>
    <cellStyle name="60% - Accent4 2" xfId="47"/>
    <cellStyle name="60% - Accent4 2 2" xfId="48"/>
    <cellStyle name="60% - Accent5" xfId="49" builtinId="48" customBuiltin="1"/>
    <cellStyle name="60% - Accent5 2" xfId="50"/>
    <cellStyle name="60% - Accent5 2 2" xfId="51"/>
    <cellStyle name="60% - Accent6" xfId="52" builtinId="52" customBuiltin="1"/>
    <cellStyle name="60% - Accent6 2" xfId="53"/>
    <cellStyle name="60% - Accent6 2 2" xfId="54"/>
    <cellStyle name="Accent1" xfId="55" builtinId="29" customBuiltin="1"/>
    <cellStyle name="Accent1 2" xfId="56"/>
    <cellStyle name="Accent1 2 2" xfId="57"/>
    <cellStyle name="Accent2" xfId="58" builtinId="33" customBuiltin="1"/>
    <cellStyle name="Accent2 2" xfId="59"/>
    <cellStyle name="Accent2 2 2" xfId="60"/>
    <cellStyle name="Accent3" xfId="61" builtinId="37" customBuiltin="1"/>
    <cellStyle name="Accent3 2" xfId="62"/>
    <cellStyle name="Accent3 2 2" xfId="63"/>
    <cellStyle name="Accent4" xfId="64" builtinId="41" customBuiltin="1"/>
    <cellStyle name="Accent4 2" xfId="65"/>
    <cellStyle name="Accent4 2 2" xfId="66"/>
    <cellStyle name="Accent5" xfId="67" builtinId="45" customBuiltin="1"/>
    <cellStyle name="Accent5 2" xfId="68"/>
    <cellStyle name="Accent5 2 2" xfId="69"/>
    <cellStyle name="Accent6" xfId="70" builtinId="49" customBuiltin="1"/>
    <cellStyle name="Accent6 2" xfId="71"/>
    <cellStyle name="Accent6 2 2" xfId="72"/>
    <cellStyle name="Bad" xfId="73" builtinId="27" customBuiltin="1"/>
    <cellStyle name="Bad 2" xfId="74"/>
    <cellStyle name="Bad 2 2" xfId="75"/>
    <cellStyle name="C00A" xfId="76"/>
    <cellStyle name="C00B" xfId="77"/>
    <cellStyle name="C00L" xfId="78"/>
    <cellStyle name="C01A" xfId="79"/>
    <cellStyle name="C01B" xfId="80"/>
    <cellStyle name="C01B 2" xfId="81"/>
    <cellStyle name="C01H" xfId="82"/>
    <cellStyle name="C01L" xfId="83"/>
    <cellStyle name="C02A" xfId="84"/>
    <cellStyle name="C02B" xfId="85"/>
    <cellStyle name="C02B 2" xfId="86"/>
    <cellStyle name="C02H" xfId="87"/>
    <cellStyle name="C02L" xfId="88"/>
    <cellStyle name="C03A" xfId="89"/>
    <cellStyle name="C03B" xfId="90"/>
    <cellStyle name="C03H" xfId="91"/>
    <cellStyle name="C03L" xfId="92"/>
    <cellStyle name="C04A" xfId="93"/>
    <cellStyle name="C04A 2" xfId="94"/>
    <cellStyle name="C04B" xfId="95"/>
    <cellStyle name="C04H" xfId="96"/>
    <cellStyle name="C04L" xfId="97"/>
    <cellStyle name="C05A" xfId="98"/>
    <cellStyle name="C05B" xfId="99"/>
    <cellStyle name="C05H" xfId="100"/>
    <cellStyle name="C05L" xfId="101"/>
    <cellStyle name="C05L 2" xfId="102"/>
    <cellStyle name="C06A" xfId="103"/>
    <cellStyle name="C06B" xfId="104"/>
    <cellStyle name="C06H" xfId="105"/>
    <cellStyle name="C06L" xfId="106"/>
    <cellStyle name="C07A" xfId="107"/>
    <cellStyle name="C07B" xfId="108"/>
    <cellStyle name="C07H" xfId="109"/>
    <cellStyle name="C07L" xfId="110"/>
    <cellStyle name="Calculation" xfId="111" builtinId="22" customBuiltin="1"/>
    <cellStyle name="Calculation 2" xfId="112"/>
    <cellStyle name="Calculation 2 2" xfId="113"/>
    <cellStyle name="Check Cell" xfId="114" builtinId="23" customBuiltin="1"/>
    <cellStyle name="Check Cell 2" xfId="115"/>
    <cellStyle name="Check Cell 2 2" xfId="116"/>
    <cellStyle name="Comma" xfId="117" builtinId="3"/>
    <cellStyle name="Comma [0] 2" xfId="118"/>
    <cellStyle name="Comma [0] 2 2" xfId="119"/>
    <cellStyle name="Comma 10" xfId="120"/>
    <cellStyle name="Comma 11" xfId="121"/>
    <cellStyle name="Comma 12" xfId="122"/>
    <cellStyle name="Comma 13" xfId="123"/>
    <cellStyle name="Comma 14" xfId="124"/>
    <cellStyle name="Comma 15" xfId="125"/>
    <cellStyle name="Comma 16" xfId="126"/>
    <cellStyle name="Comma 17" xfId="127"/>
    <cellStyle name="Comma 18" xfId="128"/>
    <cellStyle name="Comma 19" xfId="129"/>
    <cellStyle name="Comma 2" xfId="130"/>
    <cellStyle name="Comma 2 2" xfId="131"/>
    <cellStyle name="Comma 2 2 2" xfId="132"/>
    <cellStyle name="Comma 2 3" xfId="133"/>
    <cellStyle name="Comma 2 3 2" xfId="134"/>
    <cellStyle name="Comma 2 3 3" xfId="135"/>
    <cellStyle name="Comma 2 3 4" xfId="136"/>
    <cellStyle name="Comma 2 4" xfId="137"/>
    <cellStyle name="Comma 20" xfId="138"/>
    <cellStyle name="Comma 21" xfId="139"/>
    <cellStyle name="Comma 22" xfId="140"/>
    <cellStyle name="Comma 23" xfId="141"/>
    <cellStyle name="Comma 24" xfId="142"/>
    <cellStyle name="Comma 25" xfId="143"/>
    <cellStyle name="Comma 25 2" xfId="144"/>
    <cellStyle name="Comma 26" xfId="145"/>
    <cellStyle name="Comma 26 2" xfId="146"/>
    <cellStyle name="Comma 27" xfId="147"/>
    <cellStyle name="Comma 27 2" xfId="148"/>
    <cellStyle name="Comma 28" xfId="149"/>
    <cellStyle name="Comma 28 2" xfId="150"/>
    <cellStyle name="Comma 29" xfId="151"/>
    <cellStyle name="Comma 29 2" xfId="152"/>
    <cellStyle name="Comma 3" xfId="153"/>
    <cellStyle name="Comma 3 2" xfId="154"/>
    <cellStyle name="Comma 3 2 2" xfId="155"/>
    <cellStyle name="Comma 3 3" xfId="156"/>
    <cellStyle name="Comma 3 3 2" xfId="157"/>
    <cellStyle name="Comma 3 3 2 2" xfId="158"/>
    <cellStyle name="Comma 3 3 2 3" xfId="159"/>
    <cellStyle name="Comma 3 3 3" xfId="160"/>
    <cellStyle name="Comma 3 3 3 2" xfId="161"/>
    <cellStyle name="Comma 3 3 3 2 2" xfId="162"/>
    <cellStyle name="Comma 3 3 3 2 3" xfId="163"/>
    <cellStyle name="Comma 3 3 3 2 4" xfId="164"/>
    <cellStyle name="Comma 3 3 3 3" xfId="165"/>
    <cellStyle name="Comma 3 3 4" xfId="166"/>
    <cellStyle name="Comma 3 3 5" xfId="167"/>
    <cellStyle name="Comma 3 3 5 2" xfId="168"/>
    <cellStyle name="Comma 3 3 5 3" xfId="169"/>
    <cellStyle name="Comma 3 3 5 4" xfId="170"/>
    <cellStyle name="Comma 3 4" xfId="171"/>
    <cellStyle name="Comma 3 4 2" xfId="172"/>
    <cellStyle name="Comma 3 4 3" xfId="173"/>
    <cellStyle name="Comma 3 4 4" xfId="174"/>
    <cellStyle name="Comma 3 4 4 2" xfId="175"/>
    <cellStyle name="Comma 3 4 4 3" xfId="176"/>
    <cellStyle name="Comma 3 4 4 4" xfId="177"/>
    <cellStyle name="Comma 3 4 5" xfId="178"/>
    <cellStyle name="Comma 3 5" xfId="179"/>
    <cellStyle name="Comma 3 5 2" xfId="180"/>
    <cellStyle name="Comma 3 6" xfId="181"/>
    <cellStyle name="Comma 3 7" xfId="182"/>
    <cellStyle name="Comma 3 8" xfId="183"/>
    <cellStyle name="Comma 30" xfId="184"/>
    <cellStyle name="Comma 31" xfId="185"/>
    <cellStyle name="Comma 32" xfId="186"/>
    <cellStyle name="Comma 33" xfId="187"/>
    <cellStyle name="Comma 34" xfId="188"/>
    <cellStyle name="Comma 35" xfId="189"/>
    <cellStyle name="Comma 36" xfId="190"/>
    <cellStyle name="Comma 37" xfId="191"/>
    <cellStyle name="Comma 38" xfId="192"/>
    <cellStyle name="Comma 39" xfId="193"/>
    <cellStyle name="Comma 4" xfId="194"/>
    <cellStyle name="Comma 4 2" xfId="195"/>
    <cellStyle name="Comma 4 2 2" xfId="196"/>
    <cellStyle name="Comma 4 2 2 2" xfId="197"/>
    <cellStyle name="Comma 4 2 2 3" xfId="198"/>
    <cellStyle name="Comma 4 2 2 4" xfId="199"/>
    <cellStyle name="Comma 4 2 3" xfId="200"/>
    <cellStyle name="Comma 4 2 3 2" xfId="201"/>
    <cellStyle name="Comma 4 2 3 2 2" xfId="202"/>
    <cellStyle name="Comma 4 2 3 3" xfId="203"/>
    <cellStyle name="Comma 4 2 3 3 2" xfId="204"/>
    <cellStyle name="Comma 4 2 3 4" xfId="205"/>
    <cellStyle name="Comma 4 2 4" xfId="206"/>
    <cellStyle name="Comma 4 2 4 2" xfId="207"/>
    <cellStyle name="Comma 4 2 4 3" xfId="208"/>
    <cellStyle name="Comma 4 2 4 4" xfId="209"/>
    <cellStyle name="Comma 4 2 5" xfId="210"/>
    <cellStyle name="Comma 4 3" xfId="211"/>
    <cellStyle name="Comma 4 3 2" xfId="212"/>
    <cellStyle name="Comma 4 3 2 2" xfId="213"/>
    <cellStyle name="Comma 4 3 2 2 2" xfId="214"/>
    <cellStyle name="Comma 4 3 2 3" xfId="215"/>
    <cellStyle name="Comma 4 3 2 3 2" xfId="216"/>
    <cellStyle name="Comma 4 3 2 4" xfId="217"/>
    <cellStyle name="Comma 4 3 3" xfId="218"/>
    <cellStyle name="Comma 4 3 4" xfId="219"/>
    <cellStyle name="Comma 4 3 4 2" xfId="220"/>
    <cellStyle name="Comma 4 3 4 3" xfId="221"/>
    <cellStyle name="Comma 4 3 5" xfId="222"/>
    <cellStyle name="Comma 4 3 5 2" xfId="223"/>
    <cellStyle name="Comma 4 3 6" xfId="224"/>
    <cellStyle name="Comma 4 3 6 2" xfId="225"/>
    <cellStyle name="Comma 4 4" xfId="226"/>
    <cellStyle name="Comma 4 4 2" xfId="227"/>
    <cellStyle name="Comma 4 4 3" xfId="228"/>
    <cellStyle name="Comma 4 4 4" xfId="229"/>
    <cellStyle name="Comma 4 5" xfId="230"/>
    <cellStyle name="Comma 4 5 2" xfId="231"/>
    <cellStyle name="Comma 4 6" xfId="232"/>
    <cellStyle name="Comma 40" xfId="233"/>
    <cellStyle name="Comma 41" xfId="234"/>
    <cellStyle name="Comma 42" xfId="235"/>
    <cellStyle name="Comma 43" xfId="236"/>
    <cellStyle name="Comma 44" xfId="237"/>
    <cellStyle name="Comma 45" xfId="238"/>
    <cellStyle name="Comma 46" xfId="239"/>
    <cellStyle name="Comma 47" xfId="240"/>
    <cellStyle name="Comma 48" xfId="241"/>
    <cellStyle name="Comma 49" xfId="242"/>
    <cellStyle name="Comma 5" xfId="243"/>
    <cellStyle name="Comma 5 2" xfId="244"/>
    <cellStyle name="Comma 5 2 2" xfId="245"/>
    <cellStyle name="Comma 5 2 3" xfId="246"/>
    <cellStyle name="Comma 5 3" xfId="247"/>
    <cellStyle name="Comma 50" xfId="248"/>
    <cellStyle name="Comma 51" xfId="249"/>
    <cellStyle name="Comma 52" xfId="250"/>
    <cellStyle name="Comma 52 2" xfId="251"/>
    <cellStyle name="Comma 53" xfId="252"/>
    <cellStyle name="Comma 54" xfId="253"/>
    <cellStyle name="Comma 55" xfId="254"/>
    <cellStyle name="Comma 56" xfId="255"/>
    <cellStyle name="Comma 57" xfId="256"/>
    <cellStyle name="Comma 57 2" xfId="257"/>
    <cellStyle name="Comma 57 3" xfId="258"/>
    <cellStyle name="Comma 57 4" xfId="259"/>
    <cellStyle name="Comma 58" xfId="260"/>
    <cellStyle name="Comma 58 2" xfId="261"/>
    <cellStyle name="Comma 58 3" xfId="262"/>
    <cellStyle name="Comma 58 4" xfId="263"/>
    <cellStyle name="Comma 59" xfId="264"/>
    <cellStyle name="Comma 59 2" xfId="265"/>
    <cellStyle name="Comma 59 3" xfId="266"/>
    <cellStyle name="Comma 59 4" xfId="267"/>
    <cellStyle name="Comma 6" xfId="268"/>
    <cellStyle name="Comma 6 2" xfId="269"/>
    <cellStyle name="Comma 6 3" xfId="270"/>
    <cellStyle name="Comma 6 4" xfId="271"/>
    <cellStyle name="Comma 6 4 2" xfId="272"/>
    <cellStyle name="Comma 6 4 3" xfId="273"/>
    <cellStyle name="Comma 6 4 4" xfId="274"/>
    <cellStyle name="Comma 6 5" xfId="275"/>
    <cellStyle name="Comma 60" xfId="276"/>
    <cellStyle name="Comma 60 2" xfId="277"/>
    <cellStyle name="Comma 60 3" xfId="278"/>
    <cellStyle name="Comma 60 4" xfId="279"/>
    <cellStyle name="Comma 61" xfId="280"/>
    <cellStyle name="Comma 61 2" xfId="281"/>
    <cellStyle name="Comma 61 3" xfId="282"/>
    <cellStyle name="Comma 61 4" xfId="283"/>
    <cellStyle name="Comma 62" xfId="284"/>
    <cellStyle name="Comma 62 2" xfId="285"/>
    <cellStyle name="Comma 62 3" xfId="286"/>
    <cellStyle name="Comma 63" xfId="287"/>
    <cellStyle name="Comma 63 2" xfId="288"/>
    <cellStyle name="Comma 63 3" xfId="289"/>
    <cellStyle name="Comma 64" xfId="290"/>
    <cellStyle name="Comma 64 2" xfId="291"/>
    <cellStyle name="Comma 64 3" xfId="292"/>
    <cellStyle name="Comma 65" xfId="293"/>
    <cellStyle name="Comma 65 2" xfId="294"/>
    <cellStyle name="Comma 65 3" xfId="295"/>
    <cellStyle name="Comma 66" xfId="296"/>
    <cellStyle name="Comma 66 2" xfId="297"/>
    <cellStyle name="Comma 66 3" xfId="298"/>
    <cellStyle name="Comma 67" xfId="299"/>
    <cellStyle name="Comma 67 2" xfId="300"/>
    <cellStyle name="Comma 67 3" xfId="301"/>
    <cellStyle name="Comma 68" xfId="302"/>
    <cellStyle name="Comma 68 2" xfId="303"/>
    <cellStyle name="Comma 68 3" xfId="304"/>
    <cellStyle name="Comma 69" xfId="305"/>
    <cellStyle name="Comma 69 2" xfId="306"/>
    <cellStyle name="Comma 7" xfId="307"/>
    <cellStyle name="Comma 7 2" xfId="308"/>
    <cellStyle name="Comma 70" xfId="309"/>
    <cellStyle name="Comma 70 2" xfId="310"/>
    <cellStyle name="Comma 71" xfId="311"/>
    <cellStyle name="Comma 71 2" xfId="312"/>
    <cellStyle name="Comma 72" xfId="313"/>
    <cellStyle name="Comma 73" xfId="314"/>
    <cellStyle name="Comma 74" xfId="315"/>
    <cellStyle name="Comma 75" xfId="316"/>
    <cellStyle name="Comma 76" xfId="317"/>
    <cellStyle name="Comma 8" xfId="318"/>
    <cellStyle name="Comma 9" xfId="319"/>
    <cellStyle name="Comma0" xfId="320"/>
    <cellStyle name="Comma0 2" xfId="321"/>
    <cellStyle name="Comma0 2 2" xfId="322"/>
    <cellStyle name="Comma0 2 3" xfId="323"/>
    <cellStyle name="Comma0 2 4" xfId="324"/>
    <cellStyle name="Comma0 2 5" xfId="325"/>
    <cellStyle name="Comma0 3" xfId="326"/>
    <cellStyle name="Currency" xfId="327" builtinId="4"/>
    <cellStyle name="Currency 2" xfId="328"/>
    <cellStyle name="Currency 2 2" xfId="329"/>
    <cellStyle name="Currency 2 2 2" xfId="330"/>
    <cellStyle name="Currency 2 3" xfId="331"/>
    <cellStyle name="Currency 3" xfId="332"/>
    <cellStyle name="Currency 3 2" xfId="333"/>
    <cellStyle name="Currency 3 2 2" xfId="334"/>
    <cellStyle name="Currency 3 3" xfId="335"/>
    <cellStyle name="Currency 3 3 2" xfId="336"/>
    <cellStyle name="Currency 3 3 2 2" xfId="337"/>
    <cellStyle name="Currency 3 3 2 3" xfId="338"/>
    <cellStyle name="Currency 3 3 3" xfId="339"/>
    <cellStyle name="Currency 3 3 3 2" xfId="340"/>
    <cellStyle name="Currency 3 3 3 2 2" xfId="341"/>
    <cellStyle name="Currency 3 3 3 2 3" xfId="342"/>
    <cellStyle name="Currency 3 3 3 2 4" xfId="343"/>
    <cellStyle name="Currency 3 3 3 3" xfId="344"/>
    <cellStyle name="Currency 3 3 4" xfId="345"/>
    <cellStyle name="Currency 3 3 5" xfId="346"/>
    <cellStyle name="Currency 3 3 5 2" xfId="347"/>
    <cellStyle name="Currency 3 3 5 3" xfId="348"/>
    <cellStyle name="Currency 3 3 5 4" xfId="349"/>
    <cellStyle name="Currency 3 4" xfId="350"/>
    <cellStyle name="Currency 3 4 2" xfId="351"/>
    <cellStyle name="Currency 3 4 3" xfId="352"/>
    <cellStyle name="Currency 3 4 4" xfId="353"/>
    <cellStyle name="Currency 3 4 4 2" xfId="354"/>
    <cellStyle name="Currency 3 4 4 3" xfId="355"/>
    <cellStyle name="Currency 3 4 4 4" xfId="356"/>
    <cellStyle name="Currency 3 4 5" xfId="357"/>
    <cellStyle name="Currency 3 5" xfId="358"/>
    <cellStyle name="Currency 3 5 2" xfId="359"/>
    <cellStyle name="Currency 3 6" xfId="360"/>
    <cellStyle name="Currency 3 7" xfId="361"/>
    <cellStyle name="Currency 3 8" xfId="362"/>
    <cellStyle name="Currency 4" xfId="363"/>
    <cellStyle name="Currency 4 10" xfId="364"/>
    <cellStyle name="Currency 4 10 2" xfId="365"/>
    <cellStyle name="Currency 4 10 2 2" xfId="366"/>
    <cellStyle name="Currency 4 10 2 2 2" xfId="367"/>
    <cellStyle name="Currency 4 10 2 3" xfId="368"/>
    <cellStyle name="Currency 4 10 2 3 2" xfId="369"/>
    <cellStyle name="Currency 4 10 2 4" xfId="370"/>
    <cellStyle name="Currency 4 10 3" xfId="371"/>
    <cellStyle name="Currency 4 10 3 2" xfId="372"/>
    <cellStyle name="Currency 4 10 4" xfId="373"/>
    <cellStyle name="Currency 4 10 4 2" xfId="374"/>
    <cellStyle name="Currency 4 10 4 3" xfId="375"/>
    <cellStyle name="Currency 4 10 5" xfId="376"/>
    <cellStyle name="Currency 4 10 5 2" xfId="377"/>
    <cellStyle name="Currency 4 2" xfId="378"/>
    <cellStyle name="Currency 4 2 2" xfId="379"/>
    <cellStyle name="Currency 4 2 3" xfId="380"/>
    <cellStyle name="Currency 4 3" xfId="381"/>
    <cellStyle name="Currency 4 3 2" xfId="382"/>
    <cellStyle name="Currency 4 3 2 2" xfId="383"/>
    <cellStyle name="Currency 4 3 2 3" xfId="384"/>
    <cellStyle name="Currency 4 3 2 4" xfId="385"/>
    <cellStyle name="Currency 4 3 3" xfId="386"/>
    <cellStyle name="Currency 4 4" xfId="387"/>
    <cellStyle name="Currency 4 5" xfId="388"/>
    <cellStyle name="Currency 4 5 2" xfId="389"/>
    <cellStyle name="Currency 4 5 3" xfId="390"/>
    <cellStyle name="Currency 4 5 4" xfId="391"/>
    <cellStyle name="Currency 5" xfId="392"/>
    <cellStyle name="Currency 5 2" xfId="393"/>
    <cellStyle name="Currency 5 3" xfId="394"/>
    <cellStyle name="Currency 5 4" xfId="395"/>
    <cellStyle name="Currency 5 4 2" xfId="396"/>
    <cellStyle name="Currency 5 4 3" xfId="397"/>
    <cellStyle name="Currency 5 4 4" xfId="398"/>
    <cellStyle name="Currency 5 5" xfId="399"/>
    <cellStyle name="Currency 6" xfId="400"/>
    <cellStyle name="Currency 6 2" xfId="401"/>
    <cellStyle name="Currency 6 3" xfId="402"/>
    <cellStyle name="Currency 6 3 2" xfId="403"/>
    <cellStyle name="Currency 6 3 3" xfId="404"/>
    <cellStyle name="Currency 6 3 4" xfId="405"/>
    <cellStyle name="Currency 7" xfId="406"/>
    <cellStyle name="Currency 8" xfId="407"/>
    <cellStyle name="Currency 9" xfId="408"/>
    <cellStyle name="Currency0" xfId="409"/>
    <cellStyle name="Currency0 2" xfId="410"/>
    <cellStyle name="Currency0 2 2" xfId="411"/>
    <cellStyle name="Currency0 2 3" xfId="412"/>
    <cellStyle name="Currency0 2 4" xfId="413"/>
    <cellStyle name="Currency0 2 5" xfId="414"/>
    <cellStyle name="Currency0 3" xfId="415"/>
    <cellStyle name="Date" xfId="416"/>
    <cellStyle name="Date 2" xfId="417"/>
    <cellStyle name="Date 2 2" xfId="418"/>
    <cellStyle name="Date 2 3" xfId="419"/>
    <cellStyle name="Date 2 4" xfId="420"/>
    <cellStyle name="Date 2 5" xfId="421"/>
    <cellStyle name="Date 3" xfId="422"/>
    <cellStyle name="Explanatory Text" xfId="423" builtinId="53" customBuiltin="1"/>
    <cellStyle name="Explanatory Text 2" xfId="424"/>
    <cellStyle name="Explanatory Text 2 2" xfId="425"/>
    <cellStyle name="Fixed" xfId="426"/>
    <cellStyle name="Fixed 2" xfId="427"/>
    <cellStyle name="Fixed 2 2" xfId="428"/>
    <cellStyle name="Fixed 2 3" xfId="429"/>
    <cellStyle name="Fixed 2 4" xfId="430"/>
    <cellStyle name="Fixed 2 5" xfId="431"/>
    <cellStyle name="Fixed 3" xfId="432"/>
    <cellStyle name="Good" xfId="433" builtinId="26" customBuiltin="1"/>
    <cellStyle name="Good 2" xfId="434"/>
    <cellStyle name="Good 2 2" xfId="435"/>
    <cellStyle name="Heading 1" xfId="436" builtinId="16" customBuiltin="1"/>
    <cellStyle name="Heading 1 2" xfId="437"/>
    <cellStyle name="Heading 1 2 2" xfId="438"/>
    <cellStyle name="Heading 1 3" xfId="439"/>
    <cellStyle name="Heading 1 3 2" xfId="440"/>
    <cellStyle name="Heading 2" xfId="441" builtinId="17" customBuiltin="1"/>
    <cellStyle name="Heading 2 2" xfId="442"/>
    <cellStyle name="Heading 2 2 2" xfId="443"/>
    <cellStyle name="Heading 2 3" xfId="444"/>
    <cellStyle name="Heading 2 3 2" xfId="445"/>
    <cellStyle name="Heading 3" xfId="446" builtinId="18" customBuiltin="1"/>
    <cellStyle name="Heading 3 2" xfId="447"/>
    <cellStyle name="Heading 3 2 2" xfId="448"/>
    <cellStyle name="Heading 4" xfId="449" builtinId="19" customBuiltin="1"/>
    <cellStyle name="Heading 4 2" xfId="450"/>
    <cellStyle name="Heading 4 2 2" xfId="451"/>
    <cellStyle name="Heading1" xfId="452"/>
    <cellStyle name="Heading2" xfId="453"/>
    <cellStyle name="Input" xfId="454" builtinId="20" customBuiltin="1"/>
    <cellStyle name="Input 2" xfId="455"/>
    <cellStyle name="Input 2 2" xfId="456"/>
    <cellStyle name="Linked Cell" xfId="457" builtinId="24" customBuiltin="1"/>
    <cellStyle name="Linked Cell 2" xfId="458"/>
    <cellStyle name="Linked Cell 2 2" xfId="459"/>
    <cellStyle name="M" xfId="460"/>
    <cellStyle name="M 2" xfId="461"/>
    <cellStyle name="M 2 2" xfId="462"/>
    <cellStyle name="M 2 2 2" xfId="463"/>
    <cellStyle name="M 3" xfId="464"/>
    <cellStyle name="M 3 2" xfId="465"/>
    <cellStyle name="M 3 2 2" xfId="466"/>
    <cellStyle name="M 4" xfId="467"/>
    <cellStyle name="M 5" xfId="468"/>
    <cellStyle name="M 5 2" xfId="469"/>
    <cellStyle name="M 6" xfId="470"/>
    <cellStyle name="M 6 2" xfId="471"/>
    <cellStyle name="M 7" xfId="472"/>
    <cellStyle name="Neutral" xfId="473" builtinId="28" customBuiltin="1"/>
    <cellStyle name="Neutral 2" xfId="474"/>
    <cellStyle name="Neutral 2 2" xfId="475"/>
    <cellStyle name="Normal" xfId="0" builtinId="0"/>
    <cellStyle name="Normal 10" xfId="476"/>
    <cellStyle name="Normal 10 2" xfId="477"/>
    <cellStyle name="Normal 11" xfId="478"/>
    <cellStyle name="Normal 11 2" xfId="479"/>
    <cellStyle name="Normal 11 3" xfId="480"/>
    <cellStyle name="Normal 12" xfId="481"/>
    <cellStyle name="Normal 12 2" xfId="482"/>
    <cellStyle name="Normal 12 3" xfId="483"/>
    <cellStyle name="Normal 2" xfId="484"/>
    <cellStyle name="Normal 2 2" xfId="485"/>
    <cellStyle name="Normal 2 2 2" xfId="486"/>
    <cellStyle name="Normal 2 2 3" xfId="487"/>
    <cellStyle name="Normal 2 2 4" xfId="488"/>
    <cellStyle name="Normal 3" xfId="489"/>
    <cellStyle name="Normal 3 2" xfId="490"/>
    <cellStyle name="Normal 3 2 2" xfId="491"/>
    <cellStyle name="Normal 3 3" xfId="492"/>
    <cellStyle name="Normal 3 3 2" xfId="493"/>
    <cellStyle name="Normal 3 3 3" xfId="494"/>
    <cellStyle name="Normal 3 3 4" xfId="495"/>
    <cellStyle name="Normal 3_OPCo Period I PJM  Formula Rate" xfId="496"/>
    <cellStyle name="Normal 35" xfId="497"/>
    <cellStyle name="Normal 4" xfId="498"/>
    <cellStyle name="Normal 4 2" xfId="499"/>
    <cellStyle name="Normal 4 2 2" xfId="500"/>
    <cellStyle name="Normal 4 3" xfId="501"/>
    <cellStyle name="Normal 4 3 2" xfId="502"/>
    <cellStyle name="Normal 4 3 2 2" xfId="503"/>
    <cellStyle name="Normal 4 3 2 3" xfId="504"/>
    <cellStyle name="Normal 4 3 3" xfId="505"/>
    <cellStyle name="Normal 4 3 3 2" xfId="506"/>
    <cellStyle name="Normal 4 3 3 2 2" xfId="507"/>
    <cellStyle name="Normal 4 3 3 2 3" xfId="508"/>
    <cellStyle name="Normal 4 3 3 2 4" xfId="509"/>
    <cellStyle name="Normal 4 3 3 3" xfId="510"/>
    <cellStyle name="Normal 4 3 4" xfId="511"/>
    <cellStyle name="Normal 4 3 5" xfId="512"/>
    <cellStyle name="Normal 4 3 5 2" xfId="513"/>
    <cellStyle name="Normal 4 3 5 3" xfId="514"/>
    <cellStyle name="Normal 4 3 5 4" xfId="515"/>
    <cellStyle name="Normal 4 4" xfId="516"/>
    <cellStyle name="Normal 4 4 2" xfId="517"/>
    <cellStyle name="Normal 4 4 3" xfId="518"/>
    <cellStyle name="Normal 4 4 4" xfId="519"/>
    <cellStyle name="Normal 4 4 4 2" xfId="520"/>
    <cellStyle name="Normal 4 4 4 3" xfId="521"/>
    <cellStyle name="Normal 4 4 4 4" xfId="522"/>
    <cellStyle name="Normal 4 4 5" xfId="523"/>
    <cellStyle name="Normal 4 5" xfId="524"/>
    <cellStyle name="Normal 4 5 2" xfId="525"/>
    <cellStyle name="Normal 4 5 2 2" xfId="526"/>
    <cellStyle name="Normal 4 5 2 2 2" xfId="527"/>
    <cellStyle name="Normal 4 5 2 2 3" xfId="528"/>
    <cellStyle name="Normal 4 5 2 2 4" xfId="529"/>
    <cellStyle name="Normal 4 5 3" xfId="530"/>
    <cellStyle name="Normal 4 6" xfId="531"/>
    <cellStyle name="Normal 4 7" xfId="532"/>
    <cellStyle name="Normal 4 8" xfId="533"/>
    <cellStyle name="Normal 4_PBOP Exhibit 1" xfId="534"/>
    <cellStyle name="Normal 5" xfId="535"/>
    <cellStyle name="Normal 5 2" xfId="536"/>
    <cellStyle name="Normal 5 2 2" xfId="537"/>
    <cellStyle name="Normal 5 2 3" xfId="538"/>
    <cellStyle name="Normal 5 2 4" xfId="539"/>
    <cellStyle name="Normal 6" xfId="540"/>
    <cellStyle name="Normal 6 2" xfId="541"/>
    <cellStyle name="Normal 7" xfId="542"/>
    <cellStyle name="Normal 7 2" xfId="543"/>
    <cellStyle name="Normal 7 3" xfId="544"/>
    <cellStyle name="Normal 8" xfId="545"/>
    <cellStyle name="Normal 8 2" xfId="546"/>
    <cellStyle name="Normal 9" xfId="547"/>
    <cellStyle name="Normal 9 2" xfId="548"/>
    <cellStyle name="Normal_FN1 Ratebase Draft SPP template (6-11-04) v2" xfId="549"/>
    <cellStyle name="Note" xfId="550" builtinId="10" customBuiltin="1"/>
    <cellStyle name="Note 2" xfId="551"/>
    <cellStyle name="Note 2 2" xfId="552"/>
    <cellStyle name="Note 2 2 2" xfId="553"/>
    <cellStyle name="Note 2 2 3" xfId="554"/>
    <cellStyle name="Note 2 2 4" xfId="555"/>
    <cellStyle name="Output" xfId="556" builtinId="21" customBuiltin="1"/>
    <cellStyle name="Output 2" xfId="557"/>
    <cellStyle name="Output 2 2" xfId="558"/>
    <cellStyle name="Percent" xfId="559" builtinId="5"/>
    <cellStyle name="Percent 10" xfId="560"/>
    <cellStyle name="Percent 2" xfId="561"/>
    <cellStyle name="Percent 2 2" xfId="562"/>
    <cellStyle name="Percent 2 2 2" xfId="563"/>
    <cellStyle name="Percent 2 3" xfId="564"/>
    <cellStyle name="Percent 3" xfId="565"/>
    <cellStyle name="Percent 3 2" xfId="566"/>
    <cellStyle name="Percent 3 2 2" xfId="567"/>
    <cellStyle name="Percent 3 3" xfId="568"/>
    <cellStyle name="Percent 3 3 2" xfId="569"/>
    <cellStyle name="Percent 3 3 2 2" xfId="570"/>
    <cellStyle name="Percent 3 3 2 3" xfId="571"/>
    <cellStyle name="Percent 3 3 3" xfId="572"/>
    <cellStyle name="Percent 3 3 3 2" xfId="573"/>
    <cellStyle name="Percent 3 3 3 2 2" xfId="574"/>
    <cellStyle name="Percent 3 3 3 2 3" xfId="575"/>
    <cellStyle name="Percent 3 3 3 2 4" xfId="576"/>
    <cellStyle name="Percent 3 3 3 3" xfId="577"/>
    <cellStyle name="Percent 3 3 4" xfId="578"/>
    <cellStyle name="Percent 3 3 5" xfId="579"/>
    <cellStyle name="Percent 3 3 5 2" xfId="580"/>
    <cellStyle name="Percent 3 3 5 3" xfId="581"/>
    <cellStyle name="Percent 3 3 5 4" xfId="582"/>
    <cellStyle name="Percent 3 4" xfId="583"/>
    <cellStyle name="Percent 3 4 2" xfId="584"/>
    <cellStyle name="Percent 3 4 3" xfId="585"/>
    <cellStyle name="Percent 3 4 4" xfId="586"/>
    <cellStyle name="Percent 3 4 4 2" xfId="587"/>
    <cellStyle name="Percent 3 4 4 3" xfId="588"/>
    <cellStyle name="Percent 3 4 4 4" xfId="589"/>
    <cellStyle name="Percent 3 4 5" xfId="590"/>
    <cellStyle name="Percent 3 5" xfId="591"/>
    <cellStyle name="Percent 3 5 2" xfId="592"/>
    <cellStyle name="Percent 3 6" xfId="593"/>
    <cellStyle name="Percent 3 7" xfId="594"/>
    <cellStyle name="Percent 3 8" xfId="595"/>
    <cellStyle name="Percent 4" xfId="596"/>
    <cellStyle name="Percent 4 2" xfId="597"/>
    <cellStyle name="Percent 4 2 2" xfId="598"/>
    <cellStyle name="Percent 4 2 3" xfId="599"/>
    <cellStyle name="Percent 4 3" xfId="600"/>
    <cellStyle name="Percent 4 3 2" xfId="601"/>
    <cellStyle name="Percent 4 3 2 2" xfId="602"/>
    <cellStyle name="Percent 4 3 2 3" xfId="603"/>
    <cellStyle name="Percent 4 3 2 4" xfId="604"/>
    <cellStyle name="Percent 4 3 3" xfId="605"/>
    <cellStyle name="Percent 4 4" xfId="606"/>
    <cellStyle name="Percent 4 5" xfId="607"/>
    <cellStyle name="Percent 4 5 2" xfId="608"/>
    <cellStyle name="Percent 4 5 3" xfId="609"/>
    <cellStyle name="Percent 4 5 4" xfId="610"/>
    <cellStyle name="Percent 5" xfId="611"/>
    <cellStyle name="Percent 5 2" xfId="612"/>
    <cellStyle name="Percent 5 3" xfId="613"/>
    <cellStyle name="Percent 5 4" xfId="614"/>
    <cellStyle name="Percent 5 4 2" xfId="615"/>
    <cellStyle name="Percent 5 4 3" xfId="616"/>
    <cellStyle name="Percent 5 4 4" xfId="617"/>
    <cellStyle name="Percent 5 5" xfId="618"/>
    <cellStyle name="Percent 6" xfId="619"/>
    <cellStyle name="Percent 6 2" xfId="620"/>
    <cellStyle name="Percent 7" xfId="621"/>
    <cellStyle name="Percent 7 2" xfId="622"/>
    <cellStyle name="Percent 7 2 2" xfId="623"/>
    <cellStyle name="Percent 7 2 2 2" xfId="624"/>
    <cellStyle name="Percent 7 2 2 2 2" xfId="625"/>
    <cellStyle name="Percent 7 2 2 3" xfId="626"/>
    <cellStyle name="Percent 7 2 2 3 2" xfId="627"/>
    <cellStyle name="Percent 7 2 2 4" xfId="628"/>
    <cellStyle name="Percent 7 2 3" xfId="629"/>
    <cellStyle name="Percent 7 2 3 2" xfId="630"/>
    <cellStyle name="Percent 7 2 4" xfId="631"/>
    <cellStyle name="Percent 7 2 4 2" xfId="632"/>
    <cellStyle name="Percent 7 2 4 3" xfId="633"/>
    <cellStyle name="Percent 7 2 5" xfId="634"/>
    <cellStyle name="Percent 7 2 5 2" xfId="635"/>
    <cellStyle name="Percent 7 3" xfId="636"/>
    <cellStyle name="Percent 7 4" xfId="637"/>
    <cellStyle name="Percent 7 5" xfId="638"/>
    <cellStyle name="Percent 8" xfId="639"/>
    <cellStyle name="Percent 9" xfId="640"/>
    <cellStyle name="PSChar" xfId="641"/>
    <cellStyle name="PSChar 2" xfId="642"/>
    <cellStyle name="PSChar 2 2" xfId="643"/>
    <cellStyle name="PSChar 3" xfId="644"/>
    <cellStyle name="PSChar 4" xfId="645"/>
    <cellStyle name="PSChar 4 2" xfId="646"/>
    <cellStyle name="PSChar 5" xfId="647"/>
    <cellStyle name="PSChar 5 2" xfId="648"/>
    <cellStyle name="PSDate" xfId="649"/>
    <cellStyle name="PSDate 2" xfId="650"/>
    <cellStyle name="PSDate 3" xfId="651"/>
    <cellStyle name="PSDate 4" xfId="652"/>
    <cellStyle name="PSDate 4 2" xfId="653"/>
    <cellStyle name="PSDate 5" xfId="654"/>
    <cellStyle name="PSDate 5 2" xfId="655"/>
    <cellStyle name="PSDec" xfId="656"/>
    <cellStyle name="PSDec 2" xfId="657"/>
    <cellStyle name="PSDec 3" xfId="658"/>
    <cellStyle name="PSDec 4" xfId="659"/>
    <cellStyle name="PSDec 4 2" xfId="660"/>
    <cellStyle name="PSDec 5" xfId="661"/>
    <cellStyle name="PSDec 5 2" xfId="662"/>
    <cellStyle name="PSdesc" xfId="663"/>
    <cellStyle name="PSdesc 2" xfId="664"/>
    <cellStyle name="PSHeading" xfId="665"/>
    <cellStyle name="PSHeading 2" xfId="666"/>
    <cellStyle name="PSHeading 3" xfId="667"/>
    <cellStyle name="PSHeading 4" xfId="668"/>
    <cellStyle name="PSHeading 5" xfId="669"/>
    <cellStyle name="PSHeading 5 2" xfId="670"/>
    <cellStyle name="PSHeading 6" xfId="671"/>
    <cellStyle name="PSHeading 6 2" xfId="672"/>
    <cellStyle name="PSInt" xfId="673"/>
    <cellStyle name="PSInt 2" xfId="674"/>
    <cellStyle name="PSInt 3" xfId="675"/>
    <cellStyle name="PSInt 4" xfId="676"/>
    <cellStyle name="PSInt 4 2" xfId="677"/>
    <cellStyle name="PSInt 5" xfId="678"/>
    <cellStyle name="PSInt 5 2" xfId="679"/>
    <cellStyle name="PSSpacer" xfId="680"/>
    <cellStyle name="PSSpacer 2" xfId="681"/>
    <cellStyle name="PSSpacer 3" xfId="682"/>
    <cellStyle name="PSSpacer 3 2" xfId="683"/>
    <cellStyle name="PStest" xfId="684"/>
    <cellStyle name="PStest 2" xfId="685"/>
    <cellStyle name="R00A" xfId="686"/>
    <cellStyle name="R00B" xfId="687"/>
    <cellStyle name="R00L" xfId="688"/>
    <cellStyle name="R01A" xfId="689"/>
    <cellStyle name="R01B" xfId="690"/>
    <cellStyle name="R01H" xfId="691"/>
    <cellStyle name="R01L" xfId="692"/>
    <cellStyle name="R02A" xfId="693"/>
    <cellStyle name="R02B" xfId="694"/>
    <cellStyle name="R02B 2" xfId="695"/>
    <cellStyle name="R02H" xfId="696"/>
    <cellStyle name="R02L" xfId="697"/>
    <cellStyle name="R03A" xfId="698"/>
    <cellStyle name="R03B" xfId="699"/>
    <cellStyle name="R03B 2" xfId="700"/>
    <cellStyle name="R03H" xfId="701"/>
    <cellStyle name="R03L" xfId="702"/>
    <cellStyle name="R04A" xfId="703"/>
    <cellStyle name="R04B" xfId="704"/>
    <cellStyle name="R04B 2" xfId="705"/>
    <cellStyle name="R04H" xfId="706"/>
    <cellStyle name="R04L" xfId="707"/>
    <cellStyle name="R05A" xfId="708"/>
    <cellStyle name="R05B" xfId="709"/>
    <cellStyle name="R05B 2" xfId="710"/>
    <cellStyle name="R05H" xfId="711"/>
    <cellStyle name="R05L" xfId="712"/>
    <cellStyle name="R05L 2" xfId="713"/>
    <cellStyle name="R06A" xfId="714"/>
    <cellStyle name="R06B" xfId="715"/>
    <cellStyle name="R06B 2" xfId="716"/>
    <cellStyle name="R06H" xfId="717"/>
    <cellStyle name="R06L" xfId="718"/>
    <cellStyle name="R07A" xfId="719"/>
    <cellStyle name="R07B" xfId="720"/>
    <cellStyle name="R07B 2" xfId="721"/>
    <cellStyle name="R07H" xfId="722"/>
    <cellStyle name="R07L" xfId="723"/>
    <cellStyle name="Title" xfId="724" builtinId="15" customBuiltin="1"/>
    <cellStyle name="Title 2" xfId="725"/>
    <cellStyle name="Title 2 2" xfId="726"/>
    <cellStyle name="Total" xfId="727" builtinId="25" customBuiltin="1"/>
    <cellStyle name="Total 2" xfId="728"/>
    <cellStyle name="Total 2 2" xfId="729"/>
    <cellStyle name="Total 3" xfId="730"/>
    <cellStyle name="Total 3 2" xfId="731"/>
    <cellStyle name="Warning Text" xfId="732" builtinId="11" customBuiltin="1"/>
    <cellStyle name="Warning Text 2" xfId="733"/>
    <cellStyle name="Warning Text 2 2" xfId="734"/>
  </cellStyles>
  <dxfs count="61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28</xdr:row>
      <xdr:rowOff>114300</xdr:rowOff>
    </xdr:from>
    <xdr:to>
      <xdr:col>4</xdr:col>
      <xdr:colOff>495300</xdr:colOff>
      <xdr:row>29</xdr:row>
      <xdr:rowOff>152400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3914775" y="543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10741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0978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2004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4050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5074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7119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8088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9109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0080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1104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8147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9171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40195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41219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0</xdr:rowOff>
    </xdr:to>
    <xdr:sp macro="" textlink="">
      <xdr:nvSpPr>
        <xdr:cNvPr id="43102" name="Text Box 1"/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0</xdr:rowOff>
    </xdr:to>
    <xdr:sp macro="" textlink="">
      <xdr:nvSpPr>
        <xdr:cNvPr id="44126" name="Text Box 1"/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48143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49167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50191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51215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/dbw/SWPP%20Form%20Rate/Lila%20added/AEP%20SPP%20For%20Rate%20Proj%20w%2013%20mth%20rate%20base%20june-07%20-%20June-08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of Revisions"/>
      <sheetName val="Zonal Rates"/>
      <sheetName val="Sch 1 Rates"/>
      <sheetName val="Load WS"/>
      <sheetName val="PSO 2008 TCOS 13 Mnth"/>
      <sheetName val="PSO WsA Rev Credits"/>
      <sheetName val="PSO WsB IPP"/>
      <sheetName val="PSO WsC RB Tax"/>
      <sheetName val="PSO Ws C-1 2008 ADIT Avg Bal"/>
      <sheetName val="PSO WsD Misc Exp"/>
      <sheetName val="PSO WsE Acct 561"/>
      <sheetName val="PSO WsF Inc Prjts"/>
      <sheetName val="PSO WsG BPU"/>
      <sheetName val="PSO WsI Bal Sheet"/>
      <sheetName val="PSO WsI - 1 13 Month Prepaids"/>
      <sheetName val="PSO WsJ Tax"/>
      <sheetName val="PSO WsK CWIP"/>
      <sheetName val="SWP TCOS 2008 13 Month"/>
      <sheetName val="SWP WsA Rev Credits"/>
      <sheetName val="SWP WsB IPP"/>
      <sheetName val="SWP WsC RB Tax"/>
      <sheetName val="SWP WsC-1 ADIT 2008 13 Mth Avg "/>
      <sheetName val="SWP WsD Misc Exp"/>
      <sheetName val="SWP WsE Acct 561"/>
      <sheetName val="SWP WsF Inc Prjts"/>
      <sheetName val="SWP WsG BPU"/>
      <sheetName val="SWP WsI Bal Sheet"/>
      <sheetName val="SWP WsI-1 13 Month Prepaids "/>
      <sheetName val="SWP WsJ Tax"/>
      <sheetName val="SWP WsK CWIP"/>
      <sheetName val="FERC Balance Sheet"/>
      <sheetName val="PSO 13 Month Rate Base"/>
      <sheetName val="SWEPCo 13 Month Rate Base"/>
      <sheetName val="Plant Detail - Book"/>
      <sheetName val="FERC Income Stmt w Details"/>
      <sheetName val="Depreciation Detail"/>
      <sheetName val="Taxes Other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7">
          <cell r="I317" t="str">
            <v>CE</v>
          </cell>
          <cell r="J317">
            <v>6.3272239966292818E-2</v>
          </cell>
        </row>
        <row r="318">
          <cell r="I318" t="str">
            <v>DA</v>
          </cell>
          <cell r="J318">
            <v>1</v>
          </cell>
        </row>
        <row r="319">
          <cell r="I319" t="str">
            <v>GP(b)</v>
          </cell>
          <cell r="J319">
            <v>0.17830317329522682</v>
          </cell>
        </row>
        <row r="320">
          <cell r="I320" t="str">
            <v>GP(p)</v>
          </cell>
          <cell r="J320">
            <v>0.17830317329522682</v>
          </cell>
        </row>
        <row r="321">
          <cell r="I321" t="str">
            <v>GTD(p)</v>
          </cell>
          <cell r="J321">
            <v>0.35796417623075211</v>
          </cell>
        </row>
        <row r="322">
          <cell r="I322" t="str">
            <v>GTD(h)</v>
          </cell>
          <cell r="J322">
            <v>0.35796417623075211</v>
          </cell>
        </row>
        <row r="323">
          <cell r="I323" t="str">
            <v>NA</v>
          </cell>
          <cell r="J323">
            <v>0</v>
          </cell>
        </row>
        <row r="324">
          <cell r="I324" t="str">
            <v>NP(b)</v>
          </cell>
          <cell r="J324">
            <v>0.21388078637862473</v>
          </cell>
        </row>
        <row r="325">
          <cell r="I325" t="str">
            <v>NP(p)</v>
          </cell>
          <cell r="J325">
            <v>0.21388078637862473</v>
          </cell>
        </row>
        <row r="326">
          <cell r="I326" t="str">
            <v>TP</v>
          </cell>
          <cell r="J326">
            <v>0.97384420488446088</v>
          </cell>
        </row>
        <row r="327">
          <cell r="I327" t="str">
            <v>TP1</v>
          </cell>
          <cell r="J327">
            <v>0.98824625472059235</v>
          </cell>
        </row>
        <row r="328">
          <cell r="I328" t="str">
            <v>W/S</v>
          </cell>
          <cell r="J328">
            <v>6.3272239966292818E-2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93"/>
  <sheetViews>
    <sheetView tabSelected="1" zoomScale="70" zoomScaleNormal="70" zoomScaleSheetLayoutView="75" workbookViewId="0"/>
  </sheetViews>
  <sheetFormatPr defaultColWidth="8.7265625" defaultRowHeight="12.75" customHeight="1"/>
  <cols>
    <col min="1" max="1" width="7.453125" style="148" customWidth="1"/>
    <col min="2" max="2" width="7" style="148" bestFit="1" customWidth="1"/>
    <col min="3" max="3" width="43.1796875" style="148" customWidth="1"/>
    <col min="4" max="4" width="9.54296875" style="148" customWidth="1"/>
    <col min="5" max="7" width="15.453125" style="148" bestFit="1" customWidth="1"/>
    <col min="8" max="8" width="2.81640625" style="148" customWidth="1"/>
    <col min="9" max="9" width="13.54296875" style="148" bestFit="1" customWidth="1"/>
    <col min="10" max="10" width="13.26953125" style="148" customWidth="1"/>
    <col min="11" max="11" width="12.81640625" style="148" bestFit="1" customWidth="1"/>
    <col min="12" max="12" width="15.26953125" style="148" customWidth="1"/>
    <col min="13" max="13" width="2.453125" style="148" customWidth="1"/>
    <col min="14" max="14" width="6.1796875" style="148" customWidth="1"/>
    <col min="15" max="15" width="8.7265625" style="148" customWidth="1"/>
    <col min="16" max="16" width="10.7265625" style="148" customWidth="1"/>
    <col min="17" max="17" width="14.36328125" style="148" customWidth="1"/>
    <col min="18" max="18" width="18.7265625" style="148" customWidth="1"/>
    <col min="19" max="19" width="2.453125" style="148" customWidth="1"/>
    <col min="20" max="20" width="19.1796875" style="148" bestFit="1" customWidth="1"/>
    <col min="21" max="21" width="8.7265625" style="148"/>
    <col min="22" max="22" width="13.81640625" style="148" customWidth="1"/>
    <col min="23" max="28" width="8.7265625" style="148"/>
    <col min="29" max="29" width="9.1796875" style="148" customWidth="1"/>
    <col min="30" max="16384" width="8.7265625" style="148"/>
  </cols>
  <sheetData>
    <row r="1" spans="1:23" ht="15.5">
      <c r="H1" s="149" t="s">
        <v>157</v>
      </c>
      <c r="U1" s="148">
        <v>2020</v>
      </c>
    </row>
    <row r="2" spans="1:23" ht="15.5">
      <c r="H2" s="150" t="s">
        <v>189</v>
      </c>
      <c r="U2" s="148">
        <f>+U1+1</f>
        <v>2021</v>
      </c>
    </row>
    <row r="3" spans="1:23" ht="15.5">
      <c r="H3" s="151" t="str">
        <f>"For Calendar Year "&amp;U1&amp;" and Projected Year "&amp;U2</f>
        <v>For Calendar Year 2020 and Projected Year 2021</v>
      </c>
    </row>
    <row r="4" spans="1:23" ht="15.5">
      <c r="H4" s="152"/>
    </row>
    <row r="5" spans="1:23" ht="15.5">
      <c r="H5" s="153" t="s">
        <v>158</v>
      </c>
    </row>
    <row r="7" spans="1:23" ht="18">
      <c r="C7" s="154"/>
      <c r="E7" s="154"/>
      <c r="F7" s="154"/>
      <c r="G7" s="154"/>
      <c r="H7" s="154" t="s">
        <v>124</v>
      </c>
      <c r="I7" s="154"/>
      <c r="J7" s="154"/>
      <c r="K7" s="154"/>
      <c r="L7" s="154"/>
    </row>
    <row r="8" spans="1:23" ht="12.5">
      <c r="D8" s="155"/>
    </row>
    <row r="9" spans="1:23" ht="12.5">
      <c r="A9" s="148" t="s">
        <v>260</v>
      </c>
    </row>
    <row r="12" spans="1:23" ht="22.5" customHeight="1">
      <c r="A12" s="156" t="s">
        <v>159</v>
      </c>
      <c r="B12" s="156" t="s">
        <v>160</v>
      </c>
      <c r="C12" s="157" t="s">
        <v>161</v>
      </c>
      <c r="D12" s="156" t="s">
        <v>162</v>
      </c>
      <c r="E12" s="156" t="s">
        <v>163</v>
      </c>
      <c r="F12" s="156" t="s">
        <v>164</v>
      </c>
      <c r="G12" s="156" t="str">
        <f>"(G) = "&amp;E12&amp;" + "&amp;F12</f>
        <v>(G) = (E) + (F)</v>
      </c>
      <c r="H12" s="156"/>
      <c r="I12" s="156" t="s">
        <v>165</v>
      </c>
      <c r="J12" s="156" t="s">
        <v>166</v>
      </c>
      <c r="K12" s="158" t="s">
        <v>197</v>
      </c>
      <c r="L12" s="156" t="str">
        <f>"(K) = "&amp;J12&amp;" - "&amp;K12</f>
        <v>(K) = (I) - (J)</v>
      </c>
      <c r="M12" s="156"/>
      <c r="N12" s="156" t="s">
        <v>198</v>
      </c>
      <c r="O12" s="156" t="s">
        <v>167</v>
      </c>
      <c r="P12" s="156" t="str">
        <f>"(N) = "&amp;N12&amp;"-"&amp;O12</f>
        <v>(N) = (L)-(M)</v>
      </c>
      <c r="Q12" s="156" t="s">
        <v>199</v>
      </c>
      <c r="R12" s="156" t="str">
        <f>"(P) = "&amp;I12&amp;"+"&amp;LEFT(L12,3)&amp;"+"&amp;LEFT(P12,3)&amp;"+"&amp;Q12</f>
        <v>(P) = (H)+(K)+(N)+(O)</v>
      </c>
      <c r="S12" s="156"/>
      <c r="T12" s="156" t="str">
        <f>"(Q) = "&amp;LEFT(G12,3)&amp;" + "&amp;LEFT(R12,3)</f>
        <v>(Q) = (G) + (P)</v>
      </c>
      <c r="U12" s="156"/>
      <c r="V12" s="159"/>
      <c r="W12" s="159"/>
    </row>
    <row r="13" spans="1:23" ht="16.5" customHeight="1">
      <c r="A13" s="160"/>
      <c r="B13" s="160"/>
      <c r="C13" s="160"/>
      <c r="D13" s="160"/>
      <c r="E13" s="628" t="str">
        <f>"Projected ARR For "&amp;U2&amp;" From WS-F"</f>
        <v>Projected ARR For 2021 From WS-F</v>
      </c>
      <c r="F13" s="628"/>
      <c r="G13" s="628"/>
      <c r="H13" s="160"/>
      <c r="I13" s="161" t="s">
        <v>330</v>
      </c>
      <c r="J13" s="161"/>
      <c r="K13" s="161"/>
      <c r="L13" s="161"/>
      <c r="M13" s="161"/>
      <c r="N13" s="161"/>
      <c r="O13" s="161"/>
      <c r="P13" s="161"/>
      <c r="Q13" s="161"/>
      <c r="R13" s="162"/>
      <c r="S13" s="160"/>
      <c r="T13" s="160"/>
      <c r="U13" s="160"/>
    </row>
    <row r="14" spans="1:23" ht="18" customHeight="1">
      <c r="I14" s="163"/>
      <c r="T14" s="629" t="str">
        <f>"Total ADJUSTED Revenue Requirement Effective
1/1/"&amp;U2&amp;""</f>
        <v>Total ADJUSTED Revenue Requirement Effective
1/1/2021</v>
      </c>
    </row>
    <row r="15" spans="1:23" ht="18" customHeight="1" thickBot="1">
      <c r="D15" s="160"/>
      <c r="E15" s="164"/>
      <c r="F15" s="164"/>
      <c r="G15" s="164"/>
      <c r="I15" s="161" t="s">
        <v>168</v>
      </c>
      <c r="J15" s="165"/>
      <c r="K15" s="165"/>
      <c r="L15" s="165"/>
      <c r="M15" s="166"/>
      <c r="N15" s="161" t="s">
        <v>196</v>
      </c>
      <c r="O15" s="167"/>
      <c r="P15" s="167"/>
      <c r="Q15" s="168"/>
      <c r="T15" s="629"/>
    </row>
    <row r="16" spans="1:23" ht="69" customHeight="1">
      <c r="A16" s="169" t="s">
        <v>179</v>
      </c>
      <c r="B16" s="170" t="s">
        <v>169</v>
      </c>
      <c r="C16" s="170" t="s">
        <v>131</v>
      </c>
      <c r="D16" s="171" t="s">
        <v>170</v>
      </c>
      <c r="E16" s="172" t="s">
        <v>194</v>
      </c>
      <c r="F16" s="173" t="s">
        <v>171</v>
      </c>
      <c r="G16" s="173" t="s">
        <v>172</v>
      </c>
      <c r="I16" s="174" t="s">
        <v>193</v>
      </c>
      <c r="J16" s="174" t="s">
        <v>223</v>
      </c>
      <c r="K16" s="174" t="s">
        <v>213</v>
      </c>
      <c r="L16" s="174" t="s">
        <v>195</v>
      </c>
      <c r="M16" s="174"/>
      <c r="N16" s="175" t="s">
        <v>173</v>
      </c>
      <c r="O16" s="175" t="s">
        <v>174</v>
      </c>
      <c r="P16" s="176" t="s">
        <v>175</v>
      </c>
      <c r="Q16" s="176" t="s">
        <v>176</v>
      </c>
      <c r="R16" s="172" t="s">
        <v>220</v>
      </c>
      <c r="T16" s="629"/>
      <c r="V16" s="177" t="s">
        <v>200</v>
      </c>
    </row>
    <row r="17" spans="1:23" ht="13">
      <c r="B17" s="160"/>
      <c r="C17" s="160"/>
      <c r="E17" s="178"/>
      <c r="F17" s="178"/>
      <c r="G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T17" s="178"/>
      <c r="V17" s="179"/>
    </row>
    <row r="18" spans="1:23" ht="13">
      <c r="A18" s="156" t="s">
        <v>178</v>
      </c>
      <c r="B18" s="156" t="s">
        <v>117</v>
      </c>
      <c r="C18" s="180" t="str">
        <f t="shared" ref="C18:E45" ca="1" si="0">INDIRECT("'"&amp; $A18 &amp; "'!" &amp;C$54)</f>
        <v>Riverside-Glenpool (81-523) Reconductor</v>
      </c>
      <c r="D18" s="181">
        <f t="shared" ca="1" si="0"/>
        <v>2009</v>
      </c>
      <c r="E18" s="623">
        <f ca="1">INDIRECT("'"&amp; $A18 &amp; "'!" &amp;E$54)</f>
        <v>92514.814817027102</v>
      </c>
      <c r="F18" s="183">
        <f t="shared" ref="F18:F45" ca="1" si="1">INDIRECT("'"&amp; $A18 &amp; "'!" &amp;F$54)</f>
        <v>0</v>
      </c>
      <c r="G18" s="183">
        <f t="shared" ref="G18:G27" ca="1" si="2">+E18+F18</f>
        <v>92514.814817027102</v>
      </c>
      <c r="H18" s="184"/>
      <c r="I18" s="185">
        <f t="shared" ref="I18:I45" ca="1" si="3">INDIRECT("'"&amp; $A18 &amp; "'!" &amp;I$54)</f>
        <v>-7367.2732566262857</v>
      </c>
      <c r="J18" s="186">
        <v>104140.02273549864</v>
      </c>
      <c r="K18" s="186">
        <v>97486.366827498205</v>
      </c>
      <c r="L18" s="182">
        <f t="shared" ref="L18:L27" si="4">+J18-K18</f>
        <v>6653.6559080004372</v>
      </c>
      <c r="M18" s="182"/>
      <c r="N18" s="183">
        <v>0</v>
      </c>
      <c r="O18" s="183">
        <v>0</v>
      </c>
      <c r="P18" s="183">
        <f t="shared" ref="P18:P26" si="5">+N18-O18</f>
        <v>0</v>
      </c>
      <c r="Q18" s="626">
        <f t="shared" ref="Q18:Q45" ca="1" si="6">+V18/$V$47 * $Q$47</f>
        <v>-73.380176948478919</v>
      </c>
      <c r="R18" s="187">
        <f t="shared" ref="R18:R27" ca="1" si="7">I18+L18+P18+Q18</f>
        <v>-786.99752557432748</v>
      </c>
      <c r="S18" s="187"/>
      <c r="T18" s="188">
        <f t="shared" ref="T18:T27" ca="1" si="8">+G18+R18</f>
        <v>91727.817291452768</v>
      </c>
      <c r="V18" s="189">
        <f t="shared" ref="V18:V27" ca="1" si="9">+I18+L18+P18</f>
        <v>-713.61734862584854</v>
      </c>
      <c r="W18" s="159" t="str">
        <f>A18</f>
        <v>P.001</v>
      </c>
    </row>
    <row r="19" spans="1:23" ht="13">
      <c r="A19" s="156" t="s">
        <v>180</v>
      </c>
      <c r="B19" s="156" t="s">
        <v>117</v>
      </c>
      <c r="C19" s="180" t="str">
        <f t="shared" ca="1" si="0"/>
        <v>Craig Jct. to Broken Bow Dam 138 Rebuild (7.7mi)</v>
      </c>
      <c r="D19" s="181">
        <f t="shared" ca="1" si="0"/>
        <v>2009</v>
      </c>
      <c r="E19" s="623">
        <f t="shared" ca="1" si="0"/>
        <v>480370.47549623175</v>
      </c>
      <c r="F19" s="183">
        <f t="shared" ca="1" si="1"/>
        <v>0</v>
      </c>
      <c r="G19" s="183">
        <f t="shared" ca="1" si="2"/>
        <v>480370.47549623175</v>
      </c>
      <c r="H19" s="184"/>
      <c r="I19" s="185">
        <f t="shared" ca="1" si="3"/>
        <v>-34294.182709811721</v>
      </c>
      <c r="J19" s="186">
        <v>549327.19573966297</v>
      </c>
      <c r="K19" s="186">
        <v>514229.89073290478</v>
      </c>
      <c r="L19" s="182">
        <f t="shared" si="4"/>
        <v>35097.305006758193</v>
      </c>
      <c r="M19" s="182"/>
      <c r="N19" s="183">
        <v>0</v>
      </c>
      <c r="O19" s="183">
        <v>0</v>
      </c>
      <c r="P19" s="183">
        <f t="shared" si="5"/>
        <v>0</v>
      </c>
      <c r="Q19" s="626">
        <f t="shared" ca="1" si="6"/>
        <v>82.583833443348425</v>
      </c>
      <c r="R19" s="187">
        <f t="shared" ca="1" si="7"/>
        <v>885.70613038982094</v>
      </c>
      <c r="S19" s="187"/>
      <c r="T19" s="190">
        <f t="shared" ca="1" si="8"/>
        <v>481256.18162662158</v>
      </c>
      <c r="V19" s="189">
        <f t="shared" ca="1" si="9"/>
        <v>803.12229694647249</v>
      </c>
      <c r="W19" s="159" t="str">
        <f t="shared" ref="W19:W25" si="10">A19</f>
        <v>P.002</v>
      </c>
    </row>
    <row r="20" spans="1:23" ht="25">
      <c r="A20" s="156" t="s">
        <v>181</v>
      </c>
      <c r="B20" s="156" t="s">
        <v>117</v>
      </c>
      <c r="C20" s="191" t="str">
        <f t="shared" ca="1" si="0"/>
        <v>WFEC New 138 kV Ties: Sayre to Erick (WFEC) Line &amp; Atoka and Tupelo station work</v>
      </c>
      <c r="D20" s="181">
        <f t="shared" ca="1" si="0"/>
        <v>2009</v>
      </c>
      <c r="E20" s="623">
        <f t="shared" ca="1" si="0"/>
        <v>1182049.5546801805</v>
      </c>
      <c r="F20" s="183">
        <f t="shared" ca="1" si="1"/>
        <v>0</v>
      </c>
      <c r="G20" s="183">
        <f t="shared" ca="1" si="2"/>
        <v>1182049.5546801805</v>
      </c>
      <c r="H20" s="184"/>
      <c r="I20" s="185">
        <f t="shared" ca="1" si="3"/>
        <v>-88974.403241892112</v>
      </c>
      <c r="J20" s="186">
        <v>1341548.1848883657</v>
      </c>
      <c r="K20" s="186">
        <v>1255834.7408945893</v>
      </c>
      <c r="L20" s="182">
        <f t="shared" si="4"/>
        <v>85713.443993776338</v>
      </c>
      <c r="M20" s="182"/>
      <c r="N20" s="183">
        <v>0</v>
      </c>
      <c r="O20" s="183">
        <v>0</v>
      </c>
      <c r="P20" s="183">
        <f t="shared" si="5"/>
        <v>0</v>
      </c>
      <c r="Q20" s="626">
        <f t="shared" ca="1" si="6"/>
        <v>-335.31943570219249</v>
      </c>
      <c r="R20" s="187">
        <f t="shared" ca="1" si="7"/>
        <v>-3596.2786838179668</v>
      </c>
      <c r="S20" s="187"/>
      <c r="T20" s="190">
        <f t="shared" ca="1" si="8"/>
        <v>1178453.2759963626</v>
      </c>
      <c r="V20" s="189">
        <f t="shared" ca="1" si="9"/>
        <v>-3260.9592481157742</v>
      </c>
      <c r="W20" s="159" t="str">
        <f t="shared" si="10"/>
        <v>P.003</v>
      </c>
    </row>
    <row r="21" spans="1:23" ht="25">
      <c r="A21" s="156" t="s">
        <v>182</v>
      </c>
      <c r="B21" s="156" t="s">
        <v>117</v>
      </c>
      <c r="C21" s="191" t="str">
        <f t="shared" ca="1" si="0"/>
        <v>Cache-Snyder to Altus Jct. 138 kV line (w/2 ring bus stations)</v>
      </c>
      <c r="D21" s="181">
        <f t="shared" ca="1" si="0"/>
        <v>2008</v>
      </c>
      <c r="E21" s="623">
        <f t="shared" ca="1" si="0"/>
        <v>1474606.7116279069</v>
      </c>
      <c r="F21" s="183">
        <f t="shared" ca="1" si="1"/>
        <v>0</v>
      </c>
      <c r="G21" s="183">
        <f t="shared" ca="1" si="2"/>
        <v>1474606.7116279069</v>
      </c>
      <c r="H21" s="184"/>
      <c r="I21" s="185">
        <f t="shared" ca="1" si="3"/>
        <v>-122596.60071252333</v>
      </c>
      <c r="J21" s="186">
        <v>1655501.4515661704</v>
      </c>
      <c r="K21" s="186">
        <v>1549729.0815918187</v>
      </c>
      <c r="L21" s="182">
        <f t="shared" si="4"/>
        <v>105772.36997435172</v>
      </c>
      <c r="M21" s="182"/>
      <c r="N21" s="183">
        <v>0</v>
      </c>
      <c r="O21" s="183">
        <v>0</v>
      </c>
      <c r="P21" s="183">
        <f t="shared" si="5"/>
        <v>0</v>
      </c>
      <c r="Q21" s="626">
        <f t="shared" ca="1" si="6"/>
        <v>-1730.009830851739</v>
      </c>
      <c r="R21" s="187">
        <f t="shared" ca="1" si="7"/>
        <v>-18554.24056902335</v>
      </c>
      <c r="S21" s="187"/>
      <c r="T21" s="190">
        <f t="shared" ca="1" si="8"/>
        <v>1456052.4710588835</v>
      </c>
      <c r="V21" s="189">
        <f t="shared" ca="1" si="9"/>
        <v>-16824.230738171609</v>
      </c>
      <c r="W21" s="159" t="str">
        <f t="shared" si="10"/>
        <v>P.004</v>
      </c>
    </row>
    <row r="22" spans="1:23" ht="13">
      <c r="A22" s="158" t="s">
        <v>183</v>
      </c>
      <c r="B22" s="156" t="s">
        <v>117</v>
      </c>
      <c r="C22" s="191" t="str">
        <f t="shared" ca="1" si="0"/>
        <v>Catoosa 138 kV Device (Cap. Bank)</v>
      </c>
      <c r="D22" s="181">
        <f t="shared" ca="1" si="0"/>
        <v>2006</v>
      </c>
      <c r="E22" s="623">
        <f t="shared" ca="1" si="0"/>
        <v>37540.281940264002</v>
      </c>
      <c r="F22" s="183">
        <f t="shared" ca="1" si="1"/>
        <v>0</v>
      </c>
      <c r="G22" s="183">
        <f t="shared" ca="1" si="2"/>
        <v>37540.281940264002</v>
      </c>
      <c r="H22" s="184"/>
      <c r="I22" s="185">
        <f t="shared" ca="1" si="3"/>
        <v>-2799.7470979012069</v>
      </c>
      <c r="J22" s="186">
        <v>42867.782089519125</v>
      </c>
      <c r="K22" s="186">
        <v>40128.897805930646</v>
      </c>
      <c r="L22" s="182">
        <f t="shared" si="4"/>
        <v>2738.8842835884789</v>
      </c>
      <c r="M22" s="182"/>
      <c r="N22" s="183">
        <v>0</v>
      </c>
      <c r="O22" s="183">
        <v>0</v>
      </c>
      <c r="P22" s="183">
        <f t="shared" si="5"/>
        <v>0</v>
      </c>
      <c r="Q22" s="626">
        <f t="shared" ca="1" si="6"/>
        <v>-6.2584298047832316</v>
      </c>
      <c r="R22" s="187">
        <f t="shared" ca="1" si="7"/>
        <v>-67.121244117511239</v>
      </c>
      <c r="S22" s="187"/>
      <c r="T22" s="190">
        <f t="shared" ca="1" si="8"/>
        <v>37473.160696146493</v>
      </c>
      <c r="V22" s="189">
        <f t="shared" ca="1" si="9"/>
        <v>-60.862814312728005</v>
      </c>
      <c r="W22" s="159" t="str">
        <f t="shared" si="10"/>
        <v>P.005</v>
      </c>
    </row>
    <row r="23" spans="1:23" ht="13">
      <c r="A23" s="156" t="s">
        <v>184</v>
      </c>
      <c r="B23" s="156" t="s">
        <v>117</v>
      </c>
      <c r="C23" s="191" t="str">
        <f t="shared" ca="1" si="0"/>
        <v>Pryor Junction 138/69 Upgrade Transf</v>
      </c>
      <c r="D23" s="181">
        <f t="shared" ca="1" si="0"/>
        <v>2008</v>
      </c>
      <c r="E23" s="623">
        <f t="shared" ca="1" si="0"/>
        <v>153220.62710843381</v>
      </c>
      <c r="F23" s="183">
        <f t="shared" ca="1" si="1"/>
        <v>0</v>
      </c>
      <c r="G23" s="183">
        <f t="shared" ca="1" si="2"/>
        <v>153220.62710843381</v>
      </c>
      <c r="H23" s="184"/>
      <c r="I23" s="185">
        <f t="shared" ca="1" si="3"/>
        <v>-11603.450483901543</v>
      </c>
      <c r="J23" s="186">
        <v>174059.75719074826</v>
      </c>
      <c r="K23" s="186">
        <v>162938.82883528934</v>
      </c>
      <c r="L23" s="182">
        <f t="shared" si="4"/>
        <v>11120.92835545892</v>
      </c>
      <c r="M23" s="182"/>
      <c r="N23" s="183">
        <v>0</v>
      </c>
      <c r="O23" s="183">
        <v>0</v>
      </c>
      <c r="P23" s="183">
        <f t="shared" si="5"/>
        <v>0</v>
      </c>
      <c r="Q23" s="626">
        <f t="shared" ca="1" si="6"/>
        <v>-49.617010061285086</v>
      </c>
      <c r="R23" s="187">
        <f t="shared" ca="1" si="7"/>
        <v>-532.13913850390759</v>
      </c>
      <c r="S23" s="187"/>
      <c r="T23" s="190">
        <f t="shared" ca="1" si="8"/>
        <v>152688.48796992991</v>
      </c>
      <c r="V23" s="189">
        <f t="shared" ca="1" si="9"/>
        <v>-482.52212844262249</v>
      </c>
      <c r="W23" s="159" t="str">
        <f t="shared" si="10"/>
        <v>P.006</v>
      </c>
    </row>
    <row r="24" spans="1:23" ht="13">
      <c r="A24" s="156" t="s">
        <v>185</v>
      </c>
      <c r="B24" s="156" t="s">
        <v>117</v>
      </c>
      <c r="C24" s="191" t="str">
        <f t="shared" ca="1" si="0"/>
        <v>Elk City - Elk City 69 kV line (CT Upgrades)*</v>
      </c>
      <c r="D24" s="181">
        <f t="shared" ca="1" si="0"/>
        <v>2007</v>
      </c>
      <c r="E24" s="623">
        <f t="shared" ca="1" si="0"/>
        <v>8467.8802590192263</v>
      </c>
      <c r="F24" s="183">
        <f t="shared" ca="1" si="1"/>
        <v>0</v>
      </c>
      <c r="G24" s="183">
        <f t="shared" ca="1" si="2"/>
        <v>8467.8802590192263</v>
      </c>
      <c r="H24" s="184"/>
      <c r="I24" s="185">
        <f t="shared" ca="1" si="3"/>
        <v>-659.10479740627852</v>
      </c>
      <c r="J24" s="186">
        <v>9587.8805673227471</v>
      </c>
      <c r="K24" s="186">
        <v>8975.2970811063205</v>
      </c>
      <c r="L24" s="182">
        <f t="shared" si="4"/>
        <v>612.58348621642654</v>
      </c>
      <c r="M24" s="182"/>
      <c r="N24" s="183">
        <v>0</v>
      </c>
      <c r="O24" s="183">
        <v>0</v>
      </c>
      <c r="P24" s="183">
        <f t="shared" si="5"/>
        <v>0</v>
      </c>
      <c r="Q24" s="626">
        <f t="shared" ca="1" si="6"/>
        <v>-4.7837150449889432</v>
      </c>
      <c r="R24" s="187">
        <f t="shared" ca="1" si="7"/>
        <v>-51.30502623484093</v>
      </c>
      <c r="S24" s="192" t="s">
        <v>224</v>
      </c>
      <c r="T24" s="190">
        <f t="shared" ca="1" si="8"/>
        <v>8416.5752327843857</v>
      </c>
      <c r="V24" s="189">
        <f t="shared" ca="1" si="9"/>
        <v>-46.521311189851986</v>
      </c>
      <c r="W24" s="159" t="str">
        <f t="shared" si="10"/>
        <v>P.007</v>
      </c>
    </row>
    <row r="25" spans="1:23" ht="25">
      <c r="A25" s="156" t="s">
        <v>186</v>
      </c>
      <c r="B25" s="156" t="s">
        <v>117</v>
      </c>
      <c r="C25" s="191" t="str">
        <f t="shared" ca="1" si="0"/>
        <v>Weleetka &amp; Okmulgee Wavetrap replacement 81-805*</v>
      </c>
      <c r="D25" s="181">
        <f t="shared" ca="1" si="0"/>
        <v>2006</v>
      </c>
      <c r="E25" s="623">
        <f t="shared" ca="1" si="0"/>
        <v>5441.6348487910545</v>
      </c>
      <c r="F25" s="183">
        <f t="shared" ca="1" si="1"/>
        <v>0</v>
      </c>
      <c r="G25" s="183">
        <f t="shared" ca="1" si="2"/>
        <v>5441.6348487910545</v>
      </c>
      <c r="H25" s="184"/>
      <c r="I25" s="185">
        <f t="shared" ca="1" si="3"/>
        <v>-351.17880343773959</v>
      </c>
      <c r="J25" s="186">
        <v>6325.7232782222345</v>
      </c>
      <c r="K25" s="186">
        <v>5921.5637153861471</v>
      </c>
      <c r="L25" s="182">
        <f t="shared" si="4"/>
        <v>404.15956283608739</v>
      </c>
      <c r="M25" s="182"/>
      <c r="N25" s="183">
        <v>0</v>
      </c>
      <c r="O25" s="183">
        <v>0</v>
      </c>
      <c r="P25" s="183">
        <f t="shared" si="5"/>
        <v>0</v>
      </c>
      <c r="Q25" s="626">
        <f t="shared" ca="1" si="6"/>
        <v>5.4479301925630459</v>
      </c>
      <c r="R25" s="187">
        <f t="shared" ca="1" si="7"/>
        <v>58.428689590910849</v>
      </c>
      <c r="S25" s="192" t="s">
        <v>224</v>
      </c>
      <c r="T25" s="190">
        <f t="shared" ca="1" si="8"/>
        <v>5500.0635383819654</v>
      </c>
      <c r="V25" s="189">
        <f ca="1">+I25+L25+P25</f>
        <v>52.9807593983478</v>
      </c>
      <c r="W25" s="159" t="str">
        <f t="shared" si="10"/>
        <v>P.008</v>
      </c>
    </row>
    <row r="26" spans="1:23" ht="13">
      <c r="A26" s="156" t="s">
        <v>187</v>
      </c>
      <c r="B26" s="156" t="s">
        <v>117</v>
      </c>
      <c r="C26" s="191" t="str">
        <f t="shared" ca="1" si="0"/>
        <v>Tulsa Southeast Upgrade (repl switches)*</v>
      </c>
      <c r="D26" s="181">
        <f t="shared" ca="1" si="0"/>
        <v>2007</v>
      </c>
      <c r="E26" s="623">
        <f t="shared" ca="1" si="0"/>
        <v>7184.4287124898146</v>
      </c>
      <c r="F26" s="183">
        <f t="shared" ca="1" si="1"/>
        <v>0</v>
      </c>
      <c r="G26" s="183">
        <f t="shared" ca="1" si="2"/>
        <v>7184.4287124898146</v>
      </c>
      <c r="H26" s="184"/>
      <c r="I26" s="185">
        <f t="shared" ca="1" si="3"/>
        <v>-469.17693178524951</v>
      </c>
      <c r="J26" s="186">
        <v>8325.8641677217802</v>
      </c>
      <c r="K26" s="186">
        <v>7793.9127252924554</v>
      </c>
      <c r="L26" s="182">
        <f t="shared" si="4"/>
        <v>531.95144242932474</v>
      </c>
      <c r="M26" s="182"/>
      <c r="N26" s="183">
        <v>0</v>
      </c>
      <c r="O26" s="183">
        <v>0</v>
      </c>
      <c r="P26" s="183">
        <f t="shared" si="5"/>
        <v>0</v>
      </c>
      <c r="Q26" s="626">
        <f t="shared" ca="1" si="6"/>
        <v>6.455006605131687</v>
      </c>
      <c r="R26" s="187">
        <f t="shared" ca="1" si="7"/>
        <v>69.229517249206921</v>
      </c>
      <c r="S26" s="192" t="s">
        <v>224</v>
      </c>
      <c r="T26" s="190">
        <f t="shared" ca="1" si="8"/>
        <v>7253.6582297390214</v>
      </c>
      <c r="V26" s="189">
        <f t="shared" ca="1" si="9"/>
        <v>62.774510644075235</v>
      </c>
      <c r="W26" s="159" t="str">
        <f t="shared" ref="W26:W31" si="11">A26</f>
        <v>P.009</v>
      </c>
    </row>
    <row r="27" spans="1:23" ht="13">
      <c r="A27" s="156" t="s">
        <v>222</v>
      </c>
      <c r="B27" s="156" t="s">
        <v>117</v>
      </c>
      <c r="C27" s="193" t="str">
        <f t="shared" ca="1" si="0"/>
        <v>Wavetrap Clinton City-Foss Tap 69kV Ckt 1*</v>
      </c>
      <c r="D27" s="181">
        <f t="shared" ca="1" si="0"/>
        <v>2010</v>
      </c>
      <c r="E27" s="623">
        <f t="shared" ca="1" si="0"/>
        <v>10113.720930232557</v>
      </c>
      <c r="F27" s="183">
        <f t="shared" ca="1" si="1"/>
        <v>0</v>
      </c>
      <c r="G27" s="183">
        <f t="shared" ca="1" si="2"/>
        <v>10113.720930232557</v>
      </c>
      <c r="H27" s="184"/>
      <c r="I27" s="185">
        <f t="shared" ca="1" si="3"/>
        <v>-733.02787286689454</v>
      </c>
      <c r="J27" s="186">
        <v>11525.066332708986</v>
      </c>
      <c r="K27" s="186">
        <v>10788.713260370097</v>
      </c>
      <c r="L27" s="182">
        <f t="shared" si="4"/>
        <v>736.35307233888852</v>
      </c>
      <c r="M27" s="182"/>
      <c r="N27" s="183">
        <v>0</v>
      </c>
      <c r="O27" s="183">
        <v>0</v>
      </c>
      <c r="P27" s="183">
        <f t="shared" ref="P27:P33" si="12">+N27-O27</f>
        <v>0</v>
      </c>
      <c r="Q27" s="626">
        <f t="shared" ca="1" si="6"/>
        <v>0.34192515935012524</v>
      </c>
      <c r="R27" s="187">
        <f t="shared" ca="1" si="7"/>
        <v>3.6671246313441084</v>
      </c>
      <c r="S27" s="187"/>
      <c r="T27" s="190">
        <f t="shared" ca="1" si="8"/>
        <v>10117.388054863901</v>
      </c>
      <c r="V27" s="189">
        <f t="shared" ca="1" si="9"/>
        <v>3.325199471993983</v>
      </c>
      <c r="W27" s="159" t="str">
        <f t="shared" si="11"/>
        <v>P.010</v>
      </c>
    </row>
    <row r="28" spans="1:23" ht="13">
      <c r="A28" s="158" t="s">
        <v>230</v>
      </c>
      <c r="B28" s="156" t="s">
        <v>117</v>
      </c>
      <c r="C28" s="193" t="str">
        <f t="shared" ca="1" si="0"/>
        <v>Bartlesville SE to Coffeyville T Rebuild</v>
      </c>
      <c r="D28" s="181">
        <f t="shared" ca="1" si="0"/>
        <v>2011</v>
      </c>
      <c r="E28" s="623">
        <f t="shared" ca="1" si="0"/>
        <v>149953.47953488372</v>
      </c>
      <c r="F28" s="183">
        <f t="shared" ca="1" si="1"/>
        <v>0</v>
      </c>
      <c r="G28" s="183">
        <f t="shared" ref="G28:G33" ca="1" si="13">+E28+F28</f>
        <v>149953.47953488372</v>
      </c>
      <c r="H28" s="184"/>
      <c r="I28" s="185">
        <f t="shared" ca="1" si="3"/>
        <v>-11228.828582319955</v>
      </c>
      <c r="J28" s="186">
        <v>169878.42093134424</v>
      </c>
      <c r="K28" s="186">
        <v>159024.64416635866</v>
      </c>
      <c r="L28" s="182">
        <f t="shared" ref="L28:L33" si="14">+J28-K28</f>
        <v>10853.776764985581</v>
      </c>
      <c r="M28" s="182"/>
      <c r="N28" s="183">
        <v>0</v>
      </c>
      <c r="O28" s="183">
        <v>0</v>
      </c>
      <c r="P28" s="183">
        <f t="shared" si="12"/>
        <v>0</v>
      </c>
      <c r="Q28" s="626">
        <f t="shared" ca="1" si="6"/>
        <v>-38.566002877929535</v>
      </c>
      <c r="R28" s="187">
        <f t="shared" ref="R28:R33" ca="1" si="15">I28+L28+P28+Q28</f>
        <v>-413.617820212303</v>
      </c>
      <c r="S28" s="187"/>
      <c r="T28" s="190">
        <f t="shared" ref="T28:T33" ca="1" si="16">+G28+R28</f>
        <v>149539.86171467142</v>
      </c>
      <c r="V28" s="189">
        <f t="shared" ref="V28:V33" ca="1" si="17">+I28+L28+P28</f>
        <v>-375.05181733437348</v>
      </c>
      <c r="W28" s="159" t="str">
        <f t="shared" si="11"/>
        <v>P.011</v>
      </c>
    </row>
    <row r="29" spans="1:23" ht="25">
      <c r="A29" s="158" t="s">
        <v>238</v>
      </c>
      <c r="B29" s="156" t="s">
        <v>117</v>
      </c>
      <c r="C29" s="193" t="str">
        <f t="shared" ca="1" si="0"/>
        <v>Canadian River - McAlester City 138 kV Line Conversion</v>
      </c>
      <c r="D29" s="181">
        <f t="shared" ca="1" si="0"/>
        <v>2012</v>
      </c>
      <c r="E29" s="623">
        <f t="shared" ca="1" si="0"/>
        <v>365431.30558139534</v>
      </c>
      <c r="F29" s="183">
        <f t="shared" ca="1" si="1"/>
        <v>0</v>
      </c>
      <c r="G29" s="183">
        <f t="shared" ca="1" si="13"/>
        <v>365431.30558139534</v>
      </c>
      <c r="H29" s="184"/>
      <c r="I29" s="185">
        <f t="shared" ca="1" si="3"/>
        <v>-28557.845503554447</v>
      </c>
      <c r="J29" s="186">
        <v>410510.03983753175</v>
      </c>
      <c r="K29" s="186">
        <v>384281.96267649776</v>
      </c>
      <c r="L29" s="182">
        <f t="shared" si="14"/>
        <v>26228.077161033987</v>
      </c>
      <c r="M29" s="182"/>
      <c r="N29" s="183">
        <v>0</v>
      </c>
      <c r="O29" s="183">
        <v>0</v>
      </c>
      <c r="P29" s="183">
        <f t="shared" si="12"/>
        <v>0</v>
      </c>
      <c r="Q29" s="626">
        <f t="shared" ca="1" si="6"/>
        <v>-239.56650374646361</v>
      </c>
      <c r="R29" s="187">
        <f t="shared" ca="1" si="15"/>
        <v>-2569.3348462669233</v>
      </c>
      <c r="S29" s="187"/>
      <c r="T29" s="190">
        <f t="shared" ca="1" si="16"/>
        <v>362861.97073512845</v>
      </c>
      <c r="V29" s="189">
        <f t="shared" ca="1" si="17"/>
        <v>-2329.7683425204596</v>
      </c>
      <c r="W29" s="159" t="str">
        <f t="shared" si="11"/>
        <v>P.012</v>
      </c>
    </row>
    <row r="30" spans="1:23" ht="15.75" customHeight="1">
      <c r="A30" s="158" t="s">
        <v>240</v>
      </c>
      <c r="B30" s="156" t="s">
        <v>117</v>
      </c>
      <c r="C30" s="193" t="str">
        <f t="shared" ca="1" si="0"/>
        <v>CoffeyvilleT to Dearing 138 kv Rebuild - 1.1 mi*</v>
      </c>
      <c r="D30" s="181">
        <f t="shared" ca="1" si="0"/>
        <v>2010</v>
      </c>
      <c r="E30" s="623">
        <f t="shared" ca="1" si="0"/>
        <v>2413.8837209302328</v>
      </c>
      <c r="F30" s="183">
        <f t="shared" ca="1" si="1"/>
        <v>0</v>
      </c>
      <c r="G30" s="183">
        <f t="shared" ca="1" si="13"/>
        <v>2413.8837209302328</v>
      </c>
      <c r="H30" s="184"/>
      <c r="I30" s="185">
        <f t="shared" ca="1" si="3"/>
        <v>-182.53227298117235</v>
      </c>
      <c r="J30" s="186">
        <v>2725.0345759896641</v>
      </c>
      <c r="K30" s="186">
        <v>2550.9281956589193</v>
      </c>
      <c r="L30" s="182">
        <f t="shared" si="14"/>
        <v>174.10638033074474</v>
      </c>
      <c r="M30" s="182"/>
      <c r="N30" s="183">
        <v>0</v>
      </c>
      <c r="O30" s="183">
        <v>0</v>
      </c>
      <c r="P30" s="183">
        <f t="shared" si="12"/>
        <v>0</v>
      </c>
      <c r="Q30" s="626">
        <f t="shared" ca="1" si="6"/>
        <v>-0.86642161212568725</v>
      </c>
      <c r="R30" s="187">
        <f t="shared" ca="1" si="15"/>
        <v>-9.2923142625533011</v>
      </c>
      <c r="S30" s="187"/>
      <c r="T30" s="190">
        <f t="shared" ca="1" si="16"/>
        <v>2404.5914066676796</v>
      </c>
      <c r="V30" s="189">
        <f t="shared" ca="1" si="17"/>
        <v>-8.4258926504276133</v>
      </c>
      <c r="W30" s="159" t="str">
        <f t="shared" si="11"/>
        <v>P.013</v>
      </c>
    </row>
    <row r="31" spans="1:23" ht="15.75" customHeight="1">
      <c r="A31" s="194" t="s">
        <v>243</v>
      </c>
      <c r="B31" s="156" t="s">
        <v>117</v>
      </c>
      <c r="C31" s="193" t="str">
        <f t="shared" ca="1" si="0"/>
        <v>Ashdown West - Craig Junction</v>
      </c>
      <c r="D31" s="181">
        <f t="shared" ca="1" si="0"/>
        <v>2013</v>
      </c>
      <c r="E31" s="623">
        <f t="shared" ca="1" si="0"/>
        <v>106280.60465116279</v>
      </c>
      <c r="F31" s="183">
        <f t="shared" ca="1" si="1"/>
        <v>0</v>
      </c>
      <c r="G31" s="183">
        <f t="shared" ca="1" si="13"/>
        <v>106280.60465116279</v>
      </c>
      <c r="H31" s="184"/>
      <c r="I31" s="185">
        <f t="shared" ca="1" si="3"/>
        <v>94.910251959823654</v>
      </c>
      <c r="J31" s="186">
        <v>136810.41156364037</v>
      </c>
      <c r="K31" s="186">
        <v>128069.39750136773</v>
      </c>
      <c r="L31" s="182">
        <f t="shared" si="14"/>
        <v>8741.0140622726467</v>
      </c>
      <c r="M31" s="182"/>
      <c r="N31" s="183">
        <v>0</v>
      </c>
      <c r="O31" s="183">
        <v>0</v>
      </c>
      <c r="P31" s="183">
        <f t="shared" si="12"/>
        <v>0</v>
      </c>
      <c r="Q31" s="626">
        <f t="shared" ca="1" si="6"/>
        <v>908.58453894132288</v>
      </c>
      <c r="R31" s="187">
        <f t="shared" ca="1" si="15"/>
        <v>9744.5088531737929</v>
      </c>
      <c r="S31" s="187"/>
      <c r="T31" s="190">
        <f t="shared" ca="1" si="16"/>
        <v>116025.11350433659</v>
      </c>
      <c r="V31" s="189">
        <f t="shared" ca="1" si="17"/>
        <v>8835.9243142324704</v>
      </c>
      <c r="W31" s="159" t="str">
        <f t="shared" si="11"/>
        <v>P.014</v>
      </c>
    </row>
    <row r="32" spans="1:23" ht="25.5" customHeight="1">
      <c r="A32" s="194" t="s">
        <v>256</v>
      </c>
      <c r="B32" s="156" t="s">
        <v>117</v>
      </c>
      <c r="C32" s="193" t="str">
        <f t="shared" ca="1" si="0"/>
        <v>Locust Grove to Lone Star 115 kV Rebuild 2.1 miles</v>
      </c>
      <c r="D32" s="181">
        <f t="shared" ca="1" si="0"/>
        <v>2014</v>
      </c>
      <c r="E32" s="623">
        <f t="shared" ca="1" si="0"/>
        <v>253094.17604651162</v>
      </c>
      <c r="F32" s="183">
        <f t="shared" ca="1" si="1"/>
        <v>0</v>
      </c>
      <c r="G32" s="183">
        <f t="shared" ca="1" si="13"/>
        <v>253094.17604651162</v>
      </c>
      <c r="H32" s="184"/>
      <c r="I32" s="185">
        <f t="shared" ca="1" si="3"/>
        <v>-19095.754775405047</v>
      </c>
      <c r="J32" s="186">
        <v>285361.49758524634</v>
      </c>
      <c r="K32" s="186">
        <v>267129.34087498364</v>
      </c>
      <c r="L32" s="182">
        <f t="shared" si="14"/>
        <v>18232.156710262701</v>
      </c>
      <c r="M32" s="182"/>
      <c r="N32" s="183">
        <v>0</v>
      </c>
      <c r="O32" s="183">
        <v>0</v>
      </c>
      <c r="P32" s="183">
        <f t="shared" si="12"/>
        <v>0</v>
      </c>
      <c r="Q32" s="626">
        <f t="shared" ca="1" si="6"/>
        <v>-88.802463889838648</v>
      </c>
      <c r="R32" s="187">
        <f t="shared" ca="1" si="15"/>
        <v>-952.40052903218384</v>
      </c>
      <c r="S32" s="187"/>
      <c r="T32" s="190">
        <f t="shared" ca="1" si="16"/>
        <v>252141.77551747943</v>
      </c>
      <c r="V32" s="189">
        <f t="shared" ca="1" si="17"/>
        <v>-863.59806514234515</v>
      </c>
      <c r="W32" s="159" t="str">
        <f t="shared" ref="W32:W39" si="18">A32</f>
        <v>P.015</v>
      </c>
    </row>
    <row r="33" spans="1:23" ht="15.75" customHeight="1">
      <c r="A33" s="194" t="s">
        <v>257</v>
      </c>
      <c r="B33" s="156" t="s">
        <v>117</v>
      </c>
      <c r="C33" s="193" t="str">
        <f t="shared" ca="1" si="0"/>
        <v>Cornville Station Conversion</v>
      </c>
      <c r="D33" s="181">
        <f t="shared" ca="1" si="0"/>
        <v>2014</v>
      </c>
      <c r="E33" s="623">
        <f t="shared" ca="1" si="0"/>
        <v>578359.62790697673</v>
      </c>
      <c r="F33" s="183">
        <f t="shared" ca="1" si="1"/>
        <v>0</v>
      </c>
      <c r="G33" s="183">
        <f t="shared" ca="1" si="13"/>
        <v>578359.62790697673</v>
      </c>
      <c r="H33" s="184"/>
      <c r="I33" s="185">
        <f t="shared" ca="1" si="3"/>
        <v>-43371.710514863022</v>
      </c>
      <c r="J33" s="186">
        <v>651979.81688763353</v>
      </c>
      <c r="K33" s="186">
        <v>610323.88820064359</v>
      </c>
      <c r="L33" s="182">
        <f t="shared" si="14"/>
        <v>41655.928686989937</v>
      </c>
      <c r="M33" s="182"/>
      <c r="N33" s="183">
        <v>0</v>
      </c>
      <c r="O33" s="183">
        <v>0</v>
      </c>
      <c r="P33" s="183">
        <f t="shared" si="12"/>
        <v>0</v>
      </c>
      <c r="Q33" s="626">
        <f t="shared" ca="1" si="6"/>
        <v>-176.43121257737744</v>
      </c>
      <c r="R33" s="187">
        <f t="shared" ca="1" si="15"/>
        <v>-1892.2130404504621</v>
      </c>
      <c r="S33" s="187"/>
      <c r="T33" s="190">
        <f t="shared" ca="1" si="16"/>
        <v>576467.41486652626</v>
      </c>
      <c r="V33" s="189">
        <f t="shared" ca="1" si="17"/>
        <v>-1715.7818278730847</v>
      </c>
      <c r="W33" s="159" t="str">
        <f t="shared" si="18"/>
        <v>P.016</v>
      </c>
    </row>
    <row r="34" spans="1:23" ht="13">
      <c r="A34" s="194" t="s">
        <v>267</v>
      </c>
      <c r="B34" s="156" t="s">
        <v>117</v>
      </c>
      <c r="C34" s="193" t="str">
        <f t="shared" ca="1" si="0"/>
        <v>Grady Customer Connection</v>
      </c>
      <c r="D34" s="181">
        <f t="shared" ca="1" si="0"/>
        <v>2015</v>
      </c>
      <c r="E34" s="623">
        <f t="shared" ca="1" si="0"/>
        <v>196932.37209302327</v>
      </c>
      <c r="F34" s="183">
        <f t="shared" ca="1" si="1"/>
        <v>0</v>
      </c>
      <c r="G34" s="183">
        <f t="shared" ref="G34:G39" ca="1" si="19">+E34+F34</f>
        <v>196932.37209302327</v>
      </c>
      <c r="H34" s="184"/>
      <c r="I34" s="185">
        <f t="shared" ca="1" si="3"/>
        <v>-14772.082932603545</v>
      </c>
      <c r="J34" s="186">
        <v>221609.92065837808</v>
      </c>
      <c r="K34" s="186">
        <v>207450.94393522912</v>
      </c>
      <c r="L34" s="182">
        <f t="shared" ref="L34:L39" si="20">+J34-K34</f>
        <v>14158.976723148953</v>
      </c>
      <c r="M34" s="182"/>
      <c r="N34" s="183">
        <v>0</v>
      </c>
      <c r="O34" s="183">
        <v>0</v>
      </c>
      <c r="P34" s="183">
        <f t="shared" ref="P34:P39" si="21">+N34-O34</f>
        <v>0</v>
      </c>
      <c r="Q34" s="626">
        <f t="shared" ca="1" si="6"/>
        <v>-63.044770736897341</v>
      </c>
      <c r="R34" s="187">
        <f t="shared" ref="R34:R39" ca="1" si="22">I34+L34+P34+Q34</f>
        <v>-676.15098019148968</v>
      </c>
      <c r="S34" s="187"/>
      <c r="T34" s="190">
        <f t="shared" ref="T34:T39" ca="1" si="23">+G34+R34</f>
        <v>196256.22111283179</v>
      </c>
      <c r="U34" s="195"/>
      <c r="V34" s="189">
        <f t="shared" ref="V34:V39" ca="1" si="24">+I34+L34+P34</f>
        <v>-613.10620945459232</v>
      </c>
      <c r="W34" s="159" t="str">
        <f t="shared" si="18"/>
        <v>P.017</v>
      </c>
    </row>
    <row r="35" spans="1:23" ht="13">
      <c r="A35" s="194" t="s">
        <v>268</v>
      </c>
      <c r="B35" s="156" t="s">
        <v>117</v>
      </c>
      <c r="C35" s="193" t="str">
        <f t="shared" ca="1" si="0"/>
        <v>Darlington-Red Rock 138 kV line</v>
      </c>
      <c r="D35" s="181">
        <f t="shared" ca="1" si="0"/>
        <v>2014</v>
      </c>
      <c r="E35" s="623">
        <f t="shared" ca="1" si="0"/>
        <v>195063.32209302325</v>
      </c>
      <c r="F35" s="183">
        <f t="shared" ca="1" si="1"/>
        <v>0</v>
      </c>
      <c r="G35" s="196">
        <f t="shared" ca="1" si="19"/>
        <v>195063.32209302325</v>
      </c>
      <c r="H35" s="197"/>
      <c r="I35" s="185">
        <f t="shared" ca="1" si="3"/>
        <v>-12456.192498255317</v>
      </c>
      <c r="J35" s="186">
        <v>224544.32583524351</v>
      </c>
      <c r="K35" s="186">
        <v>210197.86574279374</v>
      </c>
      <c r="L35" s="198">
        <f t="shared" si="20"/>
        <v>14346.460092449764</v>
      </c>
      <c r="M35" s="198"/>
      <c r="N35" s="196">
        <v>0</v>
      </c>
      <c r="O35" s="196">
        <v>0</v>
      </c>
      <c r="P35" s="196">
        <f t="shared" si="21"/>
        <v>0</v>
      </c>
      <c r="Q35" s="626">
        <f t="shared" ca="1" si="6"/>
        <v>194.37331618837808</v>
      </c>
      <c r="R35" s="199">
        <f t="shared" ca="1" si="22"/>
        <v>2084.640910382825</v>
      </c>
      <c r="S35" s="199"/>
      <c r="T35" s="200">
        <f t="shared" ca="1" si="23"/>
        <v>197147.96300340607</v>
      </c>
      <c r="U35" s="195"/>
      <c r="V35" s="189">
        <f t="shared" ca="1" si="24"/>
        <v>1890.2675941944472</v>
      </c>
      <c r="W35" s="159" t="str">
        <f t="shared" si="18"/>
        <v>P.018</v>
      </c>
    </row>
    <row r="36" spans="1:23" ht="13">
      <c r="A36" s="194" t="s">
        <v>275</v>
      </c>
      <c r="B36" s="156" t="s">
        <v>117</v>
      </c>
      <c r="C36" s="193" t="str">
        <f t="shared" ca="1" si="0"/>
        <v>Valliant-NW Texarkana 345 kV</v>
      </c>
      <c r="D36" s="181">
        <f t="shared" ca="1" si="0"/>
        <v>2017</v>
      </c>
      <c r="E36" s="623">
        <f t="shared" ca="1" si="0"/>
        <v>161222.32913848371</v>
      </c>
      <c r="F36" s="183">
        <f t="shared" ca="1" si="1"/>
        <v>0</v>
      </c>
      <c r="G36" s="196">
        <f t="shared" ca="1" si="19"/>
        <v>161222.32913848371</v>
      </c>
      <c r="H36" s="197"/>
      <c r="I36" s="185">
        <f t="shared" ca="1" si="3"/>
        <v>-11771.742549958639</v>
      </c>
      <c r="J36" s="186">
        <v>176159.72295937917</v>
      </c>
      <c r="K36" s="186">
        <v>164904.62476915328</v>
      </c>
      <c r="L36" s="198">
        <f t="shared" si="20"/>
        <v>11255.098190225894</v>
      </c>
      <c r="M36" s="198"/>
      <c r="N36" s="196">
        <v>0</v>
      </c>
      <c r="O36" s="196">
        <v>0</v>
      </c>
      <c r="P36" s="196">
        <f t="shared" si="21"/>
        <v>0</v>
      </c>
      <c r="Q36" s="626">
        <f t="shared" ca="1" si="6"/>
        <v>-53.125746745963035</v>
      </c>
      <c r="R36" s="199">
        <f t="shared" ca="1" si="22"/>
        <v>-569.77010647870827</v>
      </c>
      <c r="S36" s="199"/>
      <c r="T36" s="200">
        <f t="shared" ca="1" si="23"/>
        <v>160652.559032005</v>
      </c>
      <c r="U36" s="195"/>
      <c r="V36" s="189">
        <f t="shared" ca="1" si="24"/>
        <v>-516.64435973274522</v>
      </c>
      <c r="W36" s="159" t="str">
        <f t="shared" si="18"/>
        <v>P.019</v>
      </c>
    </row>
    <row r="37" spans="1:23" ht="13">
      <c r="A37" s="194" t="s">
        <v>276</v>
      </c>
      <c r="B37" s="156" t="s">
        <v>117</v>
      </c>
      <c r="C37" s="193" t="str">
        <f t="shared" ca="1" si="0"/>
        <v>Sayre 138 kV Capacitor Bank Addition</v>
      </c>
      <c r="D37" s="181">
        <f t="shared" ca="1" si="0"/>
        <v>2018</v>
      </c>
      <c r="E37" s="623">
        <f t="shared" ca="1" si="0"/>
        <v>245473.68855677257</v>
      </c>
      <c r="F37" s="183">
        <f t="shared" ca="1" si="1"/>
        <v>0</v>
      </c>
      <c r="G37" s="183">
        <f t="shared" ca="1" si="19"/>
        <v>245473.68855677257</v>
      </c>
      <c r="H37" s="184"/>
      <c r="I37" s="185">
        <f t="shared" ca="1" si="3"/>
        <v>94579.308716685337</v>
      </c>
      <c r="J37" s="186">
        <v>222659.5630904127</v>
      </c>
      <c r="K37" s="186">
        <v>208433.5232018664</v>
      </c>
      <c r="L37" s="198">
        <f t="shared" si="20"/>
        <v>14226.039888546307</v>
      </c>
      <c r="M37" s="198"/>
      <c r="N37" s="196">
        <v>0</v>
      </c>
      <c r="O37" s="196">
        <v>0</v>
      </c>
      <c r="P37" s="196">
        <f t="shared" si="21"/>
        <v>0</v>
      </c>
      <c r="Q37" s="626">
        <f t="shared" ca="1" si="6"/>
        <v>11188.287040620906</v>
      </c>
      <c r="R37" s="199">
        <f t="shared" ca="1" si="22"/>
        <v>119993.63564585256</v>
      </c>
      <c r="S37" s="199"/>
      <c r="T37" s="200">
        <f t="shared" ca="1" si="23"/>
        <v>365467.32420262514</v>
      </c>
      <c r="U37" s="195"/>
      <c r="V37" s="189">
        <f t="shared" ca="1" si="24"/>
        <v>108805.34860523164</v>
      </c>
      <c r="W37" s="159" t="str">
        <f t="shared" si="18"/>
        <v>P.020</v>
      </c>
    </row>
    <row r="38" spans="1:23" ht="13">
      <c r="A38" s="194" t="s">
        <v>277</v>
      </c>
      <c r="B38" s="156" t="s">
        <v>117</v>
      </c>
      <c r="C38" s="193" t="str">
        <f t="shared" ca="1" si="0"/>
        <v>Darlington-Roman Nose 138 kV</v>
      </c>
      <c r="D38" s="181">
        <f t="shared" ca="1" si="0"/>
        <v>2017</v>
      </c>
      <c r="E38" s="623">
        <f t="shared" ca="1" si="0"/>
        <v>40464.576318636115</v>
      </c>
      <c r="F38" s="183">
        <f t="shared" ca="1" si="1"/>
        <v>0</v>
      </c>
      <c r="G38" s="183">
        <f t="shared" ca="1" si="19"/>
        <v>40464.576318636115</v>
      </c>
      <c r="H38" s="184"/>
      <c r="I38" s="185">
        <f t="shared" ca="1" si="3"/>
        <v>6137.0280425955862</v>
      </c>
      <c r="J38" s="186">
        <v>43053.940382115747</v>
      </c>
      <c r="K38" s="186">
        <v>40303.162177335173</v>
      </c>
      <c r="L38" s="198">
        <f t="shared" si="20"/>
        <v>2750.778204780574</v>
      </c>
      <c r="M38" s="198"/>
      <c r="N38" s="196">
        <v>0</v>
      </c>
      <c r="O38" s="196">
        <v>0</v>
      </c>
      <c r="P38" s="196">
        <f t="shared" si="21"/>
        <v>0</v>
      </c>
      <c r="Q38" s="626">
        <f t="shared" ca="1" si="6"/>
        <v>913.91947851621433</v>
      </c>
      <c r="R38" s="199">
        <f t="shared" ca="1" si="22"/>
        <v>9801.7257258923746</v>
      </c>
      <c r="S38" s="199"/>
      <c r="T38" s="200">
        <f t="shared" ca="1" si="23"/>
        <v>50266.302044528493</v>
      </c>
      <c r="U38" s="195"/>
      <c r="V38" s="189">
        <f t="shared" ca="1" si="24"/>
        <v>8887.8062473761602</v>
      </c>
      <c r="W38" s="159" t="str">
        <f t="shared" si="18"/>
        <v>P.021</v>
      </c>
    </row>
    <row r="39" spans="1:23" ht="13">
      <c r="A39" s="194" t="s">
        <v>278</v>
      </c>
      <c r="B39" s="156" t="s">
        <v>117</v>
      </c>
      <c r="C39" s="193" t="str">
        <f t="shared" ca="1" si="0"/>
        <v>Northeastern Station 138 kV Terminal Upgrades</v>
      </c>
      <c r="D39" s="181">
        <f t="shared" ca="1" si="0"/>
        <v>2018</v>
      </c>
      <c r="E39" s="623">
        <f t="shared" ca="1" si="0"/>
        <v>30100.568065113996</v>
      </c>
      <c r="F39" s="183">
        <f t="shared" ca="1" si="1"/>
        <v>0</v>
      </c>
      <c r="G39" s="183">
        <f t="shared" ca="1" si="19"/>
        <v>30100.568065113996</v>
      </c>
      <c r="H39" s="184"/>
      <c r="I39" s="185">
        <f t="shared" ca="1" si="3"/>
        <v>-2189.4796903248607</v>
      </c>
      <c r="J39" s="186">
        <v>32700.951777404996</v>
      </c>
      <c r="K39" s="186">
        <v>30611.640912324874</v>
      </c>
      <c r="L39" s="198">
        <f t="shared" si="20"/>
        <v>2089.3108650801223</v>
      </c>
      <c r="M39" s="198"/>
      <c r="N39" s="196">
        <v>0</v>
      </c>
      <c r="O39" s="196">
        <v>0</v>
      </c>
      <c r="P39" s="196">
        <f t="shared" si="21"/>
        <v>0</v>
      </c>
      <c r="Q39" s="626">
        <f t="shared" ca="1" si="6"/>
        <v>-10.300206595781631</v>
      </c>
      <c r="R39" s="199">
        <f t="shared" ca="1" si="22"/>
        <v>-110.46903184052003</v>
      </c>
      <c r="S39" s="199"/>
      <c r="T39" s="200">
        <f t="shared" ca="1" si="23"/>
        <v>29990.099033273476</v>
      </c>
      <c r="U39" s="195"/>
      <c r="V39" s="189">
        <f t="shared" ca="1" si="24"/>
        <v>-100.1688252447384</v>
      </c>
      <c r="W39" s="159" t="str">
        <f t="shared" si="18"/>
        <v>P.022</v>
      </c>
    </row>
    <row r="40" spans="1:23" ht="13">
      <c r="A40" s="194" t="s">
        <v>309</v>
      </c>
      <c r="B40" s="156" t="s">
        <v>117</v>
      </c>
      <c r="C40" s="193" t="str">
        <f t="shared" ca="1" si="0"/>
        <v>Elk City 138KV Move Load</v>
      </c>
      <c r="D40" s="181">
        <f t="shared" ca="1" si="0"/>
        <v>2018</v>
      </c>
      <c r="E40" s="623">
        <f t="shared" ca="1" si="0"/>
        <v>141993.72505975311</v>
      </c>
      <c r="F40" s="183">
        <f t="shared" ca="1" si="1"/>
        <v>0</v>
      </c>
      <c r="G40" s="183">
        <f t="shared" ref="G40:G45" ca="1" si="25">+E40+F40</f>
        <v>141993.72505975311</v>
      </c>
      <c r="H40" s="184"/>
      <c r="I40" s="185">
        <f t="shared" ca="1" si="3"/>
        <v>-126963.85396572924</v>
      </c>
      <c r="J40" s="186">
        <v>273320.66219595348</v>
      </c>
      <c r="K40" s="186">
        <v>255857.81178523629</v>
      </c>
      <c r="L40" s="198">
        <f t="shared" ref="L40:L45" si="26">+J40-K40</f>
        <v>17462.85041071719</v>
      </c>
      <c r="M40" s="198"/>
      <c r="N40" s="196">
        <v>0</v>
      </c>
      <c r="O40" s="196">
        <v>0</v>
      </c>
      <c r="P40" s="196">
        <f t="shared" ref="P40:P45" si="27">+N40-O40</f>
        <v>0</v>
      </c>
      <c r="Q40" s="626">
        <f t="shared" ca="1" si="6"/>
        <v>-11259.820171658524</v>
      </c>
      <c r="R40" s="199">
        <f t="shared" ref="R40:R45" ca="1" si="28">I40+L40+P40+Q40</f>
        <v>-120760.82372667058</v>
      </c>
      <c r="S40" s="199"/>
      <c r="T40" s="200">
        <f t="shared" ref="T40:T45" ca="1" si="29">+G40+R40</f>
        <v>21232.901333082526</v>
      </c>
      <c r="U40" s="195"/>
      <c r="V40" s="189">
        <f t="shared" ref="V40:V45" ca="1" si="30">+I40+L40+P40</f>
        <v>-109501.00355501205</v>
      </c>
      <c r="W40" s="159" t="str">
        <f>A40</f>
        <v>P.023</v>
      </c>
    </row>
    <row r="41" spans="1:23" ht="13">
      <c r="A41" s="194" t="s">
        <v>310</v>
      </c>
      <c r="B41" s="156" t="s">
        <v>117</v>
      </c>
      <c r="C41" s="193" t="str">
        <f t="shared" ca="1" si="0"/>
        <v>Duncan-Comanche Tap 69 KV Rebuild</v>
      </c>
      <c r="D41" s="181">
        <f t="shared" ca="1" si="0"/>
        <v>2018</v>
      </c>
      <c r="E41" s="623">
        <f t="shared" ca="1" si="0"/>
        <v>166475.36158990141</v>
      </c>
      <c r="F41" s="183">
        <f t="shared" ca="1" si="1"/>
        <v>0</v>
      </c>
      <c r="G41" s="183">
        <f t="shared" ca="1" si="25"/>
        <v>166475.36158990141</v>
      </c>
      <c r="H41" s="184"/>
      <c r="I41" s="185">
        <f t="shared" ca="1" si="3"/>
        <v>5304.7747554126836</v>
      </c>
      <c r="J41" s="186">
        <v>73419.565193351213</v>
      </c>
      <c r="K41" s="186">
        <v>68728.683523848318</v>
      </c>
      <c r="L41" s="198">
        <f t="shared" si="26"/>
        <v>4690.8816695028945</v>
      </c>
      <c r="M41" s="198"/>
      <c r="N41" s="196">
        <v>0</v>
      </c>
      <c r="O41" s="196">
        <v>0</v>
      </c>
      <c r="P41" s="196">
        <f t="shared" si="27"/>
        <v>0</v>
      </c>
      <c r="Q41" s="626">
        <f t="shared" ca="1" si="6"/>
        <v>1027.8380123309928</v>
      </c>
      <c r="R41" s="199">
        <f t="shared" ca="1" si="28"/>
        <v>11023.494437246571</v>
      </c>
      <c r="S41" s="199"/>
      <c r="T41" s="200">
        <f t="shared" ca="1" si="29"/>
        <v>177498.85602714799</v>
      </c>
      <c r="U41" s="195"/>
      <c r="V41" s="189">
        <f t="shared" ca="1" si="30"/>
        <v>9995.6564249155781</v>
      </c>
      <c r="W41" s="159" t="str">
        <f>A41</f>
        <v>P.024</v>
      </c>
    </row>
    <row r="42" spans="1:23" ht="13">
      <c r="A42" s="194" t="s">
        <v>322</v>
      </c>
      <c r="B42" s="156" t="s">
        <v>117</v>
      </c>
      <c r="C42" s="193" t="str">
        <f t="shared" ca="1" si="0"/>
        <v>Fort Towson-Valliant Line Rebuild</v>
      </c>
      <c r="D42" s="181">
        <f t="shared" ca="1" si="0"/>
        <v>2018</v>
      </c>
      <c r="E42" s="623">
        <f t="shared" ca="1" si="0"/>
        <v>34223.924690152948</v>
      </c>
      <c r="F42" s="183">
        <f t="shared" ca="1" si="1"/>
        <v>0</v>
      </c>
      <c r="G42" s="183">
        <f t="shared" ca="1" si="25"/>
        <v>34223.924690152948</v>
      </c>
      <c r="H42" s="197"/>
      <c r="I42" s="185">
        <f t="shared" ca="1" si="3"/>
        <v>-37314.454793177574</v>
      </c>
      <c r="J42" s="186">
        <v>162968.67771034624</v>
      </c>
      <c r="K42" s="186">
        <v>152556.37438273383</v>
      </c>
      <c r="L42" s="198">
        <f t="shared" si="26"/>
        <v>10412.303327612404</v>
      </c>
      <c r="M42" s="198"/>
      <c r="N42" s="196">
        <v>0</v>
      </c>
      <c r="O42" s="196">
        <v>0</v>
      </c>
      <c r="P42" s="196">
        <f t="shared" si="27"/>
        <v>0</v>
      </c>
      <c r="Q42" s="626">
        <f t="shared" ca="1" si="6"/>
        <v>-2766.3069551760173</v>
      </c>
      <c r="R42" s="199">
        <f t="shared" ca="1" si="28"/>
        <v>-29668.458420741186</v>
      </c>
      <c r="S42" s="199"/>
      <c r="T42" s="200">
        <f t="shared" ca="1" si="29"/>
        <v>4555.4662694117615</v>
      </c>
      <c r="U42" s="195"/>
      <c r="V42" s="189">
        <f t="shared" ca="1" si="30"/>
        <v>-26902.15146556517</v>
      </c>
      <c r="W42" s="159" t="str">
        <f>A42</f>
        <v>P.025</v>
      </c>
    </row>
    <row r="43" spans="1:23" ht="13">
      <c r="A43" s="194" t="s">
        <v>331</v>
      </c>
      <c r="B43" s="156" t="s">
        <v>117</v>
      </c>
      <c r="C43" s="619" t="str">
        <f t="shared" ca="1" si="0"/>
        <v>Tulsa Southeast - E. 61st St 138 kV Rebuild</v>
      </c>
      <c r="D43" s="181">
        <f t="shared" ca="1" si="0"/>
        <v>2019</v>
      </c>
      <c r="E43" s="623">
        <f t="shared" ca="1" si="0"/>
        <v>1203224.4158022963</v>
      </c>
      <c r="F43" s="183">
        <f t="shared" ca="1" si="1"/>
        <v>0</v>
      </c>
      <c r="G43" s="183">
        <f t="shared" ca="1" si="25"/>
        <v>1203224.4158022963</v>
      </c>
      <c r="H43" s="197"/>
      <c r="I43" s="185">
        <f t="shared" ca="1" si="3"/>
        <v>48910.93656576809</v>
      </c>
      <c r="J43" s="186">
        <v>280481.45781944925</v>
      </c>
      <c r="K43" s="186">
        <v>262561.0938721039</v>
      </c>
      <c r="L43" s="198">
        <f t="shared" si="26"/>
        <v>17920.363947345351</v>
      </c>
      <c r="M43" s="198"/>
      <c r="N43" s="196">
        <v>0</v>
      </c>
      <c r="O43" s="196">
        <v>0</v>
      </c>
      <c r="P43" s="196">
        <f t="shared" si="27"/>
        <v>0</v>
      </c>
      <c r="Q43" s="626">
        <f t="shared" ca="1" si="6"/>
        <v>6872.1600824203942</v>
      </c>
      <c r="R43" s="199">
        <f t="shared" ca="1" si="28"/>
        <v>73703.460595533834</v>
      </c>
      <c r="S43" s="199"/>
      <c r="T43" s="200">
        <f t="shared" ca="1" si="29"/>
        <v>1276927.87639783</v>
      </c>
      <c r="U43" s="195"/>
      <c r="V43" s="189">
        <f t="shared" ca="1" si="30"/>
        <v>66831.300513113441</v>
      </c>
      <c r="W43" s="159" t="str">
        <f>A43</f>
        <v>P.026</v>
      </c>
    </row>
    <row r="44" spans="1:23" ht="13">
      <c r="A44" s="194" t="s">
        <v>332</v>
      </c>
      <c r="B44" s="156" t="s">
        <v>117</v>
      </c>
      <c r="C44" s="620" t="str">
        <f t="shared" ca="1" si="0"/>
        <v>Broken Arrow North-Lynn Lane East 138 kV</v>
      </c>
      <c r="D44" s="181">
        <f t="shared" ca="1" si="0"/>
        <v>2019</v>
      </c>
      <c r="E44" s="623">
        <f t="shared" ca="1" si="0"/>
        <v>645841.5888943586</v>
      </c>
      <c r="F44" s="183">
        <f t="shared" ca="1" si="1"/>
        <v>0</v>
      </c>
      <c r="G44" s="183">
        <f t="shared" ca="1" si="25"/>
        <v>645841.5888943586</v>
      </c>
      <c r="H44" s="197"/>
      <c r="I44" s="185">
        <f t="shared" ca="1" si="3"/>
        <v>30789.624245765095</v>
      </c>
      <c r="J44" s="186">
        <v>230012.66047295602</v>
      </c>
      <c r="K44" s="186">
        <v>215316.8206116776</v>
      </c>
      <c r="L44" s="198">
        <f t="shared" si="26"/>
        <v>14695.839861278422</v>
      </c>
      <c r="M44" s="198"/>
      <c r="N44" s="196">
        <v>0</v>
      </c>
      <c r="O44" s="196">
        <v>0</v>
      </c>
      <c r="P44" s="196">
        <f t="shared" si="27"/>
        <v>0</v>
      </c>
      <c r="Q44" s="626">
        <f t="shared" ca="1" si="6"/>
        <v>4677.2004789201419</v>
      </c>
      <c r="R44" s="199">
        <f t="shared" ca="1" si="28"/>
        <v>50162.664585963663</v>
      </c>
      <c r="S44" s="199"/>
      <c r="T44" s="200">
        <f t="shared" ca="1" si="29"/>
        <v>696004.25348032231</v>
      </c>
      <c r="U44" s="195"/>
      <c r="V44" s="189">
        <f t="shared" ca="1" si="30"/>
        <v>45485.464107043517</v>
      </c>
      <c r="W44" s="159" t="str">
        <f>A44</f>
        <v>P.027</v>
      </c>
    </row>
    <row r="45" spans="1:23" ht="13">
      <c r="A45" s="194" t="s">
        <v>339</v>
      </c>
      <c r="B45" s="156" t="s">
        <v>117</v>
      </c>
      <c r="C45" s="622" t="str">
        <f t="shared" ca="1" si="0"/>
        <v>Keystone Dam - Wekiwa 138 kV</v>
      </c>
      <c r="D45" s="181">
        <f t="shared" ca="1" si="0"/>
        <v>2020</v>
      </c>
      <c r="E45" s="623">
        <f t="shared" ca="1" si="0"/>
        <v>302407.38707255269</v>
      </c>
      <c r="F45" s="183">
        <f t="shared" ca="1" si="1"/>
        <v>0</v>
      </c>
      <c r="G45" s="183">
        <f t="shared" ca="1" si="25"/>
        <v>302407.38707255269</v>
      </c>
      <c r="H45" s="197"/>
      <c r="I45" s="185">
        <f t="shared" ca="1" si="3"/>
        <v>0</v>
      </c>
      <c r="J45" s="186">
        <v>0</v>
      </c>
      <c r="K45" s="186">
        <v>0</v>
      </c>
      <c r="L45" s="198">
        <f t="shared" si="26"/>
        <v>0</v>
      </c>
      <c r="M45" s="198"/>
      <c r="N45" s="196">
        <v>0</v>
      </c>
      <c r="O45" s="196">
        <v>0</v>
      </c>
      <c r="P45" s="196">
        <f t="shared" si="27"/>
        <v>0</v>
      </c>
      <c r="Q45" s="626">
        <f t="shared" ca="1" si="6"/>
        <v>0</v>
      </c>
      <c r="R45" s="199">
        <f t="shared" ca="1" si="28"/>
        <v>0</v>
      </c>
      <c r="S45" s="199"/>
      <c r="T45" s="200">
        <f t="shared" ca="1" si="29"/>
        <v>302407.38707255269</v>
      </c>
      <c r="U45" s="195"/>
      <c r="V45" s="189">
        <f t="shared" ca="1" si="30"/>
        <v>0</v>
      </c>
      <c r="W45" s="159"/>
    </row>
    <row r="46" spans="1:23" ht="13">
      <c r="A46" s="159"/>
      <c r="B46" s="159"/>
      <c r="C46" s="159"/>
      <c r="D46" s="156"/>
      <c r="E46" s="199"/>
      <c r="F46" s="199"/>
      <c r="G46" s="199"/>
      <c r="H46" s="187"/>
      <c r="I46" s="199"/>
      <c r="J46" s="199"/>
      <c r="K46" s="201"/>
      <c r="L46" s="199"/>
      <c r="M46" s="199"/>
      <c r="N46" s="199"/>
      <c r="O46" s="199"/>
      <c r="P46" s="199"/>
      <c r="Q46" s="627"/>
      <c r="R46" s="199"/>
      <c r="S46" s="187"/>
      <c r="T46" s="200"/>
      <c r="V46" s="179"/>
    </row>
    <row r="47" spans="1:23" ht="13">
      <c r="A47" s="159"/>
      <c r="B47" s="159"/>
      <c r="C47" s="202" t="s">
        <v>177</v>
      </c>
      <c r="D47" s="156"/>
      <c r="E47" s="187">
        <f ca="1">SUM(E18:E46)</f>
        <v>8270466.4672365077</v>
      </c>
      <c r="F47" s="187">
        <f ca="1">SUM(F18:F46)</f>
        <v>0</v>
      </c>
      <c r="G47" s="187">
        <f ca="1">SUM(G18:G46)</f>
        <v>8270466.4672365077</v>
      </c>
      <c r="H47" s="187"/>
      <c r="I47" s="187">
        <f ca="1">SUM(I18:I46)</f>
        <v>-391936.04140913865</v>
      </c>
      <c r="J47" s="187">
        <f>SUM(J18:J46)</f>
        <v>7501405.5980323181</v>
      </c>
      <c r="K47" s="187">
        <v>7022130</v>
      </c>
      <c r="L47" s="187">
        <f>SUM(L18:L46)</f>
        <v>479275.59803231829</v>
      </c>
      <c r="M47" s="187">
        <f>SUM(M18:M42)</f>
        <v>0</v>
      </c>
      <c r="N47" s="187">
        <f>SUM(N18:N46)</f>
        <v>0</v>
      </c>
      <c r="O47" s="187">
        <f>SUM(O18:O46)</f>
        <v>0</v>
      </c>
      <c r="P47" s="187">
        <f>SUM(P18:P46)</f>
        <v>0</v>
      </c>
      <c r="Q47" s="626">
        <v>8980.9925893083564</v>
      </c>
      <c r="R47" s="187">
        <f ca="1">SUM(R18:R46)</f>
        <v>96320.549212488084</v>
      </c>
      <c r="S47" s="187">
        <f>SUM(S18:S42)</f>
        <v>0</v>
      </c>
      <c r="T47" s="190">
        <f ca="1">SUM(T18:T46)</f>
        <v>8366787.0164489942</v>
      </c>
      <c r="V47" s="190">
        <f ca="1">SUM(V18:V46)</f>
        <v>87339.556623179742</v>
      </c>
      <c r="W47" s="203" t="s">
        <v>270</v>
      </c>
    </row>
    <row r="48" spans="1:23" ht="13.5" thickBot="1">
      <c r="A48" s="159"/>
      <c r="B48" s="159"/>
      <c r="C48" s="204"/>
      <c r="D48" s="159"/>
      <c r="E48" s="205"/>
      <c r="F48" s="206" t="str">
        <f ca="1">IF(F47=PSO.WS.F.BPU.ATRR.Projected!O19,"","Error")</f>
        <v/>
      </c>
      <c r="G48" s="206"/>
      <c r="H48" s="159"/>
      <c r="I48" s="207" t="str">
        <f ca="1">IF(ROUND(I47,0)=ROUND('PSO.WS.G.BPU.ATRR.True-up'!N19,0),"","Error")</f>
        <v/>
      </c>
      <c r="J48" s="208"/>
      <c r="K48" s="209" t="str">
        <f>IF(K47=SUM(K18:K46),"","Error -- check allocations above).")</f>
        <v/>
      </c>
      <c r="L48" s="210"/>
      <c r="M48" s="210"/>
      <c r="N48" s="210"/>
      <c r="O48" s="210"/>
      <c r="P48" s="210"/>
      <c r="Q48" s="209" t="str">
        <f ca="1">IF(Q47=SUM(Q18:Q44),"","Error -- check allocations above).")</f>
        <v/>
      </c>
      <c r="R48" s="187"/>
      <c r="S48" s="187"/>
      <c r="T48" s="187"/>
      <c r="V48" s="211"/>
      <c r="W48" s="203"/>
    </row>
    <row r="49" spans="1:22" ht="12.5">
      <c r="A49" s="159"/>
      <c r="B49" s="159"/>
      <c r="C49" s="212" t="s">
        <v>217</v>
      </c>
      <c r="D49" s="159"/>
      <c r="E49" s="187"/>
      <c r="F49" s="187"/>
      <c r="G49" s="187"/>
      <c r="H49" s="159"/>
      <c r="I49" s="213"/>
      <c r="J49" s="213"/>
      <c r="K49" s="159"/>
      <c r="L49" s="159"/>
      <c r="M49" s="159"/>
      <c r="N49" s="210"/>
      <c r="O49" s="210"/>
      <c r="P49" s="210"/>
      <c r="Q49" s="210"/>
      <c r="R49" s="187"/>
      <c r="S49" s="187"/>
      <c r="T49" s="187"/>
    </row>
    <row r="50" spans="1:22" ht="12.5">
      <c r="A50" s="159"/>
      <c r="B50" s="159"/>
      <c r="C50" s="212"/>
      <c r="D50" s="159"/>
      <c r="E50" s="187"/>
      <c r="F50" s="187"/>
      <c r="G50" s="187"/>
      <c r="H50" s="159"/>
      <c r="I50" s="214"/>
      <c r="J50" s="215"/>
      <c r="K50" s="186"/>
      <c r="L50" s="159"/>
      <c r="M50" s="159"/>
      <c r="N50" s="210"/>
      <c r="O50" s="210"/>
      <c r="P50" s="210"/>
      <c r="Q50" s="210"/>
      <c r="R50" s="210"/>
      <c r="S50" s="159"/>
      <c r="T50" s="159"/>
    </row>
    <row r="51" spans="1:22" ht="12.5">
      <c r="E51" s="216"/>
      <c r="F51" s="216"/>
      <c r="G51" s="216"/>
      <c r="I51" s="216"/>
      <c r="J51" s="217"/>
      <c r="N51" s="218"/>
      <c r="O51" s="218"/>
      <c r="P51" s="218"/>
      <c r="Q51" s="219"/>
      <c r="R51" s="218"/>
    </row>
    <row r="52" spans="1:22" ht="12.5">
      <c r="E52" s="216"/>
      <c r="F52" s="216"/>
      <c r="G52" s="216"/>
    </row>
    <row r="53" spans="1:22" ht="12.5">
      <c r="A53" s="220" t="s">
        <v>188</v>
      </c>
      <c r="B53" s="221"/>
      <c r="C53" s="221"/>
      <c r="D53" s="221"/>
      <c r="E53" s="222"/>
      <c r="F53" s="222"/>
      <c r="G53" s="222"/>
      <c r="H53" s="221"/>
      <c r="I53" s="221"/>
      <c r="J53" s="221"/>
      <c r="K53" s="221"/>
      <c r="L53" s="221"/>
      <c r="M53" s="221"/>
      <c r="N53" s="221"/>
      <c r="O53" s="223"/>
      <c r="V53" s="148" t="s">
        <v>201</v>
      </c>
    </row>
    <row r="54" spans="1:22" ht="15.5">
      <c r="A54" s="224" t="s">
        <v>191</v>
      </c>
      <c r="B54" s="195"/>
      <c r="C54" s="225" t="str">
        <f ca="1">RIGHT(CELL("address",P.001!D7),4)</f>
        <v>$D$7</v>
      </c>
      <c r="D54" s="225" t="str">
        <f ca="1">RIGHT(CELL("address",P.001!D11),4)</f>
        <v>D$11</v>
      </c>
      <c r="E54" s="225" t="str">
        <f ca="1">RIGHT(CELL("address",P.001!N5),4)</f>
        <v>$N$5</v>
      </c>
      <c r="F54" s="225" t="str">
        <f ca="1">RIGHT(CELL("address",P.001!N7),4)</f>
        <v>$N$7</v>
      </c>
      <c r="G54" s="195"/>
      <c r="H54" s="226"/>
      <c r="I54" s="225" t="str">
        <f ca="1">RIGHT(CELL("address",P.001!M89),4)</f>
        <v>M$89</v>
      </c>
      <c r="J54" s="225"/>
      <c r="K54" s="195"/>
      <c r="L54" s="195"/>
      <c r="M54" s="195"/>
      <c r="N54" s="225" t="str">
        <f ca="1">RIGHT(CELL("address",P.001!N87),4)</f>
        <v>N$87</v>
      </c>
      <c r="O54" s="227" t="str">
        <f ca="1">RIGHT(CELL("address",P.001!N88),4)</f>
        <v>N$88</v>
      </c>
      <c r="P54" s="178" t="s">
        <v>190</v>
      </c>
      <c r="V54" s="148" t="s">
        <v>202</v>
      </c>
    </row>
    <row r="55" spans="1:22" ht="12.5">
      <c r="A55" s="228" t="s">
        <v>192</v>
      </c>
      <c r="B55" s="229"/>
      <c r="C55" s="229"/>
      <c r="D55" s="229"/>
      <c r="E55" s="230"/>
      <c r="F55" s="230"/>
      <c r="G55" s="230"/>
      <c r="H55" s="229"/>
      <c r="I55" s="229"/>
      <c r="J55" s="229"/>
      <c r="K55" s="229"/>
      <c r="L55" s="229"/>
      <c r="M55" s="229"/>
      <c r="N55" s="229"/>
      <c r="O55" s="231"/>
      <c r="V55" s="148" t="s">
        <v>203</v>
      </c>
    </row>
    <row r="56" spans="1:22" ht="12.5">
      <c r="E56" s="216"/>
      <c r="F56" s="216"/>
      <c r="G56" s="216"/>
      <c r="V56" s="148" t="s">
        <v>204</v>
      </c>
    </row>
    <row r="57" spans="1:22" ht="12.5">
      <c r="A57" s="232" t="s">
        <v>244</v>
      </c>
      <c r="B57" s="232" t="s">
        <v>245</v>
      </c>
      <c r="E57" s="216"/>
      <c r="F57" s="216"/>
      <c r="G57" s="216"/>
      <c r="V57" s="233" t="s">
        <v>225</v>
      </c>
    </row>
    <row r="58" spans="1:22" ht="12.5">
      <c r="B58" s="232" t="s">
        <v>248</v>
      </c>
      <c r="E58" s="216"/>
      <c r="F58" s="216"/>
      <c r="G58" s="216"/>
    </row>
    <row r="59" spans="1:22" ht="12.5">
      <c r="B59" s="232" t="s">
        <v>249</v>
      </c>
      <c r="E59" s="216"/>
      <c r="F59" s="216"/>
      <c r="G59" s="216"/>
    </row>
    <row r="60" spans="1:22" ht="12.5">
      <c r="B60" s="232" t="s">
        <v>246</v>
      </c>
      <c r="E60" s="216"/>
      <c r="F60" s="216"/>
      <c r="G60" s="216"/>
    </row>
    <row r="61" spans="1:22" ht="12.5">
      <c r="B61" s="232" t="s">
        <v>247</v>
      </c>
      <c r="E61" s="216"/>
      <c r="F61" s="216"/>
      <c r="G61" s="216"/>
      <c r="K61" s="234"/>
    </row>
    <row r="62" spans="1:22" ht="12.5">
      <c r="B62" s="232" t="s">
        <v>250</v>
      </c>
      <c r="E62" s="216"/>
      <c r="F62" s="216"/>
      <c r="G62" s="216"/>
    </row>
    <row r="65" spans="5:10" ht="12.75" customHeight="1">
      <c r="E65" s="160" t="s">
        <v>326</v>
      </c>
      <c r="F65" s="160" t="s">
        <v>327</v>
      </c>
      <c r="G65" s="160" t="s">
        <v>328</v>
      </c>
      <c r="H65" s="160"/>
      <c r="I65" s="235"/>
      <c r="J65" s="235"/>
    </row>
    <row r="67" spans="5:10" ht="12.75" customHeight="1">
      <c r="E67" s="214">
        <v>108452.59046922832</v>
      </c>
      <c r="F67" s="214">
        <v>118612.83535736376</v>
      </c>
      <c r="G67" s="236">
        <f t="shared" ref="G67:G91" si="31">+E67-F67</f>
        <v>-10160.244888135436</v>
      </c>
      <c r="H67" s="236"/>
      <c r="I67" s="237"/>
      <c r="J67" s="238"/>
    </row>
    <row r="68" spans="5:10" ht="12.75" customHeight="1">
      <c r="E68" s="214">
        <v>563423.59576338867</v>
      </c>
      <c r="F68" s="214">
        <v>616009.3144662733</v>
      </c>
      <c r="G68" s="236">
        <f t="shared" si="31"/>
        <v>-52585.718702884624</v>
      </c>
      <c r="H68" s="236"/>
      <c r="I68" s="237"/>
      <c r="J68" s="238"/>
    </row>
    <row r="69" spans="5:10" ht="12.75" customHeight="1">
      <c r="E69" s="214">
        <v>1385898.5101974602</v>
      </c>
      <c r="F69" s="214">
        <v>1515588.4402280932</v>
      </c>
      <c r="G69" s="236">
        <f t="shared" si="31"/>
        <v>-129689.930030633</v>
      </c>
      <c r="H69" s="236"/>
      <c r="I69" s="237"/>
      <c r="J69" s="238"/>
    </row>
    <row r="70" spans="5:10" ht="12.75" customHeight="1">
      <c r="E70" s="214">
        <v>1732706.9557914322</v>
      </c>
      <c r="F70" s="214">
        <v>1895603.111111111</v>
      </c>
      <c r="G70" s="236">
        <f t="shared" si="31"/>
        <v>-162896.15531967883</v>
      </c>
      <c r="H70" s="236"/>
      <c r="I70" s="237"/>
      <c r="J70" s="238"/>
    </row>
    <row r="71" spans="5:10" ht="12.75" customHeight="1">
      <c r="E71" s="214">
        <v>44166.093531237391</v>
      </c>
      <c r="F71" s="214">
        <v>48199.620253747162</v>
      </c>
      <c r="G71" s="236">
        <f t="shared" si="31"/>
        <v>-4033.5267225097705</v>
      </c>
      <c r="H71" s="236"/>
      <c r="I71" s="237"/>
      <c r="J71" s="238"/>
    </row>
    <row r="72" spans="5:10" ht="12.75" customHeight="1">
      <c r="E72" s="214">
        <v>179869.75016192306</v>
      </c>
      <c r="F72" s="214">
        <v>196553.85018087178</v>
      </c>
      <c r="G72" s="236">
        <f t="shared" si="31"/>
        <v>-16684.100018948724</v>
      </c>
      <c r="H72" s="236"/>
      <c r="I72" s="237"/>
      <c r="J72" s="238"/>
    </row>
    <row r="73" spans="5:10" ht="12.75" customHeight="1">
      <c r="E73" s="214">
        <v>9943.4463018575989</v>
      </c>
      <c r="F73" s="214">
        <v>10864.165928547483</v>
      </c>
      <c r="G73" s="236">
        <f t="shared" si="31"/>
        <v>-920.71962668988454</v>
      </c>
      <c r="H73" s="236"/>
      <c r="I73" s="237"/>
      <c r="J73" s="238"/>
    </row>
    <row r="74" spans="5:10" ht="12.75" customHeight="1">
      <c r="E74" s="214">
        <v>6401.6194166931018</v>
      </c>
      <c r="F74" s="214">
        <v>6986.5540517513546</v>
      </c>
      <c r="G74" s="236">
        <f t="shared" si="31"/>
        <v>-584.93463505825275</v>
      </c>
      <c r="H74" s="236"/>
      <c r="I74" s="237"/>
      <c r="J74" s="238"/>
    </row>
    <row r="75" spans="5:10" ht="12.75" customHeight="1">
      <c r="E75" s="214">
        <v>8441.9635566451543</v>
      </c>
      <c r="F75" s="214">
        <v>9219.7957260985368</v>
      </c>
      <c r="G75" s="236">
        <f t="shared" si="31"/>
        <v>-777.83216945338245</v>
      </c>
      <c r="H75" s="236"/>
      <c r="I75" s="237"/>
      <c r="J75" s="238"/>
    </row>
    <row r="76" spans="5:10" ht="12.75" customHeight="1">
      <c r="E76" s="214">
        <v>11848.855149661711</v>
      </c>
      <c r="F76" s="214">
        <v>12963.911111111111</v>
      </c>
      <c r="G76" s="236">
        <f t="shared" si="31"/>
        <v>-1115.0559614493995</v>
      </c>
      <c r="H76" s="236"/>
      <c r="I76" s="237"/>
      <c r="J76" s="238"/>
    </row>
    <row r="77" spans="5:10" ht="12.75" customHeight="1">
      <c r="E77" s="214">
        <v>175500.68121965264</v>
      </c>
      <c r="F77" s="214">
        <v>192128.21377777777</v>
      </c>
      <c r="G77" s="236">
        <f t="shared" si="31"/>
        <v>-16627.532558125124</v>
      </c>
      <c r="H77" s="236"/>
      <c r="I77" s="237"/>
      <c r="J77" s="238"/>
    </row>
    <row r="78" spans="5:10" ht="12.75" customHeight="1">
      <c r="E78" s="214">
        <v>426952.93022607185</v>
      </c>
      <c r="F78" s="214">
        <v>467887.49199999997</v>
      </c>
      <c r="G78" s="236">
        <f t="shared" si="31"/>
        <v>-40934.561773928115</v>
      </c>
      <c r="H78" s="236"/>
      <c r="I78" s="237"/>
      <c r="J78" s="238"/>
    </row>
    <row r="79" spans="5:10" ht="12.75" customHeight="1">
      <c r="E79" s="214">
        <v>2821.8344922068077</v>
      </c>
      <c r="F79" s="214">
        <v>3091.0444444444443</v>
      </c>
      <c r="G79" s="236">
        <f t="shared" si="31"/>
        <v>-269.20995223763657</v>
      </c>
      <c r="H79" s="236"/>
      <c r="I79" s="237"/>
      <c r="J79" s="238"/>
    </row>
    <row r="80" spans="5:10" ht="12.75" customHeight="1">
      <c r="E80" s="214">
        <v>124772.2053766459</v>
      </c>
      <c r="F80" s="214">
        <v>136430.26666666666</v>
      </c>
      <c r="G80" s="236">
        <f t="shared" si="31"/>
        <v>-11658.061290020763</v>
      </c>
      <c r="H80" s="236"/>
      <c r="I80" s="237"/>
      <c r="J80" s="238"/>
    </row>
    <row r="81" spans="5:10" ht="12.75" customHeight="1">
      <c r="E81" s="214">
        <v>295431.5183187396</v>
      </c>
      <c r="F81" s="214">
        <v>323935.0793333333</v>
      </c>
      <c r="G81" s="236">
        <f t="shared" si="31"/>
        <v>-28503.561014593695</v>
      </c>
      <c r="H81" s="236"/>
      <c r="I81" s="237"/>
      <c r="J81" s="238"/>
    </row>
    <row r="82" spans="5:10" ht="12.75" customHeight="1">
      <c r="E82" s="214">
        <v>674633.13832799566</v>
      </c>
      <c r="F82" s="214">
        <v>740035.4</v>
      </c>
      <c r="G82" s="236">
        <f t="shared" si="31"/>
        <v>-65402.261672004359</v>
      </c>
      <c r="H82" s="236"/>
      <c r="I82" s="237"/>
      <c r="J82" s="238"/>
    </row>
    <row r="83" spans="5:10" ht="12.75" customHeight="1">
      <c r="E83" s="214">
        <v>229518.46356971579</v>
      </c>
      <c r="F83" s="214">
        <v>251897.51111111112</v>
      </c>
      <c r="G83" s="236">
        <f t="shared" si="31"/>
        <v>-22379.047541395325</v>
      </c>
      <c r="H83" s="236"/>
      <c r="I83" s="237"/>
      <c r="J83" s="238"/>
    </row>
    <row r="84" spans="5:10" ht="12.75" customHeight="1">
      <c r="E84" s="214">
        <v>227656.2696364547</v>
      </c>
      <c r="F84" s="214">
        <v>249645.70777777777</v>
      </c>
      <c r="G84" s="236">
        <f t="shared" si="31"/>
        <v>-21989.438141323073</v>
      </c>
      <c r="H84" s="236"/>
      <c r="I84" s="237"/>
      <c r="J84" s="238"/>
    </row>
    <row r="85" spans="5:10" ht="12.75" customHeight="1">
      <c r="E85" s="214">
        <v>185741.34290994913</v>
      </c>
      <c r="F85" s="214">
        <v>205998.2169756256</v>
      </c>
      <c r="G85" s="236">
        <f t="shared" si="31"/>
        <v>-20256.874065676471</v>
      </c>
      <c r="H85" s="236"/>
      <c r="I85" s="237"/>
      <c r="J85" s="238"/>
    </row>
    <row r="86" spans="5:10" ht="12.75" customHeight="1">
      <c r="E86" s="214">
        <v>78830.35648290487</v>
      </c>
      <c r="F86" s="214">
        <v>87696.739331146033</v>
      </c>
      <c r="G86" s="236">
        <f t="shared" si="31"/>
        <v>-8866.3828482411627</v>
      </c>
      <c r="H86" s="236"/>
      <c r="I86" s="237"/>
      <c r="J86" s="238"/>
    </row>
    <row r="87" spans="5:10" ht="12.75" customHeight="1">
      <c r="E87" s="214">
        <v>36514.867050668458</v>
      </c>
      <c r="F87" s="214">
        <v>40500.711549338856</v>
      </c>
      <c r="G87" s="236">
        <f t="shared" si="31"/>
        <v>-3985.844498670398</v>
      </c>
      <c r="H87" s="236"/>
      <c r="I87" s="237"/>
      <c r="J87" s="238"/>
    </row>
    <row r="88" spans="5:10" ht="12.75" customHeight="1">
      <c r="E88" s="214">
        <v>17161.945194330583</v>
      </c>
      <c r="F88" s="214">
        <v>19038.576480221469</v>
      </c>
      <c r="G88" s="236">
        <f t="shared" si="31"/>
        <v>-1876.6312858908859</v>
      </c>
      <c r="H88" s="236"/>
      <c r="I88" s="237"/>
      <c r="J88" s="238"/>
    </row>
    <row r="89" spans="5:10" ht="12.75" customHeight="1">
      <c r="E89" s="214">
        <v>125057.12522754009</v>
      </c>
      <c r="F89" s="214">
        <v>138731.92205669577</v>
      </c>
      <c r="G89" s="236">
        <f t="shared" si="31"/>
        <v>-13674.796829155675</v>
      </c>
      <c r="H89" s="236"/>
      <c r="I89" s="237"/>
      <c r="J89" s="238"/>
    </row>
    <row r="90" spans="5:10" ht="12.75" customHeight="1">
      <c r="E90" s="214">
        <v>73430.617962627584</v>
      </c>
      <c r="F90" s="214">
        <v>81460.13871045578</v>
      </c>
      <c r="G90" s="236">
        <f t="shared" si="31"/>
        <v>-8029.5207478281955</v>
      </c>
      <c r="H90" s="236"/>
      <c r="I90" s="237"/>
      <c r="J90" s="238"/>
    </row>
    <row r="91" spans="5:10" ht="12.75" customHeight="1">
      <c r="E91" s="214">
        <v>85528.382607811436</v>
      </c>
      <c r="F91" s="214">
        <v>94880.774589956171</v>
      </c>
      <c r="G91" s="236">
        <f t="shared" si="31"/>
        <v>-9352.3919821447344</v>
      </c>
      <c r="H91" s="236"/>
      <c r="I91" s="237"/>
      <c r="J91" s="238"/>
    </row>
    <row r="92" spans="5:10" ht="12.75" customHeight="1">
      <c r="E92" s="236"/>
      <c r="F92" s="236"/>
      <c r="H92" s="236"/>
      <c r="I92" s="236"/>
      <c r="J92" s="236"/>
    </row>
    <row r="93" spans="5:10" ht="12.75" customHeight="1">
      <c r="E93" s="236">
        <f>SUM(E67:E92)</f>
        <v>6810705.0589428414</v>
      </c>
      <c r="F93" s="236">
        <f>SUM(F67:F92)</f>
        <v>7463959.3932195175</v>
      </c>
      <c r="G93" s="236">
        <f>SUM(G67:G92)</f>
        <v>-653254.33427667688</v>
      </c>
      <c r="H93" s="236"/>
      <c r="I93" s="236"/>
      <c r="J93" s="236"/>
    </row>
  </sheetData>
  <mergeCells count="2">
    <mergeCell ref="E13:G13"/>
    <mergeCell ref="T14:T16"/>
  </mergeCells>
  <phoneticPr fontId="62" type="noConversion"/>
  <pageMargins left="0.25" right="0.25" top="1" bottom="1" header="0.65" footer="0.5"/>
  <pageSetup scale="49" orientation="landscape" r:id="rId1"/>
  <headerFooter alignWithMargins="0">
    <oddHeader xml:space="preserve">&amp;R&amp;16AEP - SPP Formula Rate
Schedule 11 Revenue Requirements
Public Service Company of Oklahoma
Page: &amp;P of &amp;N
</oddHeader>
    <oddFooter>&amp;L&amp;A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C00000"/>
  </sheetPr>
  <dimension ref="A1:P162"/>
  <sheetViews>
    <sheetView view="pageBreakPreview" topLeftCell="B1" zoomScale="75" zoomScaleNormal="100" workbookViewId="0">
      <selection activeCell="E9" sqref="E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7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8467.8802590192263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8467.8802590192263</v>
      </c>
      <c r="O6" s="232"/>
      <c r="P6" s="232"/>
    </row>
    <row r="7" spans="1:16" ht="13.5" thickBot="1">
      <c r="C7" s="431" t="s">
        <v>46</v>
      </c>
      <c r="D7" s="432" t="s">
        <v>214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86</v>
      </c>
      <c r="E9" s="577" t="s">
        <v>349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84424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2007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IF(D10=0,0,ROUND(D10/D13,0))</f>
        <v>1963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2007</v>
      </c>
      <c r="D17" s="473">
        <v>84424</v>
      </c>
      <c r="E17" s="474">
        <v>0</v>
      </c>
      <c r="F17" s="473">
        <v>84424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2008</v>
      </c>
      <c r="D18" s="479">
        <v>84424</v>
      </c>
      <c r="E18" s="480">
        <v>1508</v>
      </c>
      <c r="F18" s="479">
        <v>82916</v>
      </c>
      <c r="G18" s="480">
        <v>0</v>
      </c>
      <c r="H18" s="481">
        <v>0</v>
      </c>
      <c r="I18" s="475">
        <f t="shared" si="0"/>
        <v>0</v>
      </c>
      <c r="J18" s="475"/>
      <c r="K18" s="476">
        <v>0</v>
      </c>
      <c r="L18" s="478">
        <f t="shared" si="1"/>
        <v>0</v>
      </c>
      <c r="M18" s="476">
        <v>0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/>
      </c>
      <c r="C19" s="472">
        <f>IF(D11="","-",+C18+1)</f>
        <v>2009</v>
      </c>
      <c r="D19" s="479">
        <v>82916</v>
      </c>
      <c r="E19" s="480">
        <v>1508</v>
      </c>
      <c r="F19" s="479">
        <v>81408</v>
      </c>
      <c r="G19" s="480">
        <v>0</v>
      </c>
      <c r="H19" s="481">
        <v>0</v>
      </c>
      <c r="I19" s="475">
        <f t="shared" si="0"/>
        <v>0</v>
      </c>
      <c r="J19" s="475"/>
      <c r="K19" s="476">
        <v>0</v>
      </c>
      <c r="L19" s="478">
        <f t="shared" si="1"/>
        <v>0</v>
      </c>
      <c r="M19" s="476">
        <v>0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4">IF(D20=F19,"","IU")</f>
        <v/>
      </c>
      <c r="C20" s="472">
        <f>IF(D11="","-",+C19+1)</f>
        <v>2010</v>
      </c>
      <c r="D20" s="479">
        <v>81408</v>
      </c>
      <c r="E20" s="480">
        <v>1508</v>
      </c>
      <c r="F20" s="479">
        <v>79900</v>
      </c>
      <c r="G20" s="480">
        <v>13037.291488737637</v>
      </c>
      <c r="H20" s="481">
        <v>13037.291488737637</v>
      </c>
      <c r="I20" s="475">
        <v>0</v>
      </c>
      <c r="J20" s="475"/>
      <c r="K20" s="540">
        <f t="shared" ref="K20:K25" si="5">G20</f>
        <v>13037.291488737637</v>
      </c>
      <c r="L20" s="541">
        <f t="shared" si="1"/>
        <v>0</v>
      </c>
      <c r="M20" s="540">
        <f t="shared" ref="M20:M25" si="6">H20</f>
        <v>13037.291488737637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4"/>
        <v/>
      </c>
      <c r="C21" s="472">
        <f>IF(D11="","-",+C20+1)</f>
        <v>2011</v>
      </c>
      <c r="D21" s="479">
        <v>79900</v>
      </c>
      <c r="E21" s="480">
        <v>1655</v>
      </c>
      <c r="F21" s="479">
        <v>78245</v>
      </c>
      <c r="G21" s="480">
        <v>13903.733792156472</v>
      </c>
      <c r="H21" s="481">
        <v>13903.733792156472</v>
      </c>
      <c r="I21" s="475">
        <f t="shared" si="0"/>
        <v>0</v>
      </c>
      <c r="J21" s="475"/>
      <c r="K21" s="476">
        <f t="shared" si="5"/>
        <v>13903.733792156472</v>
      </c>
      <c r="L21" s="550">
        <f t="shared" si="1"/>
        <v>0</v>
      </c>
      <c r="M21" s="476">
        <f t="shared" si="6"/>
        <v>13903.733792156472</v>
      </c>
      <c r="N21" s="478">
        <f t="shared" si="2"/>
        <v>0</v>
      </c>
      <c r="O21" s="478">
        <f t="shared" si="3"/>
        <v>0</v>
      </c>
      <c r="P21" s="242"/>
    </row>
    <row r="22" spans="2:16" ht="12.5">
      <c r="B22" s="160" t="str">
        <f t="shared" si="4"/>
        <v/>
      </c>
      <c r="C22" s="472">
        <f>IF(D11="","-",+C21+1)</f>
        <v>2012</v>
      </c>
      <c r="D22" s="479">
        <v>78245</v>
      </c>
      <c r="E22" s="480">
        <v>1624</v>
      </c>
      <c r="F22" s="479">
        <v>76621</v>
      </c>
      <c r="G22" s="480">
        <v>12290.159159207155</v>
      </c>
      <c r="H22" s="481">
        <v>12290.159159207155</v>
      </c>
      <c r="I22" s="475">
        <f t="shared" si="0"/>
        <v>0</v>
      </c>
      <c r="J22" s="475"/>
      <c r="K22" s="476">
        <f t="shared" si="5"/>
        <v>12290.159159207155</v>
      </c>
      <c r="L22" s="550">
        <f t="shared" si="1"/>
        <v>0</v>
      </c>
      <c r="M22" s="476">
        <f t="shared" si="6"/>
        <v>12290.159159207155</v>
      </c>
      <c r="N22" s="478">
        <f t="shared" si="2"/>
        <v>0</v>
      </c>
      <c r="O22" s="478">
        <f t="shared" si="3"/>
        <v>0</v>
      </c>
      <c r="P22" s="242"/>
    </row>
    <row r="23" spans="2:16" ht="12.5">
      <c r="B23" s="160" t="str">
        <f t="shared" si="4"/>
        <v/>
      </c>
      <c r="C23" s="472">
        <f>IF(D11="","-",+C22+1)</f>
        <v>2013</v>
      </c>
      <c r="D23" s="479">
        <v>76621</v>
      </c>
      <c r="E23" s="480">
        <v>1624</v>
      </c>
      <c r="F23" s="479">
        <v>74997</v>
      </c>
      <c r="G23" s="480">
        <v>12334.078606810854</v>
      </c>
      <c r="H23" s="481">
        <v>12334.078606810854</v>
      </c>
      <c r="I23" s="475">
        <v>0</v>
      </c>
      <c r="J23" s="475"/>
      <c r="K23" s="476">
        <f t="shared" si="5"/>
        <v>12334.078606810854</v>
      </c>
      <c r="L23" s="550">
        <f t="shared" ref="L23:L28" si="7">IF(K23&lt;&gt;0,+G23-K23,0)</f>
        <v>0</v>
      </c>
      <c r="M23" s="476">
        <f t="shared" si="6"/>
        <v>12334.078606810854</v>
      </c>
      <c r="N23" s="478">
        <f t="shared" ref="N23:N28" si="8">IF(M23&lt;&gt;0,+H23-M23,0)</f>
        <v>0</v>
      </c>
      <c r="O23" s="478">
        <f t="shared" ref="O23:O28" si="9">+N23-L23</f>
        <v>0</v>
      </c>
      <c r="P23" s="242"/>
    </row>
    <row r="24" spans="2:16" ht="12.5">
      <c r="B24" s="160" t="str">
        <f t="shared" si="4"/>
        <v/>
      </c>
      <c r="C24" s="472">
        <f>IF(D11="","-",+C23+1)</f>
        <v>2014</v>
      </c>
      <c r="D24" s="479">
        <v>74997</v>
      </c>
      <c r="E24" s="480">
        <v>1624</v>
      </c>
      <c r="F24" s="479">
        <v>73373</v>
      </c>
      <c r="G24" s="480">
        <v>11724.436761777028</v>
      </c>
      <c r="H24" s="481">
        <v>11724.436761777028</v>
      </c>
      <c r="I24" s="475">
        <v>0</v>
      </c>
      <c r="J24" s="475"/>
      <c r="K24" s="476">
        <f t="shared" si="5"/>
        <v>11724.436761777028</v>
      </c>
      <c r="L24" s="550">
        <f t="shared" si="7"/>
        <v>0</v>
      </c>
      <c r="M24" s="476">
        <f t="shared" si="6"/>
        <v>11724.436761777028</v>
      </c>
      <c r="N24" s="478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4"/>
        <v/>
      </c>
      <c r="C25" s="472">
        <f>IF(D11="","-",+C24+1)</f>
        <v>2015</v>
      </c>
      <c r="D25" s="479">
        <v>73373</v>
      </c>
      <c r="E25" s="480">
        <v>1624</v>
      </c>
      <c r="F25" s="479">
        <v>71749</v>
      </c>
      <c r="G25" s="480">
        <v>11516.153501332747</v>
      </c>
      <c r="H25" s="481">
        <v>11516.153501332747</v>
      </c>
      <c r="I25" s="475">
        <v>0</v>
      </c>
      <c r="J25" s="475"/>
      <c r="K25" s="476">
        <f t="shared" si="5"/>
        <v>11516.153501332747</v>
      </c>
      <c r="L25" s="550">
        <f t="shared" si="7"/>
        <v>0</v>
      </c>
      <c r="M25" s="476">
        <f t="shared" si="6"/>
        <v>11516.153501332747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4"/>
        <v/>
      </c>
      <c r="C26" s="472">
        <f>IF(D11="","-",+C25+1)</f>
        <v>2016</v>
      </c>
      <c r="D26" s="479">
        <v>71749</v>
      </c>
      <c r="E26" s="480">
        <v>1624</v>
      </c>
      <c r="F26" s="479">
        <v>70125</v>
      </c>
      <c r="G26" s="480">
        <v>10821.569336122064</v>
      </c>
      <c r="H26" s="481">
        <v>10821.569336122064</v>
      </c>
      <c r="I26" s="475">
        <f t="shared" si="0"/>
        <v>0</v>
      </c>
      <c r="J26" s="475"/>
      <c r="K26" s="476">
        <f>G26</f>
        <v>10821.569336122064</v>
      </c>
      <c r="L26" s="550">
        <f t="shared" si="7"/>
        <v>0</v>
      </c>
      <c r="M26" s="476">
        <f>H26</f>
        <v>10821.569336122064</v>
      </c>
      <c r="N26" s="478">
        <f t="shared" si="8"/>
        <v>0</v>
      </c>
      <c r="O26" s="478">
        <f t="shared" si="9"/>
        <v>0</v>
      </c>
      <c r="P26" s="242"/>
    </row>
    <row r="27" spans="2:16" ht="12.5">
      <c r="B27" s="160" t="str">
        <f t="shared" si="4"/>
        <v/>
      </c>
      <c r="C27" s="472">
        <f>IF(D11="","-",+C26+1)</f>
        <v>2017</v>
      </c>
      <c r="D27" s="479">
        <v>70125</v>
      </c>
      <c r="E27" s="480">
        <v>1835</v>
      </c>
      <c r="F27" s="479">
        <v>68290</v>
      </c>
      <c r="G27" s="480">
        <v>10525.630110064558</v>
      </c>
      <c r="H27" s="481">
        <v>10525.630110064558</v>
      </c>
      <c r="I27" s="475">
        <f t="shared" si="0"/>
        <v>0</v>
      </c>
      <c r="J27" s="475"/>
      <c r="K27" s="476">
        <f>G27</f>
        <v>10525.630110064558</v>
      </c>
      <c r="L27" s="550">
        <f t="shared" si="7"/>
        <v>0</v>
      </c>
      <c r="M27" s="476">
        <f>H27</f>
        <v>10525.630110064558</v>
      </c>
      <c r="N27" s="478">
        <f t="shared" si="8"/>
        <v>0</v>
      </c>
      <c r="O27" s="478">
        <f t="shared" si="9"/>
        <v>0</v>
      </c>
      <c r="P27" s="242"/>
    </row>
    <row r="28" spans="2:16" ht="12.5">
      <c r="B28" s="160" t="str">
        <f t="shared" si="4"/>
        <v/>
      </c>
      <c r="C28" s="472">
        <f>IF(D11="","-",+C27+1)</f>
        <v>2018</v>
      </c>
      <c r="D28" s="479">
        <v>68290</v>
      </c>
      <c r="E28" s="480">
        <v>1876</v>
      </c>
      <c r="F28" s="479">
        <v>66414</v>
      </c>
      <c r="G28" s="480">
        <v>9942.0041745497692</v>
      </c>
      <c r="H28" s="481">
        <v>9942.0041745497692</v>
      </c>
      <c r="I28" s="475">
        <f t="shared" si="0"/>
        <v>0</v>
      </c>
      <c r="J28" s="475"/>
      <c r="K28" s="476">
        <f>G28</f>
        <v>9942.0041745497692</v>
      </c>
      <c r="L28" s="550">
        <f t="shared" si="7"/>
        <v>0</v>
      </c>
      <c r="M28" s="476">
        <f>H28</f>
        <v>9942.0041745497692</v>
      </c>
      <c r="N28" s="478">
        <f t="shared" si="8"/>
        <v>0</v>
      </c>
      <c r="O28" s="478">
        <f t="shared" si="9"/>
        <v>0</v>
      </c>
      <c r="P28" s="242"/>
    </row>
    <row r="29" spans="2:16" ht="12.5">
      <c r="B29" s="160" t="str">
        <f t="shared" si="4"/>
        <v/>
      </c>
      <c r="C29" s="472">
        <f>IF(D11="","-",+C28+1)</f>
        <v>2019</v>
      </c>
      <c r="D29" s="479">
        <v>66414</v>
      </c>
      <c r="E29" s="480">
        <v>2111</v>
      </c>
      <c r="F29" s="479">
        <v>64303</v>
      </c>
      <c r="G29" s="480">
        <v>9408.7099366610164</v>
      </c>
      <c r="H29" s="481">
        <v>9408.7099366610164</v>
      </c>
      <c r="I29" s="475">
        <f t="shared" si="0"/>
        <v>0</v>
      </c>
      <c r="J29" s="475"/>
      <c r="K29" s="476">
        <f>G29</f>
        <v>9408.7099366610164</v>
      </c>
      <c r="L29" s="550">
        <f t="shared" ref="L29" si="10">IF(K29&lt;&gt;0,+G29-K29,0)</f>
        <v>0</v>
      </c>
      <c r="M29" s="476">
        <f>H29</f>
        <v>9408.7099366610164</v>
      </c>
      <c r="N29" s="478">
        <f t="shared" ref="N29" si="11">IF(M29&lt;&gt;0,+H29-M29,0)</f>
        <v>0</v>
      </c>
      <c r="O29" s="478">
        <f t="shared" ref="O29" si="12">+N29-L29</f>
        <v>0</v>
      </c>
      <c r="P29" s="242"/>
    </row>
    <row r="30" spans="2:16" ht="12.5">
      <c r="B30" s="160" t="str">
        <f t="shared" si="4"/>
        <v>IU</v>
      </c>
      <c r="C30" s="472">
        <f>IF(D11="","-",+C29+1)</f>
        <v>2020</v>
      </c>
      <c r="D30" s="479">
        <v>64538</v>
      </c>
      <c r="E30" s="480">
        <v>2010</v>
      </c>
      <c r="F30" s="479">
        <v>62528</v>
      </c>
      <c r="G30" s="480">
        <v>8871.8674914200565</v>
      </c>
      <c r="H30" s="481">
        <v>8871.8674914200565</v>
      </c>
      <c r="I30" s="475">
        <f t="shared" si="0"/>
        <v>0</v>
      </c>
      <c r="J30" s="475"/>
      <c r="K30" s="476">
        <f>G30</f>
        <v>8871.8674914200565</v>
      </c>
      <c r="L30" s="550">
        <f t="shared" ref="L30" si="13">IF(K30&lt;&gt;0,+G30-K30,0)</f>
        <v>0</v>
      </c>
      <c r="M30" s="476">
        <f>H30</f>
        <v>8871.8674914200565</v>
      </c>
      <c r="N30" s="478">
        <f t="shared" si="2"/>
        <v>0</v>
      </c>
      <c r="O30" s="478">
        <f t="shared" si="3"/>
        <v>0</v>
      </c>
      <c r="P30" s="242"/>
    </row>
    <row r="31" spans="2:16" ht="12.5">
      <c r="B31" s="160" t="str">
        <f t="shared" si="4"/>
        <v>IU</v>
      </c>
      <c r="C31" s="472">
        <f>IF(D11="","-",+C30+1)</f>
        <v>2021</v>
      </c>
      <c r="D31" s="485">
        <f>IF(F30+SUM(E$17:E30)=D$10,F30,D$10-SUM(E$17:E30))</f>
        <v>62293</v>
      </c>
      <c r="E31" s="484">
        <f>IF(+I14&lt;F30,I14,D31)</f>
        <v>1963</v>
      </c>
      <c r="F31" s="485">
        <f t="shared" ref="F31:F48" si="14">+D31-E31</f>
        <v>60330</v>
      </c>
      <c r="G31" s="486">
        <f t="shared" ref="G31:G72" si="15">+I$12*F31+E31</f>
        <v>8467.8802590192263</v>
      </c>
      <c r="H31" s="455">
        <f t="shared" ref="H31:H72" si="16">+I$13*F31+E31</f>
        <v>8467.8802590192263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4"/>
        <v/>
      </c>
      <c r="C32" s="472">
        <f>IF(D11="","-",+C31+1)</f>
        <v>2022</v>
      </c>
      <c r="D32" s="485">
        <f>IF(F31+SUM(E$17:E31)=D$10,F31,D$10-SUM(E$17:E31))</f>
        <v>60330</v>
      </c>
      <c r="E32" s="484">
        <f>IF(+I14&lt;F31,I14,D32)</f>
        <v>1963</v>
      </c>
      <c r="F32" s="485">
        <f t="shared" si="14"/>
        <v>58367</v>
      </c>
      <c r="G32" s="486">
        <f t="shared" si="15"/>
        <v>8256.2263563430315</v>
      </c>
      <c r="H32" s="455">
        <f t="shared" si="16"/>
        <v>8256.2263563430315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4"/>
        <v/>
      </c>
      <c r="C33" s="472">
        <f>IF(D11="","-",+C32+1)</f>
        <v>2023</v>
      </c>
      <c r="D33" s="485">
        <f>IF(F32+SUM(E$17:E32)=D$10,F32,D$10-SUM(E$17:E32))</f>
        <v>58367</v>
      </c>
      <c r="E33" s="484">
        <f>IF(+I14&lt;F32,I14,D33)</f>
        <v>1963</v>
      </c>
      <c r="F33" s="485">
        <f t="shared" si="14"/>
        <v>56404</v>
      </c>
      <c r="G33" s="486">
        <f t="shared" si="15"/>
        <v>8044.5724536668395</v>
      </c>
      <c r="H33" s="455">
        <f t="shared" si="16"/>
        <v>8044.5724536668395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4"/>
        <v/>
      </c>
      <c r="C34" s="472">
        <f>IF(D11="","-",+C33+1)</f>
        <v>2024</v>
      </c>
      <c r="D34" s="485">
        <f>IF(F33+SUM(E$17:E33)=D$10,F33,D$10-SUM(E$17:E33))</f>
        <v>56404</v>
      </c>
      <c r="E34" s="484">
        <f>IF(+I14&lt;F33,I14,D34)</f>
        <v>1963</v>
      </c>
      <c r="F34" s="485">
        <f t="shared" si="14"/>
        <v>54441</v>
      </c>
      <c r="G34" s="486">
        <f t="shared" si="15"/>
        <v>7832.9185509906465</v>
      </c>
      <c r="H34" s="455">
        <f t="shared" si="16"/>
        <v>7832.9185509906465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4"/>
        <v/>
      </c>
      <c r="C35" s="472">
        <f>IF(D11="","-",+C34+1)</f>
        <v>2025</v>
      </c>
      <c r="D35" s="485">
        <f>IF(F34+SUM(E$17:E34)=D$10,F34,D$10-SUM(E$17:E34))</f>
        <v>54441</v>
      </c>
      <c r="E35" s="484">
        <f>IF(+I14&lt;F34,I14,D35)</f>
        <v>1963</v>
      </c>
      <c r="F35" s="485">
        <f t="shared" si="14"/>
        <v>52478</v>
      </c>
      <c r="G35" s="486">
        <f t="shared" si="15"/>
        <v>7621.2646483144526</v>
      </c>
      <c r="H35" s="455">
        <f t="shared" si="16"/>
        <v>7621.2646483144526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4"/>
        <v/>
      </c>
      <c r="C36" s="472">
        <f>IF(D11="","-",+C35+1)</f>
        <v>2026</v>
      </c>
      <c r="D36" s="485">
        <f>IF(F35+SUM(E$17:E35)=D$10,F35,D$10-SUM(E$17:E35))</f>
        <v>52478</v>
      </c>
      <c r="E36" s="484">
        <f>IF(+I14&lt;F35,I14,D36)</f>
        <v>1963</v>
      </c>
      <c r="F36" s="485">
        <f t="shared" si="14"/>
        <v>50515</v>
      </c>
      <c r="G36" s="486">
        <f t="shared" si="15"/>
        <v>7409.6107456382597</v>
      </c>
      <c r="H36" s="455">
        <f t="shared" si="16"/>
        <v>7409.6107456382597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4"/>
        <v/>
      </c>
      <c r="C37" s="472">
        <f>IF(D11="","-",+C36+1)</f>
        <v>2027</v>
      </c>
      <c r="D37" s="485">
        <f>IF(F36+SUM(E$17:E36)=D$10,F36,D$10-SUM(E$17:E36))</f>
        <v>50515</v>
      </c>
      <c r="E37" s="484">
        <f>IF(+I14&lt;F36,I14,D37)</f>
        <v>1963</v>
      </c>
      <c r="F37" s="485">
        <f t="shared" si="14"/>
        <v>48552</v>
      </c>
      <c r="G37" s="486">
        <f t="shared" si="15"/>
        <v>7197.9568429620667</v>
      </c>
      <c r="H37" s="455">
        <f t="shared" si="16"/>
        <v>7197.9568429620667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4"/>
        <v/>
      </c>
      <c r="C38" s="472">
        <f>IF(D11="","-",+C37+1)</f>
        <v>2028</v>
      </c>
      <c r="D38" s="485">
        <f>IF(F37+SUM(E$17:E37)=D$10,F37,D$10-SUM(E$17:E37))</f>
        <v>48552</v>
      </c>
      <c r="E38" s="484">
        <f>IF(+I14&lt;F37,I14,D38)</f>
        <v>1963</v>
      </c>
      <c r="F38" s="485">
        <f t="shared" si="14"/>
        <v>46589</v>
      </c>
      <c r="G38" s="486">
        <f t="shared" si="15"/>
        <v>6986.3029402858729</v>
      </c>
      <c r="H38" s="455">
        <f t="shared" si="16"/>
        <v>6986.3029402858729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4"/>
        <v/>
      </c>
      <c r="C39" s="472">
        <f>IF(D11="","-",+C38+1)</f>
        <v>2029</v>
      </c>
      <c r="D39" s="485">
        <f>IF(F38+SUM(E$17:E38)=D$10,F38,D$10-SUM(E$17:E38))</f>
        <v>46589</v>
      </c>
      <c r="E39" s="484">
        <f>IF(+I14&lt;F38,I14,D39)</f>
        <v>1963</v>
      </c>
      <c r="F39" s="485">
        <f t="shared" si="14"/>
        <v>44626</v>
      </c>
      <c r="G39" s="486">
        <f t="shared" si="15"/>
        <v>6774.6490376096799</v>
      </c>
      <c r="H39" s="455">
        <f t="shared" si="16"/>
        <v>6774.6490376096799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4"/>
        <v/>
      </c>
      <c r="C40" s="472">
        <f>IF(D11="","-",+C39+1)</f>
        <v>2030</v>
      </c>
      <c r="D40" s="485">
        <f>IF(F39+SUM(E$17:E39)=D$10,F39,D$10-SUM(E$17:E39))</f>
        <v>44626</v>
      </c>
      <c r="E40" s="484">
        <f>IF(+I14&lt;F39,I14,D40)</f>
        <v>1963</v>
      </c>
      <c r="F40" s="485">
        <f t="shared" si="14"/>
        <v>42663</v>
      </c>
      <c r="G40" s="486">
        <f t="shared" si="15"/>
        <v>6562.995134933486</v>
      </c>
      <c r="H40" s="455">
        <f t="shared" si="16"/>
        <v>6562.995134933486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4"/>
        <v/>
      </c>
      <c r="C41" s="472">
        <f>IF(D11="","-",+C40+1)</f>
        <v>2031</v>
      </c>
      <c r="D41" s="485">
        <f>IF(F40+SUM(E$17:E40)=D$10,F40,D$10-SUM(E$17:E40))</f>
        <v>42663</v>
      </c>
      <c r="E41" s="484">
        <f>IF(+I14&lt;F40,I14,D41)</f>
        <v>1963</v>
      </c>
      <c r="F41" s="485">
        <f t="shared" si="14"/>
        <v>40700</v>
      </c>
      <c r="G41" s="486">
        <f t="shared" si="15"/>
        <v>6351.3412322572931</v>
      </c>
      <c r="H41" s="455">
        <f t="shared" si="16"/>
        <v>6351.3412322572931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4"/>
        <v/>
      </c>
      <c r="C42" s="472">
        <f>IF(D11="","-",+C41+1)</f>
        <v>2032</v>
      </c>
      <c r="D42" s="485">
        <f>IF(F41+SUM(E$17:E41)=D$10,F41,D$10-SUM(E$17:E41))</f>
        <v>40700</v>
      </c>
      <c r="E42" s="484">
        <f>IF(+I14&lt;F41,I14,D42)</f>
        <v>1963</v>
      </c>
      <c r="F42" s="485">
        <f t="shared" si="14"/>
        <v>38737</v>
      </c>
      <c r="G42" s="486">
        <f t="shared" si="15"/>
        <v>6139.6873295811001</v>
      </c>
      <c r="H42" s="455">
        <f t="shared" si="16"/>
        <v>6139.6873295811001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4"/>
        <v/>
      </c>
      <c r="C43" s="472">
        <f>IF(D11="","-",+C42+1)</f>
        <v>2033</v>
      </c>
      <c r="D43" s="485">
        <f>IF(F42+SUM(E$17:E42)=D$10,F42,D$10-SUM(E$17:E42))</f>
        <v>38737</v>
      </c>
      <c r="E43" s="484">
        <f>IF(+I14&lt;F42,I14,D43)</f>
        <v>1963</v>
      </c>
      <c r="F43" s="485">
        <f t="shared" si="14"/>
        <v>36774</v>
      </c>
      <c r="G43" s="486">
        <f t="shared" si="15"/>
        <v>5928.0334269049072</v>
      </c>
      <c r="H43" s="455">
        <f t="shared" si="16"/>
        <v>5928.0334269049072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4"/>
        <v/>
      </c>
      <c r="C44" s="472">
        <f>IF(D11="","-",+C43+1)</f>
        <v>2034</v>
      </c>
      <c r="D44" s="485">
        <f>IF(F43+SUM(E$17:E43)=D$10,F43,D$10-SUM(E$17:E43))</f>
        <v>36774</v>
      </c>
      <c r="E44" s="484">
        <f>IF(+I14&lt;F43,I14,D44)</f>
        <v>1963</v>
      </c>
      <c r="F44" s="485">
        <f t="shared" si="14"/>
        <v>34811</v>
      </c>
      <c r="G44" s="486">
        <f t="shared" si="15"/>
        <v>5716.3795242287133</v>
      </c>
      <c r="H44" s="455">
        <f t="shared" si="16"/>
        <v>5716.3795242287133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4"/>
        <v/>
      </c>
      <c r="C45" s="472">
        <f>IF(D11="","-",+C44+1)</f>
        <v>2035</v>
      </c>
      <c r="D45" s="485">
        <f>IF(F44+SUM(E$17:E44)=D$10,F44,D$10-SUM(E$17:E44))</f>
        <v>34811</v>
      </c>
      <c r="E45" s="484">
        <f>IF(+I14&lt;F44,I14,D45)</f>
        <v>1963</v>
      </c>
      <c r="F45" s="485">
        <f t="shared" si="14"/>
        <v>32848</v>
      </c>
      <c r="G45" s="486">
        <f t="shared" si="15"/>
        <v>5504.7256215525194</v>
      </c>
      <c r="H45" s="455">
        <f t="shared" si="16"/>
        <v>5504.7256215525194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4"/>
        <v/>
      </c>
      <c r="C46" s="472">
        <f>IF(D11="","-",+C45+1)</f>
        <v>2036</v>
      </c>
      <c r="D46" s="485">
        <f>IF(F45+SUM(E$17:E45)=D$10,F45,D$10-SUM(E$17:E45))</f>
        <v>32848</v>
      </c>
      <c r="E46" s="484">
        <f>IF(+I14&lt;F45,I14,D46)</f>
        <v>1963</v>
      </c>
      <c r="F46" s="485">
        <f t="shared" si="14"/>
        <v>30885</v>
      </c>
      <c r="G46" s="486">
        <f t="shared" si="15"/>
        <v>5293.0717188763265</v>
      </c>
      <c r="H46" s="455">
        <f t="shared" si="16"/>
        <v>5293.0717188763265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4"/>
        <v/>
      </c>
      <c r="C47" s="472">
        <f>IF(D11="","-",+C46+1)</f>
        <v>2037</v>
      </c>
      <c r="D47" s="485">
        <f>IF(F46+SUM(E$17:E46)=D$10,F46,D$10-SUM(E$17:E46))</f>
        <v>30885</v>
      </c>
      <c r="E47" s="484">
        <f>IF(+I14&lt;F46,I14,D47)</f>
        <v>1963</v>
      </c>
      <c r="F47" s="485">
        <f t="shared" si="14"/>
        <v>28922</v>
      </c>
      <c r="G47" s="486">
        <f t="shared" si="15"/>
        <v>5081.4178162001335</v>
      </c>
      <c r="H47" s="455">
        <f t="shared" si="16"/>
        <v>5081.4178162001335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4"/>
        <v/>
      </c>
      <c r="C48" s="472">
        <f>IF(D11="","-",+C47+1)</f>
        <v>2038</v>
      </c>
      <c r="D48" s="485">
        <f>IF(F47+SUM(E$17:E47)=D$10,F47,D$10-SUM(E$17:E47))</f>
        <v>28922</v>
      </c>
      <c r="E48" s="484">
        <f>IF(+I14&lt;F47,I14,D48)</f>
        <v>1963</v>
      </c>
      <c r="F48" s="485">
        <f t="shared" si="14"/>
        <v>26959</v>
      </c>
      <c r="G48" s="486">
        <f t="shared" si="15"/>
        <v>4869.7639135239406</v>
      </c>
      <c r="H48" s="455">
        <f t="shared" si="16"/>
        <v>4869.7639135239406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4"/>
        <v/>
      </c>
      <c r="C49" s="472">
        <f>IF(D11="","-",+C48+1)</f>
        <v>2039</v>
      </c>
      <c r="D49" s="485">
        <f>IF(F48+SUM(E$17:E48)=D$10,F48,D$10-SUM(E$17:E48))</f>
        <v>26959</v>
      </c>
      <c r="E49" s="484">
        <f>IF(+I14&lt;F48,I14,D49)</f>
        <v>1963</v>
      </c>
      <c r="F49" s="485">
        <f t="shared" ref="F49:F72" si="17">+D49-E49</f>
        <v>24996</v>
      </c>
      <c r="G49" s="486">
        <f t="shared" si="15"/>
        <v>4658.1100108477467</v>
      </c>
      <c r="H49" s="455">
        <f t="shared" si="16"/>
        <v>4658.1100108477467</v>
      </c>
      <c r="I49" s="475">
        <f t="shared" ref="I49:I72" si="18">H49-G49</f>
        <v>0</v>
      </c>
      <c r="J49" s="475"/>
      <c r="K49" s="487"/>
      <c r="L49" s="478">
        <f t="shared" ref="L49:L72" si="19">IF(K49&lt;&gt;0,+G49-K49,0)</f>
        <v>0</v>
      </c>
      <c r="M49" s="487"/>
      <c r="N49" s="478">
        <f t="shared" ref="N49:N72" si="20">IF(M49&lt;&gt;0,+H49-M49,0)</f>
        <v>0</v>
      </c>
      <c r="O49" s="478">
        <f t="shared" ref="O49:O72" si="21">+N49-L49</f>
        <v>0</v>
      </c>
      <c r="P49" s="242"/>
    </row>
    <row r="50" spans="2:16" ht="12.5">
      <c r="B50" s="160" t="str">
        <f t="shared" si="4"/>
        <v/>
      </c>
      <c r="C50" s="472">
        <f>IF(D11="","-",+C49+1)</f>
        <v>2040</v>
      </c>
      <c r="D50" s="485">
        <f>IF(F49+SUM(E$17:E49)=D$10,F49,D$10-SUM(E$17:E49))</f>
        <v>24996</v>
      </c>
      <c r="E50" s="484">
        <f>IF(+I14&lt;F49,I14,D50)</f>
        <v>1963</v>
      </c>
      <c r="F50" s="485">
        <f t="shared" si="17"/>
        <v>23033</v>
      </c>
      <c r="G50" s="486">
        <f t="shared" si="15"/>
        <v>4446.4561081715538</v>
      </c>
      <c r="H50" s="455">
        <f t="shared" si="16"/>
        <v>4446.4561081715538</v>
      </c>
      <c r="I50" s="475">
        <f t="shared" si="18"/>
        <v>0</v>
      </c>
      <c r="J50" s="475"/>
      <c r="K50" s="487"/>
      <c r="L50" s="478">
        <f t="shared" si="19"/>
        <v>0</v>
      </c>
      <c r="M50" s="487"/>
      <c r="N50" s="478">
        <f t="shared" si="20"/>
        <v>0</v>
      </c>
      <c r="O50" s="478">
        <f t="shared" si="21"/>
        <v>0</v>
      </c>
      <c r="P50" s="242"/>
    </row>
    <row r="51" spans="2:16" ht="12.5">
      <c r="B51" s="160" t="str">
        <f t="shared" si="4"/>
        <v/>
      </c>
      <c r="C51" s="472">
        <f>IF(D11="","-",+C50+1)</f>
        <v>2041</v>
      </c>
      <c r="D51" s="485">
        <f>IF(F50+SUM(E$17:E50)=D$10,F50,D$10-SUM(E$17:E50))</f>
        <v>23033</v>
      </c>
      <c r="E51" s="484">
        <f>IF(+I14&lt;F50,I14,D51)</f>
        <v>1963</v>
      </c>
      <c r="F51" s="485">
        <f t="shared" si="17"/>
        <v>21070</v>
      </c>
      <c r="G51" s="486">
        <f t="shared" si="15"/>
        <v>4234.8022054953599</v>
      </c>
      <c r="H51" s="455">
        <f t="shared" si="16"/>
        <v>4234.8022054953599</v>
      </c>
      <c r="I51" s="475">
        <f t="shared" si="18"/>
        <v>0</v>
      </c>
      <c r="J51" s="475"/>
      <c r="K51" s="487"/>
      <c r="L51" s="478">
        <f t="shared" si="19"/>
        <v>0</v>
      </c>
      <c r="M51" s="487"/>
      <c r="N51" s="478">
        <f t="shared" si="20"/>
        <v>0</v>
      </c>
      <c r="O51" s="478">
        <f t="shared" si="21"/>
        <v>0</v>
      </c>
      <c r="P51" s="242"/>
    </row>
    <row r="52" spans="2:16" ht="12.5">
      <c r="B52" s="160" t="str">
        <f t="shared" si="4"/>
        <v/>
      </c>
      <c r="C52" s="472">
        <f>IF(D11="","-",+C51+1)</f>
        <v>2042</v>
      </c>
      <c r="D52" s="485">
        <f>IF(F51+SUM(E$17:E51)=D$10,F51,D$10-SUM(E$17:E51))</f>
        <v>21070</v>
      </c>
      <c r="E52" s="484">
        <f>IF(+I14&lt;F51,I14,D52)</f>
        <v>1963</v>
      </c>
      <c r="F52" s="485">
        <f t="shared" si="17"/>
        <v>19107</v>
      </c>
      <c r="G52" s="486">
        <f t="shared" si="15"/>
        <v>4023.1483028191669</v>
      </c>
      <c r="H52" s="455">
        <f t="shared" si="16"/>
        <v>4023.1483028191669</v>
      </c>
      <c r="I52" s="475">
        <f t="shared" si="18"/>
        <v>0</v>
      </c>
      <c r="J52" s="475"/>
      <c r="K52" s="487"/>
      <c r="L52" s="478">
        <f t="shared" si="19"/>
        <v>0</v>
      </c>
      <c r="M52" s="487"/>
      <c r="N52" s="478">
        <f t="shared" si="20"/>
        <v>0</v>
      </c>
      <c r="O52" s="478">
        <f t="shared" si="21"/>
        <v>0</v>
      </c>
      <c r="P52" s="242"/>
    </row>
    <row r="53" spans="2:16" ht="12.5">
      <c r="B53" s="160" t="str">
        <f t="shared" si="4"/>
        <v/>
      </c>
      <c r="C53" s="472">
        <f>IF(D11="","-",+C52+1)</f>
        <v>2043</v>
      </c>
      <c r="D53" s="485">
        <f>IF(F52+SUM(E$17:E52)=D$10,F52,D$10-SUM(E$17:E52))</f>
        <v>19107</v>
      </c>
      <c r="E53" s="484">
        <f>IF(+I14&lt;F52,I14,D53)</f>
        <v>1963</v>
      </c>
      <c r="F53" s="485">
        <f t="shared" si="17"/>
        <v>17144</v>
      </c>
      <c r="G53" s="486">
        <f t="shared" si="15"/>
        <v>3811.494400142974</v>
      </c>
      <c r="H53" s="455">
        <f t="shared" si="16"/>
        <v>3811.494400142974</v>
      </c>
      <c r="I53" s="475">
        <f t="shared" si="18"/>
        <v>0</v>
      </c>
      <c r="J53" s="475"/>
      <c r="K53" s="487"/>
      <c r="L53" s="478">
        <f t="shared" si="19"/>
        <v>0</v>
      </c>
      <c r="M53" s="487"/>
      <c r="N53" s="478">
        <f t="shared" si="20"/>
        <v>0</v>
      </c>
      <c r="O53" s="478">
        <f t="shared" si="21"/>
        <v>0</v>
      </c>
      <c r="P53" s="242"/>
    </row>
    <row r="54" spans="2:16" ht="12.5">
      <c r="B54" s="160" t="str">
        <f t="shared" si="4"/>
        <v/>
      </c>
      <c r="C54" s="472">
        <f>IF(D11="","-",+C53+1)</f>
        <v>2044</v>
      </c>
      <c r="D54" s="485">
        <f>IF(F53+SUM(E$17:E53)=D$10,F53,D$10-SUM(E$17:E53))</f>
        <v>17144</v>
      </c>
      <c r="E54" s="484">
        <f>IF(+I14&lt;F53,I14,D54)</f>
        <v>1963</v>
      </c>
      <c r="F54" s="485">
        <f t="shared" si="17"/>
        <v>15181</v>
      </c>
      <c r="G54" s="486">
        <f t="shared" si="15"/>
        <v>3599.8404974667806</v>
      </c>
      <c r="H54" s="455">
        <f t="shared" si="16"/>
        <v>3599.8404974667806</v>
      </c>
      <c r="I54" s="475">
        <f t="shared" si="18"/>
        <v>0</v>
      </c>
      <c r="J54" s="475"/>
      <c r="K54" s="487"/>
      <c r="L54" s="478">
        <f t="shared" si="19"/>
        <v>0</v>
      </c>
      <c r="M54" s="487"/>
      <c r="N54" s="478">
        <f t="shared" si="20"/>
        <v>0</v>
      </c>
      <c r="O54" s="478">
        <f t="shared" si="21"/>
        <v>0</v>
      </c>
      <c r="P54" s="242"/>
    </row>
    <row r="55" spans="2:16" ht="12.5">
      <c r="B55" s="160" t="str">
        <f t="shared" si="4"/>
        <v/>
      </c>
      <c r="C55" s="472">
        <f>IF(D11="","-",+C54+1)</f>
        <v>2045</v>
      </c>
      <c r="D55" s="485">
        <f>IF(F54+SUM(E$17:E54)=D$10,F54,D$10-SUM(E$17:E54))</f>
        <v>15181</v>
      </c>
      <c r="E55" s="484">
        <f>IF(+I14&lt;F54,I14,D55)</f>
        <v>1963</v>
      </c>
      <c r="F55" s="485">
        <f t="shared" si="17"/>
        <v>13218</v>
      </c>
      <c r="G55" s="486">
        <f t="shared" si="15"/>
        <v>3388.1865947905872</v>
      </c>
      <c r="H55" s="455">
        <f t="shared" si="16"/>
        <v>3388.1865947905872</v>
      </c>
      <c r="I55" s="475">
        <f t="shared" si="18"/>
        <v>0</v>
      </c>
      <c r="J55" s="475"/>
      <c r="K55" s="487"/>
      <c r="L55" s="478">
        <f t="shared" si="19"/>
        <v>0</v>
      </c>
      <c r="M55" s="487"/>
      <c r="N55" s="478">
        <f t="shared" si="20"/>
        <v>0</v>
      </c>
      <c r="O55" s="478">
        <f t="shared" si="21"/>
        <v>0</v>
      </c>
      <c r="P55" s="242"/>
    </row>
    <row r="56" spans="2:16" ht="12.5">
      <c r="B56" s="160" t="str">
        <f t="shared" si="4"/>
        <v/>
      </c>
      <c r="C56" s="472">
        <f>IF(D11="","-",+C55+1)</f>
        <v>2046</v>
      </c>
      <c r="D56" s="485">
        <f>IF(F55+SUM(E$17:E55)=D$10,F55,D$10-SUM(E$17:E55))</f>
        <v>13218</v>
      </c>
      <c r="E56" s="484">
        <f>IF(+I14&lt;F55,I14,D56)</f>
        <v>1963</v>
      </c>
      <c r="F56" s="485">
        <f t="shared" si="17"/>
        <v>11255</v>
      </c>
      <c r="G56" s="486">
        <f t="shared" si="15"/>
        <v>3176.5326921143942</v>
      </c>
      <c r="H56" s="455">
        <f t="shared" si="16"/>
        <v>3176.5326921143942</v>
      </c>
      <c r="I56" s="475">
        <f t="shared" si="18"/>
        <v>0</v>
      </c>
      <c r="J56" s="475"/>
      <c r="K56" s="487"/>
      <c r="L56" s="478">
        <f t="shared" si="19"/>
        <v>0</v>
      </c>
      <c r="M56" s="487"/>
      <c r="N56" s="478">
        <f t="shared" si="20"/>
        <v>0</v>
      </c>
      <c r="O56" s="478">
        <f t="shared" si="21"/>
        <v>0</v>
      </c>
      <c r="P56" s="242"/>
    </row>
    <row r="57" spans="2:16" ht="12.5">
      <c r="B57" s="160" t="str">
        <f t="shared" si="4"/>
        <v/>
      </c>
      <c r="C57" s="472">
        <f>IF(D11="","-",+C56+1)</f>
        <v>2047</v>
      </c>
      <c r="D57" s="485">
        <f>IF(F56+SUM(E$17:E56)=D$10,F56,D$10-SUM(E$17:E56))</f>
        <v>11255</v>
      </c>
      <c r="E57" s="484">
        <f>IF(+I14&lt;F56,I14,D57)</f>
        <v>1963</v>
      </c>
      <c r="F57" s="485">
        <f t="shared" si="17"/>
        <v>9292</v>
      </c>
      <c r="G57" s="486">
        <f t="shared" si="15"/>
        <v>2964.8787894382008</v>
      </c>
      <c r="H57" s="455">
        <f t="shared" si="16"/>
        <v>2964.8787894382008</v>
      </c>
      <c r="I57" s="475">
        <f t="shared" si="18"/>
        <v>0</v>
      </c>
      <c r="J57" s="475"/>
      <c r="K57" s="487"/>
      <c r="L57" s="478">
        <f t="shared" si="19"/>
        <v>0</v>
      </c>
      <c r="M57" s="487"/>
      <c r="N57" s="478">
        <f t="shared" si="20"/>
        <v>0</v>
      </c>
      <c r="O57" s="478">
        <f t="shared" si="21"/>
        <v>0</v>
      </c>
      <c r="P57" s="242"/>
    </row>
    <row r="58" spans="2:16" ht="12.5">
      <c r="B58" s="160" t="str">
        <f t="shared" si="4"/>
        <v/>
      </c>
      <c r="C58" s="472">
        <f>IF(D11="","-",+C57+1)</f>
        <v>2048</v>
      </c>
      <c r="D58" s="485">
        <f>IF(F57+SUM(E$17:E57)=D$10,F57,D$10-SUM(E$17:E57))</f>
        <v>9292</v>
      </c>
      <c r="E58" s="484">
        <f>IF(+I14&lt;F57,I14,D58)</f>
        <v>1963</v>
      </c>
      <c r="F58" s="485">
        <f t="shared" si="17"/>
        <v>7329</v>
      </c>
      <c r="G58" s="486">
        <f t="shared" si="15"/>
        <v>2753.2248867620074</v>
      </c>
      <c r="H58" s="455">
        <f t="shared" si="16"/>
        <v>2753.2248867620074</v>
      </c>
      <c r="I58" s="475">
        <f t="shared" si="18"/>
        <v>0</v>
      </c>
      <c r="J58" s="475"/>
      <c r="K58" s="487"/>
      <c r="L58" s="478">
        <f t="shared" si="19"/>
        <v>0</v>
      </c>
      <c r="M58" s="487"/>
      <c r="N58" s="478">
        <f t="shared" si="20"/>
        <v>0</v>
      </c>
      <c r="O58" s="478">
        <f t="shared" si="21"/>
        <v>0</v>
      </c>
      <c r="P58" s="242"/>
    </row>
    <row r="59" spans="2:16" ht="12.5">
      <c r="B59" s="160" t="str">
        <f t="shared" si="4"/>
        <v/>
      </c>
      <c r="C59" s="472">
        <f>IF(D11="","-",+C58+1)</f>
        <v>2049</v>
      </c>
      <c r="D59" s="485">
        <f>IF(F58+SUM(E$17:E58)=D$10,F58,D$10-SUM(E$17:E58))</f>
        <v>7329</v>
      </c>
      <c r="E59" s="484">
        <f>IF(+I14&lt;F58,I14,D59)</f>
        <v>1963</v>
      </c>
      <c r="F59" s="485">
        <f t="shared" si="17"/>
        <v>5366</v>
      </c>
      <c r="G59" s="486">
        <f t="shared" si="15"/>
        <v>2541.570984085814</v>
      </c>
      <c r="H59" s="455">
        <f t="shared" si="16"/>
        <v>2541.570984085814</v>
      </c>
      <c r="I59" s="475">
        <f t="shared" si="18"/>
        <v>0</v>
      </c>
      <c r="J59" s="475"/>
      <c r="K59" s="487"/>
      <c r="L59" s="478">
        <f t="shared" si="19"/>
        <v>0</v>
      </c>
      <c r="M59" s="487"/>
      <c r="N59" s="478">
        <f t="shared" si="20"/>
        <v>0</v>
      </c>
      <c r="O59" s="478">
        <f t="shared" si="21"/>
        <v>0</v>
      </c>
      <c r="P59" s="242"/>
    </row>
    <row r="60" spans="2:16" ht="12.5">
      <c r="B60" s="160" t="str">
        <f t="shared" si="4"/>
        <v/>
      </c>
      <c r="C60" s="472">
        <f>IF(D11="","-",+C59+1)</f>
        <v>2050</v>
      </c>
      <c r="D60" s="485">
        <f>IF(F59+SUM(E$17:E59)=D$10,F59,D$10-SUM(E$17:E59))</f>
        <v>5366</v>
      </c>
      <c r="E60" s="484">
        <f>IF(+I14&lt;F59,I14,D60)</f>
        <v>1963</v>
      </c>
      <c r="F60" s="485">
        <f t="shared" si="17"/>
        <v>3403</v>
      </c>
      <c r="G60" s="486">
        <f t="shared" si="15"/>
        <v>2329.917081409621</v>
      </c>
      <c r="H60" s="455">
        <f t="shared" si="16"/>
        <v>2329.917081409621</v>
      </c>
      <c r="I60" s="475">
        <f t="shared" si="18"/>
        <v>0</v>
      </c>
      <c r="J60" s="475"/>
      <c r="K60" s="487"/>
      <c r="L60" s="478">
        <f t="shared" si="19"/>
        <v>0</v>
      </c>
      <c r="M60" s="487"/>
      <c r="N60" s="478">
        <f t="shared" si="20"/>
        <v>0</v>
      </c>
      <c r="O60" s="478">
        <f t="shared" si="21"/>
        <v>0</v>
      </c>
      <c r="P60" s="242"/>
    </row>
    <row r="61" spans="2:16" ht="12.5">
      <c r="B61" s="160" t="str">
        <f t="shared" si="4"/>
        <v/>
      </c>
      <c r="C61" s="472">
        <f>IF(D11="","-",+C60+1)</f>
        <v>2051</v>
      </c>
      <c r="D61" s="485">
        <f>IF(F60+SUM(E$17:E60)=D$10,F60,D$10-SUM(E$17:E60))</f>
        <v>3403</v>
      </c>
      <c r="E61" s="484">
        <f>IF(+I14&lt;F60,I14,D61)</f>
        <v>1963</v>
      </c>
      <c r="F61" s="485">
        <f t="shared" si="17"/>
        <v>1440</v>
      </c>
      <c r="G61" s="488">
        <f t="shared" si="15"/>
        <v>2118.2631787334276</v>
      </c>
      <c r="H61" s="455">
        <f t="shared" si="16"/>
        <v>2118.2631787334276</v>
      </c>
      <c r="I61" s="475">
        <f t="shared" si="18"/>
        <v>0</v>
      </c>
      <c r="J61" s="475"/>
      <c r="K61" s="487"/>
      <c r="L61" s="478">
        <f t="shared" si="19"/>
        <v>0</v>
      </c>
      <c r="M61" s="487"/>
      <c r="N61" s="478">
        <f t="shared" si="20"/>
        <v>0</v>
      </c>
      <c r="O61" s="478">
        <f t="shared" si="21"/>
        <v>0</v>
      </c>
      <c r="P61" s="242"/>
    </row>
    <row r="62" spans="2:16" ht="12.5">
      <c r="B62" s="160" t="str">
        <f t="shared" si="4"/>
        <v/>
      </c>
      <c r="C62" s="472">
        <f>IF(D11="","-",+C61+1)</f>
        <v>2052</v>
      </c>
      <c r="D62" s="485">
        <f>IF(F61+SUM(E$17:E61)=D$10,F61,D$10-SUM(E$17:E61))</f>
        <v>1440</v>
      </c>
      <c r="E62" s="484">
        <f>IF(+I14&lt;F61,I14,D62)</f>
        <v>1440</v>
      </c>
      <c r="F62" s="485">
        <f t="shared" si="17"/>
        <v>0</v>
      </c>
      <c r="G62" s="488">
        <f t="shared" si="15"/>
        <v>1440</v>
      </c>
      <c r="H62" s="455">
        <f t="shared" si="16"/>
        <v>1440</v>
      </c>
      <c r="I62" s="475">
        <f t="shared" si="18"/>
        <v>0</v>
      </c>
      <c r="J62" s="475"/>
      <c r="K62" s="487"/>
      <c r="L62" s="478">
        <f t="shared" si="19"/>
        <v>0</v>
      </c>
      <c r="M62" s="487"/>
      <c r="N62" s="478">
        <f t="shared" si="20"/>
        <v>0</v>
      </c>
      <c r="O62" s="478">
        <f t="shared" si="21"/>
        <v>0</v>
      </c>
      <c r="P62" s="242"/>
    </row>
    <row r="63" spans="2:16" ht="12.5">
      <c r="B63" s="160" t="str">
        <f t="shared" si="4"/>
        <v/>
      </c>
      <c r="C63" s="472">
        <f>IF(D11="","-",+C62+1)</f>
        <v>2053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7"/>
        <v>0</v>
      </c>
      <c r="G63" s="488">
        <f t="shared" si="15"/>
        <v>0</v>
      </c>
      <c r="H63" s="455">
        <f t="shared" si="16"/>
        <v>0</v>
      </c>
      <c r="I63" s="475">
        <f t="shared" si="18"/>
        <v>0</v>
      </c>
      <c r="J63" s="475"/>
      <c r="K63" s="487"/>
      <c r="L63" s="478">
        <f t="shared" si="19"/>
        <v>0</v>
      </c>
      <c r="M63" s="487"/>
      <c r="N63" s="478">
        <f t="shared" si="20"/>
        <v>0</v>
      </c>
      <c r="O63" s="478">
        <f t="shared" si="21"/>
        <v>0</v>
      </c>
      <c r="P63" s="242"/>
    </row>
    <row r="64" spans="2:16" ht="12.5">
      <c r="B64" s="160" t="str">
        <f t="shared" si="4"/>
        <v/>
      </c>
      <c r="C64" s="472">
        <f>IF(D11="","-",+C63+1)</f>
        <v>2054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7"/>
        <v>0</v>
      </c>
      <c r="G64" s="488">
        <f t="shared" si="15"/>
        <v>0</v>
      </c>
      <c r="H64" s="455">
        <f t="shared" si="16"/>
        <v>0</v>
      </c>
      <c r="I64" s="475">
        <f t="shared" si="18"/>
        <v>0</v>
      </c>
      <c r="J64" s="475"/>
      <c r="K64" s="487"/>
      <c r="L64" s="478">
        <f t="shared" si="19"/>
        <v>0</v>
      </c>
      <c r="M64" s="487"/>
      <c r="N64" s="478">
        <f t="shared" si="20"/>
        <v>0</v>
      </c>
      <c r="O64" s="478">
        <f t="shared" si="21"/>
        <v>0</v>
      </c>
      <c r="P64" s="242"/>
    </row>
    <row r="65" spans="2:16" ht="12.5">
      <c r="B65" s="160" t="str">
        <f t="shared" si="4"/>
        <v/>
      </c>
      <c r="C65" s="472">
        <f>IF(D11="","-",+C64+1)</f>
        <v>2055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7"/>
        <v>0</v>
      </c>
      <c r="G65" s="488">
        <f t="shared" si="15"/>
        <v>0</v>
      </c>
      <c r="H65" s="455">
        <f t="shared" si="16"/>
        <v>0</v>
      </c>
      <c r="I65" s="475">
        <f t="shared" si="18"/>
        <v>0</v>
      </c>
      <c r="J65" s="475"/>
      <c r="K65" s="487"/>
      <c r="L65" s="478">
        <f t="shared" si="19"/>
        <v>0</v>
      </c>
      <c r="M65" s="487"/>
      <c r="N65" s="478">
        <f t="shared" si="20"/>
        <v>0</v>
      </c>
      <c r="O65" s="478">
        <f t="shared" si="21"/>
        <v>0</v>
      </c>
      <c r="P65" s="242"/>
    </row>
    <row r="66" spans="2:16" ht="12.5">
      <c r="B66" s="160" t="str">
        <f t="shared" si="4"/>
        <v/>
      </c>
      <c r="C66" s="472">
        <f>IF(D11="","-",+C65+1)</f>
        <v>2056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7"/>
        <v>0</v>
      </c>
      <c r="G66" s="488">
        <f t="shared" si="15"/>
        <v>0</v>
      </c>
      <c r="H66" s="455">
        <f t="shared" si="16"/>
        <v>0</v>
      </c>
      <c r="I66" s="475">
        <f t="shared" si="18"/>
        <v>0</v>
      </c>
      <c r="J66" s="475"/>
      <c r="K66" s="487"/>
      <c r="L66" s="478">
        <f t="shared" si="19"/>
        <v>0</v>
      </c>
      <c r="M66" s="487"/>
      <c r="N66" s="478">
        <f t="shared" si="20"/>
        <v>0</v>
      </c>
      <c r="O66" s="478">
        <f t="shared" si="21"/>
        <v>0</v>
      </c>
      <c r="P66" s="242"/>
    </row>
    <row r="67" spans="2:16" ht="12.5">
      <c r="B67" s="160" t="str">
        <f t="shared" si="4"/>
        <v/>
      </c>
      <c r="C67" s="472">
        <f>IF(D11="","-",+C66+1)</f>
        <v>2057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7"/>
        <v>0</v>
      </c>
      <c r="G67" s="488">
        <f t="shared" si="15"/>
        <v>0</v>
      </c>
      <c r="H67" s="455">
        <f t="shared" si="16"/>
        <v>0</v>
      </c>
      <c r="I67" s="475">
        <f t="shared" si="18"/>
        <v>0</v>
      </c>
      <c r="J67" s="475"/>
      <c r="K67" s="487"/>
      <c r="L67" s="478">
        <f t="shared" si="19"/>
        <v>0</v>
      </c>
      <c r="M67" s="487"/>
      <c r="N67" s="478">
        <f t="shared" si="20"/>
        <v>0</v>
      </c>
      <c r="O67" s="478">
        <f t="shared" si="21"/>
        <v>0</v>
      </c>
      <c r="P67" s="242"/>
    </row>
    <row r="68" spans="2:16" ht="12.5">
      <c r="B68" s="160" t="str">
        <f t="shared" si="4"/>
        <v/>
      </c>
      <c r="C68" s="472">
        <f>IF(D11="","-",+C67+1)</f>
        <v>2058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7"/>
        <v>0</v>
      </c>
      <c r="G68" s="488">
        <f t="shared" si="15"/>
        <v>0</v>
      </c>
      <c r="H68" s="455">
        <f t="shared" si="16"/>
        <v>0</v>
      </c>
      <c r="I68" s="475">
        <f t="shared" si="18"/>
        <v>0</v>
      </c>
      <c r="J68" s="475"/>
      <c r="K68" s="487"/>
      <c r="L68" s="478">
        <f t="shared" si="19"/>
        <v>0</v>
      </c>
      <c r="M68" s="487"/>
      <c r="N68" s="478">
        <f t="shared" si="20"/>
        <v>0</v>
      </c>
      <c r="O68" s="478">
        <f t="shared" si="21"/>
        <v>0</v>
      </c>
      <c r="P68" s="242"/>
    </row>
    <row r="69" spans="2:16" ht="12.5">
      <c r="B69" s="160" t="str">
        <f t="shared" si="4"/>
        <v/>
      </c>
      <c r="C69" s="472">
        <f>IF(D11="","-",+C68+1)</f>
        <v>2059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7"/>
        <v>0</v>
      </c>
      <c r="G69" s="488">
        <f t="shared" si="15"/>
        <v>0</v>
      </c>
      <c r="H69" s="455">
        <f t="shared" si="16"/>
        <v>0</v>
      </c>
      <c r="I69" s="475">
        <f t="shared" si="18"/>
        <v>0</v>
      </c>
      <c r="J69" s="475"/>
      <c r="K69" s="487"/>
      <c r="L69" s="478">
        <f t="shared" si="19"/>
        <v>0</v>
      </c>
      <c r="M69" s="487"/>
      <c r="N69" s="478">
        <f t="shared" si="20"/>
        <v>0</v>
      </c>
      <c r="O69" s="478">
        <f t="shared" si="21"/>
        <v>0</v>
      </c>
      <c r="P69" s="242"/>
    </row>
    <row r="70" spans="2:16" ht="12.5">
      <c r="B70" s="160" t="str">
        <f t="shared" si="4"/>
        <v/>
      </c>
      <c r="C70" s="472">
        <f>IF(D11="","-",+C69+1)</f>
        <v>2060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7"/>
        <v>0</v>
      </c>
      <c r="G70" s="488">
        <f t="shared" si="15"/>
        <v>0</v>
      </c>
      <c r="H70" s="455">
        <f t="shared" si="16"/>
        <v>0</v>
      </c>
      <c r="I70" s="475">
        <f t="shared" si="18"/>
        <v>0</v>
      </c>
      <c r="J70" s="475"/>
      <c r="K70" s="487"/>
      <c r="L70" s="478">
        <f t="shared" si="19"/>
        <v>0</v>
      </c>
      <c r="M70" s="487"/>
      <c r="N70" s="478">
        <f t="shared" si="20"/>
        <v>0</v>
      </c>
      <c r="O70" s="478">
        <f t="shared" si="21"/>
        <v>0</v>
      </c>
      <c r="P70" s="242"/>
    </row>
    <row r="71" spans="2:16" ht="12.5">
      <c r="B71" s="160" t="str">
        <f t="shared" si="4"/>
        <v/>
      </c>
      <c r="C71" s="472">
        <f>IF(D11="","-",+C70+1)</f>
        <v>2061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7"/>
        <v>0</v>
      </c>
      <c r="G71" s="488">
        <f t="shared" si="15"/>
        <v>0</v>
      </c>
      <c r="H71" s="455">
        <f t="shared" si="16"/>
        <v>0</v>
      </c>
      <c r="I71" s="475">
        <f t="shared" si="18"/>
        <v>0</v>
      </c>
      <c r="J71" s="475"/>
      <c r="K71" s="487"/>
      <c r="L71" s="478">
        <f t="shared" si="19"/>
        <v>0</v>
      </c>
      <c r="M71" s="487"/>
      <c r="N71" s="478">
        <f t="shared" si="20"/>
        <v>0</v>
      </c>
      <c r="O71" s="478">
        <f t="shared" si="21"/>
        <v>0</v>
      </c>
      <c r="P71" s="242"/>
    </row>
    <row r="72" spans="2:16" ht="13" thickBot="1">
      <c r="B72" s="160" t="str">
        <f t="shared" si="4"/>
        <v/>
      </c>
      <c r="C72" s="489">
        <f>IF(D11="","-",+C71+1)</f>
        <v>2062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7"/>
        <v>0</v>
      </c>
      <c r="G72" s="492">
        <f t="shared" si="15"/>
        <v>0</v>
      </c>
      <c r="H72" s="435">
        <f t="shared" si="16"/>
        <v>0</v>
      </c>
      <c r="I72" s="493">
        <f t="shared" si="18"/>
        <v>0</v>
      </c>
      <c r="J72" s="475"/>
      <c r="K72" s="494"/>
      <c r="L72" s="495">
        <f t="shared" si="19"/>
        <v>0</v>
      </c>
      <c r="M72" s="494"/>
      <c r="N72" s="495">
        <f t="shared" si="20"/>
        <v>0</v>
      </c>
      <c r="O72" s="495">
        <f t="shared" si="21"/>
        <v>0</v>
      </c>
      <c r="P72" s="242"/>
    </row>
    <row r="73" spans="2:16" ht="12.5">
      <c r="C73" s="346" t="s">
        <v>77</v>
      </c>
      <c r="D73" s="347"/>
      <c r="E73" s="347">
        <f>SUM(E17:E72)</f>
        <v>84424</v>
      </c>
      <c r="F73" s="347"/>
      <c r="G73" s="347">
        <f>SUM(G17:G72)</f>
        <v>289900.85764400556</v>
      </c>
      <c r="H73" s="347">
        <f>SUM(H17:H72)</f>
        <v>289900.85764400556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7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9408.7099366610164</v>
      </c>
      <c r="N87" s="508">
        <f>IF(J92&lt;D11,0,VLOOKUP(J92,C17:O72,11))</f>
        <v>9408.7099366610164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8749.6051392547379</v>
      </c>
      <c r="N88" s="512">
        <f>IF(J92&lt;D11,0,VLOOKUP(J92,C99:P154,7))</f>
        <v>8749.6051392547379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Elk City - Elk City 69 kV line (CT Upgrades)*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-659.10479740627852</v>
      </c>
      <c r="N89" s="517">
        <f>+N88-N87</f>
        <v>-659.10479740627852</v>
      </c>
      <c r="O89" s="518">
        <f>+O88-O87</f>
        <v>0</v>
      </c>
      <c r="P89" s="232"/>
    </row>
    <row r="90" spans="1:16" ht="13.5" thickBot="1">
      <c r="C90" s="496"/>
      <c r="D90" s="519" t="str">
        <f>D8</f>
        <v>DOES NOT MEET SPP $100,000 MINIMUM INVESTMENT FOR REGIONAL BPU SHARING.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TP2007015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84424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2007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12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2059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2007</v>
      </c>
      <c r="D99" s="473">
        <v>0</v>
      </c>
      <c r="E99" s="480">
        <v>0</v>
      </c>
      <c r="F99" s="479">
        <v>84424</v>
      </c>
      <c r="G99" s="537">
        <v>42212</v>
      </c>
      <c r="H99" s="538">
        <v>0</v>
      </c>
      <c r="I99" s="539">
        <v>0</v>
      </c>
      <c r="J99" s="478">
        <f t="shared" ref="J99:J130" si="22">+I99-H99</f>
        <v>0</v>
      </c>
      <c r="K99" s="478"/>
      <c r="L99" s="554">
        <v>0</v>
      </c>
      <c r="M99" s="477">
        <f t="shared" ref="M99:M130" si="23">IF(L99&lt;&gt;0,+H99-L99,0)</f>
        <v>0</v>
      </c>
      <c r="N99" s="554">
        <v>0</v>
      </c>
      <c r="O99" s="477">
        <f t="shared" ref="O99:O130" si="24">IF(N99&lt;&gt;0,+I99-N99,0)</f>
        <v>0</v>
      </c>
      <c r="P99" s="477">
        <f t="shared" ref="P99:P130" si="25">+O99-M99</f>
        <v>0</v>
      </c>
    </row>
    <row r="100" spans="1:16" ht="12.5">
      <c r="B100" s="160" t="str">
        <f>IF(D100=F99,"","IU")</f>
        <v/>
      </c>
      <c r="C100" s="472">
        <f>IF(D93="","-",+C99+1)</f>
        <v>2008</v>
      </c>
      <c r="D100" s="473">
        <v>84424</v>
      </c>
      <c r="E100" s="480">
        <v>1593</v>
      </c>
      <c r="F100" s="479">
        <v>82831</v>
      </c>
      <c r="G100" s="479">
        <v>83628</v>
      </c>
      <c r="H100" s="480">
        <v>14877</v>
      </c>
      <c r="I100" s="481">
        <v>14877</v>
      </c>
      <c r="J100" s="478">
        <f t="shared" si="22"/>
        <v>0</v>
      </c>
      <c r="K100" s="478"/>
      <c r="L100" s="476">
        <v>14877</v>
      </c>
      <c r="M100" s="478">
        <f t="shared" si="23"/>
        <v>0</v>
      </c>
      <c r="N100" s="476">
        <v>14877</v>
      </c>
      <c r="O100" s="478">
        <f t="shared" si="24"/>
        <v>0</v>
      </c>
      <c r="P100" s="478">
        <f t="shared" si="25"/>
        <v>0</v>
      </c>
    </row>
    <row r="101" spans="1:16" ht="12.5">
      <c r="B101" s="160" t="str">
        <f t="shared" ref="B101:B154" si="26">IF(D101=F100,"","IU")</f>
        <v/>
      </c>
      <c r="C101" s="472">
        <f>IF(D93="","-",+C100+1)</f>
        <v>2009</v>
      </c>
      <c r="D101" s="473">
        <v>82831</v>
      </c>
      <c r="E101" s="480">
        <v>1508</v>
      </c>
      <c r="F101" s="479">
        <v>81323</v>
      </c>
      <c r="G101" s="479">
        <v>82077</v>
      </c>
      <c r="H101" s="480">
        <v>13508.337143636172</v>
      </c>
      <c r="I101" s="481">
        <v>13508.337143636172</v>
      </c>
      <c r="J101" s="478">
        <f t="shared" si="22"/>
        <v>0</v>
      </c>
      <c r="K101" s="478"/>
      <c r="L101" s="540">
        <f t="shared" ref="L101:L106" si="27">H101</f>
        <v>13508.337143636172</v>
      </c>
      <c r="M101" s="541">
        <f t="shared" si="23"/>
        <v>0</v>
      </c>
      <c r="N101" s="540">
        <f t="shared" ref="N101:N106" si="28">I101</f>
        <v>13508.337143636172</v>
      </c>
      <c r="O101" s="478">
        <f t="shared" si="24"/>
        <v>0</v>
      </c>
      <c r="P101" s="478">
        <f t="shared" si="25"/>
        <v>0</v>
      </c>
    </row>
    <row r="102" spans="1:16" ht="12.5">
      <c r="B102" s="160" t="str">
        <f t="shared" si="26"/>
        <v/>
      </c>
      <c r="C102" s="472">
        <f>IF(D93="","-",+C101+1)</f>
        <v>2010</v>
      </c>
      <c r="D102" s="473">
        <v>81323</v>
      </c>
      <c r="E102" s="480">
        <v>1655</v>
      </c>
      <c r="F102" s="479">
        <v>79668</v>
      </c>
      <c r="G102" s="479">
        <v>80495.5</v>
      </c>
      <c r="H102" s="480">
        <v>14599.901682354179</v>
      </c>
      <c r="I102" s="481">
        <v>14599.901682354179</v>
      </c>
      <c r="J102" s="478">
        <f t="shared" si="22"/>
        <v>0</v>
      </c>
      <c r="K102" s="478"/>
      <c r="L102" s="540">
        <f t="shared" si="27"/>
        <v>14599.901682354179</v>
      </c>
      <c r="M102" s="541">
        <f t="shared" si="23"/>
        <v>0</v>
      </c>
      <c r="N102" s="540">
        <f t="shared" si="28"/>
        <v>14599.901682354179</v>
      </c>
      <c r="O102" s="478">
        <f t="shared" si="24"/>
        <v>0</v>
      </c>
      <c r="P102" s="478">
        <f t="shared" si="25"/>
        <v>0</v>
      </c>
    </row>
    <row r="103" spans="1:16" ht="12.5">
      <c r="B103" s="160" t="str">
        <f t="shared" si="26"/>
        <v/>
      </c>
      <c r="C103" s="472">
        <f>IF(D93="","-",+C102+1)</f>
        <v>2011</v>
      </c>
      <c r="D103" s="473">
        <v>79668</v>
      </c>
      <c r="E103" s="480">
        <v>1624</v>
      </c>
      <c r="F103" s="479">
        <v>78044</v>
      </c>
      <c r="G103" s="479">
        <v>78856</v>
      </c>
      <c r="H103" s="480">
        <v>12649.128461660426</v>
      </c>
      <c r="I103" s="481">
        <v>12649.128461660426</v>
      </c>
      <c r="J103" s="478">
        <f t="shared" si="22"/>
        <v>0</v>
      </c>
      <c r="K103" s="478"/>
      <c r="L103" s="540">
        <f t="shared" si="27"/>
        <v>12649.128461660426</v>
      </c>
      <c r="M103" s="541">
        <f t="shared" si="23"/>
        <v>0</v>
      </c>
      <c r="N103" s="540">
        <f t="shared" si="28"/>
        <v>12649.128461660426</v>
      </c>
      <c r="O103" s="478">
        <f t="shared" si="24"/>
        <v>0</v>
      </c>
      <c r="P103" s="478">
        <f t="shared" si="25"/>
        <v>0</v>
      </c>
    </row>
    <row r="104" spans="1:16" ht="12.5">
      <c r="B104" s="160" t="str">
        <f t="shared" si="26"/>
        <v/>
      </c>
      <c r="C104" s="472">
        <f>IF(D93="","-",+C103+1)</f>
        <v>2012</v>
      </c>
      <c r="D104" s="473">
        <v>78044</v>
      </c>
      <c r="E104" s="480">
        <v>1624</v>
      </c>
      <c r="F104" s="479">
        <v>76420</v>
      </c>
      <c r="G104" s="479">
        <v>77232</v>
      </c>
      <c r="H104" s="480">
        <v>12734.246570183563</v>
      </c>
      <c r="I104" s="481">
        <v>12734.246570183563</v>
      </c>
      <c r="J104" s="478">
        <v>0</v>
      </c>
      <c r="K104" s="478"/>
      <c r="L104" s="540">
        <f t="shared" si="27"/>
        <v>12734.246570183563</v>
      </c>
      <c r="M104" s="541">
        <f t="shared" ref="M104:M109" si="29">IF(L104&lt;&gt;0,+H104-L104,0)</f>
        <v>0</v>
      </c>
      <c r="N104" s="540">
        <f t="shared" si="28"/>
        <v>12734.246570183563</v>
      </c>
      <c r="O104" s="478">
        <f t="shared" ref="O104:O109" si="30">IF(N104&lt;&gt;0,+I104-N104,0)</f>
        <v>0</v>
      </c>
      <c r="P104" s="478">
        <f t="shared" ref="P104:P109" si="31">+O104-M104</f>
        <v>0</v>
      </c>
    </row>
    <row r="105" spans="1:16" ht="12.5">
      <c r="B105" s="160" t="str">
        <f t="shared" si="26"/>
        <v/>
      </c>
      <c r="C105" s="472">
        <f>IF(D93="","-",+C104+1)</f>
        <v>2013</v>
      </c>
      <c r="D105" s="473">
        <v>76420</v>
      </c>
      <c r="E105" s="480">
        <v>1624</v>
      </c>
      <c r="F105" s="479">
        <v>74796</v>
      </c>
      <c r="G105" s="479">
        <v>75608</v>
      </c>
      <c r="H105" s="480">
        <v>12506.984818583547</v>
      </c>
      <c r="I105" s="481">
        <v>12506.984818583547</v>
      </c>
      <c r="J105" s="478">
        <v>0</v>
      </c>
      <c r="K105" s="478"/>
      <c r="L105" s="540">
        <f t="shared" si="27"/>
        <v>12506.984818583547</v>
      </c>
      <c r="M105" s="541">
        <f t="shared" si="29"/>
        <v>0</v>
      </c>
      <c r="N105" s="540">
        <f t="shared" si="28"/>
        <v>12506.984818583547</v>
      </c>
      <c r="O105" s="478">
        <f t="shared" si="30"/>
        <v>0</v>
      </c>
      <c r="P105" s="478">
        <f t="shared" si="31"/>
        <v>0</v>
      </c>
    </row>
    <row r="106" spans="1:16" ht="12.5">
      <c r="B106" s="160" t="str">
        <f t="shared" si="26"/>
        <v/>
      </c>
      <c r="C106" s="472">
        <f>IF(D93="","-",+C105+1)</f>
        <v>2014</v>
      </c>
      <c r="D106" s="473">
        <v>74796</v>
      </c>
      <c r="E106" s="480">
        <v>1624</v>
      </c>
      <c r="F106" s="479">
        <v>73172</v>
      </c>
      <c r="G106" s="479">
        <v>73984</v>
      </c>
      <c r="H106" s="480">
        <v>12025.847971361507</v>
      </c>
      <c r="I106" s="481">
        <v>12025.847971361507</v>
      </c>
      <c r="J106" s="478">
        <v>0</v>
      </c>
      <c r="K106" s="478"/>
      <c r="L106" s="540">
        <f t="shared" si="27"/>
        <v>12025.847971361507</v>
      </c>
      <c r="M106" s="541">
        <f t="shared" si="29"/>
        <v>0</v>
      </c>
      <c r="N106" s="540">
        <f t="shared" si="28"/>
        <v>12025.847971361507</v>
      </c>
      <c r="O106" s="478">
        <f t="shared" si="30"/>
        <v>0</v>
      </c>
      <c r="P106" s="478">
        <f t="shared" si="31"/>
        <v>0</v>
      </c>
    </row>
    <row r="107" spans="1:16" ht="12.5">
      <c r="B107" s="160" t="str">
        <f t="shared" si="26"/>
        <v/>
      </c>
      <c r="C107" s="472">
        <f>IF(D93="","-",+C106+1)</f>
        <v>2015</v>
      </c>
      <c r="D107" s="473">
        <v>73172</v>
      </c>
      <c r="E107" s="480">
        <v>1624</v>
      </c>
      <c r="F107" s="479">
        <v>71548</v>
      </c>
      <c r="G107" s="479">
        <v>72360</v>
      </c>
      <c r="H107" s="480">
        <v>11496.940196929139</v>
      </c>
      <c r="I107" s="481">
        <v>11496.940196929139</v>
      </c>
      <c r="J107" s="478">
        <f t="shared" si="22"/>
        <v>0</v>
      </c>
      <c r="K107" s="478"/>
      <c r="L107" s="540">
        <f>H107</f>
        <v>11496.940196929139</v>
      </c>
      <c r="M107" s="541">
        <f t="shared" si="29"/>
        <v>0</v>
      </c>
      <c r="N107" s="540">
        <f>I107</f>
        <v>11496.940196929139</v>
      </c>
      <c r="O107" s="478">
        <f t="shared" si="30"/>
        <v>0</v>
      </c>
      <c r="P107" s="478">
        <f t="shared" si="31"/>
        <v>0</v>
      </c>
    </row>
    <row r="108" spans="1:16" ht="12.5">
      <c r="B108" s="160" t="str">
        <f t="shared" si="26"/>
        <v/>
      </c>
      <c r="C108" s="472">
        <f>IF(D93="","-",+C107+1)</f>
        <v>2016</v>
      </c>
      <c r="D108" s="473">
        <v>71548</v>
      </c>
      <c r="E108" s="480">
        <v>1835</v>
      </c>
      <c r="F108" s="479">
        <v>69713</v>
      </c>
      <c r="G108" s="479">
        <v>70630.5</v>
      </c>
      <c r="H108" s="480">
        <v>10940.383800869789</v>
      </c>
      <c r="I108" s="481">
        <v>10940.383800869789</v>
      </c>
      <c r="J108" s="478">
        <f t="shared" si="22"/>
        <v>0</v>
      </c>
      <c r="K108" s="478"/>
      <c r="L108" s="540">
        <f>H108</f>
        <v>10940.383800869789</v>
      </c>
      <c r="M108" s="541">
        <f t="shared" si="29"/>
        <v>0</v>
      </c>
      <c r="N108" s="540">
        <f>I108</f>
        <v>10940.383800869789</v>
      </c>
      <c r="O108" s="478">
        <f t="shared" si="30"/>
        <v>0</v>
      </c>
      <c r="P108" s="478">
        <f t="shared" si="31"/>
        <v>0</v>
      </c>
    </row>
    <row r="109" spans="1:16" ht="12.5">
      <c r="B109" s="160" t="str">
        <f t="shared" si="26"/>
        <v/>
      </c>
      <c r="C109" s="472">
        <f>IF(D93="","-",+C108+1)</f>
        <v>2017</v>
      </c>
      <c r="D109" s="473">
        <v>69713</v>
      </c>
      <c r="E109" s="480">
        <v>1835</v>
      </c>
      <c r="F109" s="479">
        <v>67878</v>
      </c>
      <c r="G109" s="479">
        <v>68795.5</v>
      </c>
      <c r="H109" s="480">
        <v>10561.882642914878</v>
      </c>
      <c r="I109" s="481">
        <v>10561.882642914878</v>
      </c>
      <c r="J109" s="478">
        <f t="shared" si="22"/>
        <v>0</v>
      </c>
      <c r="K109" s="478"/>
      <c r="L109" s="540">
        <f>H109</f>
        <v>10561.882642914878</v>
      </c>
      <c r="M109" s="541">
        <f t="shared" si="29"/>
        <v>0</v>
      </c>
      <c r="N109" s="540">
        <f>I109</f>
        <v>10561.882642914878</v>
      </c>
      <c r="O109" s="478">
        <f t="shared" si="30"/>
        <v>0</v>
      </c>
      <c r="P109" s="478">
        <f t="shared" si="31"/>
        <v>0</v>
      </c>
    </row>
    <row r="110" spans="1:16" ht="12.5">
      <c r="B110" s="160" t="str">
        <f t="shared" si="26"/>
        <v/>
      </c>
      <c r="C110" s="472">
        <f>IF(D93="","-",+C109+1)</f>
        <v>2018</v>
      </c>
      <c r="D110" s="473">
        <v>67878</v>
      </c>
      <c r="E110" s="480">
        <v>1963</v>
      </c>
      <c r="F110" s="479">
        <v>65915</v>
      </c>
      <c r="G110" s="479">
        <v>66896.5</v>
      </c>
      <c r="H110" s="480">
        <v>8835.6498462369182</v>
      </c>
      <c r="I110" s="481">
        <v>8835.6498462369182</v>
      </c>
      <c r="J110" s="478">
        <f t="shared" si="22"/>
        <v>0</v>
      </c>
      <c r="K110" s="478"/>
      <c r="L110" s="540">
        <f>H110</f>
        <v>8835.6498462369182</v>
      </c>
      <c r="M110" s="541">
        <f t="shared" ref="M110" si="32">IF(L110&lt;&gt;0,+H110-L110,0)</f>
        <v>0</v>
      </c>
      <c r="N110" s="540">
        <f>I110</f>
        <v>8835.6498462369182</v>
      </c>
      <c r="O110" s="478">
        <f t="shared" ref="O110" si="33">IF(N110&lt;&gt;0,+I110-N110,0)</f>
        <v>0</v>
      </c>
      <c r="P110" s="478">
        <f t="shared" ref="P110" si="34">+O110-M110</f>
        <v>0</v>
      </c>
    </row>
    <row r="111" spans="1:16" ht="12.5">
      <c r="B111" s="160" t="str">
        <f t="shared" si="26"/>
        <v/>
      </c>
      <c r="C111" s="472">
        <f>IF(D93="","-",+C110+1)</f>
        <v>2019</v>
      </c>
      <c r="D111" s="346">
        <f>IF(F110+SUM(E$99:E110)=D$92,F110,D$92-SUM(E$99:E110))</f>
        <v>65915</v>
      </c>
      <c r="E111" s="486">
        <f>IF(+J96&lt;F110,J96,D111)</f>
        <v>2059</v>
      </c>
      <c r="F111" s="485">
        <f t="shared" ref="F111:F129" si="35">+D111-E111</f>
        <v>63856</v>
      </c>
      <c r="G111" s="485">
        <f t="shared" ref="G111:G129" si="36">+(F111+D111)/2</f>
        <v>64885.5</v>
      </c>
      <c r="H111" s="488">
        <f t="shared" ref="H111:H154" si="37">+J$94*G111+E111</f>
        <v>8749.6051392547379</v>
      </c>
      <c r="I111" s="542">
        <f t="shared" ref="I111:I154" si="38">+J$95*G111+E111</f>
        <v>8749.6051392547379</v>
      </c>
      <c r="J111" s="478">
        <f t="shared" si="22"/>
        <v>0</v>
      </c>
      <c r="K111" s="478"/>
      <c r="L111" s="487"/>
      <c r="M111" s="478">
        <f t="shared" si="23"/>
        <v>0</v>
      </c>
      <c r="N111" s="487"/>
      <c r="O111" s="478">
        <f t="shared" si="24"/>
        <v>0</v>
      </c>
      <c r="P111" s="478">
        <f t="shared" si="25"/>
        <v>0</v>
      </c>
    </row>
    <row r="112" spans="1:16" ht="12.5">
      <c r="B112" s="160" t="str">
        <f t="shared" si="26"/>
        <v/>
      </c>
      <c r="C112" s="472">
        <f>IF(D93="","-",+C111+1)</f>
        <v>2020</v>
      </c>
      <c r="D112" s="346">
        <f>IF(F111+SUM(E$99:E111)=D$92,F111,D$92-SUM(E$99:E111))</f>
        <v>63856</v>
      </c>
      <c r="E112" s="486">
        <f>IF(+J96&lt;F111,J96,D112)</f>
        <v>2059</v>
      </c>
      <c r="F112" s="485">
        <f t="shared" si="35"/>
        <v>61797</v>
      </c>
      <c r="G112" s="485">
        <f t="shared" si="36"/>
        <v>62826.5</v>
      </c>
      <c r="H112" s="488">
        <f t="shared" si="37"/>
        <v>8537.293359554722</v>
      </c>
      <c r="I112" s="542">
        <f t="shared" si="38"/>
        <v>8537.293359554722</v>
      </c>
      <c r="J112" s="478">
        <f t="shared" si="22"/>
        <v>0</v>
      </c>
      <c r="K112" s="478"/>
      <c r="L112" s="487"/>
      <c r="M112" s="478">
        <f t="shared" si="23"/>
        <v>0</v>
      </c>
      <c r="N112" s="487"/>
      <c r="O112" s="478">
        <f t="shared" si="24"/>
        <v>0</v>
      </c>
      <c r="P112" s="478">
        <f t="shared" si="25"/>
        <v>0</v>
      </c>
    </row>
    <row r="113" spans="2:16" ht="12.5">
      <c r="B113" s="160" t="str">
        <f t="shared" si="26"/>
        <v/>
      </c>
      <c r="C113" s="472">
        <f>IF(D93="","-",+C112+1)</f>
        <v>2021</v>
      </c>
      <c r="D113" s="346">
        <f>IF(F112+SUM(E$99:E112)=D$92,F112,D$92-SUM(E$99:E112))</f>
        <v>61797</v>
      </c>
      <c r="E113" s="486">
        <f>IF(+J96&lt;F112,J96,D113)</f>
        <v>2059</v>
      </c>
      <c r="F113" s="485">
        <f t="shared" si="35"/>
        <v>59738</v>
      </c>
      <c r="G113" s="485">
        <f t="shared" si="36"/>
        <v>60767.5</v>
      </c>
      <c r="H113" s="488">
        <f t="shared" si="37"/>
        <v>8324.9815798547024</v>
      </c>
      <c r="I113" s="542">
        <f t="shared" si="38"/>
        <v>8324.9815798547024</v>
      </c>
      <c r="J113" s="478">
        <f t="shared" si="22"/>
        <v>0</v>
      </c>
      <c r="K113" s="478"/>
      <c r="L113" s="487"/>
      <c r="M113" s="478">
        <f t="shared" si="23"/>
        <v>0</v>
      </c>
      <c r="N113" s="487"/>
      <c r="O113" s="478">
        <f t="shared" si="24"/>
        <v>0</v>
      </c>
      <c r="P113" s="478">
        <f t="shared" si="25"/>
        <v>0</v>
      </c>
    </row>
    <row r="114" spans="2:16" ht="12.5">
      <c r="B114" s="160" t="str">
        <f t="shared" si="26"/>
        <v/>
      </c>
      <c r="C114" s="472">
        <f>IF(D93="","-",+C113+1)</f>
        <v>2022</v>
      </c>
      <c r="D114" s="346">
        <f>IF(F113+SUM(E$99:E113)=D$92,F113,D$92-SUM(E$99:E113))</f>
        <v>59738</v>
      </c>
      <c r="E114" s="486">
        <f>IF(+J96&lt;F113,J96,D114)</f>
        <v>2059</v>
      </c>
      <c r="F114" s="485">
        <f t="shared" si="35"/>
        <v>57679</v>
      </c>
      <c r="G114" s="485">
        <f t="shared" si="36"/>
        <v>58708.5</v>
      </c>
      <c r="H114" s="488">
        <f t="shared" si="37"/>
        <v>8112.6698001546847</v>
      </c>
      <c r="I114" s="542">
        <f t="shared" si="38"/>
        <v>8112.6698001546847</v>
      </c>
      <c r="J114" s="478">
        <f t="shared" si="22"/>
        <v>0</v>
      </c>
      <c r="K114" s="478"/>
      <c r="L114" s="487"/>
      <c r="M114" s="478">
        <f t="shared" si="23"/>
        <v>0</v>
      </c>
      <c r="N114" s="487"/>
      <c r="O114" s="478">
        <f t="shared" si="24"/>
        <v>0</v>
      </c>
      <c r="P114" s="478">
        <f t="shared" si="25"/>
        <v>0</v>
      </c>
    </row>
    <row r="115" spans="2:16" ht="12.5">
      <c r="B115" s="160" t="str">
        <f t="shared" si="26"/>
        <v/>
      </c>
      <c r="C115" s="472">
        <f>IF(D93="","-",+C114+1)</f>
        <v>2023</v>
      </c>
      <c r="D115" s="346">
        <f>IF(F114+SUM(E$99:E114)=D$92,F114,D$92-SUM(E$99:E114))</f>
        <v>57679</v>
      </c>
      <c r="E115" s="486">
        <f>IF(+J96&lt;F114,J96,D115)</f>
        <v>2059</v>
      </c>
      <c r="F115" s="485">
        <f t="shared" si="35"/>
        <v>55620</v>
      </c>
      <c r="G115" s="485">
        <f t="shared" si="36"/>
        <v>56649.5</v>
      </c>
      <c r="H115" s="488">
        <f t="shared" si="37"/>
        <v>7900.358020454667</v>
      </c>
      <c r="I115" s="542">
        <f t="shared" si="38"/>
        <v>7900.358020454667</v>
      </c>
      <c r="J115" s="478">
        <f t="shared" si="22"/>
        <v>0</v>
      </c>
      <c r="K115" s="478"/>
      <c r="L115" s="487"/>
      <c r="M115" s="478">
        <f t="shared" si="23"/>
        <v>0</v>
      </c>
      <c r="N115" s="487"/>
      <c r="O115" s="478">
        <f t="shared" si="24"/>
        <v>0</v>
      </c>
      <c r="P115" s="478">
        <f t="shared" si="25"/>
        <v>0</v>
      </c>
    </row>
    <row r="116" spans="2:16" ht="12.5">
      <c r="B116" s="160" t="str">
        <f t="shared" si="26"/>
        <v/>
      </c>
      <c r="C116" s="472">
        <f>IF(D93="","-",+C115+1)</f>
        <v>2024</v>
      </c>
      <c r="D116" s="346">
        <f>IF(F115+SUM(E$99:E115)=D$92,F115,D$92-SUM(E$99:E115))</f>
        <v>55620</v>
      </c>
      <c r="E116" s="486">
        <f>IF(+J96&lt;F115,J96,D116)</f>
        <v>2059</v>
      </c>
      <c r="F116" s="485">
        <f t="shared" si="35"/>
        <v>53561</v>
      </c>
      <c r="G116" s="485">
        <f t="shared" si="36"/>
        <v>54590.5</v>
      </c>
      <c r="H116" s="488">
        <f t="shared" si="37"/>
        <v>7688.0462407546493</v>
      </c>
      <c r="I116" s="542">
        <f t="shared" si="38"/>
        <v>7688.0462407546493</v>
      </c>
      <c r="J116" s="478">
        <f t="shared" si="22"/>
        <v>0</v>
      </c>
      <c r="K116" s="478"/>
      <c r="L116" s="487"/>
      <c r="M116" s="478">
        <f t="shared" si="23"/>
        <v>0</v>
      </c>
      <c r="N116" s="487"/>
      <c r="O116" s="478">
        <f t="shared" si="24"/>
        <v>0</v>
      </c>
      <c r="P116" s="478">
        <f t="shared" si="25"/>
        <v>0</v>
      </c>
    </row>
    <row r="117" spans="2:16" ht="12.5">
      <c r="B117" s="160" t="str">
        <f t="shared" si="26"/>
        <v/>
      </c>
      <c r="C117" s="472">
        <f>IF(D93="","-",+C116+1)</f>
        <v>2025</v>
      </c>
      <c r="D117" s="346">
        <f>IF(F116+SUM(E$99:E116)=D$92,F116,D$92-SUM(E$99:E116))</f>
        <v>53561</v>
      </c>
      <c r="E117" s="486">
        <f>IF(+J96&lt;F116,J96,D117)</f>
        <v>2059</v>
      </c>
      <c r="F117" s="485">
        <f t="shared" si="35"/>
        <v>51502</v>
      </c>
      <c r="G117" s="485">
        <f t="shared" si="36"/>
        <v>52531.5</v>
      </c>
      <c r="H117" s="488">
        <f t="shared" si="37"/>
        <v>7475.7344610546315</v>
      </c>
      <c r="I117" s="542">
        <f t="shared" si="38"/>
        <v>7475.7344610546315</v>
      </c>
      <c r="J117" s="478">
        <f t="shared" si="22"/>
        <v>0</v>
      </c>
      <c r="K117" s="478"/>
      <c r="L117" s="487"/>
      <c r="M117" s="478">
        <f t="shared" si="23"/>
        <v>0</v>
      </c>
      <c r="N117" s="487"/>
      <c r="O117" s="478">
        <f t="shared" si="24"/>
        <v>0</v>
      </c>
      <c r="P117" s="478">
        <f t="shared" si="25"/>
        <v>0</v>
      </c>
    </row>
    <row r="118" spans="2:16" ht="12.5">
      <c r="B118" s="160" t="str">
        <f t="shared" si="26"/>
        <v/>
      </c>
      <c r="C118" s="472">
        <f>IF(D93="","-",+C117+1)</f>
        <v>2026</v>
      </c>
      <c r="D118" s="346">
        <f>IF(F117+SUM(E$99:E117)=D$92,F117,D$92-SUM(E$99:E117))</f>
        <v>51502</v>
      </c>
      <c r="E118" s="486">
        <f>IF(+J96&lt;F117,J96,D118)</f>
        <v>2059</v>
      </c>
      <c r="F118" s="485">
        <f t="shared" si="35"/>
        <v>49443</v>
      </c>
      <c r="G118" s="485">
        <f t="shared" si="36"/>
        <v>50472.5</v>
      </c>
      <c r="H118" s="488">
        <f t="shared" si="37"/>
        <v>7263.4226813546138</v>
      </c>
      <c r="I118" s="542">
        <f t="shared" si="38"/>
        <v>7263.4226813546138</v>
      </c>
      <c r="J118" s="478">
        <f t="shared" si="22"/>
        <v>0</v>
      </c>
      <c r="K118" s="478"/>
      <c r="L118" s="487"/>
      <c r="M118" s="478">
        <f t="shared" si="23"/>
        <v>0</v>
      </c>
      <c r="N118" s="487"/>
      <c r="O118" s="478">
        <f t="shared" si="24"/>
        <v>0</v>
      </c>
      <c r="P118" s="478">
        <f t="shared" si="25"/>
        <v>0</v>
      </c>
    </row>
    <row r="119" spans="2:16" ht="12.5">
      <c r="B119" s="160" t="str">
        <f t="shared" si="26"/>
        <v/>
      </c>
      <c r="C119" s="472">
        <f>IF(D93="","-",+C118+1)</f>
        <v>2027</v>
      </c>
      <c r="D119" s="346">
        <f>IF(F118+SUM(E$99:E118)=D$92,F118,D$92-SUM(E$99:E118))</f>
        <v>49443</v>
      </c>
      <c r="E119" s="486">
        <f>IF(+J96&lt;F118,J96,D119)</f>
        <v>2059</v>
      </c>
      <c r="F119" s="485">
        <f t="shared" si="35"/>
        <v>47384</v>
      </c>
      <c r="G119" s="485">
        <f t="shared" si="36"/>
        <v>48413.5</v>
      </c>
      <c r="H119" s="488">
        <f t="shared" si="37"/>
        <v>7051.1109016545961</v>
      </c>
      <c r="I119" s="542">
        <f t="shared" si="38"/>
        <v>7051.1109016545961</v>
      </c>
      <c r="J119" s="478">
        <f t="shared" si="22"/>
        <v>0</v>
      </c>
      <c r="K119" s="478"/>
      <c r="L119" s="487"/>
      <c r="M119" s="478">
        <f t="shared" si="23"/>
        <v>0</v>
      </c>
      <c r="N119" s="487"/>
      <c r="O119" s="478">
        <f t="shared" si="24"/>
        <v>0</v>
      </c>
      <c r="P119" s="478">
        <f t="shared" si="25"/>
        <v>0</v>
      </c>
    </row>
    <row r="120" spans="2:16" ht="12.5">
      <c r="B120" s="160" t="str">
        <f t="shared" si="26"/>
        <v/>
      </c>
      <c r="C120" s="472">
        <f>IF(D93="","-",+C119+1)</f>
        <v>2028</v>
      </c>
      <c r="D120" s="346">
        <f>IF(F119+SUM(E$99:E119)=D$92,F119,D$92-SUM(E$99:E119))</f>
        <v>47384</v>
      </c>
      <c r="E120" s="486">
        <f>IF(+J96&lt;F119,J96,D120)</f>
        <v>2059</v>
      </c>
      <c r="F120" s="485">
        <f t="shared" si="35"/>
        <v>45325</v>
      </c>
      <c r="G120" s="485">
        <f t="shared" si="36"/>
        <v>46354.5</v>
      </c>
      <c r="H120" s="488">
        <f t="shared" si="37"/>
        <v>6838.7991219545784</v>
      </c>
      <c r="I120" s="542">
        <f t="shared" si="38"/>
        <v>6838.7991219545784</v>
      </c>
      <c r="J120" s="478">
        <f t="shared" si="22"/>
        <v>0</v>
      </c>
      <c r="K120" s="478"/>
      <c r="L120" s="487"/>
      <c r="M120" s="478">
        <f t="shared" si="23"/>
        <v>0</v>
      </c>
      <c r="N120" s="487"/>
      <c r="O120" s="478">
        <f t="shared" si="24"/>
        <v>0</v>
      </c>
      <c r="P120" s="478">
        <f t="shared" si="25"/>
        <v>0</v>
      </c>
    </row>
    <row r="121" spans="2:16" ht="12.5">
      <c r="B121" s="160" t="str">
        <f t="shared" si="26"/>
        <v/>
      </c>
      <c r="C121" s="472">
        <f>IF(D93="","-",+C120+1)</f>
        <v>2029</v>
      </c>
      <c r="D121" s="346">
        <f>IF(F120+SUM(E$99:E120)=D$92,F120,D$92-SUM(E$99:E120))</f>
        <v>45325</v>
      </c>
      <c r="E121" s="486">
        <f>IF(+J96&lt;F120,J96,D121)</f>
        <v>2059</v>
      </c>
      <c r="F121" s="485">
        <f t="shared" si="35"/>
        <v>43266</v>
      </c>
      <c r="G121" s="485">
        <f t="shared" si="36"/>
        <v>44295.5</v>
      </c>
      <c r="H121" s="488">
        <f t="shared" si="37"/>
        <v>6626.4873422545606</v>
      </c>
      <c r="I121" s="542">
        <f t="shared" si="38"/>
        <v>6626.4873422545606</v>
      </c>
      <c r="J121" s="478">
        <f t="shared" si="22"/>
        <v>0</v>
      </c>
      <c r="K121" s="478"/>
      <c r="L121" s="487"/>
      <c r="M121" s="478">
        <f t="shared" si="23"/>
        <v>0</v>
      </c>
      <c r="N121" s="487"/>
      <c r="O121" s="478">
        <f t="shared" si="24"/>
        <v>0</v>
      </c>
      <c r="P121" s="478">
        <f t="shared" si="25"/>
        <v>0</v>
      </c>
    </row>
    <row r="122" spans="2:16" ht="12.5">
      <c r="B122" s="160" t="str">
        <f t="shared" si="26"/>
        <v/>
      </c>
      <c r="C122" s="472">
        <f>IF(D93="","-",+C121+1)</f>
        <v>2030</v>
      </c>
      <c r="D122" s="346">
        <f>IF(F121+SUM(E$99:E121)=D$92,F121,D$92-SUM(E$99:E121))</f>
        <v>43266</v>
      </c>
      <c r="E122" s="486">
        <f>IF(+J96&lt;F121,J96,D122)</f>
        <v>2059</v>
      </c>
      <c r="F122" s="485">
        <f t="shared" si="35"/>
        <v>41207</v>
      </c>
      <c r="G122" s="485">
        <f t="shared" si="36"/>
        <v>42236.5</v>
      </c>
      <c r="H122" s="488">
        <f t="shared" si="37"/>
        <v>6414.1755625545429</v>
      </c>
      <c r="I122" s="542">
        <f t="shared" si="38"/>
        <v>6414.1755625545429</v>
      </c>
      <c r="J122" s="478">
        <f t="shared" si="22"/>
        <v>0</v>
      </c>
      <c r="K122" s="478"/>
      <c r="L122" s="487"/>
      <c r="M122" s="478">
        <f t="shared" si="23"/>
        <v>0</v>
      </c>
      <c r="N122" s="487"/>
      <c r="O122" s="478">
        <f t="shared" si="24"/>
        <v>0</v>
      </c>
      <c r="P122" s="478">
        <f t="shared" si="25"/>
        <v>0</v>
      </c>
    </row>
    <row r="123" spans="2:16" ht="12.5">
      <c r="B123" s="160" t="str">
        <f t="shared" si="26"/>
        <v/>
      </c>
      <c r="C123" s="472">
        <f>IF(D93="","-",+C122+1)</f>
        <v>2031</v>
      </c>
      <c r="D123" s="346">
        <f>IF(F122+SUM(E$99:E122)=D$92,F122,D$92-SUM(E$99:E122))</f>
        <v>41207</v>
      </c>
      <c r="E123" s="486">
        <f>IF(+J96&lt;F122,J96,D123)</f>
        <v>2059</v>
      </c>
      <c r="F123" s="485">
        <f t="shared" si="35"/>
        <v>39148</v>
      </c>
      <c r="G123" s="485">
        <f t="shared" si="36"/>
        <v>40177.5</v>
      </c>
      <c r="H123" s="488">
        <f t="shared" si="37"/>
        <v>6201.8637828545243</v>
      </c>
      <c r="I123" s="542">
        <f t="shared" si="38"/>
        <v>6201.8637828545243</v>
      </c>
      <c r="J123" s="478">
        <f t="shared" si="22"/>
        <v>0</v>
      </c>
      <c r="K123" s="478"/>
      <c r="L123" s="487"/>
      <c r="M123" s="478">
        <f t="shared" si="23"/>
        <v>0</v>
      </c>
      <c r="N123" s="487"/>
      <c r="O123" s="478">
        <f t="shared" si="24"/>
        <v>0</v>
      </c>
      <c r="P123" s="478">
        <f t="shared" si="25"/>
        <v>0</v>
      </c>
    </row>
    <row r="124" spans="2:16" ht="12.5">
      <c r="B124" s="160" t="str">
        <f t="shared" si="26"/>
        <v/>
      </c>
      <c r="C124" s="472">
        <f>IF(D93="","-",+C123+1)</f>
        <v>2032</v>
      </c>
      <c r="D124" s="346">
        <f>IF(F123+SUM(E$99:E123)=D$92,F123,D$92-SUM(E$99:E123))</f>
        <v>39148</v>
      </c>
      <c r="E124" s="486">
        <f>IF(+J96&lt;F123,J96,D124)</f>
        <v>2059</v>
      </c>
      <c r="F124" s="485">
        <f t="shared" si="35"/>
        <v>37089</v>
      </c>
      <c r="G124" s="485">
        <f t="shared" si="36"/>
        <v>38118.5</v>
      </c>
      <c r="H124" s="488">
        <f t="shared" si="37"/>
        <v>5989.5520031545075</v>
      </c>
      <c r="I124" s="542">
        <f t="shared" si="38"/>
        <v>5989.5520031545075</v>
      </c>
      <c r="J124" s="478">
        <f t="shared" si="22"/>
        <v>0</v>
      </c>
      <c r="K124" s="478"/>
      <c r="L124" s="487"/>
      <c r="M124" s="478">
        <f t="shared" si="23"/>
        <v>0</v>
      </c>
      <c r="N124" s="487"/>
      <c r="O124" s="478">
        <f t="shared" si="24"/>
        <v>0</v>
      </c>
      <c r="P124" s="478">
        <f t="shared" si="25"/>
        <v>0</v>
      </c>
    </row>
    <row r="125" spans="2:16" ht="12.5">
      <c r="B125" s="160" t="str">
        <f t="shared" si="26"/>
        <v/>
      </c>
      <c r="C125" s="472">
        <f>IF(D93="","-",+C124+1)</f>
        <v>2033</v>
      </c>
      <c r="D125" s="346">
        <f>IF(F124+SUM(E$99:E124)=D$92,F124,D$92-SUM(E$99:E124))</f>
        <v>37089</v>
      </c>
      <c r="E125" s="486">
        <f>IF(+J96&lt;F124,J96,D125)</f>
        <v>2059</v>
      </c>
      <c r="F125" s="485">
        <f t="shared" si="35"/>
        <v>35030</v>
      </c>
      <c r="G125" s="485">
        <f t="shared" si="36"/>
        <v>36059.5</v>
      </c>
      <c r="H125" s="488">
        <f t="shared" si="37"/>
        <v>5777.2402234544888</v>
      </c>
      <c r="I125" s="542">
        <f t="shared" si="38"/>
        <v>5777.2402234544888</v>
      </c>
      <c r="J125" s="478">
        <f t="shared" si="22"/>
        <v>0</v>
      </c>
      <c r="K125" s="478"/>
      <c r="L125" s="487"/>
      <c r="M125" s="478">
        <f t="shared" si="23"/>
        <v>0</v>
      </c>
      <c r="N125" s="487"/>
      <c r="O125" s="478">
        <f t="shared" si="24"/>
        <v>0</v>
      </c>
      <c r="P125" s="478">
        <f t="shared" si="25"/>
        <v>0</v>
      </c>
    </row>
    <row r="126" spans="2:16" ht="12.5">
      <c r="B126" s="160" t="str">
        <f t="shared" si="26"/>
        <v/>
      </c>
      <c r="C126" s="472">
        <f>IF(D93="","-",+C125+1)</f>
        <v>2034</v>
      </c>
      <c r="D126" s="346">
        <f>IF(F125+SUM(E$99:E125)=D$92,F125,D$92-SUM(E$99:E125))</f>
        <v>35030</v>
      </c>
      <c r="E126" s="486">
        <f>IF(+J96&lt;F125,J96,D126)</f>
        <v>2059</v>
      </c>
      <c r="F126" s="485">
        <f t="shared" si="35"/>
        <v>32971</v>
      </c>
      <c r="G126" s="485">
        <f t="shared" si="36"/>
        <v>34000.5</v>
      </c>
      <c r="H126" s="488">
        <f t="shared" si="37"/>
        <v>5564.9284437544711</v>
      </c>
      <c r="I126" s="542">
        <f t="shared" si="38"/>
        <v>5564.9284437544711</v>
      </c>
      <c r="J126" s="478">
        <f t="shared" si="22"/>
        <v>0</v>
      </c>
      <c r="K126" s="478"/>
      <c r="L126" s="487"/>
      <c r="M126" s="478">
        <f t="shared" si="23"/>
        <v>0</v>
      </c>
      <c r="N126" s="487"/>
      <c r="O126" s="478">
        <f t="shared" si="24"/>
        <v>0</v>
      </c>
      <c r="P126" s="478">
        <f t="shared" si="25"/>
        <v>0</v>
      </c>
    </row>
    <row r="127" spans="2:16" ht="12.5">
      <c r="B127" s="160" t="str">
        <f t="shared" si="26"/>
        <v/>
      </c>
      <c r="C127" s="472">
        <f>IF(D93="","-",+C126+1)</f>
        <v>2035</v>
      </c>
      <c r="D127" s="346">
        <f>IF(F126+SUM(E$99:E126)=D$92,F126,D$92-SUM(E$99:E126))</f>
        <v>32971</v>
      </c>
      <c r="E127" s="486">
        <f>IF(+J96&lt;F126,J96,D127)</f>
        <v>2059</v>
      </c>
      <c r="F127" s="485">
        <f t="shared" si="35"/>
        <v>30912</v>
      </c>
      <c r="G127" s="485">
        <f t="shared" si="36"/>
        <v>31941.5</v>
      </c>
      <c r="H127" s="488">
        <f t="shared" si="37"/>
        <v>5352.6166640544534</v>
      </c>
      <c r="I127" s="542">
        <f t="shared" si="38"/>
        <v>5352.6166640544534</v>
      </c>
      <c r="J127" s="478">
        <f t="shared" si="22"/>
        <v>0</v>
      </c>
      <c r="K127" s="478"/>
      <c r="L127" s="487"/>
      <c r="M127" s="478">
        <f t="shared" si="23"/>
        <v>0</v>
      </c>
      <c r="N127" s="487"/>
      <c r="O127" s="478">
        <f t="shared" si="24"/>
        <v>0</v>
      </c>
      <c r="P127" s="478">
        <f t="shared" si="25"/>
        <v>0</v>
      </c>
    </row>
    <row r="128" spans="2:16" ht="12.5">
      <c r="B128" s="160" t="str">
        <f t="shared" si="26"/>
        <v/>
      </c>
      <c r="C128" s="472">
        <f>IF(D93="","-",+C127+1)</f>
        <v>2036</v>
      </c>
      <c r="D128" s="346">
        <f>IF(F127+SUM(E$99:E127)=D$92,F127,D$92-SUM(E$99:E127))</f>
        <v>30912</v>
      </c>
      <c r="E128" s="486">
        <f>IF(+J96&lt;F127,J96,D128)</f>
        <v>2059</v>
      </c>
      <c r="F128" s="485">
        <f t="shared" si="35"/>
        <v>28853</v>
      </c>
      <c r="G128" s="485">
        <f t="shared" si="36"/>
        <v>29882.5</v>
      </c>
      <c r="H128" s="488">
        <f t="shared" si="37"/>
        <v>5140.3048843544357</v>
      </c>
      <c r="I128" s="542">
        <f t="shared" si="38"/>
        <v>5140.3048843544357</v>
      </c>
      <c r="J128" s="478">
        <f t="shared" si="22"/>
        <v>0</v>
      </c>
      <c r="K128" s="478"/>
      <c r="L128" s="487"/>
      <c r="M128" s="478">
        <f t="shared" si="23"/>
        <v>0</v>
      </c>
      <c r="N128" s="487"/>
      <c r="O128" s="478">
        <f t="shared" si="24"/>
        <v>0</v>
      </c>
      <c r="P128" s="478">
        <f t="shared" si="25"/>
        <v>0</v>
      </c>
    </row>
    <row r="129" spans="2:16" ht="12.5">
      <c r="B129" s="160" t="str">
        <f t="shared" si="26"/>
        <v/>
      </c>
      <c r="C129" s="472">
        <f>IF(D93="","-",+C128+1)</f>
        <v>2037</v>
      </c>
      <c r="D129" s="346">
        <f>IF(F128+SUM(E$99:E128)=D$92,F128,D$92-SUM(E$99:E128))</f>
        <v>28853</v>
      </c>
      <c r="E129" s="486">
        <f>IF(+J96&lt;F128,J96,D129)</f>
        <v>2059</v>
      </c>
      <c r="F129" s="485">
        <f t="shared" si="35"/>
        <v>26794</v>
      </c>
      <c r="G129" s="485">
        <f t="shared" si="36"/>
        <v>27823.5</v>
      </c>
      <c r="H129" s="488">
        <f t="shared" si="37"/>
        <v>4927.993104654417</v>
      </c>
      <c r="I129" s="542">
        <f t="shared" si="38"/>
        <v>4927.993104654417</v>
      </c>
      <c r="J129" s="478">
        <f t="shared" si="22"/>
        <v>0</v>
      </c>
      <c r="K129" s="478"/>
      <c r="L129" s="487"/>
      <c r="M129" s="478">
        <f t="shared" si="23"/>
        <v>0</v>
      </c>
      <c r="N129" s="487"/>
      <c r="O129" s="478">
        <f t="shared" si="24"/>
        <v>0</v>
      </c>
      <c r="P129" s="478">
        <f t="shared" si="25"/>
        <v>0</v>
      </c>
    </row>
    <row r="130" spans="2:16" ht="12.5">
      <c r="B130" s="160" t="str">
        <f t="shared" si="26"/>
        <v/>
      </c>
      <c r="C130" s="472">
        <f>IF(D93="","-",+C129+1)</f>
        <v>2038</v>
      </c>
      <c r="D130" s="346">
        <f>IF(F129+SUM(E$99:E129)=D$92,F129,D$92-SUM(E$99:E129))</f>
        <v>26794</v>
      </c>
      <c r="E130" s="486">
        <f>IF(+J96&lt;F129,J96,D130)</f>
        <v>2059</v>
      </c>
      <c r="F130" s="485">
        <f t="shared" ref="F130:F153" si="39">+D130-E130</f>
        <v>24735</v>
      </c>
      <c r="G130" s="485">
        <f t="shared" ref="G130:G153" si="40">+(F130+D130)/2</f>
        <v>25764.5</v>
      </c>
      <c r="H130" s="488">
        <f t="shared" si="37"/>
        <v>4715.6813249543993</v>
      </c>
      <c r="I130" s="542">
        <f t="shared" si="38"/>
        <v>4715.6813249543993</v>
      </c>
      <c r="J130" s="478">
        <f t="shared" si="22"/>
        <v>0</v>
      </c>
      <c r="K130" s="478"/>
      <c r="L130" s="487"/>
      <c r="M130" s="478">
        <f t="shared" si="23"/>
        <v>0</v>
      </c>
      <c r="N130" s="487"/>
      <c r="O130" s="478">
        <f t="shared" si="24"/>
        <v>0</v>
      </c>
      <c r="P130" s="478">
        <f t="shared" si="25"/>
        <v>0</v>
      </c>
    </row>
    <row r="131" spans="2:16" ht="12.5">
      <c r="B131" s="160" t="str">
        <f t="shared" si="26"/>
        <v/>
      </c>
      <c r="C131" s="472">
        <f>IF(D93="","-",+C130+1)</f>
        <v>2039</v>
      </c>
      <c r="D131" s="346">
        <f>IF(F130+SUM(E$99:E130)=D$92,F130,D$92-SUM(E$99:E130))</f>
        <v>24735</v>
      </c>
      <c r="E131" s="486">
        <f>IF(+J96&lt;F130,J96,D131)</f>
        <v>2059</v>
      </c>
      <c r="F131" s="485">
        <f t="shared" si="39"/>
        <v>22676</v>
      </c>
      <c r="G131" s="485">
        <f t="shared" si="40"/>
        <v>23705.5</v>
      </c>
      <c r="H131" s="488">
        <f t="shared" si="37"/>
        <v>4503.3695452543816</v>
      </c>
      <c r="I131" s="542">
        <f t="shared" si="38"/>
        <v>4503.3695452543816</v>
      </c>
      <c r="J131" s="478">
        <f t="shared" ref="J131:J154" si="41">+I382-H382</f>
        <v>0</v>
      </c>
      <c r="K131" s="478"/>
      <c r="L131" s="487"/>
      <c r="M131" s="478">
        <f t="shared" ref="M131:M154" si="42">IF(L382&lt;&gt;0,+H382-L382,0)</f>
        <v>0</v>
      </c>
      <c r="N131" s="487"/>
      <c r="O131" s="478">
        <f t="shared" ref="O131:O154" si="43">IF(N382&lt;&gt;0,+I382-N382,0)</f>
        <v>0</v>
      </c>
      <c r="P131" s="478">
        <f t="shared" ref="P131:P154" si="44">+O382-M382</f>
        <v>0</v>
      </c>
    </row>
    <row r="132" spans="2:16" ht="12.5">
      <c r="B132" s="160" t="str">
        <f t="shared" si="26"/>
        <v/>
      </c>
      <c r="C132" s="472">
        <f>IF(D93="","-",+C131+1)</f>
        <v>2040</v>
      </c>
      <c r="D132" s="346">
        <f>IF(F131+SUM(E$99:E131)=D$92,F131,D$92-SUM(E$99:E131))</f>
        <v>22676</v>
      </c>
      <c r="E132" s="486">
        <f>IF(+J96&lt;F131,J96,D132)</f>
        <v>2059</v>
      </c>
      <c r="F132" s="485">
        <f t="shared" si="39"/>
        <v>20617</v>
      </c>
      <c r="G132" s="485">
        <f t="shared" si="40"/>
        <v>21646.5</v>
      </c>
      <c r="H132" s="488">
        <f t="shared" si="37"/>
        <v>4291.0577655543639</v>
      </c>
      <c r="I132" s="542">
        <f t="shared" si="38"/>
        <v>4291.0577655543639</v>
      </c>
      <c r="J132" s="478">
        <f t="shared" si="41"/>
        <v>0</v>
      </c>
      <c r="K132" s="478"/>
      <c r="L132" s="487"/>
      <c r="M132" s="478">
        <f t="shared" si="42"/>
        <v>0</v>
      </c>
      <c r="N132" s="487"/>
      <c r="O132" s="478">
        <f t="shared" si="43"/>
        <v>0</v>
      </c>
      <c r="P132" s="478">
        <f t="shared" si="44"/>
        <v>0</v>
      </c>
    </row>
    <row r="133" spans="2:16" ht="12.5">
      <c r="B133" s="160" t="str">
        <f t="shared" si="26"/>
        <v/>
      </c>
      <c r="C133" s="472">
        <f>IF(D93="","-",+C132+1)</f>
        <v>2041</v>
      </c>
      <c r="D133" s="346">
        <f>IF(F132+SUM(E$99:E132)=D$92,F132,D$92-SUM(E$99:E132))</f>
        <v>20617</v>
      </c>
      <c r="E133" s="486">
        <f>IF(+J96&lt;F132,J96,D133)</f>
        <v>2059</v>
      </c>
      <c r="F133" s="485">
        <f t="shared" si="39"/>
        <v>18558</v>
      </c>
      <c r="G133" s="485">
        <f t="shared" si="40"/>
        <v>19587.5</v>
      </c>
      <c r="H133" s="488">
        <f t="shared" si="37"/>
        <v>4078.7459858543461</v>
      </c>
      <c r="I133" s="542">
        <f t="shared" si="38"/>
        <v>4078.7459858543461</v>
      </c>
      <c r="J133" s="478">
        <f t="shared" si="41"/>
        <v>0</v>
      </c>
      <c r="K133" s="478"/>
      <c r="L133" s="487"/>
      <c r="M133" s="478">
        <f t="shared" si="42"/>
        <v>0</v>
      </c>
      <c r="N133" s="487"/>
      <c r="O133" s="478">
        <f t="shared" si="43"/>
        <v>0</v>
      </c>
      <c r="P133" s="478">
        <f t="shared" si="44"/>
        <v>0</v>
      </c>
    </row>
    <row r="134" spans="2:16" ht="12.5">
      <c r="B134" s="160" t="str">
        <f t="shared" si="26"/>
        <v/>
      </c>
      <c r="C134" s="472">
        <f>IF(D93="","-",+C133+1)</f>
        <v>2042</v>
      </c>
      <c r="D134" s="346">
        <f>IF(F133+SUM(E$99:E133)=D$92,F133,D$92-SUM(E$99:E133))</f>
        <v>18558</v>
      </c>
      <c r="E134" s="486">
        <f>IF(+J96&lt;F133,J96,D134)</f>
        <v>2059</v>
      </c>
      <c r="F134" s="485">
        <f t="shared" si="39"/>
        <v>16499</v>
      </c>
      <c r="G134" s="485">
        <f t="shared" si="40"/>
        <v>17528.5</v>
      </c>
      <c r="H134" s="488">
        <f t="shared" si="37"/>
        <v>3866.4342061543284</v>
      </c>
      <c r="I134" s="542">
        <f t="shared" si="38"/>
        <v>3866.4342061543284</v>
      </c>
      <c r="J134" s="478">
        <f t="shared" si="41"/>
        <v>0</v>
      </c>
      <c r="K134" s="478"/>
      <c r="L134" s="487"/>
      <c r="M134" s="478">
        <f t="shared" si="42"/>
        <v>0</v>
      </c>
      <c r="N134" s="487"/>
      <c r="O134" s="478">
        <f t="shared" si="43"/>
        <v>0</v>
      </c>
      <c r="P134" s="478">
        <f t="shared" si="44"/>
        <v>0</v>
      </c>
    </row>
    <row r="135" spans="2:16" ht="12.5">
      <c r="B135" s="160" t="str">
        <f t="shared" si="26"/>
        <v/>
      </c>
      <c r="C135" s="472">
        <f>IF(D93="","-",+C134+1)</f>
        <v>2043</v>
      </c>
      <c r="D135" s="346">
        <f>IF(F134+SUM(E$99:E134)=D$92,F134,D$92-SUM(E$99:E134))</f>
        <v>16499</v>
      </c>
      <c r="E135" s="486">
        <f>IF(+J96&lt;F134,J96,D135)</f>
        <v>2059</v>
      </c>
      <c r="F135" s="485">
        <f t="shared" si="39"/>
        <v>14440</v>
      </c>
      <c r="G135" s="485">
        <f t="shared" si="40"/>
        <v>15469.5</v>
      </c>
      <c r="H135" s="488">
        <f t="shared" si="37"/>
        <v>3654.1224264543107</v>
      </c>
      <c r="I135" s="542">
        <f t="shared" si="38"/>
        <v>3654.1224264543107</v>
      </c>
      <c r="J135" s="478">
        <f t="shared" si="41"/>
        <v>0</v>
      </c>
      <c r="K135" s="478"/>
      <c r="L135" s="487"/>
      <c r="M135" s="478">
        <f t="shared" si="42"/>
        <v>0</v>
      </c>
      <c r="N135" s="487"/>
      <c r="O135" s="478">
        <f t="shared" si="43"/>
        <v>0</v>
      </c>
      <c r="P135" s="478">
        <f t="shared" si="44"/>
        <v>0</v>
      </c>
    </row>
    <row r="136" spans="2:16" ht="12.5">
      <c r="B136" s="160" t="str">
        <f t="shared" si="26"/>
        <v/>
      </c>
      <c r="C136" s="472">
        <f>IF(D93="","-",+C135+1)</f>
        <v>2044</v>
      </c>
      <c r="D136" s="346">
        <f>IF(F135+SUM(E$99:E135)=D$92,F135,D$92-SUM(E$99:E135))</f>
        <v>14440</v>
      </c>
      <c r="E136" s="486">
        <f>IF(+J96&lt;F135,J96,D136)</f>
        <v>2059</v>
      </c>
      <c r="F136" s="485">
        <f t="shared" si="39"/>
        <v>12381</v>
      </c>
      <c r="G136" s="485">
        <f t="shared" si="40"/>
        <v>13410.5</v>
      </c>
      <c r="H136" s="488">
        <f t="shared" si="37"/>
        <v>3441.810646754293</v>
      </c>
      <c r="I136" s="542">
        <f t="shared" si="38"/>
        <v>3441.810646754293</v>
      </c>
      <c r="J136" s="478">
        <f t="shared" si="41"/>
        <v>0</v>
      </c>
      <c r="K136" s="478"/>
      <c r="L136" s="487"/>
      <c r="M136" s="478">
        <f t="shared" si="42"/>
        <v>0</v>
      </c>
      <c r="N136" s="487"/>
      <c r="O136" s="478">
        <f t="shared" si="43"/>
        <v>0</v>
      </c>
      <c r="P136" s="478">
        <f t="shared" si="44"/>
        <v>0</v>
      </c>
    </row>
    <row r="137" spans="2:16" ht="12.5">
      <c r="B137" s="160" t="str">
        <f t="shared" si="26"/>
        <v/>
      </c>
      <c r="C137" s="472">
        <f>IF(D93="","-",+C136+1)</f>
        <v>2045</v>
      </c>
      <c r="D137" s="346">
        <f>IF(F136+SUM(E$99:E136)=D$92,F136,D$92-SUM(E$99:E136))</f>
        <v>12381</v>
      </c>
      <c r="E137" s="486">
        <f>IF(+J96&lt;F136,J96,D137)</f>
        <v>2059</v>
      </c>
      <c r="F137" s="485">
        <f t="shared" si="39"/>
        <v>10322</v>
      </c>
      <c r="G137" s="485">
        <f t="shared" si="40"/>
        <v>11351.5</v>
      </c>
      <c r="H137" s="488">
        <f t="shared" si="37"/>
        <v>3229.4988670542753</v>
      </c>
      <c r="I137" s="542">
        <f t="shared" si="38"/>
        <v>3229.4988670542753</v>
      </c>
      <c r="J137" s="478">
        <f t="shared" si="41"/>
        <v>0</v>
      </c>
      <c r="K137" s="478"/>
      <c r="L137" s="487"/>
      <c r="M137" s="478">
        <f t="shared" si="42"/>
        <v>0</v>
      </c>
      <c r="N137" s="487"/>
      <c r="O137" s="478">
        <f t="shared" si="43"/>
        <v>0</v>
      </c>
      <c r="P137" s="478">
        <f t="shared" si="44"/>
        <v>0</v>
      </c>
    </row>
    <row r="138" spans="2:16" ht="12.5">
      <c r="B138" s="160" t="str">
        <f t="shared" si="26"/>
        <v/>
      </c>
      <c r="C138" s="472">
        <f>IF(D93="","-",+C137+1)</f>
        <v>2046</v>
      </c>
      <c r="D138" s="346">
        <f>IF(F137+SUM(E$99:E137)=D$92,F137,D$92-SUM(E$99:E137))</f>
        <v>10322</v>
      </c>
      <c r="E138" s="486">
        <f>IF(+J96&lt;F137,J96,D138)</f>
        <v>2059</v>
      </c>
      <c r="F138" s="485">
        <f t="shared" si="39"/>
        <v>8263</v>
      </c>
      <c r="G138" s="485">
        <f t="shared" si="40"/>
        <v>9292.5</v>
      </c>
      <c r="H138" s="488">
        <f t="shared" si="37"/>
        <v>3017.1870873542571</v>
      </c>
      <c r="I138" s="542">
        <f t="shared" si="38"/>
        <v>3017.1870873542571</v>
      </c>
      <c r="J138" s="478">
        <f t="shared" si="41"/>
        <v>0</v>
      </c>
      <c r="K138" s="478"/>
      <c r="L138" s="487"/>
      <c r="M138" s="478">
        <f t="shared" si="42"/>
        <v>0</v>
      </c>
      <c r="N138" s="487"/>
      <c r="O138" s="478">
        <f t="shared" si="43"/>
        <v>0</v>
      </c>
      <c r="P138" s="478">
        <f t="shared" si="44"/>
        <v>0</v>
      </c>
    </row>
    <row r="139" spans="2:16" ht="12.5">
      <c r="B139" s="160" t="str">
        <f t="shared" si="26"/>
        <v/>
      </c>
      <c r="C139" s="472">
        <f>IF(D93="","-",+C138+1)</f>
        <v>2047</v>
      </c>
      <c r="D139" s="346">
        <f>IF(F138+SUM(E$99:E138)=D$92,F138,D$92-SUM(E$99:E138))</f>
        <v>8263</v>
      </c>
      <c r="E139" s="486">
        <f>IF(+J96&lt;F138,J96,D139)</f>
        <v>2059</v>
      </c>
      <c r="F139" s="485">
        <f t="shared" si="39"/>
        <v>6204</v>
      </c>
      <c r="G139" s="485">
        <f t="shared" si="40"/>
        <v>7233.5</v>
      </c>
      <c r="H139" s="488">
        <f t="shared" si="37"/>
        <v>2804.8753076542394</v>
      </c>
      <c r="I139" s="542">
        <f t="shared" si="38"/>
        <v>2804.8753076542394</v>
      </c>
      <c r="J139" s="478">
        <f t="shared" si="41"/>
        <v>0</v>
      </c>
      <c r="K139" s="478"/>
      <c r="L139" s="487"/>
      <c r="M139" s="478">
        <f t="shared" si="42"/>
        <v>0</v>
      </c>
      <c r="N139" s="487"/>
      <c r="O139" s="478">
        <f t="shared" si="43"/>
        <v>0</v>
      </c>
      <c r="P139" s="478">
        <f t="shared" si="44"/>
        <v>0</v>
      </c>
    </row>
    <row r="140" spans="2:16" ht="12.5">
      <c r="B140" s="160" t="str">
        <f t="shared" si="26"/>
        <v/>
      </c>
      <c r="C140" s="472">
        <f>IF(D93="","-",+C139+1)</f>
        <v>2048</v>
      </c>
      <c r="D140" s="346">
        <f>IF(F139+SUM(E$99:E139)=D$92,F139,D$92-SUM(E$99:E139))</f>
        <v>6204</v>
      </c>
      <c r="E140" s="486">
        <f>IF(+J96&lt;F139,J96,D140)</f>
        <v>2059</v>
      </c>
      <c r="F140" s="485">
        <f t="shared" si="39"/>
        <v>4145</v>
      </c>
      <c r="G140" s="485">
        <f t="shared" si="40"/>
        <v>5174.5</v>
      </c>
      <c r="H140" s="488">
        <f t="shared" si="37"/>
        <v>2592.5635279542216</v>
      </c>
      <c r="I140" s="542">
        <f t="shared" si="38"/>
        <v>2592.5635279542216</v>
      </c>
      <c r="J140" s="478">
        <f t="shared" si="41"/>
        <v>0</v>
      </c>
      <c r="K140" s="478"/>
      <c r="L140" s="487"/>
      <c r="M140" s="478">
        <f t="shared" si="42"/>
        <v>0</v>
      </c>
      <c r="N140" s="487"/>
      <c r="O140" s="478">
        <f t="shared" si="43"/>
        <v>0</v>
      </c>
      <c r="P140" s="478">
        <f t="shared" si="44"/>
        <v>0</v>
      </c>
    </row>
    <row r="141" spans="2:16" ht="12.5">
      <c r="B141" s="160" t="str">
        <f t="shared" si="26"/>
        <v/>
      </c>
      <c r="C141" s="472">
        <f>IF(D93="","-",+C140+1)</f>
        <v>2049</v>
      </c>
      <c r="D141" s="346">
        <f>IF(F140+SUM(E$99:E140)=D$92,F140,D$92-SUM(E$99:E140))</f>
        <v>4145</v>
      </c>
      <c r="E141" s="486">
        <f>IF(+J96&lt;F140,J96,D141)</f>
        <v>2059</v>
      </c>
      <c r="F141" s="485">
        <f t="shared" si="39"/>
        <v>2086</v>
      </c>
      <c r="G141" s="485">
        <f t="shared" si="40"/>
        <v>3115.5</v>
      </c>
      <c r="H141" s="488">
        <f t="shared" si="37"/>
        <v>2380.2517482542039</v>
      </c>
      <c r="I141" s="542">
        <f t="shared" si="38"/>
        <v>2380.2517482542039</v>
      </c>
      <c r="J141" s="478">
        <f t="shared" si="41"/>
        <v>0</v>
      </c>
      <c r="K141" s="478"/>
      <c r="L141" s="487"/>
      <c r="M141" s="478">
        <f t="shared" si="42"/>
        <v>0</v>
      </c>
      <c r="N141" s="487"/>
      <c r="O141" s="478">
        <f t="shared" si="43"/>
        <v>0</v>
      </c>
      <c r="P141" s="478">
        <f t="shared" si="44"/>
        <v>0</v>
      </c>
    </row>
    <row r="142" spans="2:16" ht="12.5">
      <c r="B142" s="160" t="str">
        <f t="shared" si="26"/>
        <v/>
      </c>
      <c r="C142" s="472">
        <f>IF(D93="","-",+C141+1)</f>
        <v>2050</v>
      </c>
      <c r="D142" s="346">
        <f>IF(F141+SUM(E$99:E141)=D$92,F141,D$92-SUM(E$99:E141))</f>
        <v>2086</v>
      </c>
      <c r="E142" s="486">
        <f>IF(+J96&lt;F141,J96,D142)</f>
        <v>2059</v>
      </c>
      <c r="F142" s="485">
        <f t="shared" si="39"/>
        <v>27</v>
      </c>
      <c r="G142" s="485">
        <f t="shared" si="40"/>
        <v>1056.5</v>
      </c>
      <c r="H142" s="488">
        <f t="shared" si="37"/>
        <v>2167.9399685541857</v>
      </c>
      <c r="I142" s="542">
        <f t="shared" si="38"/>
        <v>2167.9399685541857</v>
      </c>
      <c r="J142" s="478">
        <f t="shared" si="41"/>
        <v>0</v>
      </c>
      <c r="K142" s="478"/>
      <c r="L142" s="487"/>
      <c r="M142" s="478">
        <f t="shared" si="42"/>
        <v>0</v>
      </c>
      <c r="N142" s="487"/>
      <c r="O142" s="478">
        <f t="shared" si="43"/>
        <v>0</v>
      </c>
      <c r="P142" s="478">
        <f t="shared" si="44"/>
        <v>0</v>
      </c>
    </row>
    <row r="143" spans="2:16" ht="12.5">
      <c r="B143" s="160" t="str">
        <f t="shared" si="26"/>
        <v/>
      </c>
      <c r="C143" s="472">
        <f>IF(D93="","-",+C142+1)</f>
        <v>2051</v>
      </c>
      <c r="D143" s="346">
        <f>IF(F142+SUM(E$99:E142)=D$92,F142,D$92-SUM(E$99:E142))</f>
        <v>27</v>
      </c>
      <c r="E143" s="486">
        <f>IF(+J96&lt;F142,J96,D143)</f>
        <v>27</v>
      </c>
      <c r="F143" s="485">
        <f t="shared" si="39"/>
        <v>0</v>
      </c>
      <c r="G143" s="485">
        <f t="shared" si="40"/>
        <v>13.5</v>
      </c>
      <c r="H143" s="488">
        <f t="shared" si="37"/>
        <v>28.39203935208851</v>
      </c>
      <c r="I143" s="542">
        <f t="shared" si="38"/>
        <v>28.39203935208851</v>
      </c>
      <c r="J143" s="478">
        <f t="shared" si="41"/>
        <v>0</v>
      </c>
      <c r="K143" s="478"/>
      <c r="L143" s="487"/>
      <c r="M143" s="478">
        <f t="shared" si="42"/>
        <v>0</v>
      </c>
      <c r="N143" s="487"/>
      <c r="O143" s="478">
        <f t="shared" si="43"/>
        <v>0</v>
      </c>
      <c r="P143" s="478">
        <f t="shared" si="44"/>
        <v>0</v>
      </c>
    </row>
    <row r="144" spans="2:16" ht="12.5">
      <c r="B144" s="160" t="str">
        <f t="shared" si="26"/>
        <v/>
      </c>
      <c r="C144" s="472">
        <f>IF(D93="","-",+C143+1)</f>
        <v>2052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39"/>
        <v>0</v>
      </c>
      <c r="G144" s="485">
        <f t="shared" si="40"/>
        <v>0</v>
      </c>
      <c r="H144" s="488">
        <f t="shared" si="37"/>
        <v>0</v>
      </c>
      <c r="I144" s="542">
        <f t="shared" si="38"/>
        <v>0</v>
      </c>
      <c r="J144" s="478">
        <f t="shared" si="41"/>
        <v>0</v>
      </c>
      <c r="K144" s="478"/>
      <c r="L144" s="487"/>
      <c r="M144" s="478">
        <f t="shared" si="42"/>
        <v>0</v>
      </c>
      <c r="N144" s="487"/>
      <c r="O144" s="478">
        <f t="shared" si="43"/>
        <v>0</v>
      </c>
      <c r="P144" s="478">
        <f t="shared" si="44"/>
        <v>0</v>
      </c>
    </row>
    <row r="145" spans="2:16" ht="12.5">
      <c r="B145" s="160" t="str">
        <f t="shared" si="26"/>
        <v/>
      </c>
      <c r="C145" s="472">
        <f>IF(D93="","-",+C144+1)</f>
        <v>2053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39"/>
        <v>0</v>
      </c>
      <c r="G145" s="485">
        <f t="shared" si="40"/>
        <v>0</v>
      </c>
      <c r="H145" s="488">
        <f t="shared" si="37"/>
        <v>0</v>
      </c>
      <c r="I145" s="542">
        <f t="shared" si="38"/>
        <v>0</v>
      </c>
      <c r="J145" s="478">
        <f t="shared" si="41"/>
        <v>0</v>
      </c>
      <c r="K145" s="478"/>
      <c r="L145" s="487"/>
      <c r="M145" s="478">
        <f t="shared" si="42"/>
        <v>0</v>
      </c>
      <c r="N145" s="487"/>
      <c r="O145" s="478">
        <f t="shared" si="43"/>
        <v>0</v>
      </c>
      <c r="P145" s="478">
        <f t="shared" si="44"/>
        <v>0</v>
      </c>
    </row>
    <row r="146" spans="2:16" ht="12.5">
      <c r="B146" s="160" t="str">
        <f t="shared" si="26"/>
        <v/>
      </c>
      <c r="C146" s="472">
        <f>IF(D93="","-",+C145+1)</f>
        <v>2054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39"/>
        <v>0</v>
      </c>
      <c r="G146" s="485">
        <f t="shared" si="40"/>
        <v>0</v>
      </c>
      <c r="H146" s="488">
        <f t="shared" si="37"/>
        <v>0</v>
      </c>
      <c r="I146" s="542">
        <f t="shared" si="38"/>
        <v>0</v>
      </c>
      <c r="J146" s="478">
        <f t="shared" si="41"/>
        <v>0</v>
      </c>
      <c r="K146" s="478"/>
      <c r="L146" s="487"/>
      <c r="M146" s="478">
        <f t="shared" si="42"/>
        <v>0</v>
      </c>
      <c r="N146" s="487"/>
      <c r="O146" s="478">
        <f t="shared" si="43"/>
        <v>0</v>
      </c>
      <c r="P146" s="478">
        <f t="shared" si="44"/>
        <v>0</v>
      </c>
    </row>
    <row r="147" spans="2:16" ht="12.5">
      <c r="B147" s="160" t="str">
        <f t="shared" si="26"/>
        <v/>
      </c>
      <c r="C147" s="472">
        <f>IF(D93="","-",+C146+1)</f>
        <v>2055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39"/>
        <v>0</v>
      </c>
      <c r="G147" s="485">
        <f t="shared" si="40"/>
        <v>0</v>
      </c>
      <c r="H147" s="488">
        <f t="shared" si="37"/>
        <v>0</v>
      </c>
      <c r="I147" s="542">
        <f t="shared" si="38"/>
        <v>0</v>
      </c>
      <c r="J147" s="478">
        <f t="shared" si="41"/>
        <v>0</v>
      </c>
      <c r="K147" s="478"/>
      <c r="L147" s="487"/>
      <c r="M147" s="478">
        <f t="shared" si="42"/>
        <v>0</v>
      </c>
      <c r="N147" s="487"/>
      <c r="O147" s="478">
        <f t="shared" si="43"/>
        <v>0</v>
      </c>
      <c r="P147" s="478">
        <f t="shared" si="44"/>
        <v>0</v>
      </c>
    </row>
    <row r="148" spans="2:16" ht="12.5">
      <c r="B148" s="160" t="str">
        <f t="shared" si="26"/>
        <v/>
      </c>
      <c r="C148" s="472">
        <f>IF(D93="","-",+C147+1)</f>
        <v>2056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39"/>
        <v>0</v>
      </c>
      <c r="G148" s="485">
        <f t="shared" si="40"/>
        <v>0</v>
      </c>
      <c r="H148" s="488">
        <f t="shared" si="37"/>
        <v>0</v>
      </c>
      <c r="I148" s="542">
        <f t="shared" si="38"/>
        <v>0</v>
      </c>
      <c r="J148" s="478">
        <f t="shared" si="41"/>
        <v>0</v>
      </c>
      <c r="K148" s="478"/>
      <c r="L148" s="487"/>
      <c r="M148" s="478">
        <f t="shared" si="42"/>
        <v>0</v>
      </c>
      <c r="N148" s="487"/>
      <c r="O148" s="478">
        <f t="shared" si="43"/>
        <v>0</v>
      </c>
      <c r="P148" s="478">
        <f t="shared" si="44"/>
        <v>0</v>
      </c>
    </row>
    <row r="149" spans="2:16" ht="12.5">
      <c r="B149" s="160" t="str">
        <f t="shared" si="26"/>
        <v/>
      </c>
      <c r="C149" s="472">
        <f>IF(D93="","-",+C148+1)</f>
        <v>2057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39"/>
        <v>0</v>
      </c>
      <c r="G149" s="485">
        <f t="shared" si="40"/>
        <v>0</v>
      </c>
      <c r="H149" s="488">
        <f t="shared" si="37"/>
        <v>0</v>
      </c>
      <c r="I149" s="542">
        <f t="shared" si="38"/>
        <v>0</v>
      </c>
      <c r="J149" s="478">
        <f t="shared" si="41"/>
        <v>0</v>
      </c>
      <c r="K149" s="478"/>
      <c r="L149" s="487"/>
      <c r="M149" s="478">
        <f t="shared" si="42"/>
        <v>0</v>
      </c>
      <c r="N149" s="487"/>
      <c r="O149" s="478">
        <f t="shared" si="43"/>
        <v>0</v>
      </c>
      <c r="P149" s="478">
        <f t="shared" si="44"/>
        <v>0</v>
      </c>
    </row>
    <row r="150" spans="2:16" ht="12.5">
      <c r="B150" s="160" t="str">
        <f t="shared" si="26"/>
        <v/>
      </c>
      <c r="C150" s="472">
        <f>IF(D93="","-",+C149+1)</f>
        <v>2058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39"/>
        <v>0</v>
      </c>
      <c r="G150" s="485">
        <f t="shared" si="40"/>
        <v>0</v>
      </c>
      <c r="H150" s="488">
        <f t="shared" si="37"/>
        <v>0</v>
      </c>
      <c r="I150" s="542">
        <f t="shared" si="38"/>
        <v>0</v>
      </c>
      <c r="J150" s="478">
        <f t="shared" si="41"/>
        <v>0</v>
      </c>
      <c r="K150" s="478"/>
      <c r="L150" s="487"/>
      <c r="M150" s="478">
        <f t="shared" si="42"/>
        <v>0</v>
      </c>
      <c r="N150" s="487"/>
      <c r="O150" s="478">
        <f t="shared" si="43"/>
        <v>0</v>
      </c>
      <c r="P150" s="478">
        <f t="shared" si="44"/>
        <v>0</v>
      </c>
    </row>
    <row r="151" spans="2:16" ht="12.5">
      <c r="B151" s="160" t="str">
        <f t="shared" si="26"/>
        <v/>
      </c>
      <c r="C151" s="472">
        <f>IF(D93="","-",+C150+1)</f>
        <v>2059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39"/>
        <v>0</v>
      </c>
      <c r="G151" s="485">
        <f t="shared" si="40"/>
        <v>0</v>
      </c>
      <c r="H151" s="488">
        <f t="shared" si="37"/>
        <v>0</v>
      </c>
      <c r="I151" s="542">
        <f t="shared" si="38"/>
        <v>0</v>
      </c>
      <c r="J151" s="478">
        <f t="shared" si="41"/>
        <v>0</v>
      </c>
      <c r="K151" s="478"/>
      <c r="L151" s="487"/>
      <c r="M151" s="478">
        <f t="shared" si="42"/>
        <v>0</v>
      </c>
      <c r="N151" s="487"/>
      <c r="O151" s="478">
        <f t="shared" si="43"/>
        <v>0</v>
      </c>
      <c r="P151" s="478">
        <f t="shared" si="44"/>
        <v>0</v>
      </c>
    </row>
    <row r="152" spans="2:16" ht="12.5">
      <c r="B152" s="160" t="str">
        <f t="shared" si="26"/>
        <v/>
      </c>
      <c r="C152" s="472">
        <f>IF(D93="","-",+C151+1)</f>
        <v>2060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39"/>
        <v>0</v>
      </c>
      <c r="G152" s="485">
        <f t="shared" si="40"/>
        <v>0</v>
      </c>
      <c r="H152" s="488">
        <f t="shared" si="37"/>
        <v>0</v>
      </c>
      <c r="I152" s="542">
        <f t="shared" si="38"/>
        <v>0</v>
      </c>
      <c r="J152" s="478">
        <f t="shared" si="41"/>
        <v>0</v>
      </c>
      <c r="K152" s="478"/>
      <c r="L152" s="487"/>
      <c r="M152" s="478">
        <f t="shared" si="42"/>
        <v>0</v>
      </c>
      <c r="N152" s="487"/>
      <c r="O152" s="478">
        <f t="shared" si="43"/>
        <v>0</v>
      </c>
      <c r="P152" s="478">
        <f t="shared" si="44"/>
        <v>0</v>
      </c>
    </row>
    <row r="153" spans="2:16" ht="12.5">
      <c r="B153" s="160" t="str">
        <f t="shared" si="26"/>
        <v/>
      </c>
      <c r="C153" s="472">
        <f>IF(D93="","-",+C152+1)</f>
        <v>2061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39"/>
        <v>0</v>
      </c>
      <c r="G153" s="485">
        <f t="shared" si="40"/>
        <v>0</v>
      </c>
      <c r="H153" s="488">
        <f t="shared" si="37"/>
        <v>0</v>
      </c>
      <c r="I153" s="542">
        <f t="shared" si="38"/>
        <v>0</v>
      </c>
      <c r="J153" s="478">
        <f t="shared" si="41"/>
        <v>0</v>
      </c>
      <c r="K153" s="478"/>
      <c r="L153" s="487"/>
      <c r="M153" s="478">
        <f t="shared" si="42"/>
        <v>0</v>
      </c>
      <c r="N153" s="487"/>
      <c r="O153" s="478">
        <f t="shared" si="43"/>
        <v>0</v>
      </c>
      <c r="P153" s="478">
        <f t="shared" si="44"/>
        <v>0</v>
      </c>
    </row>
    <row r="154" spans="2:16" ht="13" thickBot="1">
      <c r="B154" s="160" t="str">
        <f t="shared" si="26"/>
        <v/>
      </c>
      <c r="C154" s="489">
        <f>IF(D93="","-",+C153+1)</f>
        <v>2062</v>
      </c>
      <c r="D154" s="543">
        <f>IF(F153+SUM(E$99:E153)=D$92,F153,D$92-SUM(E$99:E153))</f>
        <v>0</v>
      </c>
      <c r="E154" s="544">
        <f>IF(+J96&lt;F153,J96,D154)</f>
        <v>0</v>
      </c>
      <c r="F154" s="490">
        <f>+D154-E154</f>
        <v>0</v>
      </c>
      <c r="G154" s="490">
        <f>+(F154+D154)/2</f>
        <v>0</v>
      </c>
      <c r="H154" s="492">
        <f t="shared" si="37"/>
        <v>0</v>
      </c>
      <c r="I154" s="545">
        <f t="shared" si="38"/>
        <v>0</v>
      </c>
      <c r="J154" s="495">
        <f t="shared" si="41"/>
        <v>0</v>
      </c>
      <c r="K154" s="478"/>
      <c r="L154" s="494"/>
      <c r="M154" s="495">
        <f t="shared" si="42"/>
        <v>0</v>
      </c>
      <c r="N154" s="494"/>
      <c r="O154" s="495">
        <f t="shared" si="43"/>
        <v>0</v>
      </c>
      <c r="P154" s="495">
        <f t="shared" si="44"/>
        <v>0</v>
      </c>
    </row>
    <row r="155" spans="2:16" ht="12.5">
      <c r="C155" s="346" t="s">
        <v>77</v>
      </c>
      <c r="D155" s="347"/>
      <c r="E155" s="347">
        <f>SUM(E99:E154)</f>
        <v>84424</v>
      </c>
      <c r="F155" s="347"/>
      <c r="G155" s="347"/>
      <c r="H155" s="347">
        <f>SUM(H99:H154)</f>
        <v>309445.41689902503</v>
      </c>
      <c r="I155" s="347">
        <f>SUM(I99:I154)</f>
        <v>309445.41689902503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148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48" priority="1" stopIfTrue="1" operator="equal">
      <formula>$I$10</formula>
    </cfRule>
  </conditionalFormatting>
  <conditionalFormatting sqref="C99:C154">
    <cfRule type="cellIs" dxfId="47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6">
    <tabColor rgb="FFC00000"/>
  </sheetPr>
  <dimension ref="A1:P162"/>
  <sheetViews>
    <sheetView view="pageBreakPreview" topLeftCell="B1" zoomScale="75" zoomScaleNormal="100" workbookViewId="0">
      <selection activeCell="E9" sqref="E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8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5441.6348487910545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5441.6348487910545</v>
      </c>
      <c r="O6" s="232"/>
      <c r="P6" s="232"/>
    </row>
    <row r="7" spans="1:16" ht="13.5" thickBot="1">
      <c r="C7" s="431" t="s">
        <v>46</v>
      </c>
      <c r="D7" s="432" t="s">
        <v>215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87</v>
      </c>
      <c r="E9" s="577" t="s">
        <v>348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56133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2006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3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1305.4186046511627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2006</v>
      </c>
      <c r="D17" s="473">
        <v>56133</v>
      </c>
      <c r="E17" s="474">
        <v>752</v>
      </c>
      <c r="F17" s="473">
        <v>55381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2007</v>
      </c>
      <c r="D18" s="479">
        <v>55381</v>
      </c>
      <c r="E18" s="480">
        <v>1002</v>
      </c>
      <c r="F18" s="479">
        <v>54379</v>
      </c>
      <c r="G18" s="480">
        <v>0</v>
      </c>
      <c r="H18" s="481">
        <v>0</v>
      </c>
      <c r="I18" s="475">
        <f t="shared" si="0"/>
        <v>0</v>
      </c>
      <c r="J18" s="475"/>
      <c r="K18" s="476">
        <v>0</v>
      </c>
      <c r="L18" s="478">
        <f t="shared" si="1"/>
        <v>0</v>
      </c>
      <c r="M18" s="476">
        <v>0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/>
      </c>
      <c r="C19" s="472">
        <f>IF(D11="","-",+C18+1)</f>
        <v>2008</v>
      </c>
      <c r="D19" s="479">
        <v>54379</v>
      </c>
      <c r="E19" s="480">
        <v>1002</v>
      </c>
      <c r="F19" s="479">
        <v>53377</v>
      </c>
      <c r="G19" s="480">
        <v>0</v>
      </c>
      <c r="H19" s="481">
        <v>0</v>
      </c>
      <c r="I19" s="475">
        <f t="shared" si="0"/>
        <v>0</v>
      </c>
      <c r="J19" s="475"/>
      <c r="K19" s="476">
        <v>0</v>
      </c>
      <c r="L19" s="478">
        <f t="shared" si="1"/>
        <v>0</v>
      </c>
      <c r="M19" s="476">
        <v>0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4">IF(D20=F19,"","IU")</f>
        <v/>
      </c>
      <c r="C20" s="472">
        <f>IF(D11="","-",+C19+1)</f>
        <v>2009</v>
      </c>
      <c r="D20" s="479">
        <v>53377</v>
      </c>
      <c r="E20" s="480">
        <v>1002</v>
      </c>
      <c r="F20" s="479">
        <v>52375</v>
      </c>
      <c r="G20" s="480">
        <v>0</v>
      </c>
      <c r="H20" s="481">
        <v>0</v>
      </c>
      <c r="I20" s="475">
        <f t="shared" si="0"/>
        <v>0</v>
      </c>
      <c r="J20" s="475"/>
      <c r="K20" s="476">
        <v>0</v>
      </c>
      <c r="L20" s="478">
        <f t="shared" si="1"/>
        <v>0</v>
      </c>
      <c r="M20" s="476">
        <v>0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4"/>
        <v/>
      </c>
      <c r="C21" s="472">
        <f>IF(D11="","-",+C20+1)</f>
        <v>2010</v>
      </c>
      <c r="D21" s="479">
        <v>52375</v>
      </c>
      <c r="E21" s="480">
        <v>1002.375</v>
      </c>
      <c r="F21" s="479">
        <v>51372.625</v>
      </c>
      <c r="G21" s="480">
        <v>8415.2657154769768</v>
      </c>
      <c r="H21" s="481">
        <v>8415.2657154769768</v>
      </c>
      <c r="I21" s="475">
        <f t="shared" si="0"/>
        <v>0</v>
      </c>
      <c r="J21" s="475"/>
      <c r="K21" s="476">
        <f t="shared" ref="K21:K26" si="5">G21</f>
        <v>8415.2657154769768</v>
      </c>
      <c r="L21" s="550">
        <f t="shared" si="1"/>
        <v>0</v>
      </c>
      <c r="M21" s="476">
        <f t="shared" ref="M21:M26" si="6">H21</f>
        <v>8415.2657154769768</v>
      </c>
      <c r="N21" s="478">
        <f t="shared" si="2"/>
        <v>0</v>
      </c>
      <c r="O21" s="478">
        <f t="shared" si="3"/>
        <v>0</v>
      </c>
      <c r="P21" s="242"/>
    </row>
    <row r="22" spans="2:16" ht="12.5">
      <c r="B22" s="160" t="str">
        <f t="shared" si="4"/>
        <v/>
      </c>
      <c r="C22" s="472">
        <f>IF(D11="","-",+C21+1)</f>
        <v>2011</v>
      </c>
      <c r="D22" s="479">
        <v>51372.625</v>
      </c>
      <c r="E22" s="480">
        <v>1100.6470588235295</v>
      </c>
      <c r="F22" s="479">
        <v>50271.977941176468</v>
      </c>
      <c r="G22" s="480">
        <v>8970.3904929935452</v>
      </c>
      <c r="H22" s="481">
        <v>8970.3904929935452</v>
      </c>
      <c r="I22" s="475">
        <f t="shared" si="0"/>
        <v>0</v>
      </c>
      <c r="J22" s="475"/>
      <c r="K22" s="476">
        <f t="shared" si="5"/>
        <v>8970.3904929935452</v>
      </c>
      <c r="L22" s="550">
        <f t="shared" si="1"/>
        <v>0</v>
      </c>
      <c r="M22" s="476">
        <f t="shared" si="6"/>
        <v>8970.3904929935452</v>
      </c>
      <c r="N22" s="478">
        <f t="shared" si="2"/>
        <v>0</v>
      </c>
      <c r="O22" s="478">
        <f t="shared" si="3"/>
        <v>0</v>
      </c>
      <c r="P22" s="242"/>
    </row>
    <row r="23" spans="2:16" ht="12.5">
      <c r="B23" s="160" t="str">
        <f t="shared" si="4"/>
        <v/>
      </c>
      <c r="C23" s="472">
        <f>IF(D11="","-",+C22+1)</f>
        <v>2012</v>
      </c>
      <c r="D23" s="479">
        <v>50271.977941176468</v>
      </c>
      <c r="E23" s="480">
        <v>1079.4807692307693</v>
      </c>
      <c r="F23" s="479">
        <v>49192.497171945703</v>
      </c>
      <c r="G23" s="480">
        <v>7927.4076335998161</v>
      </c>
      <c r="H23" s="481">
        <v>7927.4076335998161</v>
      </c>
      <c r="I23" s="475">
        <f t="shared" si="0"/>
        <v>0</v>
      </c>
      <c r="J23" s="475"/>
      <c r="K23" s="476">
        <f t="shared" si="5"/>
        <v>7927.4076335998161</v>
      </c>
      <c r="L23" s="550">
        <f t="shared" si="1"/>
        <v>0</v>
      </c>
      <c r="M23" s="476">
        <f t="shared" si="6"/>
        <v>7927.4076335998161</v>
      </c>
      <c r="N23" s="478">
        <f t="shared" si="2"/>
        <v>0</v>
      </c>
      <c r="O23" s="478">
        <f t="shared" si="3"/>
        <v>0</v>
      </c>
      <c r="P23" s="242"/>
    </row>
    <row r="24" spans="2:16" ht="12.5">
      <c r="B24" s="160" t="str">
        <f t="shared" si="4"/>
        <v/>
      </c>
      <c r="C24" s="472">
        <f>IF(D11="","-",+C23+1)</f>
        <v>2013</v>
      </c>
      <c r="D24" s="479">
        <v>49192.497171945703</v>
      </c>
      <c r="E24" s="480">
        <v>1079.4807692307693</v>
      </c>
      <c r="F24" s="479">
        <v>48113.016402714937</v>
      </c>
      <c r="G24" s="480">
        <v>7950.3447729090094</v>
      </c>
      <c r="H24" s="481">
        <v>7950.3447729090094</v>
      </c>
      <c r="I24" s="475">
        <v>0</v>
      </c>
      <c r="J24" s="475"/>
      <c r="K24" s="476">
        <f t="shared" si="5"/>
        <v>7950.3447729090094</v>
      </c>
      <c r="L24" s="550">
        <f t="shared" ref="L24:L29" si="7">IF(K24&lt;&gt;0,+G24-K24,0)</f>
        <v>0</v>
      </c>
      <c r="M24" s="476">
        <f t="shared" si="6"/>
        <v>7950.3447729090094</v>
      </c>
      <c r="N24" s="478">
        <f t="shared" ref="N24:N29" si="8">IF(M24&lt;&gt;0,+H24-M24,0)</f>
        <v>0</v>
      </c>
      <c r="O24" s="478">
        <f t="shared" ref="O24:O29" si="9">+N24-L24</f>
        <v>0</v>
      </c>
      <c r="P24" s="242"/>
    </row>
    <row r="25" spans="2:16" ht="12.5">
      <c r="B25" s="160" t="str">
        <f t="shared" si="4"/>
        <v/>
      </c>
      <c r="C25" s="472">
        <f>IF(D11="","-",+C24+1)</f>
        <v>2014</v>
      </c>
      <c r="D25" s="479">
        <v>48113.016402714937</v>
      </c>
      <c r="E25" s="480">
        <v>1079.4807692307693</v>
      </c>
      <c r="F25" s="479">
        <v>47033.535633484171</v>
      </c>
      <c r="G25" s="480">
        <v>7554.0593246775043</v>
      </c>
      <c r="H25" s="481">
        <v>7554.0593246775043</v>
      </c>
      <c r="I25" s="475">
        <v>0</v>
      </c>
      <c r="J25" s="475"/>
      <c r="K25" s="476">
        <f t="shared" si="5"/>
        <v>7554.0593246775043</v>
      </c>
      <c r="L25" s="550">
        <f t="shared" si="7"/>
        <v>0</v>
      </c>
      <c r="M25" s="476">
        <f t="shared" si="6"/>
        <v>7554.0593246775043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4"/>
        <v/>
      </c>
      <c r="C26" s="472">
        <f>IF(D11="","-",+C25+1)</f>
        <v>2015</v>
      </c>
      <c r="D26" s="479">
        <v>47033.535633484171</v>
      </c>
      <c r="E26" s="480">
        <v>1079.4807692307693</v>
      </c>
      <c r="F26" s="479">
        <v>45954.054864253405</v>
      </c>
      <c r="G26" s="480">
        <v>7415.24244849963</v>
      </c>
      <c r="H26" s="481">
        <v>7415.24244849963</v>
      </c>
      <c r="I26" s="475">
        <v>0</v>
      </c>
      <c r="J26" s="475"/>
      <c r="K26" s="476">
        <f t="shared" si="5"/>
        <v>7415.24244849963</v>
      </c>
      <c r="L26" s="550">
        <f t="shared" si="7"/>
        <v>0</v>
      </c>
      <c r="M26" s="476">
        <f t="shared" si="6"/>
        <v>7415.24244849963</v>
      </c>
      <c r="N26" s="478">
        <f t="shared" si="8"/>
        <v>0</v>
      </c>
      <c r="O26" s="478">
        <f t="shared" si="9"/>
        <v>0</v>
      </c>
      <c r="P26" s="242"/>
    </row>
    <row r="27" spans="2:16" ht="12.5">
      <c r="B27" s="160" t="str">
        <f t="shared" si="4"/>
        <v/>
      </c>
      <c r="C27" s="472">
        <f>IF(D11="","-",+C26+1)</f>
        <v>2016</v>
      </c>
      <c r="D27" s="479">
        <v>45954.054864253405</v>
      </c>
      <c r="E27" s="480">
        <v>1079.4807692307693</v>
      </c>
      <c r="F27" s="479">
        <v>44874.574095022639</v>
      </c>
      <c r="G27" s="480">
        <v>6965.2134846377958</v>
      </c>
      <c r="H27" s="481">
        <v>6965.2134846377958</v>
      </c>
      <c r="I27" s="475">
        <f t="shared" si="0"/>
        <v>0</v>
      </c>
      <c r="J27" s="475"/>
      <c r="K27" s="476">
        <f>G27</f>
        <v>6965.2134846377958</v>
      </c>
      <c r="L27" s="550">
        <f t="shared" si="7"/>
        <v>0</v>
      </c>
      <c r="M27" s="476">
        <f>H27</f>
        <v>6965.2134846377958</v>
      </c>
      <c r="N27" s="478">
        <f t="shared" si="8"/>
        <v>0</v>
      </c>
      <c r="O27" s="478">
        <f t="shared" si="9"/>
        <v>0</v>
      </c>
      <c r="P27" s="242"/>
    </row>
    <row r="28" spans="2:16" ht="12.5">
      <c r="B28" s="160" t="str">
        <f t="shared" si="4"/>
        <v/>
      </c>
      <c r="C28" s="472">
        <f>IF(D11="","-",+C27+1)</f>
        <v>2017</v>
      </c>
      <c r="D28" s="479">
        <v>44874.574095022639</v>
      </c>
      <c r="E28" s="480">
        <v>1220.2826086956522</v>
      </c>
      <c r="F28" s="479">
        <v>43654.291486326983</v>
      </c>
      <c r="G28" s="480">
        <v>6775.7563240948048</v>
      </c>
      <c r="H28" s="481">
        <v>6775.7563240948048</v>
      </c>
      <c r="I28" s="475">
        <f t="shared" si="0"/>
        <v>0</v>
      </c>
      <c r="J28" s="475"/>
      <c r="K28" s="476">
        <f>G28</f>
        <v>6775.7563240948048</v>
      </c>
      <c r="L28" s="550">
        <f t="shared" si="7"/>
        <v>0</v>
      </c>
      <c r="M28" s="476">
        <f>H28</f>
        <v>6775.7563240948048</v>
      </c>
      <c r="N28" s="478">
        <f t="shared" si="8"/>
        <v>0</v>
      </c>
      <c r="O28" s="478">
        <f t="shared" si="9"/>
        <v>0</v>
      </c>
      <c r="P28" s="242"/>
    </row>
    <row r="29" spans="2:16" ht="12.5">
      <c r="B29" s="160" t="str">
        <f t="shared" si="4"/>
        <v/>
      </c>
      <c r="C29" s="472">
        <f>IF(D11="","-",+C28+1)</f>
        <v>2018</v>
      </c>
      <c r="D29" s="479">
        <v>43654.291486326983</v>
      </c>
      <c r="E29" s="480">
        <v>1247.4000000000001</v>
      </c>
      <c r="F29" s="479">
        <v>42406.891486326982</v>
      </c>
      <c r="G29" s="480">
        <v>6400.6980544313355</v>
      </c>
      <c r="H29" s="481">
        <v>6400.6980544313355</v>
      </c>
      <c r="I29" s="475">
        <f t="shared" si="0"/>
        <v>0</v>
      </c>
      <c r="J29" s="475"/>
      <c r="K29" s="476">
        <f>G29</f>
        <v>6400.6980544313355</v>
      </c>
      <c r="L29" s="550">
        <f t="shared" si="7"/>
        <v>0</v>
      </c>
      <c r="M29" s="476">
        <f>H29</f>
        <v>6400.6980544313355</v>
      </c>
      <c r="N29" s="478">
        <f t="shared" si="8"/>
        <v>0</v>
      </c>
      <c r="O29" s="478">
        <f t="shared" si="9"/>
        <v>0</v>
      </c>
      <c r="P29" s="242"/>
    </row>
    <row r="30" spans="2:16" ht="12.5">
      <c r="B30" s="160" t="str">
        <f t="shared" si="4"/>
        <v/>
      </c>
      <c r="C30" s="472">
        <f>IF(D11="","-",+C29+1)</f>
        <v>2019</v>
      </c>
      <c r="D30" s="479">
        <v>42406.891486326982</v>
      </c>
      <c r="E30" s="480">
        <v>1403.325</v>
      </c>
      <c r="F30" s="479">
        <v>41003.566486326985</v>
      </c>
      <c r="G30" s="480">
        <v>6059.9903761062678</v>
      </c>
      <c r="H30" s="481">
        <v>6059.9903761062678</v>
      </c>
      <c r="I30" s="475">
        <f t="shared" si="0"/>
        <v>0</v>
      </c>
      <c r="J30" s="475"/>
      <c r="K30" s="476">
        <f>G30</f>
        <v>6059.9903761062678</v>
      </c>
      <c r="L30" s="550">
        <f t="shared" ref="L30" si="10">IF(K30&lt;&gt;0,+G30-K30,0)</f>
        <v>0</v>
      </c>
      <c r="M30" s="476">
        <f>H30</f>
        <v>6059.9903761062678</v>
      </c>
      <c r="N30" s="478">
        <f t="shared" ref="N30" si="11">IF(M30&lt;&gt;0,+H30-M30,0)</f>
        <v>0</v>
      </c>
      <c r="O30" s="478">
        <f t="shared" ref="O30" si="12">+N30-L30</f>
        <v>0</v>
      </c>
      <c r="P30" s="242"/>
    </row>
    <row r="31" spans="2:16" ht="12.5">
      <c r="B31" s="160" t="str">
        <f t="shared" si="4"/>
        <v>IU</v>
      </c>
      <c r="C31" s="472">
        <f>IF(D11="","-",+C30+1)</f>
        <v>2020</v>
      </c>
      <c r="D31" s="479">
        <v>41159.491486326981</v>
      </c>
      <c r="E31" s="480">
        <v>1336.5</v>
      </c>
      <c r="F31" s="479">
        <v>39822.991486326981</v>
      </c>
      <c r="G31" s="480">
        <v>5709.7475035377865</v>
      </c>
      <c r="H31" s="481">
        <v>5709.7475035377865</v>
      </c>
      <c r="I31" s="475">
        <f t="shared" si="0"/>
        <v>0</v>
      </c>
      <c r="J31" s="475"/>
      <c r="K31" s="476">
        <f>G31</f>
        <v>5709.7475035377865</v>
      </c>
      <c r="L31" s="550">
        <f t="shared" ref="L31" si="13">IF(K31&lt;&gt;0,+G31-K31,0)</f>
        <v>0</v>
      </c>
      <c r="M31" s="476">
        <f>H31</f>
        <v>5709.7475035377865</v>
      </c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4"/>
        <v>IU</v>
      </c>
      <c r="C32" s="472">
        <f>IF(D11="","-",+C31+1)</f>
        <v>2021</v>
      </c>
      <c r="D32" s="485">
        <f>IF(F31+SUM(E$17:E31)=D$10,F31,D$10-SUM(E$17:E31))</f>
        <v>39667.06648632697</v>
      </c>
      <c r="E32" s="484">
        <f>IF(+I14&lt;F31,I14,D32)</f>
        <v>1305.4186046511627</v>
      </c>
      <c r="F32" s="485">
        <f t="shared" ref="F32:F48" si="14">+D32-E32</f>
        <v>38361.64788167581</v>
      </c>
      <c r="G32" s="486">
        <f t="shared" ref="G32:G72" si="15">+I$12*F32+E32</f>
        <v>5441.6348487910545</v>
      </c>
      <c r="H32" s="455">
        <f t="shared" ref="H32:H72" si="16">+I$13*F32+E32</f>
        <v>5441.6348487910545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4"/>
        <v/>
      </c>
      <c r="C33" s="472">
        <f>IF(D11="","-",+C32+1)</f>
        <v>2022</v>
      </c>
      <c r="D33" s="485">
        <f>IF(F32+SUM(E$17:E32)=D$10,F32,D$10-SUM(E$17:E32))</f>
        <v>38361.64788167581</v>
      </c>
      <c r="E33" s="484">
        <f>IF(+I14&lt;F32,I14,D33)</f>
        <v>1305.4186046511627</v>
      </c>
      <c r="F33" s="485">
        <f t="shared" si="14"/>
        <v>37056.229277024649</v>
      </c>
      <c r="G33" s="486">
        <f t="shared" si="15"/>
        <v>5300.882458418906</v>
      </c>
      <c r="H33" s="455">
        <f t="shared" si="16"/>
        <v>5300.882458418906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4"/>
        <v/>
      </c>
      <c r="C34" s="472">
        <f>IF(D11="","-",+C33+1)</f>
        <v>2023</v>
      </c>
      <c r="D34" s="485">
        <f>IF(F33+SUM(E$17:E33)=D$10,F33,D$10-SUM(E$17:E33))</f>
        <v>37056.229277024649</v>
      </c>
      <c r="E34" s="484">
        <f>IF(+I14&lt;F33,I14,D34)</f>
        <v>1305.4186046511627</v>
      </c>
      <c r="F34" s="485">
        <f t="shared" si="14"/>
        <v>35750.810672373489</v>
      </c>
      <c r="G34" s="486">
        <f t="shared" si="15"/>
        <v>5160.1300680467566</v>
      </c>
      <c r="H34" s="455">
        <f t="shared" si="16"/>
        <v>5160.1300680467566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4"/>
        <v/>
      </c>
      <c r="C35" s="472">
        <f>IF(D11="","-",+C34+1)</f>
        <v>2024</v>
      </c>
      <c r="D35" s="485">
        <f>IF(F34+SUM(E$17:E34)=D$10,F34,D$10-SUM(E$17:E34))</f>
        <v>35750.810672373489</v>
      </c>
      <c r="E35" s="484">
        <f>IF(+I14&lt;F34,I14,D35)</f>
        <v>1305.4186046511627</v>
      </c>
      <c r="F35" s="485">
        <f t="shared" si="14"/>
        <v>34445.392067722329</v>
      </c>
      <c r="G35" s="486">
        <f t="shared" si="15"/>
        <v>5019.3776776746072</v>
      </c>
      <c r="H35" s="455">
        <f t="shared" si="16"/>
        <v>5019.3776776746072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4"/>
        <v/>
      </c>
      <c r="C36" s="472">
        <f>IF(D11="","-",+C35+1)</f>
        <v>2025</v>
      </c>
      <c r="D36" s="485">
        <f>IF(F35+SUM(E$17:E35)=D$10,F35,D$10-SUM(E$17:E35))</f>
        <v>34445.392067722329</v>
      </c>
      <c r="E36" s="484">
        <f>IF(+I14&lt;F35,I14,D36)</f>
        <v>1305.4186046511627</v>
      </c>
      <c r="F36" s="485">
        <f t="shared" si="14"/>
        <v>33139.973463071168</v>
      </c>
      <c r="G36" s="486">
        <f t="shared" si="15"/>
        <v>4878.6252873024587</v>
      </c>
      <c r="H36" s="455">
        <f t="shared" si="16"/>
        <v>4878.6252873024587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4"/>
        <v/>
      </c>
      <c r="C37" s="472">
        <f>IF(D11="","-",+C36+1)</f>
        <v>2026</v>
      </c>
      <c r="D37" s="485">
        <f>IF(F36+SUM(E$17:E36)=D$10,F36,D$10-SUM(E$17:E36))</f>
        <v>33139.973463071168</v>
      </c>
      <c r="E37" s="484">
        <f>IF(+I14&lt;F36,I14,D37)</f>
        <v>1305.4186046511627</v>
      </c>
      <c r="F37" s="485">
        <f t="shared" si="14"/>
        <v>31834.554858420004</v>
      </c>
      <c r="G37" s="486">
        <f t="shared" si="15"/>
        <v>4737.8728969303083</v>
      </c>
      <c r="H37" s="455">
        <f t="shared" si="16"/>
        <v>4737.8728969303083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565" t="str">
        <f t="shared" si="4"/>
        <v/>
      </c>
      <c r="C38" s="472">
        <f>IF(D11="","-",+C37+1)</f>
        <v>2027</v>
      </c>
      <c r="D38" s="485">
        <f>IF(F37+SUM(E$17:E37)=D$10,F37,D$10-SUM(E$17:E37))</f>
        <v>31834.554858420004</v>
      </c>
      <c r="E38" s="484">
        <f>IF(+I14&lt;F37,I14,D38)</f>
        <v>1305.4186046511627</v>
      </c>
      <c r="F38" s="485">
        <f t="shared" si="14"/>
        <v>30529.13625376884</v>
      </c>
      <c r="G38" s="486">
        <f t="shared" si="15"/>
        <v>4597.1205065581589</v>
      </c>
      <c r="H38" s="455">
        <f t="shared" si="16"/>
        <v>4597.1205065581589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4"/>
        <v/>
      </c>
      <c r="C39" s="472">
        <f>IF(D11="","-",+C38+1)</f>
        <v>2028</v>
      </c>
      <c r="D39" s="485">
        <f>IF(F38+SUM(E$17:E38)=D$10,F38,D$10-SUM(E$17:E38))</f>
        <v>30529.13625376884</v>
      </c>
      <c r="E39" s="484">
        <f>IF(+I14&lt;F38,I14,D39)</f>
        <v>1305.4186046511627</v>
      </c>
      <c r="F39" s="485">
        <f t="shared" si="14"/>
        <v>29223.717649117676</v>
      </c>
      <c r="G39" s="486">
        <f t="shared" si="15"/>
        <v>4456.3681161860095</v>
      </c>
      <c r="H39" s="455">
        <f t="shared" si="16"/>
        <v>4456.3681161860095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4"/>
        <v/>
      </c>
      <c r="C40" s="472">
        <f>IF(D11="","-",+C39+1)</f>
        <v>2029</v>
      </c>
      <c r="D40" s="485">
        <f>IF(F39+SUM(E$17:E39)=D$10,F39,D$10-SUM(E$17:E39))</f>
        <v>29223.717649117676</v>
      </c>
      <c r="E40" s="484">
        <f>IF(+I14&lt;F39,I14,D40)</f>
        <v>1305.4186046511627</v>
      </c>
      <c r="F40" s="485">
        <f t="shared" si="14"/>
        <v>27918.299044466512</v>
      </c>
      <c r="G40" s="486">
        <f t="shared" si="15"/>
        <v>4315.6157258138601</v>
      </c>
      <c r="H40" s="455">
        <f t="shared" si="16"/>
        <v>4315.6157258138601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4"/>
        <v/>
      </c>
      <c r="C41" s="472">
        <f>IF(D11="","-",+C40+1)</f>
        <v>2030</v>
      </c>
      <c r="D41" s="485">
        <f>IF(F40+SUM(E$17:E40)=D$10,F40,D$10-SUM(E$17:E40))</f>
        <v>27918.299044466512</v>
      </c>
      <c r="E41" s="484">
        <f>IF(+I14&lt;F40,I14,D41)</f>
        <v>1305.4186046511627</v>
      </c>
      <c r="F41" s="485">
        <f t="shared" si="14"/>
        <v>26612.880439815348</v>
      </c>
      <c r="G41" s="486">
        <f t="shared" si="15"/>
        <v>4174.8633354417107</v>
      </c>
      <c r="H41" s="455">
        <f t="shared" si="16"/>
        <v>4174.8633354417107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4"/>
        <v/>
      </c>
      <c r="C42" s="472">
        <f>IF(D11="","-",+C41+1)</f>
        <v>2031</v>
      </c>
      <c r="D42" s="485">
        <f>IF(F41+SUM(E$17:E41)=D$10,F41,D$10-SUM(E$17:E41))</f>
        <v>26612.880439815348</v>
      </c>
      <c r="E42" s="484">
        <f>IF(+I14&lt;F41,I14,D42)</f>
        <v>1305.4186046511627</v>
      </c>
      <c r="F42" s="485">
        <f t="shared" si="14"/>
        <v>25307.461835164184</v>
      </c>
      <c r="G42" s="486">
        <f t="shared" si="15"/>
        <v>4034.1109450695612</v>
      </c>
      <c r="H42" s="455">
        <f t="shared" si="16"/>
        <v>4034.1109450695612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4"/>
        <v/>
      </c>
      <c r="C43" s="472">
        <f>IF(D11="","-",+C42+1)</f>
        <v>2032</v>
      </c>
      <c r="D43" s="485">
        <f>IF(F42+SUM(E$17:E42)=D$10,F42,D$10-SUM(E$17:E42))</f>
        <v>25307.461835164184</v>
      </c>
      <c r="E43" s="484">
        <f>IF(+I14&lt;F42,I14,D43)</f>
        <v>1305.4186046511627</v>
      </c>
      <c r="F43" s="485">
        <f t="shared" si="14"/>
        <v>24002.04323051302</v>
      </c>
      <c r="G43" s="486">
        <f t="shared" si="15"/>
        <v>3893.3585546974114</v>
      </c>
      <c r="H43" s="455">
        <f t="shared" si="16"/>
        <v>3893.3585546974114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4"/>
        <v/>
      </c>
      <c r="C44" s="472">
        <f>IF(D11="","-",+C43+1)</f>
        <v>2033</v>
      </c>
      <c r="D44" s="485">
        <f>IF(F43+SUM(E$17:E43)=D$10,F43,D$10-SUM(E$17:E43))</f>
        <v>24002.04323051302</v>
      </c>
      <c r="E44" s="484">
        <f>IF(+I14&lt;F43,I14,D44)</f>
        <v>1305.4186046511627</v>
      </c>
      <c r="F44" s="485">
        <f t="shared" si="14"/>
        <v>22696.624625861856</v>
      </c>
      <c r="G44" s="486">
        <f t="shared" si="15"/>
        <v>3752.6061643252619</v>
      </c>
      <c r="H44" s="455">
        <f t="shared" si="16"/>
        <v>3752.6061643252619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4"/>
        <v/>
      </c>
      <c r="C45" s="472">
        <f>IF(D11="","-",+C44+1)</f>
        <v>2034</v>
      </c>
      <c r="D45" s="485">
        <f>IF(F44+SUM(E$17:E44)=D$10,F44,D$10-SUM(E$17:E44))</f>
        <v>22696.624625861856</v>
      </c>
      <c r="E45" s="484">
        <f>IF(+I14&lt;F44,I14,D45)</f>
        <v>1305.4186046511627</v>
      </c>
      <c r="F45" s="485">
        <f t="shared" si="14"/>
        <v>21391.206021210692</v>
      </c>
      <c r="G45" s="486">
        <f t="shared" si="15"/>
        <v>3611.8537739531125</v>
      </c>
      <c r="H45" s="455">
        <f t="shared" si="16"/>
        <v>3611.8537739531125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4"/>
        <v/>
      </c>
      <c r="C46" s="472">
        <f>IF(D11="","-",+C45+1)</f>
        <v>2035</v>
      </c>
      <c r="D46" s="485">
        <f>IF(F45+SUM(E$17:E45)=D$10,F45,D$10-SUM(E$17:E45))</f>
        <v>21391.206021210692</v>
      </c>
      <c r="E46" s="484">
        <f>IF(+I14&lt;F45,I14,D46)</f>
        <v>1305.4186046511627</v>
      </c>
      <c r="F46" s="485">
        <f t="shared" si="14"/>
        <v>20085.787416559528</v>
      </c>
      <c r="G46" s="486">
        <f t="shared" si="15"/>
        <v>3471.1013835809631</v>
      </c>
      <c r="H46" s="455">
        <f t="shared" si="16"/>
        <v>3471.1013835809631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4"/>
        <v/>
      </c>
      <c r="C47" s="472">
        <f>IF(D11="","-",+C46+1)</f>
        <v>2036</v>
      </c>
      <c r="D47" s="485">
        <f>IF(F46+SUM(E$17:E46)=D$10,F46,D$10-SUM(E$17:E46))</f>
        <v>20085.787416559528</v>
      </c>
      <c r="E47" s="484">
        <f>IF(+I14&lt;F46,I14,D47)</f>
        <v>1305.4186046511627</v>
      </c>
      <c r="F47" s="485">
        <f t="shared" si="14"/>
        <v>18780.368811908364</v>
      </c>
      <c r="G47" s="486">
        <f t="shared" si="15"/>
        <v>3330.3489932088132</v>
      </c>
      <c r="H47" s="455">
        <f t="shared" si="16"/>
        <v>3330.3489932088132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4"/>
        <v/>
      </c>
      <c r="C48" s="472">
        <f>IF(D11="","-",+C47+1)</f>
        <v>2037</v>
      </c>
      <c r="D48" s="485">
        <f>IF(F47+SUM(E$17:E47)=D$10,F47,D$10-SUM(E$17:E47))</f>
        <v>18780.368811908364</v>
      </c>
      <c r="E48" s="484">
        <f>IF(+I14&lt;F47,I14,D48)</f>
        <v>1305.4186046511627</v>
      </c>
      <c r="F48" s="485">
        <f t="shared" si="14"/>
        <v>17474.9502072572</v>
      </c>
      <c r="G48" s="486">
        <f t="shared" si="15"/>
        <v>3189.5966028366638</v>
      </c>
      <c r="H48" s="455">
        <f t="shared" si="16"/>
        <v>3189.5966028366638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4"/>
        <v/>
      </c>
      <c r="C49" s="472">
        <f>IF(D11="","-",+C48+1)</f>
        <v>2038</v>
      </c>
      <c r="D49" s="485">
        <f>IF(F48+SUM(E$17:E48)=D$10,F48,D$10-SUM(E$17:E48))</f>
        <v>17474.9502072572</v>
      </c>
      <c r="E49" s="484">
        <f>IF(+I14&lt;F48,I14,D49)</f>
        <v>1305.4186046511627</v>
      </c>
      <c r="F49" s="485">
        <f t="shared" ref="F49:F72" si="17">+D49-E49</f>
        <v>16169.531602606037</v>
      </c>
      <c r="G49" s="486">
        <f t="shared" si="15"/>
        <v>3048.8442124645144</v>
      </c>
      <c r="H49" s="455">
        <f t="shared" si="16"/>
        <v>3048.8442124645144</v>
      </c>
      <c r="I49" s="475">
        <f t="shared" ref="I49:I72" si="18">H49-G49</f>
        <v>0</v>
      </c>
      <c r="J49" s="475"/>
      <c r="K49" s="487"/>
      <c r="L49" s="478">
        <f t="shared" ref="L49:L72" si="19">IF(K49&lt;&gt;0,+G49-K49,0)</f>
        <v>0</v>
      </c>
      <c r="M49" s="487"/>
      <c r="N49" s="478">
        <f t="shared" ref="N49:N72" si="20">IF(M49&lt;&gt;0,+H49-M49,0)</f>
        <v>0</v>
      </c>
      <c r="O49" s="478">
        <f t="shared" ref="O49:O72" si="21">+N49-L49</f>
        <v>0</v>
      </c>
      <c r="P49" s="242"/>
    </row>
    <row r="50" spans="2:16" ht="12.5">
      <c r="B50" s="160" t="str">
        <f t="shared" si="4"/>
        <v/>
      </c>
      <c r="C50" s="472">
        <f>IF(D11="","-",+C49+1)</f>
        <v>2039</v>
      </c>
      <c r="D50" s="485">
        <f>IF(F49+SUM(E$17:E49)=D$10,F49,D$10-SUM(E$17:E49))</f>
        <v>16169.531602606037</v>
      </c>
      <c r="E50" s="484">
        <f>IF(+I14&lt;F49,I14,D50)</f>
        <v>1305.4186046511627</v>
      </c>
      <c r="F50" s="485">
        <f t="shared" si="17"/>
        <v>14864.112997954875</v>
      </c>
      <c r="G50" s="486">
        <f t="shared" si="15"/>
        <v>2908.091822092365</v>
      </c>
      <c r="H50" s="455">
        <f t="shared" si="16"/>
        <v>2908.091822092365</v>
      </c>
      <c r="I50" s="475">
        <f t="shared" si="18"/>
        <v>0</v>
      </c>
      <c r="J50" s="475"/>
      <c r="K50" s="487"/>
      <c r="L50" s="478">
        <f t="shared" si="19"/>
        <v>0</v>
      </c>
      <c r="M50" s="487"/>
      <c r="N50" s="478">
        <f t="shared" si="20"/>
        <v>0</v>
      </c>
      <c r="O50" s="478">
        <f t="shared" si="21"/>
        <v>0</v>
      </c>
      <c r="P50" s="242"/>
    </row>
    <row r="51" spans="2:16" ht="12.5">
      <c r="B51" s="160" t="str">
        <f t="shared" si="4"/>
        <v/>
      </c>
      <c r="C51" s="472">
        <f>IF(D11="","-",+C50+1)</f>
        <v>2040</v>
      </c>
      <c r="D51" s="485">
        <f>IF(F50+SUM(E$17:E50)=D$10,F50,D$10-SUM(E$17:E50))</f>
        <v>14864.112997954875</v>
      </c>
      <c r="E51" s="484">
        <f>IF(+I14&lt;F50,I14,D51)</f>
        <v>1305.4186046511627</v>
      </c>
      <c r="F51" s="485">
        <f t="shared" si="17"/>
        <v>13558.694393303713</v>
      </c>
      <c r="G51" s="486">
        <f t="shared" si="15"/>
        <v>2767.339431720216</v>
      </c>
      <c r="H51" s="455">
        <f t="shared" si="16"/>
        <v>2767.339431720216</v>
      </c>
      <c r="I51" s="475">
        <f t="shared" si="18"/>
        <v>0</v>
      </c>
      <c r="J51" s="475"/>
      <c r="K51" s="487"/>
      <c r="L51" s="478">
        <f t="shared" si="19"/>
        <v>0</v>
      </c>
      <c r="M51" s="487"/>
      <c r="N51" s="478">
        <f t="shared" si="20"/>
        <v>0</v>
      </c>
      <c r="O51" s="478">
        <f t="shared" si="21"/>
        <v>0</v>
      </c>
      <c r="P51" s="242"/>
    </row>
    <row r="52" spans="2:16" ht="12.5">
      <c r="B52" s="160" t="str">
        <f t="shared" si="4"/>
        <v/>
      </c>
      <c r="C52" s="472">
        <f>IF(D11="","-",+C51+1)</f>
        <v>2041</v>
      </c>
      <c r="D52" s="485">
        <f>IF(F51+SUM(E$17:E51)=D$10,F51,D$10-SUM(E$17:E51))</f>
        <v>13558.694393303713</v>
      </c>
      <c r="E52" s="484">
        <f>IF(+I14&lt;F51,I14,D52)</f>
        <v>1305.4186046511627</v>
      </c>
      <c r="F52" s="485">
        <f t="shared" si="17"/>
        <v>12253.275788652551</v>
      </c>
      <c r="G52" s="486">
        <f t="shared" si="15"/>
        <v>2626.5870413480666</v>
      </c>
      <c r="H52" s="455">
        <f t="shared" si="16"/>
        <v>2626.5870413480666</v>
      </c>
      <c r="I52" s="475">
        <f t="shared" si="18"/>
        <v>0</v>
      </c>
      <c r="J52" s="475"/>
      <c r="K52" s="487"/>
      <c r="L52" s="478">
        <f t="shared" si="19"/>
        <v>0</v>
      </c>
      <c r="M52" s="487"/>
      <c r="N52" s="478">
        <f t="shared" si="20"/>
        <v>0</v>
      </c>
      <c r="O52" s="478">
        <f t="shared" si="21"/>
        <v>0</v>
      </c>
      <c r="P52" s="242"/>
    </row>
    <row r="53" spans="2:16" ht="12.5">
      <c r="B53" s="160" t="str">
        <f t="shared" si="4"/>
        <v/>
      </c>
      <c r="C53" s="472">
        <f>IF(D11="","-",+C52+1)</f>
        <v>2042</v>
      </c>
      <c r="D53" s="485">
        <f>IF(F52+SUM(E$17:E52)=D$10,F52,D$10-SUM(E$17:E52))</f>
        <v>12253.275788652551</v>
      </c>
      <c r="E53" s="484">
        <f>IF(+I14&lt;F52,I14,D53)</f>
        <v>1305.4186046511627</v>
      </c>
      <c r="F53" s="485">
        <f t="shared" si="17"/>
        <v>10947.857184001388</v>
      </c>
      <c r="G53" s="486">
        <f t="shared" si="15"/>
        <v>2485.8346509759176</v>
      </c>
      <c r="H53" s="455">
        <f t="shared" si="16"/>
        <v>2485.8346509759176</v>
      </c>
      <c r="I53" s="475">
        <f t="shared" si="18"/>
        <v>0</v>
      </c>
      <c r="J53" s="475"/>
      <c r="K53" s="487"/>
      <c r="L53" s="478">
        <f t="shared" si="19"/>
        <v>0</v>
      </c>
      <c r="M53" s="487"/>
      <c r="N53" s="478">
        <f t="shared" si="20"/>
        <v>0</v>
      </c>
      <c r="O53" s="478">
        <f t="shared" si="21"/>
        <v>0</v>
      </c>
      <c r="P53" s="242"/>
    </row>
    <row r="54" spans="2:16" ht="12.5">
      <c r="B54" s="160" t="str">
        <f t="shared" si="4"/>
        <v/>
      </c>
      <c r="C54" s="472">
        <f>IF(D11="","-",+C53+1)</f>
        <v>2043</v>
      </c>
      <c r="D54" s="485">
        <f>IF(F53+SUM(E$17:E53)=D$10,F53,D$10-SUM(E$17:E53))</f>
        <v>10947.857184001388</v>
      </c>
      <c r="E54" s="484">
        <f>IF(+I14&lt;F53,I14,D54)</f>
        <v>1305.4186046511627</v>
      </c>
      <c r="F54" s="485">
        <f t="shared" si="17"/>
        <v>9642.4385793502261</v>
      </c>
      <c r="G54" s="486">
        <f t="shared" si="15"/>
        <v>2345.0822606037682</v>
      </c>
      <c r="H54" s="455">
        <f t="shared" si="16"/>
        <v>2345.0822606037682</v>
      </c>
      <c r="I54" s="475">
        <f t="shared" si="18"/>
        <v>0</v>
      </c>
      <c r="J54" s="475"/>
      <c r="K54" s="487"/>
      <c r="L54" s="478">
        <f t="shared" si="19"/>
        <v>0</v>
      </c>
      <c r="M54" s="487"/>
      <c r="N54" s="478">
        <f t="shared" si="20"/>
        <v>0</v>
      </c>
      <c r="O54" s="478">
        <f t="shared" si="21"/>
        <v>0</v>
      </c>
      <c r="P54" s="242"/>
    </row>
    <row r="55" spans="2:16" ht="12.5">
      <c r="B55" s="160" t="str">
        <f t="shared" si="4"/>
        <v/>
      </c>
      <c r="C55" s="472">
        <f>IF(D11="","-",+C54+1)</f>
        <v>2044</v>
      </c>
      <c r="D55" s="485">
        <f>IF(F54+SUM(E$17:E54)=D$10,F54,D$10-SUM(E$17:E54))</f>
        <v>9642.4385793502261</v>
      </c>
      <c r="E55" s="484">
        <f>IF(+I14&lt;F54,I14,D55)</f>
        <v>1305.4186046511627</v>
      </c>
      <c r="F55" s="485">
        <f t="shared" si="17"/>
        <v>8337.0199746990638</v>
      </c>
      <c r="G55" s="486">
        <f t="shared" si="15"/>
        <v>2204.3298702316188</v>
      </c>
      <c r="H55" s="455">
        <f t="shared" si="16"/>
        <v>2204.3298702316188</v>
      </c>
      <c r="I55" s="475">
        <f t="shared" si="18"/>
        <v>0</v>
      </c>
      <c r="J55" s="475"/>
      <c r="K55" s="487"/>
      <c r="L55" s="478">
        <f t="shared" si="19"/>
        <v>0</v>
      </c>
      <c r="M55" s="487"/>
      <c r="N55" s="478">
        <f t="shared" si="20"/>
        <v>0</v>
      </c>
      <c r="O55" s="478">
        <f t="shared" si="21"/>
        <v>0</v>
      </c>
      <c r="P55" s="242"/>
    </row>
    <row r="56" spans="2:16" ht="12.5">
      <c r="B56" s="160" t="str">
        <f t="shared" si="4"/>
        <v/>
      </c>
      <c r="C56" s="472">
        <f>IF(D11="","-",+C55+1)</f>
        <v>2045</v>
      </c>
      <c r="D56" s="485">
        <f>IF(F55+SUM(E$17:E55)=D$10,F55,D$10-SUM(E$17:E55))</f>
        <v>8337.0199746990638</v>
      </c>
      <c r="E56" s="484">
        <f>IF(+I14&lt;F55,I14,D56)</f>
        <v>1305.4186046511627</v>
      </c>
      <c r="F56" s="485">
        <f t="shared" si="17"/>
        <v>7031.6013700479016</v>
      </c>
      <c r="G56" s="486">
        <f t="shared" si="15"/>
        <v>2063.5774798594693</v>
      </c>
      <c r="H56" s="455">
        <f t="shared" si="16"/>
        <v>2063.5774798594693</v>
      </c>
      <c r="I56" s="475">
        <f t="shared" si="18"/>
        <v>0</v>
      </c>
      <c r="J56" s="475"/>
      <c r="K56" s="487"/>
      <c r="L56" s="478">
        <f t="shared" si="19"/>
        <v>0</v>
      </c>
      <c r="M56" s="487"/>
      <c r="N56" s="478">
        <f t="shared" si="20"/>
        <v>0</v>
      </c>
      <c r="O56" s="478">
        <f t="shared" si="21"/>
        <v>0</v>
      </c>
      <c r="P56" s="242"/>
    </row>
    <row r="57" spans="2:16" ht="12.5">
      <c r="B57" s="160" t="str">
        <f t="shared" si="4"/>
        <v/>
      </c>
      <c r="C57" s="472">
        <f>IF(D11="","-",+C56+1)</f>
        <v>2046</v>
      </c>
      <c r="D57" s="485">
        <f>IF(F56+SUM(E$17:E56)=D$10,F56,D$10-SUM(E$17:E56))</f>
        <v>7031.6013700479016</v>
      </c>
      <c r="E57" s="484">
        <f>IF(+I14&lt;F56,I14,D57)</f>
        <v>1305.4186046511627</v>
      </c>
      <c r="F57" s="485">
        <f t="shared" si="17"/>
        <v>5726.1827653967393</v>
      </c>
      <c r="G57" s="486">
        <f t="shared" si="15"/>
        <v>1922.8250894873199</v>
      </c>
      <c r="H57" s="455">
        <f t="shared" si="16"/>
        <v>1922.8250894873199</v>
      </c>
      <c r="I57" s="475">
        <f t="shared" si="18"/>
        <v>0</v>
      </c>
      <c r="J57" s="475"/>
      <c r="K57" s="487"/>
      <c r="L57" s="478">
        <f t="shared" si="19"/>
        <v>0</v>
      </c>
      <c r="M57" s="487"/>
      <c r="N57" s="478">
        <f t="shared" si="20"/>
        <v>0</v>
      </c>
      <c r="O57" s="478">
        <f t="shared" si="21"/>
        <v>0</v>
      </c>
      <c r="P57" s="242"/>
    </row>
    <row r="58" spans="2:16" ht="12.5">
      <c r="B58" s="160" t="str">
        <f t="shared" si="4"/>
        <v/>
      </c>
      <c r="C58" s="472">
        <f>IF(D11="","-",+C57+1)</f>
        <v>2047</v>
      </c>
      <c r="D58" s="485">
        <f>IF(F57+SUM(E$17:E57)=D$10,F57,D$10-SUM(E$17:E57))</f>
        <v>5726.1827653967393</v>
      </c>
      <c r="E58" s="484">
        <f>IF(+I14&lt;F57,I14,D58)</f>
        <v>1305.4186046511627</v>
      </c>
      <c r="F58" s="485">
        <f t="shared" si="17"/>
        <v>4420.7641607455771</v>
      </c>
      <c r="G58" s="486">
        <f t="shared" si="15"/>
        <v>1782.0726991151707</v>
      </c>
      <c r="H58" s="455">
        <f t="shared" si="16"/>
        <v>1782.0726991151707</v>
      </c>
      <c r="I58" s="475">
        <f t="shared" si="18"/>
        <v>0</v>
      </c>
      <c r="J58" s="475"/>
      <c r="K58" s="487"/>
      <c r="L58" s="478">
        <f t="shared" si="19"/>
        <v>0</v>
      </c>
      <c r="M58" s="487"/>
      <c r="N58" s="478">
        <f t="shared" si="20"/>
        <v>0</v>
      </c>
      <c r="O58" s="478">
        <f t="shared" si="21"/>
        <v>0</v>
      </c>
      <c r="P58" s="242"/>
    </row>
    <row r="59" spans="2:16" ht="12.5">
      <c r="B59" s="160" t="str">
        <f t="shared" si="4"/>
        <v/>
      </c>
      <c r="C59" s="472">
        <f>IF(D11="","-",+C58+1)</f>
        <v>2048</v>
      </c>
      <c r="D59" s="485">
        <f>IF(F58+SUM(E$17:E58)=D$10,F58,D$10-SUM(E$17:E58))</f>
        <v>4420.7641607455771</v>
      </c>
      <c r="E59" s="484">
        <f>IF(+I14&lt;F58,I14,D59)</f>
        <v>1305.4186046511627</v>
      </c>
      <c r="F59" s="485">
        <f t="shared" si="17"/>
        <v>3115.3455560944144</v>
      </c>
      <c r="G59" s="486">
        <f t="shared" si="15"/>
        <v>1641.3203087430213</v>
      </c>
      <c r="H59" s="455">
        <f t="shared" si="16"/>
        <v>1641.3203087430213</v>
      </c>
      <c r="I59" s="475">
        <f t="shared" si="18"/>
        <v>0</v>
      </c>
      <c r="J59" s="475"/>
      <c r="K59" s="487"/>
      <c r="L59" s="478">
        <f t="shared" si="19"/>
        <v>0</v>
      </c>
      <c r="M59" s="487"/>
      <c r="N59" s="478">
        <f t="shared" si="20"/>
        <v>0</v>
      </c>
      <c r="O59" s="478">
        <f t="shared" si="21"/>
        <v>0</v>
      </c>
      <c r="P59" s="242"/>
    </row>
    <row r="60" spans="2:16" ht="12.5">
      <c r="B60" s="160" t="str">
        <f t="shared" si="4"/>
        <v/>
      </c>
      <c r="C60" s="472">
        <f>IF(D11="","-",+C59+1)</f>
        <v>2049</v>
      </c>
      <c r="D60" s="485">
        <f>IF(F59+SUM(E$17:E59)=D$10,F59,D$10-SUM(E$17:E59))</f>
        <v>3115.3455560944144</v>
      </c>
      <c r="E60" s="484">
        <f>IF(+I14&lt;F59,I14,D60)</f>
        <v>1305.4186046511627</v>
      </c>
      <c r="F60" s="485">
        <f t="shared" si="17"/>
        <v>1809.9269514432517</v>
      </c>
      <c r="G60" s="486">
        <f t="shared" si="15"/>
        <v>1500.5679183708719</v>
      </c>
      <c r="H60" s="455">
        <f t="shared" si="16"/>
        <v>1500.5679183708719</v>
      </c>
      <c r="I60" s="475">
        <f t="shared" si="18"/>
        <v>0</v>
      </c>
      <c r="J60" s="475"/>
      <c r="K60" s="487"/>
      <c r="L60" s="478">
        <f t="shared" si="19"/>
        <v>0</v>
      </c>
      <c r="M60" s="487"/>
      <c r="N60" s="478">
        <f t="shared" si="20"/>
        <v>0</v>
      </c>
      <c r="O60" s="478">
        <f t="shared" si="21"/>
        <v>0</v>
      </c>
      <c r="P60" s="242"/>
    </row>
    <row r="61" spans="2:16" ht="12.5">
      <c r="B61" s="160" t="str">
        <f t="shared" si="4"/>
        <v/>
      </c>
      <c r="C61" s="472">
        <f>IF(D11="","-",+C60+1)</f>
        <v>2050</v>
      </c>
      <c r="D61" s="485">
        <f>IF(F60+SUM(E$17:E60)=D$10,F60,D$10-SUM(E$17:E60))</f>
        <v>1809.9269514432517</v>
      </c>
      <c r="E61" s="484">
        <f>IF(+I14&lt;F60,I14,D61)</f>
        <v>1305.4186046511627</v>
      </c>
      <c r="F61" s="485">
        <f t="shared" si="17"/>
        <v>504.50834679208901</v>
      </c>
      <c r="G61" s="488">
        <f t="shared" si="15"/>
        <v>1359.8155279987225</v>
      </c>
      <c r="H61" s="455">
        <f t="shared" si="16"/>
        <v>1359.8155279987225</v>
      </c>
      <c r="I61" s="475">
        <f t="shared" si="18"/>
        <v>0</v>
      </c>
      <c r="J61" s="475"/>
      <c r="K61" s="487"/>
      <c r="L61" s="478">
        <f t="shared" si="19"/>
        <v>0</v>
      </c>
      <c r="M61" s="487"/>
      <c r="N61" s="478">
        <f t="shared" si="20"/>
        <v>0</v>
      </c>
      <c r="O61" s="478">
        <f t="shared" si="21"/>
        <v>0</v>
      </c>
      <c r="P61" s="242"/>
    </row>
    <row r="62" spans="2:16" ht="12.5">
      <c r="B62" s="160" t="str">
        <f t="shared" si="4"/>
        <v/>
      </c>
      <c r="C62" s="472">
        <f>IF(D11="","-",+C61+1)</f>
        <v>2051</v>
      </c>
      <c r="D62" s="485">
        <f>IF(F61+SUM(E$17:E61)=D$10,F61,D$10-SUM(E$17:E61))</f>
        <v>504.50834679208901</v>
      </c>
      <c r="E62" s="484">
        <f>IF(+I14&lt;F61,I14,D62)</f>
        <v>504.50834679208901</v>
      </c>
      <c r="F62" s="485">
        <f t="shared" si="17"/>
        <v>0</v>
      </c>
      <c r="G62" s="488">
        <f t="shared" si="15"/>
        <v>504.50834679208901</v>
      </c>
      <c r="H62" s="455">
        <f t="shared" si="16"/>
        <v>504.50834679208901</v>
      </c>
      <c r="I62" s="475">
        <f t="shared" si="18"/>
        <v>0</v>
      </c>
      <c r="J62" s="475"/>
      <c r="K62" s="487"/>
      <c r="L62" s="478">
        <f t="shared" si="19"/>
        <v>0</v>
      </c>
      <c r="M62" s="487"/>
      <c r="N62" s="478">
        <f t="shared" si="20"/>
        <v>0</v>
      </c>
      <c r="O62" s="478">
        <f t="shared" si="21"/>
        <v>0</v>
      </c>
      <c r="P62" s="242"/>
    </row>
    <row r="63" spans="2:16" ht="12.5">
      <c r="B63" s="565" t="str">
        <f t="shared" si="4"/>
        <v/>
      </c>
      <c r="C63" s="472">
        <f>IF(D11="","-",+C62+1)</f>
        <v>2052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7"/>
        <v>0</v>
      </c>
      <c r="G63" s="488">
        <f t="shared" si="15"/>
        <v>0</v>
      </c>
      <c r="H63" s="455">
        <f t="shared" si="16"/>
        <v>0</v>
      </c>
      <c r="I63" s="475">
        <f t="shared" si="18"/>
        <v>0</v>
      </c>
      <c r="J63" s="475"/>
      <c r="K63" s="487"/>
      <c r="L63" s="478">
        <f t="shared" si="19"/>
        <v>0</v>
      </c>
      <c r="M63" s="487"/>
      <c r="N63" s="478">
        <f t="shared" si="20"/>
        <v>0</v>
      </c>
      <c r="O63" s="478">
        <f t="shared" si="21"/>
        <v>0</v>
      </c>
      <c r="P63" s="242"/>
    </row>
    <row r="64" spans="2:16" ht="12.5">
      <c r="B64" s="160" t="str">
        <f t="shared" si="4"/>
        <v/>
      </c>
      <c r="C64" s="472">
        <f>IF(D11="","-",+C63+1)</f>
        <v>2053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7"/>
        <v>0</v>
      </c>
      <c r="G64" s="488">
        <f t="shared" si="15"/>
        <v>0</v>
      </c>
      <c r="H64" s="455">
        <f t="shared" si="16"/>
        <v>0</v>
      </c>
      <c r="I64" s="475">
        <f t="shared" si="18"/>
        <v>0</v>
      </c>
      <c r="J64" s="475"/>
      <c r="K64" s="487"/>
      <c r="L64" s="478">
        <f t="shared" si="19"/>
        <v>0</v>
      </c>
      <c r="M64" s="487"/>
      <c r="N64" s="478">
        <f t="shared" si="20"/>
        <v>0</v>
      </c>
      <c r="O64" s="478">
        <f t="shared" si="21"/>
        <v>0</v>
      </c>
      <c r="P64" s="242"/>
    </row>
    <row r="65" spans="2:16" ht="12.5">
      <c r="B65" s="160" t="str">
        <f t="shared" si="4"/>
        <v/>
      </c>
      <c r="C65" s="472">
        <f>IF(D11="","-",+C64+1)</f>
        <v>2054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7"/>
        <v>0</v>
      </c>
      <c r="G65" s="488">
        <f t="shared" si="15"/>
        <v>0</v>
      </c>
      <c r="H65" s="455">
        <f t="shared" si="16"/>
        <v>0</v>
      </c>
      <c r="I65" s="475">
        <f t="shared" si="18"/>
        <v>0</v>
      </c>
      <c r="J65" s="475"/>
      <c r="K65" s="487"/>
      <c r="L65" s="478">
        <f t="shared" si="19"/>
        <v>0</v>
      </c>
      <c r="M65" s="487"/>
      <c r="N65" s="478">
        <f t="shared" si="20"/>
        <v>0</v>
      </c>
      <c r="O65" s="478">
        <f t="shared" si="21"/>
        <v>0</v>
      </c>
      <c r="P65" s="242"/>
    </row>
    <row r="66" spans="2:16" ht="12.5">
      <c r="B66" s="160" t="str">
        <f t="shared" si="4"/>
        <v/>
      </c>
      <c r="C66" s="472">
        <f>IF(D11="","-",+C65+1)</f>
        <v>2055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7"/>
        <v>0</v>
      </c>
      <c r="G66" s="488">
        <f t="shared" si="15"/>
        <v>0</v>
      </c>
      <c r="H66" s="455">
        <f t="shared" si="16"/>
        <v>0</v>
      </c>
      <c r="I66" s="475">
        <f t="shared" si="18"/>
        <v>0</v>
      </c>
      <c r="J66" s="475"/>
      <c r="K66" s="487"/>
      <c r="L66" s="478">
        <f t="shared" si="19"/>
        <v>0</v>
      </c>
      <c r="M66" s="487"/>
      <c r="N66" s="478">
        <f t="shared" si="20"/>
        <v>0</v>
      </c>
      <c r="O66" s="478">
        <f t="shared" si="21"/>
        <v>0</v>
      </c>
      <c r="P66" s="242"/>
    </row>
    <row r="67" spans="2:16" ht="12.5">
      <c r="B67" s="160" t="str">
        <f t="shared" si="4"/>
        <v/>
      </c>
      <c r="C67" s="472">
        <f>IF(D11="","-",+C66+1)</f>
        <v>2056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7"/>
        <v>0</v>
      </c>
      <c r="G67" s="488">
        <f t="shared" si="15"/>
        <v>0</v>
      </c>
      <c r="H67" s="455">
        <f t="shared" si="16"/>
        <v>0</v>
      </c>
      <c r="I67" s="475">
        <f t="shared" si="18"/>
        <v>0</v>
      </c>
      <c r="J67" s="475"/>
      <c r="K67" s="487"/>
      <c r="L67" s="478">
        <f t="shared" si="19"/>
        <v>0</v>
      </c>
      <c r="M67" s="487"/>
      <c r="N67" s="478">
        <f t="shared" si="20"/>
        <v>0</v>
      </c>
      <c r="O67" s="478">
        <f t="shared" si="21"/>
        <v>0</v>
      </c>
      <c r="P67" s="242"/>
    </row>
    <row r="68" spans="2:16" ht="12.5">
      <c r="B68" s="160" t="str">
        <f t="shared" si="4"/>
        <v/>
      </c>
      <c r="C68" s="472">
        <f>IF(D11="","-",+C67+1)</f>
        <v>2057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7"/>
        <v>0</v>
      </c>
      <c r="G68" s="488">
        <f t="shared" si="15"/>
        <v>0</v>
      </c>
      <c r="H68" s="455">
        <f t="shared" si="16"/>
        <v>0</v>
      </c>
      <c r="I68" s="475">
        <f t="shared" si="18"/>
        <v>0</v>
      </c>
      <c r="J68" s="475"/>
      <c r="K68" s="487"/>
      <c r="L68" s="478">
        <f t="shared" si="19"/>
        <v>0</v>
      </c>
      <c r="M68" s="487"/>
      <c r="N68" s="478">
        <f t="shared" si="20"/>
        <v>0</v>
      </c>
      <c r="O68" s="478">
        <f t="shared" si="21"/>
        <v>0</v>
      </c>
      <c r="P68" s="242"/>
    </row>
    <row r="69" spans="2:16" ht="12.5">
      <c r="B69" s="160" t="str">
        <f t="shared" si="4"/>
        <v/>
      </c>
      <c r="C69" s="472">
        <f>IF(D11="","-",+C68+1)</f>
        <v>2058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7"/>
        <v>0</v>
      </c>
      <c r="G69" s="488">
        <f t="shared" si="15"/>
        <v>0</v>
      </c>
      <c r="H69" s="455">
        <f t="shared" si="16"/>
        <v>0</v>
      </c>
      <c r="I69" s="475">
        <f t="shared" si="18"/>
        <v>0</v>
      </c>
      <c r="J69" s="475"/>
      <c r="K69" s="487"/>
      <c r="L69" s="478">
        <f t="shared" si="19"/>
        <v>0</v>
      </c>
      <c r="M69" s="487"/>
      <c r="N69" s="478">
        <f t="shared" si="20"/>
        <v>0</v>
      </c>
      <c r="O69" s="478">
        <f t="shared" si="21"/>
        <v>0</v>
      </c>
      <c r="P69" s="242"/>
    </row>
    <row r="70" spans="2:16" ht="12.5">
      <c r="B70" s="160" t="str">
        <f t="shared" si="4"/>
        <v/>
      </c>
      <c r="C70" s="472">
        <f>IF(D11="","-",+C69+1)</f>
        <v>2059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7"/>
        <v>0</v>
      </c>
      <c r="G70" s="488">
        <f t="shared" si="15"/>
        <v>0</v>
      </c>
      <c r="H70" s="455">
        <f t="shared" si="16"/>
        <v>0</v>
      </c>
      <c r="I70" s="475">
        <f t="shared" si="18"/>
        <v>0</v>
      </c>
      <c r="J70" s="475"/>
      <c r="K70" s="487"/>
      <c r="L70" s="478">
        <f t="shared" si="19"/>
        <v>0</v>
      </c>
      <c r="M70" s="487"/>
      <c r="N70" s="478">
        <f t="shared" si="20"/>
        <v>0</v>
      </c>
      <c r="O70" s="478">
        <f t="shared" si="21"/>
        <v>0</v>
      </c>
      <c r="P70" s="242"/>
    </row>
    <row r="71" spans="2:16" ht="12.5">
      <c r="B71" s="160" t="str">
        <f t="shared" si="4"/>
        <v/>
      </c>
      <c r="C71" s="472">
        <f>IF(D11="","-",+C70+1)</f>
        <v>2060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7"/>
        <v>0</v>
      </c>
      <c r="G71" s="488">
        <f t="shared" si="15"/>
        <v>0</v>
      </c>
      <c r="H71" s="455">
        <f t="shared" si="16"/>
        <v>0</v>
      </c>
      <c r="I71" s="475">
        <f t="shared" si="18"/>
        <v>0</v>
      </c>
      <c r="J71" s="475"/>
      <c r="K71" s="487"/>
      <c r="L71" s="478">
        <f t="shared" si="19"/>
        <v>0</v>
      </c>
      <c r="M71" s="487"/>
      <c r="N71" s="478">
        <f t="shared" si="20"/>
        <v>0</v>
      </c>
      <c r="O71" s="478">
        <f t="shared" si="21"/>
        <v>0</v>
      </c>
      <c r="P71" s="242"/>
    </row>
    <row r="72" spans="2:16" ht="13" thickBot="1">
      <c r="B72" s="160" t="str">
        <f t="shared" si="4"/>
        <v/>
      </c>
      <c r="C72" s="489">
        <f>IF(D11="","-",+C71+1)</f>
        <v>2061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7"/>
        <v>0</v>
      </c>
      <c r="G72" s="492">
        <f t="shared" si="15"/>
        <v>0</v>
      </c>
      <c r="H72" s="435">
        <f t="shared" si="16"/>
        <v>0</v>
      </c>
      <c r="I72" s="493">
        <f t="shared" si="18"/>
        <v>0</v>
      </c>
      <c r="J72" s="475"/>
      <c r="K72" s="494"/>
      <c r="L72" s="495">
        <f t="shared" si="19"/>
        <v>0</v>
      </c>
      <c r="M72" s="494"/>
      <c r="N72" s="495">
        <f t="shared" si="20"/>
        <v>0</v>
      </c>
      <c r="O72" s="495">
        <f t="shared" si="21"/>
        <v>0</v>
      </c>
      <c r="P72" s="242"/>
    </row>
    <row r="73" spans="2:16" ht="12.5">
      <c r="C73" s="346" t="s">
        <v>77</v>
      </c>
      <c r="D73" s="347"/>
      <c r="E73" s="347">
        <f>SUM(E17:E72)</f>
        <v>56132.999999999978</v>
      </c>
      <c r="F73" s="347"/>
      <c r="G73" s="347">
        <f>SUM(G17:G72)</f>
        <v>182670.3801296032</v>
      </c>
      <c r="H73" s="347">
        <f>SUM(H17:H72)</f>
        <v>182670.3801296032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8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6059.9903761062678</v>
      </c>
      <c r="N87" s="508">
        <f>IF(J92&lt;D11,0,VLOOKUP(J92,C17:O72,11))</f>
        <v>6059.9903761062678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5708.8115726685282</v>
      </c>
      <c r="N88" s="512">
        <f>IF(J92&lt;D11,0,VLOOKUP(J92,C99:P154,7))</f>
        <v>5708.8115726685282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Weleetka &amp; Okmulgee Wavetrap replacement 81-805*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-351.17880343773959</v>
      </c>
      <c r="N89" s="517">
        <f>+N88-N87</f>
        <v>-351.17880343773959</v>
      </c>
      <c r="O89" s="518">
        <f>+O88-O87</f>
        <v>0</v>
      </c>
      <c r="P89" s="232"/>
    </row>
    <row r="90" spans="1:16" ht="13.5" thickBot="1">
      <c r="C90" s="496"/>
      <c r="D90" s="519" t="str">
        <f>D8</f>
        <v>DOES NOT MEET SPP $100,000 MINIMUM INVESTMENT FOR REGIONAL BPU SHARING.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TP2005046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56133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2006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3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1369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2006</v>
      </c>
      <c r="D99" s="473">
        <v>0</v>
      </c>
      <c r="E99" s="480">
        <v>0</v>
      </c>
      <c r="F99" s="479">
        <v>56133</v>
      </c>
      <c r="G99" s="537">
        <v>28067</v>
      </c>
      <c r="H99" s="538">
        <v>0</v>
      </c>
      <c r="I99" s="539">
        <v>0</v>
      </c>
      <c r="J99" s="478">
        <f t="shared" ref="J99:J130" si="22">+I99-H99</f>
        <v>0</v>
      </c>
      <c r="K99" s="478"/>
      <c r="L99" s="554">
        <v>0</v>
      </c>
      <c r="M99" s="477">
        <f t="shared" ref="M99:M130" si="23">IF(L99&lt;&gt;0,+H99-L99,0)</f>
        <v>0</v>
      </c>
      <c r="N99" s="554">
        <v>0</v>
      </c>
      <c r="O99" s="477">
        <f t="shared" ref="O99:O130" si="24">IF(N99&lt;&gt;0,+I99-N99,0)</f>
        <v>0</v>
      </c>
      <c r="P99" s="477">
        <f t="shared" ref="P99:P130" si="25">+O99-M99</f>
        <v>0</v>
      </c>
    </row>
    <row r="100" spans="1:16" ht="12.5">
      <c r="B100" s="160" t="str">
        <f>IF(D100=F99,"","IU")</f>
        <v/>
      </c>
      <c r="C100" s="472">
        <f>IF(D93="","-",+C99+1)</f>
        <v>2007</v>
      </c>
      <c r="D100" s="473">
        <v>56133</v>
      </c>
      <c r="E100" s="480">
        <v>1059</v>
      </c>
      <c r="F100" s="479">
        <v>55074</v>
      </c>
      <c r="G100" s="479">
        <v>55603</v>
      </c>
      <c r="H100" s="480">
        <v>0</v>
      </c>
      <c r="I100" s="481">
        <v>0</v>
      </c>
      <c r="J100" s="478">
        <f t="shared" si="22"/>
        <v>0</v>
      </c>
      <c r="K100" s="478"/>
      <c r="L100" s="476">
        <v>0</v>
      </c>
      <c r="M100" s="478">
        <f t="shared" si="23"/>
        <v>0</v>
      </c>
      <c r="N100" s="476">
        <v>0</v>
      </c>
      <c r="O100" s="478">
        <f t="shared" si="24"/>
        <v>0</v>
      </c>
      <c r="P100" s="478">
        <f t="shared" si="25"/>
        <v>0</v>
      </c>
    </row>
    <row r="101" spans="1:16" ht="12.5">
      <c r="B101" s="160" t="str">
        <f t="shared" ref="B101:B154" si="26">IF(D101=F100,"","IU")</f>
        <v/>
      </c>
      <c r="C101" s="472">
        <f>IF(D93="","-",+C100+1)</f>
        <v>2008</v>
      </c>
      <c r="D101" s="473">
        <v>55074</v>
      </c>
      <c r="E101" s="480">
        <v>1059</v>
      </c>
      <c r="F101" s="479">
        <v>54015</v>
      </c>
      <c r="G101" s="479">
        <v>54544</v>
      </c>
      <c r="H101" s="480">
        <v>9723</v>
      </c>
      <c r="I101" s="481">
        <v>9723</v>
      </c>
      <c r="J101" s="478">
        <f t="shared" si="22"/>
        <v>0</v>
      </c>
      <c r="K101" s="478"/>
      <c r="L101" s="476">
        <v>9723</v>
      </c>
      <c r="M101" s="478">
        <f t="shared" si="23"/>
        <v>0</v>
      </c>
      <c r="N101" s="476">
        <v>9723</v>
      </c>
      <c r="O101" s="478">
        <f t="shared" si="24"/>
        <v>0</v>
      </c>
      <c r="P101" s="478">
        <f t="shared" si="25"/>
        <v>0</v>
      </c>
    </row>
    <row r="102" spans="1:16" ht="12.5">
      <c r="B102" s="160" t="str">
        <f t="shared" si="26"/>
        <v/>
      </c>
      <c r="C102" s="472">
        <f>IF(D93="","-",+C101+1)</f>
        <v>2009</v>
      </c>
      <c r="D102" s="473">
        <v>54015</v>
      </c>
      <c r="E102" s="480">
        <v>1002</v>
      </c>
      <c r="F102" s="479">
        <v>53013</v>
      </c>
      <c r="G102" s="479">
        <v>53514</v>
      </c>
      <c r="H102" s="480">
        <v>8826.1899911613018</v>
      </c>
      <c r="I102" s="481">
        <v>8826.1899911613018</v>
      </c>
      <c r="J102" s="478">
        <f t="shared" si="22"/>
        <v>0</v>
      </c>
      <c r="K102" s="478"/>
      <c r="L102" s="540">
        <f t="shared" ref="L102:L107" si="27">H102</f>
        <v>8826.1899911613018</v>
      </c>
      <c r="M102" s="541">
        <f t="shared" si="23"/>
        <v>0</v>
      </c>
      <c r="N102" s="540">
        <f t="shared" ref="N102:N107" si="28">I102</f>
        <v>8826.1899911613018</v>
      </c>
      <c r="O102" s="478">
        <f t="shared" si="24"/>
        <v>0</v>
      </c>
      <c r="P102" s="478">
        <f t="shared" si="25"/>
        <v>0</v>
      </c>
    </row>
    <row r="103" spans="1:16" ht="12.5">
      <c r="B103" s="160" t="str">
        <f t="shared" si="26"/>
        <v/>
      </c>
      <c r="C103" s="472">
        <f>IF(D93="","-",+C102+1)</f>
        <v>2010</v>
      </c>
      <c r="D103" s="473">
        <v>53013</v>
      </c>
      <c r="E103" s="480">
        <v>1101</v>
      </c>
      <c r="F103" s="479">
        <v>51912</v>
      </c>
      <c r="G103" s="479">
        <v>52462.5</v>
      </c>
      <c r="H103" s="480">
        <v>9537.7685710444202</v>
      </c>
      <c r="I103" s="481">
        <v>9537.7685710444202</v>
      </c>
      <c r="J103" s="478">
        <f t="shared" si="22"/>
        <v>0</v>
      </c>
      <c r="K103" s="478"/>
      <c r="L103" s="540">
        <f t="shared" si="27"/>
        <v>9537.7685710444202</v>
      </c>
      <c r="M103" s="541">
        <f t="shared" si="23"/>
        <v>0</v>
      </c>
      <c r="N103" s="540">
        <f t="shared" si="28"/>
        <v>9537.7685710444202</v>
      </c>
      <c r="O103" s="478">
        <f t="shared" si="24"/>
        <v>0</v>
      </c>
      <c r="P103" s="478">
        <f t="shared" si="25"/>
        <v>0</v>
      </c>
    </row>
    <row r="104" spans="1:16" ht="12.5">
      <c r="B104" s="160" t="str">
        <f t="shared" si="26"/>
        <v/>
      </c>
      <c r="C104" s="472">
        <f>IF(D93="","-",+C103+1)</f>
        <v>2011</v>
      </c>
      <c r="D104" s="473">
        <v>51912</v>
      </c>
      <c r="E104" s="480">
        <v>1079</v>
      </c>
      <c r="F104" s="479">
        <v>50833</v>
      </c>
      <c r="G104" s="479">
        <v>51372.5</v>
      </c>
      <c r="H104" s="480">
        <v>8261.5658402233203</v>
      </c>
      <c r="I104" s="481">
        <v>8261.5658402233203</v>
      </c>
      <c r="J104" s="478">
        <f t="shared" si="22"/>
        <v>0</v>
      </c>
      <c r="K104" s="478"/>
      <c r="L104" s="540">
        <f t="shared" si="27"/>
        <v>8261.5658402233203</v>
      </c>
      <c r="M104" s="541">
        <f t="shared" si="23"/>
        <v>0</v>
      </c>
      <c r="N104" s="540">
        <f t="shared" si="28"/>
        <v>8261.5658402233203</v>
      </c>
      <c r="O104" s="478">
        <f t="shared" si="24"/>
        <v>0</v>
      </c>
      <c r="P104" s="478">
        <f t="shared" si="25"/>
        <v>0</v>
      </c>
    </row>
    <row r="105" spans="1:16" ht="12.5">
      <c r="B105" s="160" t="str">
        <f t="shared" si="26"/>
        <v/>
      </c>
      <c r="C105" s="472">
        <f>IF(D93="","-",+C104+1)</f>
        <v>2012</v>
      </c>
      <c r="D105" s="473">
        <v>50833</v>
      </c>
      <c r="E105" s="480">
        <v>1079</v>
      </c>
      <c r="F105" s="479">
        <v>49754</v>
      </c>
      <c r="G105" s="479">
        <v>50293.5</v>
      </c>
      <c r="H105" s="480">
        <v>8313.995673781943</v>
      </c>
      <c r="I105" s="481">
        <v>8313.995673781943</v>
      </c>
      <c r="J105" s="478">
        <v>0</v>
      </c>
      <c r="K105" s="478"/>
      <c r="L105" s="540">
        <f t="shared" si="27"/>
        <v>8313.995673781943</v>
      </c>
      <c r="M105" s="541">
        <f t="shared" ref="M105:M110" si="29">IF(L105&lt;&gt;0,+H105-L105,0)</f>
        <v>0</v>
      </c>
      <c r="N105" s="540">
        <f t="shared" si="28"/>
        <v>8313.995673781943</v>
      </c>
      <c r="O105" s="478">
        <f t="shared" ref="O105:O110" si="30">IF(N105&lt;&gt;0,+I105-N105,0)</f>
        <v>0</v>
      </c>
      <c r="P105" s="478">
        <f t="shared" ref="P105:P110" si="31">+O105-M105</f>
        <v>0</v>
      </c>
    </row>
    <row r="106" spans="1:16" ht="12.5">
      <c r="B106" s="160" t="str">
        <f t="shared" si="26"/>
        <v/>
      </c>
      <c r="C106" s="472">
        <f>IF(D93="","-",+C105+1)</f>
        <v>2013</v>
      </c>
      <c r="D106" s="473">
        <v>49754</v>
      </c>
      <c r="E106" s="480">
        <v>1079</v>
      </c>
      <c r="F106" s="479">
        <v>48675</v>
      </c>
      <c r="G106" s="479">
        <v>49214.5</v>
      </c>
      <c r="H106" s="480">
        <v>8162.9151459393179</v>
      </c>
      <c r="I106" s="481">
        <v>8162.9151459393179</v>
      </c>
      <c r="J106" s="478">
        <v>0</v>
      </c>
      <c r="K106" s="478"/>
      <c r="L106" s="540">
        <f t="shared" si="27"/>
        <v>8162.9151459393179</v>
      </c>
      <c r="M106" s="541">
        <f t="shared" si="29"/>
        <v>0</v>
      </c>
      <c r="N106" s="540">
        <f t="shared" si="28"/>
        <v>8162.9151459393179</v>
      </c>
      <c r="O106" s="478">
        <f t="shared" si="30"/>
        <v>0</v>
      </c>
      <c r="P106" s="478">
        <f t="shared" si="31"/>
        <v>0</v>
      </c>
    </row>
    <row r="107" spans="1:16" ht="12.5">
      <c r="B107" s="160" t="str">
        <f t="shared" si="26"/>
        <v/>
      </c>
      <c r="C107" s="472">
        <f>IF(D93="","-",+C106+1)</f>
        <v>2014</v>
      </c>
      <c r="D107" s="473">
        <v>48675</v>
      </c>
      <c r="E107" s="480">
        <v>1079</v>
      </c>
      <c r="F107" s="479">
        <v>47596</v>
      </c>
      <c r="G107" s="479">
        <v>48135.5</v>
      </c>
      <c r="H107" s="480">
        <v>7846.6545337569178</v>
      </c>
      <c r="I107" s="481">
        <v>7846.6545337569178</v>
      </c>
      <c r="J107" s="478">
        <v>0</v>
      </c>
      <c r="K107" s="478"/>
      <c r="L107" s="540">
        <f t="shared" si="27"/>
        <v>7846.6545337569178</v>
      </c>
      <c r="M107" s="541">
        <f t="shared" si="29"/>
        <v>0</v>
      </c>
      <c r="N107" s="540">
        <f t="shared" si="28"/>
        <v>7846.6545337569178</v>
      </c>
      <c r="O107" s="478">
        <f t="shared" si="30"/>
        <v>0</v>
      </c>
      <c r="P107" s="478">
        <f t="shared" si="31"/>
        <v>0</v>
      </c>
    </row>
    <row r="108" spans="1:16" ht="12.5">
      <c r="B108" s="160" t="str">
        <f t="shared" si="26"/>
        <v/>
      </c>
      <c r="C108" s="472">
        <f>IF(D93="","-",+C107+1)</f>
        <v>2015</v>
      </c>
      <c r="D108" s="473">
        <v>47596</v>
      </c>
      <c r="E108" s="480">
        <v>1079</v>
      </c>
      <c r="F108" s="479">
        <v>46517</v>
      </c>
      <c r="G108" s="479">
        <v>47056.5</v>
      </c>
      <c r="H108" s="480">
        <v>7499.4810720950254</v>
      </c>
      <c r="I108" s="481">
        <v>7499.4810720950254</v>
      </c>
      <c r="J108" s="478">
        <f t="shared" si="22"/>
        <v>0</v>
      </c>
      <c r="K108" s="478"/>
      <c r="L108" s="540">
        <f>H108</f>
        <v>7499.4810720950254</v>
      </c>
      <c r="M108" s="541">
        <f t="shared" si="29"/>
        <v>0</v>
      </c>
      <c r="N108" s="540">
        <f>I108</f>
        <v>7499.4810720950254</v>
      </c>
      <c r="O108" s="478">
        <f t="shared" si="30"/>
        <v>0</v>
      </c>
      <c r="P108" s="478">
        <f t="shared" si="31"/>
        <v>0</v>
      </c>
    </row>
    <row r="109" spans="1:16" ht="12.5">
      <c r="B109" s="160" t="str">
        <f t="shared" si="26"/>
        <v/>
      </c>
      <c r="C109" s="472">
        <f>IF(D93="","-",+C108+1)</f>
        <v>2016</v>
      </c>
      <c r="D109" s="473">
        <v>46517</v>
      </c>
      <c r="E109" s="480">
        <v>1220</v>
      </c>
      <c r="F109" s="479">
        <v>45297</v>
      </c>
      <c r="G109" s="479">
        <v>45907</v>
      </c>
      <c r="H109" s="480">
        <v>7138.135283574793</v>
      </c>
      <c r="I109" s="481">
        <v>7138.135283574793</v>
      </c>
      <c r="J109" s="478">
        <f t="shared" si="22"/>
        <v>0</v>
      </c>
      <c r="K109" s="478"/>
      <c r="L109" s="540">
        <f>H109</f>
        <v>7138.135283574793</v>
      </c>
      <c r="M109" s="541">
        <f t="shared" si="29"/>
        <v>0</v>
      </c>
      <c r="N109" s="540">
        <f>I109</f>
        <v>7138.135283574793</v>
      </c>
      <c r="O109" s="478">
        <f t="shared" si="30"/>
        <v>0</v>
      </c>
      <c r="P109" s="478">
        <f t="shared" si="31"/>
        <v>0</v>
      </c>
    </row>
    <row r="110" spans="1:16" ht="12.5">
      <c r="B110" s="160" t="str">
        <f t="shared" si="26"/>
        <v/>
      </c>
      <c r="C110" s="472">
        <f>IF(D93="","-",+C109+1)</f>
        <v>2017</v>
      </c>
      <c r="D110" s="473">
        <v>45297</v>
      </c>
      <c r="E110" s="480">
        <v>1220</v>
      </c>
      <c r="F110" s="479">
        <v>44077</v>
      </c>
      <c r="G110" s="479">
        <v>44687</v>
      </c>
      <c r="H110" s="480">
        <v>6888.6586283105316</v>
      </c>
      <c r="I110" s="481">
        <v>6888.6586283105316</v>
      </c>
      <c r="J110" s="478">
        <f t="shared" si="22"/>
        <v>0</v>
      </c>
      <c r="K110" s="478"/>
      <c r="L110" s="540">
        <f>H110</f>
        <v>6888.6586283105316</v>
      </c>
      <c r="M110" s="541">
        <f t="shared" si="29"/>
        <v>0</v>
      </c>
      <c r="N110" s="540">
        <f>I110</f>
        <v>6888.6586283105316</v>
      </c>
      <c r="O110" s="478">
        <f t="shared" si="30"/>
        <v>0</v>
      </c>
      <c r="P110" s="478">
        <f t="shared" si="31"/>
        <v>0</v>
      </c>
    </row>
    <row r="111" spans="1:16" ht="12.5">
      <c r="B111" s="160" t="str">
        <f t="shared" si="26"/>
        <v/>
      </c>
      <c r="C111" s="472">
        <f>IF(D93="","-",+C110+1)</f>
        <v>2018</v>
      </c>
      <c r="D111" s="473">
        <v>44077</v>
      </c>
      <c r="E111" s="480">
        <v>1305</v>
      </c>
      <c r="F111" s="479">
        <v>42772</v>
      </c>
      <c r="G111" s="479">
        <v>43424.5</v>
      </c>
      <c r="H111" s="480">
        <v>5766.2406216754998</v>
      </c>
      <c r="I111" s="481">
        <v>5766.2406216754998</v>
      </c>
      <c r="J111" s="478">
        <f t="shared" si="22"/>
        <v>0</v>
      </c>
      <c r="K111" s="478"/>
      <c r="L111" s="540">
        <f>H111</f>
        <v>5766.2406216754998</v>
      </c>
      <c r="M111" s="541">
        <f t="shared" ref="M111" si="32">IF(L111&lt;&gt;0,+H111-L111,0)</f>
        <v>0</v>
      </c>
      <c r="N111" s="540">
        <f>I111</f>
        <v>5766.2406216754998</v>
      </c>
      <c r="O111" s="478">
        <f t="shared" ref="O111" si="33">IF(N111&lt;&gt;0,+I111-N111,0)</f>
        <v>0</v>
      </c>
      <c r="P111" s="478">
        <f t="shared" ref="P111" si="34">+O111-M111</f>
        <v>0</v>
      </c>
    </row>
    <row r="112" spans="1:16" ht="12.5">
      <c r="B112" s="160" t="str">
        <f t="shared" si="26"/>
        <v/>
      </c>
      <c r="C112" s="472">
        <f>IF(D93="","-",+C111+1)</f>
        <v>2019</v>
      </c>
      <c r="D112" s="346">
        <f>IF(F111+SUM(E$99:E111)=D$92,F111,D$92-SUM(E$99:E111))</f>
        <v>42772</v>
      </c>
      <c r="E112" s="486">
        <f>IF(+J96&lt;F111,J96,D112)</f>
        <v>1369</v>
      </c>
      <c r="F112" s="485">
        <f t="shared" ref="F112:F130" si="35">+D112-E112</f>
        <v>41403</v>
      </c>
      <c r="G112" s="485">
        <f t="shared" ref="G112:G130" si="36">+(F112+D112)/2</f>
        <v>42087.5</v>
      </c>
      <c r="H112" s="488">
        <f t="shared" ref="H112:H154" si="37">+J$94*G112+E112</f>
        <v>5708.8115726685282</v>
      </c>
      <c r="I112" s="542">
        <f t="shared" ref="I112:I154" si="38">+J$95*G112+E112</f>
        <v>5708.8115726685282</v>
      </c>
      <c r="J112" s="478">
        <f t="shared" si="22"/>
        <v>0</v>
      </c>
      <c r="K112" s="478"/>
      <c r="L112" s="487"/>
      <c r="M112" s="478">
        <f t="shared" si="23"/>
        <v>0</v>
      </c>
      <c r="N112" s="487"/>
      <c r="O112" s="478">
        <f t="shared" si="24"/>
        <v>0</v>
      </c>
      <c r="P112" s="478">
        <f t="shared" si="25"/>
        <v>0</v>
      </c>
    </row>
    <row r="113" spans="2:16" ht="12.5">
      <c r="B113" s="160" t="str">
        <f t="shared" si="26"/>
        <v/>
      </c>
      <c r="C113" s="472">
        <f>IF(D93="","-",+C112+1)</f>
        <v>2020</v>
      </c>
      <c r="D113" s="346">
        <f>IF(F112+SUM(E$99:E112)=D$92,F112,D$92-SUM(E$99:E112))</f>
        <v>41403</v>
      </c>
      <c r="E113" s="486">
        <f>IF(+J96&lt;F112,J96,D113)</f>
        <v>1369</v>
      </c>
      <c r="F113" s="485">
        <f t="shared" si="35"/>
        <v>40034</v>
      </c>
      <c r="G113" s="485">
        <f t="shared" si="36"/>
        <v>40718.5</v>
      </c>
      <c r="H113" s="488">
        <f t="shared" si="37"/>
        <v>5567.6484709641454</v>
      </c>
      <c r="I113" s="542">
        <f t="shared" si="38"/>
        <v>5567.6484709641454</v>
      </c>
      <c r="J113" s="478">
        <f t="shared" si="22"/>
        <v>0</v>
      </c>
      <c r="K113" s="478"/>
      <c r="L113" s="487"/>
      <c r="M113" s="478">
        <f t="shared" si="23"/>
        <v>0</v>
      </c>
      <c r="N113" s="487"/>
      <c r="O113" s="478">
        <f t="shared" si="24"/>
        <v>0</v>
      </c>
      <c r="P113" s="478">
        <f t="shared" si="25"/>
        <v>0</v>
      </c>
    </row>
    <row r="114" spans="2:16" ht="12.5">
      <c r="B114" s="160" t="str">
        <f t="shared" si="26"/>
        <v/>
      </c>
      <c r="C114" s="472">
        <f>IF(D93="","-",+C113+1)</f>
        <v>2021</v>
      </c>
      <c r="D114" s="346">
        <f>IF(F113+SUM(E$99:E113)=D$92,F113,D$92-SUM(E$99:E113))</f>
        <v>40034</v>
      </c>
      <c r="E114" s="486">
        <f>IF(+J96&lt;F113,J96,D114)</f>
        <v>1369</v>
      </c>
      <c r="F114" s="485">
        <f t="shared" si="35"/>
        <v>38665</v>
      </c>
      <c r="G114" s="485">
        <f t="shared" si="36"/>
        <v>39349.5</v>
      </c>
      <c r="H114" s="488">
        <f t="shared" si="37"/>
        <v>5426.4853692597626</v>
      </c>
      <c r="I114" s="542">
        <f t="shared" si="38"/>
        <v>5426.4853692597626</v>
      </c>
      <c r="J114" s="478">
        <f t="shared" si="22"/>
        <v>0</v>
      </c>
      <c r="K114" s="478"/>
      <c r="L114" s="487"/>
      <c r="M114" s="478">
        <f t="shared" si="23"/>
        <v>0</v>
      </c>
      <c r="N114" s="487"/>
      <c r="O114" s="478">
        <f t="shared" si="24"/>
        <v>0</v>
      </c>
      <c r="P114" s="478">
        <f t="shared" si="25"/>
        <v>0</v>
      </c>
    </row>
    <row r="115" spans="2:16" ht="12.5">
      <c r="B115" s="160" t="str">
        <f t="shared" si="26"/>
        <v/>
      </c>
      <c r="C115" s="472">
        <f>IF(D93="","-",+C114+1)</f>
        <v>2022</v>
      </c>
      <c r="D115" s="346">
        <f>IF(F114+SUM(E$99:E114)=D$92,F114,D$92-SUM(E$99:E114))</f>
        <v>38665</v>
      </c>
      <c r="E115" s="486">
        <f>IF(+J96&lt;F114,J96,D115)</f>
        <v>1369</v>
      </c>
      <c r="F115" s="485">
        <f t="shared" si="35"/>
        <v>37296</v>
      </c>
      <c r="G115" s="485">
        <f t="shared" si="36"/>
        <v>37980.5</v>
      </c>
      <c r="H115" s="488">
        <f t="shared" si="37"/>
        <v>5285.3222675553798</v>
      </c>
      <c r="I115" s="542">
        <f t="shared" si="38"/>
        <v>5285.3222675553798</v>
      </c>
      <c r="J115" s="478">
        <f t="shared" si="22"/>
        <v>0</v>
      </c>
      <c r="K115" s="478"/>
      <c r="L115" s="487"/>
      <c r="M115" s="478">
        <f t="shared" si="23"/>
        <v>0</v>
      </c>
      <c r="N115" s="487"/>
      <c r="O115" s="478">
        <f t="shared" si="24"/>
        <v>0</v>
      </c>
      <c r="P115" s="478">
        <f t="shared" si="25"/>
        <v>0</v>
      </c>
    </row>
    <row r="116" spans="2:16" ht="12.5">
      <c r="B116" s="160" t="str">
        <f t="shared" si="26"/>
        <v/>
      </c>
      <c r="C116" s="472">
        <f>IF(D93="","-",+C115+1)</f>
        <v>2023</v>
      </c>
      <c r="D116" s="346">
        <f>IF(F115+SUM(E$99:E115)=D$92,F115,D$92-SUM(E$99:E115))</f>
        <v>37296</v>
      </c>
      <c r="E116" s="486">
        <f>IF(+J96&lt;F115,J96,D116)</f>
        <v>1369</v>
      </c>
      <c r="F116" s="485">
        <f t="shared" si="35"/>
        <v>35927</v>
      </c>
      <c r="G116" s="485">
        <f t="shared" si="36"/>
        <v>36611.5</v>
      </c>
      <c r="H116" s="488">
        <f t="shared" si="37"/>
        <v>5144.1591658509969</v>
      </c>
      <c r="I116" s="542">
        <f t="shared" si="38"/>
        <v>5144.1591658509969</v>
      </c>
      <c r="J116" s="478">
        <f t="shared" si="22"/>
        <v>0</v>
      </c>
      <c r="K116" s="478"/>
      <c r="L116" s="487"/>
      <c r="M116" s="478">
        <f t="shared" si="23"/>
        <v>0</v>
      </c>
      <c r="N116" s="487"/>
      <c r="O116" s="478">
        <f t="shared" si="24"/>
        <v>0</v>
      </c>
      <c r="P116" s="478">
        <f t="shared" si="25"/>
        <v>0</v>
      </c>
    </row>
    <row r="117" spans="2:16" ht="12.5">
      <c r="B117" s="160" t="str">
        <f t="shared" si="26"/>
        <v/>
      </c>
      <c r="C117" s="472">
        <f>IF(D93="","-",+C116+1)</f>
        <v>2024</v>
      </c>
      <c r="D117" s="346">
        <f>IF(F116+SUM(E$99:E116)=D$92,F116,D$92-SUM(E$99:E116))</f>
        <v>35927</v>
      </c>
      <c r="E117" s="486">
        <f>IF(+J96&lt;F116,J96,D117)</f>
        <v>1369</v>
      </c>
      <c r="F117" s="485">
        <f t="shared" si="35"/>
        <v>34558</v>
      </c>
      <c r="G117" s="485">
        <f t="shared" si="36"/>
        <v>35242.5</v>
      </c>
      <c r="H117" s="488">
        <f t="shared" si="37"/>
        <v>5002.9960641466141</v>
      </c>
      <c r="I117" s="542">
        <f t="shared" si="38"/>
        <v>5002.9960641466141</v>
      </c>
      <c r="J117" s="478">
        <f t="shared" si="22"/>
        <v>0</v>
      </c>
      <c r="K117" s="478"/>
      <c r="L117" s="487"/>
      <c r="M117" s="478">
        <f t="shared" si="23"/>
        <v>0</v>
      </c>
      <c r="N117" s="487"/>
      <c r="O117" s="478">
        <f t="shared" si="24"/>
        <v>0</v>
      </c>
      <c r="P117" s="478">
        <f t="shared" si="25"/>
        <v>0</v>
      </c>
    </row>
    <row r="118" spans="2:16" ht="12.5">
      <c r="B118" s="160" t="str">
        <f t="shared" si="26"/>
        <v/>
      </c>
      <c r="C118" s="472">
        <f>IF(D93="","-",+C117+1)</f>
        <v>2025</v>
      </c>
      <c r="D118" s="346">
        <f>IF(F117+SUM(E$99:E117)=D$92,F117,D$92-SUM(E$99:E117))</f>
        <v>34558</v>
      </c>
      <c r="E118" s="486">
        <f>IF(+J96&lt;F117,J96,D118)</f>
        <v>1369</v>
      </c>
      <c r="F118" s="485">
        <f t="shared" si="35"/>
        <v>33189</v>
      </c>
      <c r="G118" s="485">
        <f t="shared" si="36"/>
        <v>33873.5</v>
      </c>
      <c r="H118" s="488">
        <f t="shared" si="37"/>
        <v>4861.8329624422313</v>
      </c>
      <c r="I118" s="542">
        <f t="shared" si="38"/>
        <v>4861.8329624422313</v>
      </c>
      <c r="J118" s="478">
        <f t="shared" si="22"/>
        <v>0</v>
      </c>
      <c r="K118" s="478"/>
      <c r="L118" s="487"/>
      <c r="M118" s="478">
        <f t="shared" si="23"/>
        <v>0</v>
      </c>
      <c r="N118" s="487"/>
      <c r="O118" s="478">
        <f t="shared" si="24"/>
        <v>0</v>
      </c>
      <c r="P118" s="478">
        <f t="shared" si="25"/>
        <v>0</v>
      </c>
    </row>
    <row r="119" spans="2:16" ht="12.5">
      <c r="B119" s="160" t="str">
        <f t="shared" si="26"/>
        <v/>
      </c>
      <c r="C119" s="472">
        <f>IF(D93="","-",+C118+1)</f>
        <v>2026</v>
      </c>
      <c r="D119" s="346">
        <f>IF(F118+SUM(E$99:E118)=D$92,F118,D$92-SUM(E$99:E118))</f>
        <v>33189</v>
      </c>
      <c r="E119" s="486">
        <f>IF(+J96&lt;F118,J96,D119)</f>
        <v>1369</v>
      </c>
      <c r="F119" s="485">
        <f t="shared" si="35"/>
        <v>31820</v>
      </c>
      <c r="G119" s="485">
        <f t="shared" si="36"/>
        <v>32504.5</v>
      </c>
      <c r="H119" s="488">
        <f t="shared" si="37"/>
        <v>4720.6698607378476</v>
      </c>
      <c r="I119" s="542">
        <f t="shared" si="38"/>
        <v>4720.6698607378476</v>
      </c>
      <c r="J119" s="478">
        <f t="shared" si="22"/>
        <v>0</v>
      </c>
      <c r="K119" s="478"/>
      <c r="L119" s="487"/>
      <c r="M119" s="478">
        <f t="shared" si="23"/>
        <v>0</v>
      </c>
      <c r="N119" s="487"/>
      <c r="O119" s="478">
        <f t="shared" si="24"/>
        <v>0</v>
      </c>
      <c r="P119" s="478">
        <f t="shared" si="25"/>
        <v>0</v>
      </c>
    </row>
    <row r="120" spans="2:16" ht="12.5">
      <c r="B120" s="160" t="str">
        <f t="shared" si="26"/>
        <v/>
      </c>
      <c r="C120" s="472">
        <f>IF(D93="","-",+C119+1)</f>
        <v>2027</v>
      </c>
      <c r="D120" s="346">
        <f>IF(F119+SUM(E$99:E119)=D$92,F119,D$92-SUM(E$99:E119))</f>
        <v>31820</v>
      </c>
      <c r="E120" s="486">
        <f>IF(+J96&lt;F119,J96,D120)</f>
        <v>1369</v>
      </c>
      <c r="F120" s="485">
        <f t="shared" si="35"/>
        <v>30451</v>
      </c>
      <c r="G120" s="485">
        <f t="shared" si="36"/>
        <v>31135.5</v>
      </c>
      <c r="H120" s="488">
        <f t="shared" si="37"/>
        <v>4579.5067590334656</v>
      </c>
      <c r="I120" s="542">
        <f t="shared" si="38"/>
        <v>4579.5067590334656</v>
      </c>
      <c r="J120" s="478">
        <f t="shared" si="22"/>
        <v>0</v>
      </c>
      <c r="K120" s="478"/>
      <c r="L120" s="487"/>
      <c r="M120" s="478">
        <f t="shared" si="23"/>
        <v>0</v>
      </c>
      <c r="N120" s="487"/>
      <c r="O120" s="478">
        <f t="shared" si="24"/>
        <v>0</v>
      </c>
      <c r="P120" s="478">
        <f t="shared" si="25"/>
        <v>0</v>
      </c>
    </row>
    <row r="121" spans="2:16" ht="12.5">
      <c r="B121" s="160" t="str">
        <f t="shared" si="26"/>
        <v/>
      </c>
      <c r="C121" s="472">
        <f>IF(D93="","-",+C120+1)</f>
        <v>2028</v>
      </c>
      <c r="D121" s="346">
        <f>IF(F120+SUM(E$99:E120)=D$92,F120,D$92-SUM(E$99:E120))</f>
        <v>30451</v>
      </c>
      <c r="E121" s="486">
        <f>IF(+J96&lt;F120,J96,D121)</f>
        <v>1369</v>
      </c>
      <c r="F121" s="485">
        <f t="shared" si="35"/>
        <v>29082</v>
      </c>
      <c r="G121" s="485">
        <f t="shared" si="36"/>
        <v>29766.5</v>
      </c>
      <c r="H121" s="488">
        <f t="shared" si="37"/>
        <v>4438.3436573290819</v>
      </c>
      <c r="I121" s="542">
        <f t="shared" si="38"/>
        <v>4438.3436573290819</v>
      </c>
      <c r="J121" s="478">
        <f t="shared" si="22"/>
        <v>0</v>
      </c>
      <c r="K121" s="478"/>
      <c r="L121" s="487"/>
      <c r="M121" s="478">
        <f t="shared" si="23"/>
        <v>0</v>
      </c>
      <c r="N121" s="487"/>
      <c r="O121" s="478">
        <f t="shared" si="24"/>
        <v>0</v>
      </c>
      <c r="P121" s="478">
        <f t="shared" si="25"/>
        <v>0</v>
      </c>
    </row>
    <row r="122" spans="2:16" ht="12.5">
      <c r="B122" s="160" t="str">
        <f t="shared" si="26"/>
        <v/>
      </c>
      <c r="C122" s="472">
        <f>IF(D93="","-",+C121+1)</f>
        <v>2029</v>
      </c>
      <c r="D122" s="346">
        <f>IF(F121+SUM(E$99:E121)=D$92,F121,D$92-SUM(E$99:E121))</f>
        <v>29082</v>
      </c>
      <c r="E122" s="486">
        <f>IF(+J96&lt;F121,J96,D122)</f>
        <v>1369</v>
      </c>
      <c r="F122" s="485">
        <f t="shared" si="35"/>
        <v>27713</v>
      </c>
      <c r="G122" s="485">
        <f t="shared" si="36"/>
        <v>28397.5</v>
      </c>
      <c r="H122" s="488">
        <f t="shared" si="37"/>
        <v>4297.1805556247</v>
      </c>
      <c r="I122" s="542">
        <f t="shared" si="38"/>
        <v>4297.1805556247</v>
      </c>
      <c r="J122" s="478">
        <f t="shared" si="22"/>
        <v>0</v>
      </c>
      <c r="K122" s="478"/>
      <c r="L122" s="487"/>
      <c r="M122" s="478">
        <f t="shared" si="23"/>
        <v>0</v>
      </c>
      <c r="N122" s="487"/>
      <c r="O122" s="478">
        <f t="shared" si="24"/>
        <v>0</v>
      </c>
      <c r="P122" s="478">
        <f t="shared" si="25"/>
        <v>0</v>
      </c>
    </row>
    <row r="123" spans="2:16" ht="12.5">
      <c r="B123" s="160" t="str">
        <f t="shared" si="26"/>
        <v/>
      </c>
      <c r="C123" s="472">
        <f>IF(D93="","-",+C122+1)</f>
        <v>2030</v>
      </c>
      <c r="D123" s="346">
        <f>IF(F122+SUM(E$99:E122)=D$92,F122,D$92-SUM(E$99:E122))</f>
        <v>27713</v>
      </c>
      <c r="E123" s="486">
        <f>IF(+J96&lt;F122,J96,D123)</f>
        <v>1369</v>
      </c>
      <c r="F123" s="485">
        <f t="shared" si="35"/>
        <v>26344</v>
      </c>
      <c r="G123" s="485">
        <f t="shared" si="36"/>
        <v>27028.5</v>
      </c>
      <c r="H123" s="488">
        <f t="shared" si="37"/>
        <v>4156.0174539203163</v>
      </c>
      <c r="I123" s="542">
        <f t="shared" si="38"/>
        <v>4156.0174539203163</v>
      </c>
      <c r="J123" s="478">
        <f t="shared" si="22"/>
        <v>0</v>
      </c>
      <c r="K123" s="478"/>
      <c r="L123" s="487"/>
      <c r="M123" s="478">
        <f t="shared" si="23"/>
        <v>0</v>
      </c>
      <c r="N123" s="487"/>
      <c r="O123" s="478">
        <f t="shared" si="24"/>
        <v>0</v>
      </c>
      <c r="P123" s="478">
        <f t="shared" si="25"/>
        <v>0</v>
      </c>
    </row>
    <row r="124" spans="2:16" ht="12.5">
      <c r="B124" s="160" t="str">
        <f t="shared" si="26"/>
        <v/>
      </c>
      <c r="C124" s="472">
        <f>IF(D93="","-",+C123+1)</f>
        <v>2031</v>
      </c>
      <c r="D124" s="346">
        <f>IF(F123+SUM(E$99:E123)=D$92,F123,D$92-SUM(E$99:E123))</f>
        <v>26344</v>
      </c>
      <c r="E124" s="486">
        <f>IF(+J96&lt;F123,J96,D124)</f>
        <v>1369</v>
      </c>
      <c r="F124" s="485">
        <f t="shared" si="35"/>
        <v>24975</v>
      </c>
      <c r="G124" s="485">
        <f t="shared" si="36"/>
        <v>25659.5</v>
      </c>
      <c r="H124" s="488">
        <f t="shared" si="37"/>
        <v>4014.8543522159339</v>
      </c>
      <c r="I124" s="542">
        <f t="shared" si="38"/>
        <v>4014.8543522159339</v>
      </c>
      <c r="J124" s="478">
        <f t="shared" si="22"/>
        <v>0</v>
      </c>
      <c r="K124" s="478"/>
      <c r="L124" s="487"/>
      <c r="M124" s="478">
        <f t="shared" si="23"/>
        <v>0</v>
      </c>
      <c r="N124" s="487"/>
      <c r="O124" s="478">
        <f t="shared" si="24"/>
        <v>0</v>
      </c>
      <c r="P124" s="478">
        <f t="shared" si="25"/>
        <v>0</v>
      </c>
    </row>
    <row r="125" spans="2:16" ht="12.5">
      <c r="B125" s="160" t="str">
        <f t="shared" si="26"/>
        <v/>
      </c>
      <c r="C125" s="472">
        <f>IF(D93="","-",+C124+1)</f>
        <v>2032</v>
      </c>
      <c r="D125" s="346">
        <f>IF(F124+SUM(E$99:E124)=D$92,F124,D$92-SUM(E$99:E124))</f>
        <v>24975</v>
      </c>
      <c r="E125" s="486">
        <f>IF(+J96&lt;F124,J96,D125)</f>
        <v>1369</v>
      </c>
      <c r="F125" s="485">
        <f t="shared" si="35"/>
        <v>23606</v>
      </c>
      <c r="G125" s="485">
        <f t="shared" si="36"/>
        <v>24290.5</v>
      </c>
      <c r="H125" s="488">
        <f t="shared" si="37"/>
        <v>3873.6912505115506</v>
      </c>
      <c r="I125" s="542">
        <f t="shared" si="38"/>
        <v>3873.6912505115506</v>
      </c>
      <c r="J125" s="478">
        <f t="shared" si="22"/>
        <v>0</v>
      </c>
      <c r="K125" s="478"/>
      <c r="L125" s="487"/>
      <c r="M125" s="478">
        <f t="shared" si="23"/>
        <v>0</v>
      </c>
      <c r="N125" s="487"/>
      <c r="O125" s="478">
        <f t="shared" si="24"/>
        <v>0</v>
      </c>
      <c r="P125" s="478">
        <f t="shared" si="25"/>
        <v>0</v>
      </c>
    </row>
    <row r="126" spans="2:16" ht="12.5">
      <c r="B126" s="160" t="str">
        <f t="shared" si="26"/>
        <v/>
      </c>
      <c r="C126" s="472">
        <f>IF(D93="","-",+C125+1)</f>
        <v>2033</v>
      </c>
      <c r="D126" s="346">
        <f>IF(F125+SUM(E$99:E125)=D$92,F125,D$92-SUM(E$99:E125))</f>
        <v>23606</v>
      </c>
      <c r="E126" s="486">
        <f>IF(+J96&lt;F125,J96,D126)</f>
        <v>1369</v>
      </c>
      <c r="F126" s="485">
        <f t="shared" si="35"/>
        <v>22237</v>
      </c>
      <c r="G126" s="485">
        <f t="shared" si="36"/>
        <v>22921.5</v>
      </c>
      <c r="H126" s="488">
        <f t="shared" si="37"/>
        <v>3732.5281488071678</v>
      </c>
      <c r="I126" s="542">
        <f t="shared" si="38"/>
        <v>3732.5281488071678</v>
      </c>
      <c r="J126" s="478">
        <f t="shared" si="22"/>
        <v>0</v>
      </c>
      <c r="K126" s="478"/>
      <c r="L126" s="487"/>
      <c r="M126" s="478">
        <f t="shared" si="23"/>
        <v>0</v>
      </c>
      <c r="N126" s="487"/>
      <c r="O126" s="478">
        <f t="shared" si="24"/>
        <v>0</v>
      </c>
      <c r="P126" s="478">
        <f t="shared" si="25"/>
        <v>0</v>
      </c>
    </row>
    <row r="127" spans="2:16" ht="12.5">
      <c r="B127" s="160" t="str">
        <f t="shared" si="26"/>
        <v/>
      </c>
      <c r="C127" s="472">
        <f>IF(D93="","-",+C126+1)</f>
        <v>2034</v>
      </c>
      <c r="D127" s="346">
        <f>IF(F126+SUM(E$99:E126)=D$92,F126,D$92-SUM(E$99:E126))</f>
        <v>22237</v>
      </c>
      <c r="E127" s="486">
        <f>IF(+J96&lt;F126,J96,D127)</f>
        <v>1369</v>
      </c>
      <c r="F127" s="485">
        <f t="shared" si="35"/>
        <v>20868</v>
      </c>
      <c r="G127" s="485">
        <f t="shared" si="36"/>
        <v>21552.5</v>
      </c>
      <c r="H127" s="488">
        <f t="shared" si="37"/>
        <v>3591.365047102785</v>
      </c>
      <c r="I127" s="542">
        <f t="shared" si="38"/>
        <v>3591.365047102785</v>
      </c>
      <c r="J127" s="478">
        <f t="shared" si="22"/>
        <v>0</v>
      </c>
      <c r="K127" s="478"/>
      <c r="L127" s="487"/>
      <c r="M127" s="478">
        <f t="shared" si="23"/>
        <v>0</v>
      </c>
      <c r="N127" s="487"/>
      <c r="O127" s="478">
        <f t="shared" si="24"/>
        <v>0</v>
      </c>
      <c r="P127" s="478">
        <f t="shared" si="25"/>
        <v>0</v>
      </c>
    </row>
    <row r="128" spans="2:16" ht="12.5">
      <c r="B128" s="160" t="str">
        <f t="shared" si="26"/>
        <v/>
      </c>
      <c r="C128" s="472">
        <f>IF(D93="","-",+C127+1)</f>
        <v>2035</v>
      </c>
      <c r="D128" s="346">
        <f>IF(F127+SUM(E$99:E127)=D$92,F127,D$92-SUM(E$99:E127))</f>
        <v>20868</v>
      </c>
      <c r="E128" s="486">
        <f>IF(+J96&lt;F127,J96,D128)</f>
        <v>1369</v>
      </c>
      <c r="F128" s="485">
        <f t="shared" si="35"/>
        <v>19499</v>
      </c>
      <c r="G128" s="485">
        <f t="shared" si="36"/>
        <v>20183.5</v>
      </c>
      <c r="H128" s="488">
        <f t="shared" si="37"/>
        <v>3450.2019453984021</v>
      </c>
      <c r="I128" s="542">
        <f t="shared" si="38"/>
        <v>3450.2019453984021</v>
      </c>
      <c r="J128" s="478">
        <f t="shared" si="22"/>
        <v>0</v>
      </c>
      <c r="K128" s="478"/>
      <c r="L128" s="487"/>
      <c r="M128" s="478">
        <f t="shared" si="23"/>
        <v>0</v>
      </c>
      <c r="N128" s="487"/>
      <c r="O128" s="478">
        <f t="shared" si="24"/>
        <v>0</v>
      </c>
      <c r="P128" s="478">
        <f t="shared" si="25"/>
        <v>0</v>
      </c>
    </row>
    <row r="129" spans="2:16" ht="12.5">
      <c r="B129" s="160" t="str">
        <f t="shared" si="26"/>
        <v/>
      </c>
      <c r="C129" s="472">
        <f>IF(D93="","-",+C128+1)</f>
        <v>2036</v>
      </c>
      <c r="D129" s="346">
        <f>IF(F128+SUM(E$99:E128)=D$92,F128,D$92-SUM(E$99:E128))</f>
        <v>19499</v>
      </c>
      <c r="E129" s="486">
        <f>IF(+J96&lt;F128,J96,D129)</f>
        <v>1369</v>
      </c>
      <c r="F129" s="485">
        <f t="shared" si="35"/>
        <v>18130</v>
      </c>
      <c r="G129" s="485">
        <f t="shared" si="36"/>
        <v>18814.5</v>
      </c>
      <c r="H129" s="488">
        <f t="shared" si="37"/>
        <v>3309.0388436940193</v>
      </c>
      <c r="I129" s="542">
        <f t="shared" si="38"/>
        <v>3309.0388436940193</v>
      </c>
      <c r="J129" s="478">
        <f t="shared" si="22"/>
        <v>0</v>
      </c>
      <c r="K129" s="478"/>
      <c r="L129" s="487"/>
      <c r="M129" s="478">
        <f t="shared" si="23"/>
        <v>0</v>
      </c>
      <c r="N129" s="487"/>
      <c r="O129" s="478">
        <f t="shared" si="24"/>
        <v>0</v>
      </c>
      <c r="P129" s="478">
        <f t="shared" si="25"/>
        <v>0</v>
      </c>
    </row>
    <row r="130" spans="2:16" ht="12.5">
      <c r="B130" s="160" t="str">
        <f t="shared" si="26"/>
        <v/>
      </c>
      <c r="C130" s="472">
        <f>IF(D93="","-",+C129+1)</f>
        <v>2037</v>
      </c>
      <c r="D130" s="346">
        <f>IF(F129+SUM(E$99:E129)=D$92,F129,D$92-SUM(E$99:E129))</f>
        <v>18130</v>
      </c>
      <c r="E130" s="486">
        <f>IF(+J96&lt;F129,J96,D130)</f>
        <v>1369</v>
      </c>
      <c r="F130" s="485">
        <f t="shared" si="35"/>
        <v>16761</v>
      </c>
      <c r="G130" s="485">
        <f t="shared" si="36"/>
        <v>17445.5</v>
      </c>
      <c r="H130" s="488">
        <f t="shared" si="37"/>
        <v>3167.8757419896365</v>
      </c>
      <c r="I130" s="542">
        <f t="shared" si="38"/>
        <v>3167.8757419896365</v>
      </c>
      <c r="J130" s="478">
        <f t="shared" si="22"/>
        <v>0</v>
      </c>
      <c r="K130" s="478"/>
      <c r="L130" s="487"/>
      <c r="M130" s="478">
        <f t="shared" si="23"/>
        <v>0</v>
      </c>
      <c r="N130" s="487"/>
      <c r="O130" s="478">
        <f t="shared" si="24"/>
        <v>0</v>
      </c>
      <c r="P130" s="478">
        <f t="shared" si="25"/>
        <v>0</v>
      </c>
    </row>
    <row r="131" spans="2:16" ht="12.5">
      <c r="B131" s="160" t="str">
        <f t="shared" si="26"/>
        <v/>
      </c>
      <c r="C131" s="472">
        <f>IF(D93="","-",+C130+1)</f>
        <v>2038</v>
      </c>
      <c r="D131" s="346">
        <f>IF(F130+SUM(E$99:E130)=D$92,F130,D$92-SUM(E$99:E130))</f>
        <v>16761</v>
      </c>
      <c r="E131" s="486">
        <f>IF(+J96&lt;F130,J96,D131)</f>
        <v>1369</v>
      </c>
      <c r="F131" s="485">
        <f t="shared" ref="F131:F154" si="39">+D131-E131</f>
        <v>15392</v>
      </c>
      <c r="G131" s="485">
        <f t="shared" ref="G131:G154" si="40">+(F131+D131)/2</f>
        <v>16076.5</v>
      </c>
      <c r="H131" s="488">
        <f t="shared" si="37"/>
        <v>3026.7126402852537</v>
      </c>
      <c r="I131" s="542">
        <f t="shared" si="38"/>
        <v>3026.7126402852537</v>
      </c>
      <c r="J131" s="478">
        <f t="shared" ref="J131:J154" si="41">+I131-H131</f>
        <v>0</v>
      </c>
      <c r="K131" s="478"/>
      <c r="L131" s="487"/>
      <c r="M131" s="478">
        <f t="shared" ref="M131:M154" si="42">IF(L131&lt;&gt;0,+H131-L131,0)</f>
        <v>0</v>
      </c>
      <c r="N131" s="487"/>
      <c r="O131" s="478">
        <f t="shared" ref="O131:O154" si="43">IF(N131&lt;&gt;0,+I131-N131,0)</f>
        <v>0</v>
      </c>
      <c r="P131" s="478">
        <f t="shared" ref="P131:P154" si="44">+O131-M131</f>
        <v>0</v>
      </c>
    </row>
    <row r="132" spans="2:16" ht="12.5">
      <c r="B132" s="160" t="str">
        <f t="shared" si="26"/>
        <v/>
      </c>
      <c r="C132" s="472">
        <f>IF(D93="","-",+C131+1)</f>
        <v>2039</v>
      </c>
      <c r="D132" s="346">
        <f>IF(F131+SUM(E$99:E131)=D$92,F131,D$92-SUM(E$99:E131))</f>
        <v>15392</v>
      </c>
      <c r="E132" s="486">
        <f>IF(+J96&lt;F131,J96,D132)</f>
        <v>1369</v>
      </c>
      <c r="F132" s="485">
        <f t="shared" si="39"/>
        <v>14023</v>
      </c>
      <c r="G132" s="485">
        <f t="shared" si="40"/>
        <v>14707.5</v>
      </c>
      <c r="H132" s="488">
        <f t="shared" si="37"/>
        <v>2885.5495385808704</v>
      </c>
      <c r="I132" s="542">
        <f t="shared" si="38"/>
        <v>2885.5495385808704</v>
      </c>
      <c r="J132" s="478">
        <f t="shared" si="41"/>
        <v>0</v>
      </c>
      <c r="K132" s="478"/>
      <c r="L132" s="487"/>
      <c r="M132" s="478">
        <f t="shared" si="42"/>
        <v>0</v>
      </c>
      <c r="N132" s="487"/>
      <c r="O132" s="478">
        <f t="shared" si="43"/>
        <v>0</v>
      </c>
      <c r="P132" s="478">
        <f t="shared" si="44"/>
        <v>0</v>
      </c>
    </row>
    <row r="133" spans="2:16" ht="12.5">
      <c r="B133" s="160" t="str">
        <f t="shared" si="26"/>
        <v/>
      </c>
      <c r="C133" s="472">
        <f>IF(D93="","-",+C132+1)</f>
        <v>2040</v>
      </c>
      <c r="D133" s="346">
        <f>IF(F132+SUM(E$99:E132)=D$92,F132,D$92-SUM(E$99:E132))</f>
        <v>14023</v>
      </c>
      <c r="E133" s="486">
        <f>IF(+J96&lt;F132,J96,D133)</f>
        <v>1369</v>
      </c>
      <c r="F133" s="485">
        <f t="shared" si="39"/>
        <v>12654</v>
      </c>
      <c r="G133" s="485">
        <f t="shared" si="40"/>
        <v>13338.5</v>
      </c>
      <c r="H133" s="488">
        <f t="shared" si="37"/>
        <v>2744.3864368764876</v>
      </c>
      <c r="I133" s="542">
        <f t="shared" si="38"/>
        <v>2744.3864368764876</v>
      </c>
      <c r="J133" s="478">
        <f t="shared" si="41"/>
        <v>0</v>
      </c>
      <c r="K133" s="478"/>
      <c r="L133" s="487"/>
      <c r="M133" s="478">
        <f t="shared" si="42"/>
        <v>0</v>
      </c>
      <c r="N133" s="487"/>
      <c r="O133" s="478">
        <f t="shared" si="43"/>
        <v>0</v>
      </c>
      <c r="P133" s="478">
        <f t="shared" si="44"/>
        <v>0</v>
      </c>
    </row>
    <row r="134" spans="2:16" ht="12.5">
      <c r="B134" s="160" t="str">
        <f t="shared" si="26"/>
        <v/>
      </c>
      <c r="C134" s="472">
        <f>IF(D93="","-",+C133+1)</f>
        <v>2041</v>
      </c>
      <c r="D134" s="346">
        <f>IF(F133+SUM(E$99:E133)=D$92,F133,D$92-SUM(E$99:E133))</f>
        <v>12654</v>
      </c>
      <c r="E134" s="486">
        <f>IF(+J96&lt;F133,J96,D134)</f>
        <v>1369</v>
      </c>
      <c r="F134" s="485">
        <f t="shared" si="39"/>
        <v>11285</v>
      </c>
      <c r="G134" s="485">
        <f t="shared" si="40"/>
        <v>11969.5</v>
      </c>
      <c r="H134" s="488">
        <f t="shared" si="37"/>
        <v>2603.2233351721043</v>
      </c>
      <c r="I134" s="542">
        <f t="shared" si="38"/>
        <v>2603.2233351721043</v>
      </c>
      <c r="J134" s="478">
        <f t="shared" si="41"/>
        <v>0</v>
      </c>
      <c r="K134" s="478"/>
      <c r="L134" s="487"/>
      <c r="M134" s="478">
        <f t="shared" si="42"/>
        <v>0</v>
      </c>
      <c r="N134" s="487"/>
      <c r="O134" s="478">
        <f t="shared" si="43"/>
        <v>0</v>
      </c>
      <c r="P134" s="478">
        <f t="shared" si="44"/>
        <v>0</v>
      </c>
    </row>
    <row r="135" spans="2:16" ht="12.5">
      <c r="B135" s="160" t="str">
        <f t="shared" si="26"/>
        <v/>
      </c>
      <c r="C135" s="472">
        <f>IF(D93="","-",+C134+1)</f>
        <v>2042</v>
      </c>
      <c r="D135" s="346">
        <f>IF(F134+SUM(E$99:E134)=D$92,F134,D$92-SUM(E$99:E134))</f>
        <v>11285</v>
      </c>
      <c r="E135" s="486">
        <f>IF(+J96&lt;F134,J96,D135)</f>
        <v>1369</v>
      </c>
      <c r="F135" s="485">
        <f t="shared" si="39"/>
        <v>9916</v>
      </c>
      <c r="G135" s="485">
        <f t="shared" si="40"/>
        <v>10600.5</v>
      </c>
      <c r="H135" s="488">
        <f t="shared" si="37"/>
        <v>2462.0602334677214</v>
      </c>
      <c r="I135" s="542">
        <f t="shared" si="38"/>
        <v>2462.0602334677214</v>
      </c>
      <c r="J135" s="478">
        <f t="shared" si="41"/>
        <v>0</v>
      </c>
      <c r="K135" s="478"/>
      <c r="L135" s="487"/>
      <c r="M135" s="478">
        <f t="shared" si="42"/>
        <v>0</v>
      </c>
      <c r="N135" s="487"/>
      <c r="O135" s="478">
        <f t="shared" si="43"/>
        <v>0</v>
      </c>
      <c r="P135" s="478">
        <f t="shared" si="44"/>
        <v>0</v>
      </c>
    </row>
    <row r="136" spans="2:16" ht="12.5">
      <c r="B136" s="160" t="str">
        <f t="shared" si="26"/>
        <v/>
      </c>
      <c r="C136" s="472">
        <f>IF(D93="","-",+C135+1)</f>
        <v>2043</v>
      </c>
      <c r="D136" s="346">
        <f>IF(F135+SUM(E$99:E135)=D$92,F135,D$92-SUM(E$99:E135))</f>
        <v>9916</v>
      </c>
      <c r="E136" s="486">
        <f>IF(+J96&lt;F135,J96,D136)</f>
        <v>1369</v>
      </c>
      <c r="F136" s="485">
        <f t="shared" si="39"/>
        <v>8547</v>
      </c>
      <c r="G136" s="485">
        <f t="shared" si="40"/>
        <v>9231.5</v>
      </c>
      <c r="H136" s="488">
        <f t="shared" si="37"/>
        <v>2320.8971317633386</v>
      </c>
      <c r="I136" s="542">
        <f t="shared" si="38"/>
        <v>2320.8971317633386</v>
      </c>
      <c r="J136" s="478">
        <f t="shared" si="41"/>
        <v>0</v>
      </c>
      <c r="K136" s="478"/>
      <c r="L136" s="487"/>
      <c r="M136" s="478">
        <f t="shared" si="42"/>
        <v>0</v>
      </c>
      <c r="N136" s="487"/>
      <c r="O136" s="478">
        <f t="shared" si="43"/>
        <v>0</v>
      </c>
      <c r="P136" s="478">
        <f t="shared" si="44"/>
        <v>0</v>
      </c>
    </row>
    <row r="137" spans="2:16" ht="12.5">
      <c r="B137" s="160" t="str">
        <f t="shared" si="26"/>
        <v/>
      </c>
      <c r="C137" s="472">
        <f>IF(D93="","-",+C136+1)</f>
        <v>2044</v>
      </c>
      <c r="D137" s="346">
        <f>IF(F136+SUM(E$99:E136)=D$92,F136,D$92-SUM(E$99:E136))</f>
        <v>8547</v>
      </c>
      <c r="E137" s="486">
        <f>IF(+J96&lt;F136,J96,D137)</f>
        <v>1369</v>
      </c>
      <c r="F137" s="485">
        <f t="shared" si="39"/>
        <v>7178</v>
      </c>
      <c r="G137" s="485">
        <f t="shared" si="40"/>
        <v>7862.5</v>
      </c>
      <c r="H137" s="488">
        <f t="shared" si="37"/>
        <v>2179.7340300589558</v>
      </c>
      <c r="I137" s="542">
        <f t="shared" si="38"/>
        <v>2179.7340300589558</v>
      </c>
      <c r="J137" s="478">
        <f t="shared" si="41"/>
        <v>0</v>
      </c>
      <c r="K137" s="478"/>
      <c r="L137" s="487"/>
      <c r="M137" s="478">
        <f t="shared" si="42"/>
        <v>0</v>
      </c>
      <c r="N137" s="487"/>
      <c r="O137" s="478">
        <f t="shared" si="43"/>
        <v>0</v>
      </c>
      <c r="P137" s="478">
        <f t="shared" si="44"/>
        <v>0</v>
      </c>
    </row>
    <row r="138" spans="2:16" ht="12.5">
      <c r="B138" s="160" t="str">
        <f t="shared" si="26"/>
        <v/>
      </c>
      <c r="C138" s="472">
        <f>IF(D93="","-",+C137+1)</f>
        <v>2045</v>
      </c>
      <c r="D138" s="346">
        <f>IF(F137+SUM(E$99:E137)=D$92,F137,D$92-SUM(E$99:E137))</f>
        <v>7178</v>
      </c>
      <c r="E138" s="486">
        <f>IF(+J96&lt;F137,J96,D138)</f>
        <v>1369</v>
      </c>
      <c r="F138" s="485">
        <f t="shared" si="39"/>
        <v>5809</v>
      </c>
      <c r="G138" s="485">
        <f t="shared" si="40"/>
        <v>6493.5</v>
      </c>
      <c r="H138" s="488">
        <f t="shared" si="37"/>
        <v>2038.570928354573</v>
      </c>
      <c r="I138" s="542">
        <f t="shared" si="38"/>
        <v>2038.570928354573</v>
      </c>
      <c r="J138" s="478">
        <f t="shared" si="41"/>
        <v>0</v>
      </c>
      <c r="K138" s="478"/>
      <c r="L138" s="487"/>
      <c r="M138" s="478">
        <f t="shared" si="42"/>
        <v>0</v>
      </c>
      <c r="N138" s="487"/>
      <c r="O138" s="478">
        <f t="shared" si="43"/>
        <v>0</v>
      </c>
      <c r="P138" s="478">
        <f t="shared" si="44"/>
        <v>0</v>
      </c>
    </row>
    <row r="139" spans="2:16" ht="12.5">
      <c r="B139" s="160" t="str">
        <f t="shared" si="26"/>
        <v/>
      </c>
      <c r="C139" s="472">
        <f>IF(D93="","-",+C138+1)</f>
        <v>2046</v>
      </c>
      <c r="D139" s="346">
        <f>IF(F138+SUM(E$99:E138)=D$92,F138,D$92-SUM(E$99:E138))</f>
        <v>5809</v>
      </c>
      <c r="E139" s="486">
        <f>IF(+J96&lt;F138,J96,D139)</f>
        <v>1369</v>
      </c>
      <c r="F139" s="485">
        <f t="shared" si="39"/>
        <v>4440</v>
      </c>
      <c r="G139" s="485">
        <f t="shared" si="40"/>
        <v>5124.5</v>
      </c>
      <c r="H139" s="488">
        <f t="shared" si="37"/>
        <v>1897.4078266501901</v>
      </c>
      <c r="I139" s="542">
        <f t="shared" si="38"/>
        <v>1897.4078266501901</v>
      </c>
      <c r="J139" s="478">
        <f t="shared" si="41"/>
        <v>0</v>
      </c>
      <c r="K139" s="478"/>
      <c r="L139" s="487"/>
      <c r="M139" s="478">
        <f t="shared" si="42"/>
        <v>0</v>
      </c>
      <c r="N139" s="487"/>
      <c r="O139" s="478">
        <f t="shared" si="43"/>
        <v>0</v>
      </c>
      <c r="P139" s="478">
        <f t="shared" si="44"/>
        <v>0</v>
      </c>
    </row>
    <row r="140" spans="2:16" ht="12.5">
      <c r="B140" s="160" t="str">
        <f t="shared" si="26"/>
        <v/>
      </c>
      <c r="C140" s="472">
        <f>IF(D93="","-",+C139+1)</f>
        <v>2047</v>
      </c>
      <c r="D140" s="346">
        <f>IF(F139+SUM(E$99:E139)=D$92,F139,D$92-SUM(E$99:E139))</f>
        <v>4440</v>
      </c>
      <c r="E140" s="486">
        <f>IF(+J96&lt;F139,J96,D140)</f>
        <v>1369</v>
      </c>
      <c r="F140" s="485">
        <f t="shared" si="39"/>
        <v>3071</v>
      </c>
      <c r="G140" s="485">
        <f t="shared" si="40"/>
        <v>3755.5</v>
      </c>
      <c r="H140" s="488">
        <f t="shared" si="37"/>
        <v>1756.2447249458071</v>
      </c>
      <c r="I140" s="542">
        <f t="shared" si="38"/>
        <v>1756.2447249458071</v>
      </c>
      <c r="J140" s="478">
        <f t="shared" si="41"/>
        <v>0</v>
      </c>
      <c r="K140" s="478"/>
      <c r="L140" s="487"/>
      <c r="M140" s="478">
        <f t="shared" si="42"/>
        <v>0</v>
      </c>
      <c r="N140" s="487"/>
      <c r="O140" s="478">
        <f t="shared" si="43"/>
        <v>0</v>
      </c>
      <c r="P140" s="478">
        <f t="shared" si="44"/>
        <v>0</v>
      </c>
    </row>
    <row r="141" spans="2:16" ht="12.5">
      <c r="B141" s="160" t="str">
        <f t="shared" si="26"/>
        <v/>
      </c>
      <c r="C141" s="472">
        <f>IF(D93="","-",+C140+1)</f>
        <v>2048</v>
      </c>
      <c r="D141" s="346">
        <f>IF(F140+SUM(E$99:E140)=D$92,F140,D$92-SUM(E$99:E140))</f>
        <v>3071</v>
      </c>
      <c r="E141" s="486">
        <f>IF(+J96&lt;F140,J96,D141)</f>
        <v>1369</v>
      </c>
      <c r="F141" s="485">
        <f t="shared" si="39"/>
        <v>1702</v>
      </c>
      <c r="G141" s="485">
        <f t="shared" si="40"/>
        <v>2386.5</v>
      </c>
      <c r="H141" s="488">
        <f t="shared" si="37"/>
        <v>1615.0816232414243</v>
      </c>
      <c r="I141" s="542">
        <f t="shared" si="38"/>
        <v>1615.0816232414243</v>
      </c>
      <c r="J141" s="478">
        <f t="shared" si="41"/>
        <v>0</v>
      </c>
      <c r="K141" s="478"/>
      <c r="L141" s="487"/>
      <c r="M141" s="478">
        <f t="shared" si="42"/>
        <v>0</v>
      </c>
      <c r="N141" s="487"/>
      <c r="O141" s="478">
        <f t="shared" si="43"/>
        <v>0</v>
      </c>
      <c r="P141" s="478">
        <f t="shared" si="44"/>
        <v>0</v>
      </c>
    </row>
    <row r="142" spans="2:16" ht="12.5">
      <c r="B142" s="160" t="str">
        <f t="shared" si="26"/>
        <v/>
      </c>
      <c r="C142" s="472">
        <f>IF(D93="","-",+C141+1)</f>
        <v>2049</v>
      </c>
      <c r="D142" s="346">
        <f>IF(F141+SUM(E$99:E141)=D$92,F141,D$92-SUM(E$99:E141))</f>
        <v>1702</v>
      </c>
      <c r="E142" s="486">
        <f>IF(+J96&lt;F141,J96,D142)</f>
        <v>1369</v>
      </c>
      <c r="F142" s="485">
        <f t="shared" si="39"/>
        <v>333</v>
      </c>
      <c r="G142" s="485">
        <f t="shared" si="40"/>
        <v>1017.5</v>
      </c>
      <c r="H142" s="488">
        <f t="shared" si="37"/>
        <v>1473.9185215370414</v>
      </c>
      <c r="I142" s="542">
        <f t="shared" si="38"/>
        <v>1473.9185215370414</v>
      </c>
      <c r="J142" s="478">
        <f t="shared" si="41"/>
        <v>0</v>
      </c>
      <c r="K142" s="478"/>
      <c r="L142" s="487"/>
      <c r="M142" s="478">
        <f t="shared" si="42"/>
        <v>0</v>
      </c>
      <c r="N142" s="487"/>
      <c r="O142" s="478">
        <f t="shared" si="43"/>
        <v>0</v>
      </c>
      <c r="P142" s="478">
        <f t="shared" si="44"/>
        <v>0</v>
      </c>
    </row>
    <row r="143" spans="2:16" ht="12.5">
      <c r="B143" s="160" t="str">
        <f t="shared" si="26"/>
        <v/>
      </c>
      <c r="C143" s="472">
        <f>IF(D93="","-",+C142+1)</f>
        <v>2050</v>
      </c>
      <c r="D143" s="346">
        <f>IF(F142+SUM(E$99:E142)=D$92,F142,D$92-SUM(E$99:E142))</f>
        <v>333</v>
      </c>
      <c r="E143" s="486">
        <f>IF(+J96&lt;F142,J96,D143)</f>
        <v>333</v>
      </c>
      <c r="F143" s="485">
        <f t="shared" si="39"/>
        <v>0</v>
      </c>
      <c r="G143" s="485">
        <f t="shared" si="40"/>
        <v>166.5</v>
      </c>
      <c r="H143" s="488">
        <f t="shared" si="37"/>
        <v>350.16848534242496</v>
      </c>
      <c r="I143" s="542">
        <f t="shared" si="38"/>
        <v>350.16848534242496</v>
      </c>
      <c r="J143" s="478">
        <f t="shared" si="41"/>
        <v>0</v>
      </c>
      <c r="K143" s="478"/>
      <c r="L143" s="487"/>
      <c r="M143" s="478">
        <f t="shared" si="42"/>
        <v>0</v>
      </c>
      <c r="N143" s="487"/>
      <c r="O143" s="478">
        <f t="shared" si="43"/>
        <v>0</v>
      </c>
      <c r="P143" s="478">
        <f t="shared" si="44"/>
        <v>0</v>
      </c>
    </row>
    <row r="144" spans="2:16" ht="12.5">
      <c r="B144" s="160" t="str">
        <f t="shared" si="26"/>
        <v/>
      </c>
      <c r="C144" s="472">
        <f>IF(D93="","-",+C143+1)</f>
        <v>2051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39"/>
        <v>0</v>
      </c>
      <c r="G144" s="485">
        <f t="shared" si="40"/>
        <v>0</v>
      </c>
      <c r="H144" s="488">
        <f t="shared" si="37"/>
        <v>0</v>
      </c>
      <c r="I144" s="542">
        <f t="shared" si="38"/>
        <v>0</v>
      </c>
      <c r="J144" s="478">
        <f t="shared" si="41"/>
        <v>0</v>
      </c>
      <c r="K144" s="478"/>
      <c r="L144" s="487"/>
      <c r="M144" s="478">
        <f t="shared" si="42"/>
        <v>0</v>
      </c>
      <c r="N144" s="487"/>
      <c r="O144" s="478">
        <f t="shared" si="43"/>
        <v>0</v>
      </c>
      <c r="P144" s="478">
        <f t="shared" si="44"/>
        <v>0</v>
      </c>
    </row>
    <row r="145" spans="2:16" ht="12.5">
      <c r="B145" s="160" t="str">
        <f t="shared" si="26"/>
        <v/>
      </c>
      <c r="C145" s="472">
        <f>IF(D93="","-",+C144+1)</f>
        <v>2052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39"/>
        <v>0</v>
      </c>
      <c r="G145" s="485">
        <f t="shared" si="40"/>
        <v>0</v>
      </c>
      <c r="H145" s="488">
        <f t="shared" si="37"/>
        <v>0</v>
      </c>
      <c r="I145" s="542">
        <f t="shared" si="38"/>
        <v>0</v>
      </c>
      <c r="J145" s="478">
        <f t="shared" si="41"/>
        <v>0</v>
      </c>
      <c r="K145" s="478"/>
      <c r="L145" s="487"/>
      <c r="M145" s="478">
        <f t="shared" si="42"/>
        <v>0</v>
      </c>
      <c r="N145" s="487"/>
      <c r="O145" s="478">
        <f t="shared" si="43"/>
        <v>0</v>
      </c>
      <c r="P145" s="478">
        <f t="shared" si="44"/>
        <v>0</v>
      </c>
    </row>
    <row r="146" spans="2:16" ht="12.5">
      <c r="B146" s="160" t="str">
        <f t="shared" si="26"/>
        <v/>
      </c>
      <c r="C146" s="472">
        <f>IF(D93="","-",+C145+1)</f>
        <v>2053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39"/>
        <v>0</v>
      </c>
      <c r="G146" s="485">
        <f t="shared" si="40"/>
        <v>0</v>
      </c>
      <c r="H146" s="488">
        <f t="shared" si="37"/>
        <v>0</v>
      </c>
      <c r="I146" s="542">
        <f t="shared" si="38"/>
        <v>0</v>
      </c>
      <c r="J146" s="478">
        <f t="shared" si="41"/>
        <v>0</v>
      </c>
      <c r="K146" s="478"/>
      <c r="L146" s="487"/>
      <c r="M146" s="478">
        <f t="shared" si="42"/>
        <v>0</v>
      </c>
      <c r="N146" s="487"/>
      <c r="O146" s="478">
        <f t="shared" si="43"/>
        <v>0</v>
      </c>
      <c r="P146" s="478">
        <f t="shared" si="44"/>
        <v>0</v>
      </c>
    </row>
    <row r="147" spans="2:16" ht="12.5">
      <c r="B147" s="160" t="str">
        <f t="shared" si="26"/>
        <v/>
      </c>
      <c r="C147" s="472">
        <f>IF(D93="","-",+C146+1)</f>
        <v>2054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39"/>
        <v>0</v>
      </c>
      <c r="G147" s="485">
        <f t="shared" si="40"/>
        <v>0</v>
      </c>
      <c r="H147" s="488">
        <f t="shared" si="37"/>
        <v>0</v>
      </c>
      <c r="I147" s="542">
        <f t="shared" si="38"/>
        <v>0</v>
      </c>
      <c r="J147" s="478">
        <f t="shared" si="41"/>
        <v>0</v>
      </c>
      <c r="K147" s="478"/>
      <c r="L147" s="487"/>
      <c r="M147" s="478">
        <f t="shared" si="42"/>
        <v>0</v>
      </c>
      <c r="N147" s="487"/>
      <c r="O147" s="478">
        <f t="shared" si="43"/>
        <v>0</v>
      </c>
      <c r="P147" s="478">
        <f t="shared" si="44"/>
        <v>0</v>
      </c>
    </row>
    <row r="148" spans="2:16" ht="12.5">
      <c r="B148" s="160" t="str">
        <f t="shared" si="26"/>
        <v/>
      </c>
      <c r="C148" s="472">
        <f>IF(D93="","-",+C147+1)</f>
        <v>2055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39"/>
        <v>0</v>
      </c>
      <c r="G148" s="485">
        <f t="shared" si="40"/>
        <v>0</v>
      </c>
      <c r="H148" s="488">
        <f t="shared" si="37"/>
        <v>0</v>
      </c>
      <c r="I148" s="542">
        <f t="shared" si="38"/>
        <v>0</v>
      </c>
      <c r="J148" s="478">
        <f t="shared" si="41"/>
        <v>0</v>
      </c>
      <c r="K148" s="478"/>
      <c r="L148" s="487"/>
      <c r="M148" s="478">
        <f t="shared" si="42"/>
        <v>0</v>
      </c>
      <c r="N148" s="487"/>
      <c r="O148" s="478">
        <f t="shared" si="43"/>
        <v>0</v>
      </c>
      <c r="P148" s="478">
        <f t="shared" si="44"/>
        <v>0</v>
      </c>
    </row>
    <row r="149" spans="2:16" ht="12.5">
      <c r="B149" s="160" t="str">
        <f t="shared" si="26"/>
        <v/>
      </c>
      <c r="C149" s="472">
        <f>IF(D93="","-",+C148+1)</f>
        <v>2056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39"/>
        <v>0</v>
      </c>
      <c r="G149" s="485">
        <f t="shared" si="40"/>
        <v>0</v>
      </c>
      <c r="H149" s="488">
        <f t="shared" si="37"/>
        <v>0</v>
      </c>
      <c r="I149" s="542">
        <f t="shared" si="38"/>
        <v>0</v>
      </c>
      <c r="J149" s="478">
        <f t="shared" si="41"/>
        <v>0</v>
      </c>
      <c r="K149" s="478"/>
      <c r="L149" s="487"/>
      <c r="M149" s="478">
        <f t="shared" si="42"/>
        <v>0</v>
      </c>
      <c r="N149" s="487"/>
      <c r="O149" s="478">
        <f t="shared" si="43"/>
        <v>0</v>
      </c>
      <c r="P149" s="478">
        <f t="shared" si="44"/>
        <v>0</v>
      </c>
    </row>
    <row r="150" spans="2:16" ht="12.5">
      <c r="B150" s="160" t="str">
        <f t="shared" si="26"/>
        <v/>
      </c>
      <c r="C150" s="472">
        <f>IF(D93="","-",+C149+1)</f>
        <v>2057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39"/>
        <v>0</v>
      </c>
      <c r="G150" s="485">
        <f t="shared" si="40"/>
        <v>0</v>
      </c>
      <c r="H150" s="488">
        <f t="shared" si="37"/>
        <v>0</v>
      </c>
      <c r="I150" s="542">
        <f t="shared" si="38"/>
        <v>0</v>
      </c>
      <c r="J150" s="478">
        <f t="shared" si="41"/>
        <v>0</v>
      </c>
      <c r="K150" s="478"/>
      <c r="L150" s="487"/>
      <c r="M150" s="478">
        <f t="shared" si="42"/>
        <v>0</v>
      </c>
      <c r="N150" s="487"/>
      <c r="O150" s="478">
        <f t="shared" si="43"/>
        <v>0</v>
      </c>
      <c r="P150" s="478">
        <f t="shared" si="44"/>
        <v>0</v>
      </c>
    </row>
    <row r="151" spans="2:16" ht="12.5">
      <c r="B151" s="160" t="str">
        <f t="shared" si="26"/>
        <v/>
      </c>
      <c r="C151" s="472">
        <f>IF(D93="","-",+C150+1)</f>
        <v>2058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39"/>
        <v>0</v>
      </c>
      <c r="G151" s="485">
        <f t="shared" si="40"/>
        <v>0</v>
      </c>
      <c r="H151" s="488">
        <f t="shared" si="37"/>
        <v>0</v>
      </c>
      <c r="I151" s="542">
        <f t="shared" si="38"/>
        <v>0</v>
      </c>
      <c r="J151" s="478">
        <f t="shared" si="41"/>
        <v>0</v>
      </c>
      <c r="K151" s="478"/>
      <c r="L151" s="487"/>
      <c r="M151" s="478">
        <f t="shared" si="42"/>
        <v>0</v>
      </c>
      <c r="N151" s="487"/>
      <c r="O151" s="478">
        <f t="shared" si="43"/>
        <v>0</v>
      </c>
      <c r="P151" s="478">
        <f t="shared" si="44"/>
        <v>0</v>
      </c>
    </row>
    <row r="152" spans="2:16" ht="12.5">
      <c r="B152" s="160" t="str">
        <f t="shared" si="26"/>
        <v/>
      </c>
      <c r="C152" s="472">
        <f>IF(D93="","-",+C151+1)</f>
        <v>2059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39"/>
        <v>0</v>
      </c>
      <c r="G152" s="485">
        <f t="shared" si="40"/>
        <v>0</v>
      </c>
      <c r="H152" s="488">
        <f t="shared" si="37"/>
        <v>0</v>
      </c>
      <c r="I152" s="542">
        <f t="shared" si="38"/>
        <v>0</v>
      </c>
      <c r="J152" s="478">
        <f t="shared" si="41"/>
        <v>0</v>
      </c>
      <c r="K152" s="478"/>
      <c r="L152" s="487"/>
      <c r="M152" s="478">
        <f t="shared" si="42"/>
        <v>0</v>
      </c>
      <c r="N152" s="487"/>
      <c r="O152" s="478">
        <f t="shared" si="43"/>
        <v>0</v>
      </c>
      <c r="P152" s="478">
        <f t="shared" si="44"/>
        <v>0</v>
      </c>
    </row>
    <row r="153" spans="2:16" ht="12.5">
      <c r="B153" s="160" t="str">
        <f t="shared" si="26"/>
        <v/>
      </c>
      <c r="C153" s="472">
        <f>IF(D93="","-",+C152+1)</f>
        <v>2060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39"/>
        <v>0</v>
      </c>
      <c r="G153" s="485">
        <f t="shared" si="40"/>
        <v>0</v>
      </c>
      <c r="H153" s="488">
        <f t="shared" si="37"/>
        <v>0</v>
      </c>
      <c r="I153" s="542">
        <f t="shared" si="38"/>
        <v>0</v>
      </c>
      <c r="J153" s="478">
        <f t="shared" si="41"/>
        <v>0</v>
      </c>
      <c r="K153" s="478"/>
      <c r="L153" s="487"/>
      <c r="M153" s="478">
        <f t="shared" si="42"/>
        <v>0</v>
      </c>
      <c r="N153" s="487"/>
      <c r="O153" s="478">
        <f t="shared" si="43"/>
        <v>0</v>
      </c>
      <c r="P153" s="478">
        <f t="shared" si="44"/>
        <v>0</v>
      </c>
    </row>
    <row r="154" spans="2:16" ht="13" thickBot="1">
      <c r="B154" s="160" t="str">
        <f t="shared" si="26"/>
        <v/>
      </c>
      <c r="C154" s="489">
        <f>IF(D93="","-",+C153+1)</f>
        <v>2061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39"/>
        <v>0</v>
      </c>
      <c r="G154" s="490">
        <f t="shared" si="40"/>
        <v>0</v>
      </c>
      <c r="H154" s="492">
        <f t="shared" si="37"/>
        <v>0</v>
      </c>
      <c r="I154" s="545">
        <f t="shared" si="38"/>
        <v>0</v>
      </c>
      <c r="J154" s="495">
        <f t="shared" si="41"/>
        <v>0</v>
      </c>
      <c r="K154" s="478"/>
      <c r="L154" s="494"/>
      <c r="M154" s="495">
        <f t="shared" si="42"/>
        <v>0</v>
      </c>
      <c r="N154" s="494"/>
      <c r="O154" s="495">
        <f t="shared" si="43"/>
        <v>0</v>
      </c>
      <c r="P154" s="495">
        <f t="shared" si="44"/>
        <v>0</v>
      </c>
    </row>
    <row r="155" spans="2:16" ht="12.5">
      <c r="C155" s="346" t="s">
        <v>77</v>
      </c>
      <c r="D155" s="347"/>
      <c r="E155" s="347">
        <f>SUM(E99:E154)</f>
        <v>56133</v>
      </c>
      <c r="F155" s="347"/>
      <c r="G155" s="347"/>
      <c r="H155" s="347">
        <f>SUM(H99:H154)</f>
        <v>199647.09030709197</v>
      </c>
      <c r="I155" s="347">
        <f>SUM(I99:I154)</f>
        <v>199647.09030709197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46" priority="1" stopIfTrue="1" operator="equal">
      <formula>$I$10</formula>
    </cfRule>
  </conditionalFormatting>
  <conditionalFormatting sqref="C99:C154">
    <cfRule type="cellIs" dxfId="4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7">
    <tabColor rgb="FFC00000"/>
  </sheetPr>
  <dimension ref="A1:P162"/>
  <sheetViews>
    <sheetView view="pageBreakPreview" topLeftCell="B1" zoomScale="75" zoomScaleNormal="100" workbookViewId="0">
      <selection activeCell="E9" sqref="E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9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7184.4287124898146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7184.4287124898146</v>
      </c>
      <c r="O6" s="232"/>
      <c r="P6" s="232"/>
    </row>
    <row r="7" spans="1:16" ht="13.5" thickBot="1">
      <c r="C7" s="431" t="s">
        <v>46</v>
      </c>
      <c r="D7" s="432" t="s">
        <v>216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88</v>
      </c>
      <c r="E9" s="577" t="s">
        <v>347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72551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2007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4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1687.2325581395348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2007</v>
      </c>
      <c r="D17" s="473">
        <v>72551</v>
      </c>
      <c r="E17" s="474">
        <v>863.70238095238085</v>
      </c>
      <c r="F17" s="473">
        <v>71687.297619047618</v>
      </c>
      <c r="G17" s="474">
        <v>11207.929543529199</v>
      </c>
      <c r="H17" s="481">
        <v>11207.929543529199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2008</v>
      </c>
      <c r="D18" s="479">
        <v>71687.297619047618</v>
      </c>
      <c r="E18" s="480">
        <v>1295.5535714285713</v>
      </c>
      <c r="F18" s="479">
        <v>70391.744047619053</v>
      </c>
      <c r="G18" s="480">
        <v>11452.836869621469</v>
      </c>
      <c r="H18" s="481">
        <v>11452.836869621469</v>
      </c>
      <c r="I18" s="475">
        <f t="shared" si="0"/>
        <v>0</v>
      </c>
      <c r="J18" s="475"/>
      <c r="K18" s="476">
        <v>0</v>
      </c>
      <c r="L18" s="478">
        <f t="shared" si="1"/>
        <v>0</v>
      </c>
      <c r="M18" s="476">
        <v>0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/>
      </c>
      <c r="C19" s="472">
        <f>IF(D11="","-",+C18+1)</f>
        <v>2009</v>
      </c>
      <c r="D19" s="479">
        <v>70391.744047619053</v>
      </c>
      <c r="E19" s="480">
        <v>1295.5535714285713</v>
      </c>
      <c r="F19" s="479">
        <v>69096.190476190488</v>
      </c>
      <c r="G19" s="480">
        <v>11265.893005237553</v>
      </c>
      <c r="H19" s="481">
        <v>11265.893005237553</v>
      </c>
      <c r="I19" s="475">
        <f t="shared" si="0"/>
        <v>0</v>
      </c>
      <c r="J19" s="475"/>
      <c r="K19" s="476">
        <v>0</v>
      </c>
      <c r="L19" s="478">
        <f t="shared" si="1"/>
        <v>0</v>
      </c>
      <c r="M19" s="476">
        <v>0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4">IF(D20=F19,"","IU")</f>
        <v/>
      </c>
      <c r="C20" s="472">
        <f>IF(D11="","-",+C19+1)</f>
        <v>2010</v>
      </c>
      <c r="D20" s="479">
        <v>69096.190476190488</v>
      </c>
      <c r="E20" s="480">
        <v>1295.5535714285713</v>
      </c>
      <c r="F20" s="479">
        <v>67800.636904761923</v>
      </c>
      <c r="G20" s="480">
        <v>11078.949140853634</v>
      </c>
      <c r="H20" s="481">
        <v>11078.949140853634</v>
      </c>
      <c r="I20" s="475">
        <f t="shared" si="0"/>
        <v>0</v>
      </c>
      <c r="J20" s="475"/>
      <c r="K20" s="540">
        <f t="shared" ref="K20:K25" si="5">G20</f>
        <v>11078.949140853634</v>
      </c>
      <c r="L20" s="541">
        <f t="shared" si="1"/>
        <v>0</v>
      </c>
      <c r="M20" s="540">
        <f t="shared" ref="M20:M25" si="6">H20</f>
        <v>11078.949140853634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4"/>
        <v/>
      </c>
      <c r="C21" s="472">
        <f>IF(D11="","-",+C20+1)</f>
        <v>2011</v>
      </c>
      <c r="D21" s="479">
        <v>67800.636904761923</v>
      </c>
      <c r="E21" s="480">
        <v>1422.5686274509803</v>
      </c>
      <c r="F21" s="479">
        <v>66378.068277310944</v>
      </c>
      <c r="G21" s="480">
        <v>11813.613268851301</v>
      </c>
      <c r="H21" s="481">
        <v>11813.613268851301</v>
      </c>
      <c r="I21" s="475">
        <f t="shared" si="0"/>
        <v>0</v>
      </c>
      <c r="J21" s="475"/>
      <c r="K21" s="476">
        <f t="shared" si="5"/>
        <v>11813.613268851301</v>
      </c>
      <c r="L21" s="550">
        <f t="shared" si="1"/>
        <v>0</v>
      </c>
      <c r="M21" s="476">
        <f t="shared" si="6"/>
        <v>11813.613268851301</v>
      </c>
      <c r="N21" s="478">
        <f t="shared" si="2"/>
        <v>0</v>
      </c>
      <c r="O21" s="478">
        <f t="shared" si="3"/>
        <v>0</v>
      </c>
      <c r="P21" s="242"/>
    </row>
    <row r="22" spans="2:16" ht="12.5">
      <c r="B22" s="160" t="str">
        <f t="shared" si="4"/>
        <v/>
      </c>
      <c r="C22" s="472">
        <f>IF(D11="","-",+C21+1)</f>
        <v>2012</v>
      </c>
      <c r="D22" s="479">
        <v>66378.068277310944</v>
      </c>
      <c r="E22" s="480">
        <v>1395.2115384615386</v>
      </c>
      <c r="F22" s="479">
        <v>64982.856738849405</v>
      </c>
      <c r="G22" s="480">
        <v>10441.262785463339</v>
      </c>
      <c r="H22" s="481">
        <v>10441.262785463339</v>
      </c>
      <c r="I22" s="475">
        <f t="shared" si="0"/>
        <v>0</v>
      </c>
      <c r="J22" s="475"/>
      <c r="K22" s="476">
        <f t="shared" si="5"/>
        <v>10441.262785463339</v>
      </c>
      <c r="L22" s="550">
        <f t="shared" si="1"/>
        <v>0</v>
      </c>
      <c r="M22" s="476">
        <f t="shared" si="6"/>
        <v>10441.262785463339</v>
      </c>
      <c r="N22" s="478">
        <f t="shared" si="2"/>
        <v>0</v>
      </c>
      <c r="O22" s="478">
        <f t="shared" si="3"/>
        <v>0</v>
      </c>
      <c r="P22" s="242"/>
    </row>
    <row r="23" spans="2:16" ht="12.5">
      <c r="B23" s="160" t="str">
        <f t="shared" si="4"/>
        <v/>
      </c>
      <c r="C23" s="472">
        <f>IF(D11="","-",+C22+1)</f>
        <v>2013</v>
      </c>
      <c r="D23" s="479">
        <v>64982.856738849405</v>
      </c>
      <c r="E23" s="480">
        <v>1395.2115384615386</v>
      </c>
      <c r="F23" s="479">
        <v>63587.645200387866</v>
      </c>
      <c r="G23" s="480">
        <v>10475.957148527981</v>
      </c>
      <c r="H23" s="481">
        <v>10475.957148527981</v>
      </c>
      <c r="I23" s="475">
        <v>0</v>
      </c>
      <c r="J23" s="475"/>
      <c r="K23" s="476">
        <f t="shared" si="5"/>
        <v>10475.957148527981</v>
      </c>
      <c r="L23" s="550">
        <f t="shared" ref="L23:L28" si="7">IF(K23&lt;&gt;0,+G23-K23,0)</f>
        <v>0</v>
      </c>
      <c r="M23" s="476">
        <f t="shared" si="6"/>
        <v>10475.957148527981</v>
      </c>
      <c r="N23" s="478">
        <f t="shared" ref="N23:N28" si="8">IF(M23&lt;&gt;0,+H23-M23,0)</f>
        <v>0</v>
      </c>
      <c r="O23" s="478">
        <f t="shared" ref="O23:O28" si="9">+N23-L23</f>
        <v>0</v>
      </c>
      <c r="P23" s="242"/>
    </row>
    <row r="24" spans="2:16" ht="12.5">
      <c r="B24" s="160" t="str">
        <f t="shared" si="4"/>
        <v/>
      </c>
      <c r="C24" s="472">
        <f>IF(D11="","-",+C23+1)</f>
        <v>2014</v>
      </c>
      <c r="D24" s="479">
        <v>63587.645200387866</v>
      </c>
      <c r="E24" s="480">
        <v>1395.2115384615386</v>
      </c>
      <c r="F24" s="479">
        <v>62192.433661926327</v>
      </c>
      <c r="G24" s="480">
        <v>9956.5453160541092</v>
      </c>
      <c r="H24" s="481">
        <v>9956.5453160541092</v>
      </c>
      <c r="I24" s="475">
        <v>0</v>
      </c>
      <c r="J24" s="475"/>
      <c r="K24" s="476">
        <f t="shared" si="5"/>
        <v>9956.5453160541092</v>
      </c>
      <c r="L24" s="550">
        <f t="shared" si="7"/>
        <v>0</v>
      </c>
      <c r="M24" s="476">
        <f t="shared" si="6"/>
        <v>9956.5453160541092</v>
      </c>
      <c r="N24" s="478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4"/>
        <v/>
      </c>
      <c r="C25" s="472">
        <f>IF(D11="","-",+C24+1)</f>
        <v>2015</v>
      </c>
      <c r="D25" s="479">
        <v>62192.433661926327</v>
      </c>
      <c r="E25" s="480">
        <v>1395.2115384615386</v>
      </c>
      <c r="F25" s="479">
        <v>60797.222123464788</v>
      </c>
      <c r="G25" s="480">
        <v>9777.4252794187214</v>
      </c>
      <c r="H25" s="481">
        <v>9777.4252794187214</v>
      </c>
      <c r="I25" s="475">
        <v>0</v>
      </c>
      <c r="J25" s="475"/>
      <c r="K25" s="476">
        <f t="shared" si="5"/>
        <v>9777.4252794187214</v>
      </c>
      <c r="L25" s="550">
        <f t="shared" si="7"/>
        <v>0</v>
      </c>
      <c r="M25" s="476">
        <f t="shared" si="6"/>
        <v>9777.4252794187214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4"/>
        <v/>
      </c>
      <c r="C26" s="472">
        <f>IF(D11="","-",+C25+1)</f>
        <v>2016</v>
      </c>
      <c r="D26" s="479">
        <v>60797.222123464788</v>
      </c>
      <c r="E26" s="480">
        <v>1395.2115384615386</v>
      </c>
      <c r="F26" s="479">
        <v>59402.010585003249</v>
      </c>
      <c r="G26" s="480">
        <v>9186.357507240491</v>
      </c>
      <c r="H26" s="481">
        <v>9186.357507240491</v>
      </c>
      <c r="I26" s="475">
        <f t="shared" si="0"/>
        <v>0</v>
      </c>
      <c r="J26" s="475"/>
      <c r="K26" s="476">
        <f>G26</f>
        <v>9186.357507240491</v>
      </c>
      <c r="L26" s="550">
        <f t="shared" si="7"/>
        <v>0</v>
      </c>
      <c r="M26" s="476">
        <f>H26</f>
        <v>9186.357507240491</v>
      </c>
      <c r="N26" s="478">
        <f t="shared" si="8"/>
        <v>0</v>
      </c>
      <c r="O26" s="478">
        <f t="shared" si="9"/>
        <v>0</v>
      </c>
      <c r="P26" s="242"/>
    </row>
    <row r="27" spans="2:16" ht="12.5">
      <c r="B27" s="160" t="str">
        <f t="shared" si="4"/>
        <v/>
      </c>
      <c r="C27" s="472">
        <f>IF(D11="","-",+C26+1)</f>
        <v>2017</v>
      </c>
      <c r="D27" s="479">
        <v>59402.010585003249</v>
      </c>
      <c r="E27" s="480">
        <v>1577.195652173913</v>
      </c>
      <c r="F27" s="479">
        <v>57824.814932829337</v>
      </c>
      <c r="G27" s="480">
        <v>8936.0194589414823</v>
      </c>
      <c r="H27" s="481">
        <v>8936.0194589414823</v>
      </c>
      <c r="I27" s="475">
        <f t="shared" si="0"/>
        <v>0</v>
      </c>
      <c r="J27" s="475"/>
      <c r="K27" s="476">
        <f>G27</f>
        <v>8936.0194589414823</v>
      </c>
      <c r="L27" s="550">
        <f t="shared" si="7"/>
        <v>0</v>
      </c>
      <c r="M27" s="476">
        <f>H27</f>
        <v>8936.0194589414823</v>
      </c>
      <c r="N27" s="478">
        <f t="shared" si="8"/>
        <v>0</v>
      </c>
      <c r="O27" s="478">
        <f t="shared" si="9"/>
        <v>0</v>
      </c>
      <c r="P27" s="242"/>
    </row>
    <row r="28" spans="2:16" ht="12.5">
      <c r="B28" s="160" t="str">
        <f t="shared" si="4"/>
        <v/>
      </c>
      <c r="C28" s="472">
        <f>IF(D11="","-",+C27+1)</f>
        <v>2018</v>
      </c>
      <c r="D28" s="479">
        <v>57824.814932829337</v>
      </c>
      <c r="E28" s="480">
        <v>1612.2444444444445</v>
      </c>
      <c r="F28" s="479">
        <v>56212.570488384896</v>
      </c>
      <c r="G28" s="480">
        <v>8440.7426840086373</v>
      </c>
      <c r="H28" s="481">
        <v>8440.7426840086373</v>
      </c>
      <c r="I28" s="475">
        <f t="shared" si="0"/>
        <v>0</v>
      </c>
      <c r="J28" s="475"/>
      <c r="K28" s="476">
        <f>G28</f>
        <v>8440.7426840086373</v>
      </c>
      <c r="L28" s="550">
        <f t="shared" si="7"/>
        <v>0</v>
      </c>
      <c r="M28" s="476">
        <f>H28</f>
        <v>8440.7426840086373</v>
      </c>
      <c r="N28" s="478">
        <f t="shared" si="8"/>
        <v>0</v>
      </c>
      <c r="O28" s="478">
        <f t="shared" si="9"/>
        <v>0</v>
      </c>
      <c r="P28" s="242"/>
    </row>
    <row r="29" spans="2:16" ht="12.5">
      <c r="B29" s="160" t="str">
        <f t="shared" si="4"/>
        <v/>
      </c>
      <c r="C29" s="472">
        <f>IF(D11="","-",+C28+1)</f>
        <v>2019</v>
      </c>
      <c r="D29" s="479">
        <v>56212.570488384896</v>
      </c>
      <c r="E29" s="480">
        <v>1813.7750000000001</v>
      </c>
      <c r="F29" s="479">
        <v>54398.795488384894</v>
      </c>
      <c r="G29" s="480">
        <v>7989.0212540933571</v>
      </c>
      <c r="H29" s="481">
        <v>7989.0212540933571</v>
      </c>
      <c r="I29" s="475">
        <f t="shared" si="0"/>
        <v>0</v>
      </c>
      <c r="J29" s="475"/>
      <c r="K29" s="476">
        <f>G29</f>
        <v>7989.0212540933571</v>
      </c>
      <c r="L29" s="550">
        <f t="shared" ref="L29" si="10">IF(K29&lt;&gt;0,+G29-K29,0)</f>
        <v>0</v>
      </c>
      <c r="M29" s="476">
        <f>H29</f>
        <v>7989.0212540933571</v>
      </c>
      <c r="N29" s="478">
        <f t="shared" ref="N29" si="11">IF(M29&lt;&gt;0,+H29-M29,0)</f>
        <v>0</v>
      </c>
      <c r="O29" s="478">
        <f t="shared" si="3"/>
        <v>0</v>
      </c>
      <c r="P29" s="242"/>
    </row>
    <row r="30" spans="2:16" ht="12.5">
      <c r="B30" s="160" t="str">
        <f t="shared" si="4"/>
        <v>IU</v>
      </c>
      <c r="C30" s="472">
        <f>IF(D11="","-",+C29+1)</f>
        <v>2020</v>
      </c>
      <c r="D30" s="479">
        <v>54600.326043940455</v>
      </c>
      <c r="E30" s="480">
        <v>1727.4047619047619</v>
      </c>
      <c r="F30" s="479">
        <v>52872.921282035692</v>
      </c>
      <c r="G30" s="480">
        <v>7531.2168125199005</v>
      </c>
      <c r="H30" s="481">
        <v>7531.2168125199005</v>
      </c>
      <c r="I30" s="475">
        <f t="shared" si="0"/>
        <v>0</v>
      </c>
      <c r="J30" s="475"/>
      <c r="K30" s="476">
        <f>G30</f>
        <v>7531.2168125199005</v>
      </c>
      <c r="L30" s="550">
        <f t="shared" ref="L30" si="12">IF(K30&lt;&gt;0,+G30-K30,0)</f>
        <v>0</v>
      </c>
      <c r="M30" s="476">
        <f>H30</f>
        <v>7531.2168125199005</v>
      </c>
      <c r="N30" s="478">
        <f t="shared" si="2"/>
        <v>0</v>
      </c>
      <c r="O30" s="478">
        <f t="shared" si="3"/>
        <v>0</v>
      </c>
      <c r="P30" s="242"/>
    </row>
    <row r="31" spans="2:16" ht="12.5">
      <c r="B31" s="160" t="str">
        <f t="shared" si="4"/>
        <v>IU</v>
      </c>
      <c r="C31" s="472">
        <f>IF(D11="","-",+C30+1)</f>
        <v>2021</v>
      </c>
      <c r="D31" s="485">
        <f>IF(F30+SUM(E$17:E30)=D$10,F30,D$10-SUM(E$17:E30))</f>
        <v>52671.390726480109</v>
      </c>
      <c r="E31" s="484">
        <f>IF(+I14&lt;F30,I14,D31)</f>
        <v>1687.2325581395348</v>
      </c>
      <c r="F31" s="485">
        <f t="shared" ref="F31:F48" si="13">+D31-E31</f>
        <v>50984.158168340575</v>
      </c>
      <c r="G31" s="486">
        <f t="shared" ref="G31:G72" si="14">+I$12*F31+E31</f>
        <v>7184.4287124898146</v>
      </c>
      <c r="H31" s="455">
        <f t="shared" ref="H31:H72" si="15">+I$13*F31+E31</f>
        <v>7184.4287124898146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4"/>
        <v/>
      </c>
      <c r="C32" s="472">
        <f>IF(D11="","-",+C31+1)</f>
        <v>2022</v>
      </c>
      <c r="D32" s="485">
        <f>IF(F31+SUM(E$17:E31)=D$10,F31,D$10-SUM(E$17:E31))</f>
        <v>50984.158168340575</v>
      </c>
      <c r="E32" s="484">
        <f>IF(+I14&lt;F31,I14,D32)</f>
        <v>1687.2325581395348</v>
      </c>
      <c r="F32" s="485">
        <f t="shared" si="13"/>
        <v>49296.92561020104</v>
      </c>
      <c r="G32" s="486">
        <f t="shared" si="14"/>
        <v>7002.5085109347619</v>
      </c>
      <c r="H32" s="455">
        <f t="shared" si="15"/>
        <v>7002.5085109347619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4"/>
        <v/>
      </c>
      <c r="C33" s="472">
        <f>IF(D11="","-",+C32+1)</f>
        <v>2023</v>
      </c>
      <c r="D33" s="485">
        <f>IF(F32+SUM(E$17:E32)=D$10,F32,D$10-SUM(E$17:E32))</f>
        <v>49296.92561020104</v>
      </c>
      <c r="E33" s="484">
        <f>IF(+I14&lt;F32,I14,D33)</f>
        <v>1687.2325581395348</v>
      </c>
      <c r="F33" s="485">
        <f t="shared" si="13"/>
        <v>47609.693052061506</v>
      </c>
      <c r="G33" s="486">
        <f t="shared" si="14"/>
        <v>6820.5883093797092</v>
      </c>
      <c r="H33" s="455">
        <f t="shared" si="15"/>
        <v>6820.5883093797092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4"/>
        <v/>
      </c>
      <c r="C34" s="472">
        <f>IF(D11="","-",+C33+1)</f>
        <v>2024</v>
      </c>
      <c r="D34" s="485">
        <f>IF(F33+SUM(E$17:E33)=D$10,F33,D$10-SUM(E$17:E33))</f>
        <v>47609.693052061506</v>
      </c>
      <c r="E34" s="484">
        <f>IF(+I14&lt;F33,I14,D34)</f>
        <v>1687.2325581395348</v>
      </c>
      <c r="F34" s="485">
        <f t="shared" si="13"/>
        <v>45922.460493921972</v>
      </c>
      <c r="G34" s="486">
        <f t="shared" si="14"/>
        <v>6638.6681078246547</v>
      </c>
      <c r="H34" s="455">
        <f t="shared" si="15"/>
        <v>6638.6681078246547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4"/>
        <v/>
      </c>
      <c r="C35" s="472">
        <f>IF(D11="","-",+C34+1)</f>
        <v>2025</v>
      </c>
      <c r="D35" s="485">
        <f>IF(F34+SUM(E$17:E34)=D$10,F34,D$10-SUM(E$17:E34))</f>
        <v>45922.460493921972</v>
      </c>
      <c r="E35" s="484">
        <f>IF(+I14&lt;F34,I14,D35)</f>
        <v>1687.2325581395348</v>
      </c>
      <c r="F35" s="485">
        <f t="shared" si="13"/>
        <v>44235.227935782437</v>
      </c>
      <c r="G35" s="486">
        <f t="shared" si="14"/>
        <v>6456.747906269602</v>
      </c>
      <c r="H35" s="455">
        <f t="shared" si="15"/>
        <v>6456.747906269602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4"/>
        <v/>
      </c>
      <c r="C36" s="472">
        <f>IF(D11="","-",+C35+1)</f>
        <v>2026</v>
      </c>
      <c r="D36" s="485">
        <f>IF(F35+SUM(E$17:E35)=D$10,F35,D$10-SUM(E$17:E35))</f>
        <v>44235.227935782437</v>
      </c>
      <c r="E36" s="484">
        <f>IF(+I14&lt;F35,I14,D36)</f>
        <v>1687.2325581395348</v>
      </c>
      <c r="F36" s="485">
        <f t="shared" si="13"/>
        <v>42547.995377642903</v>
      </c>
      <c r="G36" s="486">
        <f t="shared" si="14"/>
        <v>6274.8277047145493</v>
      </c>
      <c r="H36" s="455">
        <f t="shared" si="15"/>
        <v>6274.8277047145493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4"/>
        <v/>
      </c>
      <c r="C37" s="472">
        <f>IF(D11="","-",+C36+1)</f>
        <v>2027</v>
      </c>
      <c r="D37" s="485">
        <f>IF(F36+SUM(E$17:E36)=D$10,F36,D$10-SUM(E$17:E36))</f>
        <v>42547.995377642903</v>
      </c>
      <c r="E37" s="484">
        <f>IF(+I14&lt;F36,I14,D37)</f>
        <v>1687.2325581395348</v>
      </c>
      <c r="F37" s="485">
        <f t="shared" si="13"/>
        <v>40860.762819503369</v>
      </c>
      <c r="G37" s="486">
        <f t="shared" si="14"/>
        <v>6092.9075031594948</v>
      </c>
      <c r="H37" s="455">
        <f t="shared" si="15"/>
        <v>6092.9075031594948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4"/>
        <v/>
      </c>
      <c r="C38" s="472">
        <f>IF(D11="","-",+C37+1)</f>
        <v>2028</v>
      </c>
      <c r="D38" s="485">
        <f>IF(F37+SUM(E$17:E37)=D$10,F37,D$10-SUM(E$17:E37))</f>
        <v>40860.762819503369</v>
      </c>
      <c r="E38" s="484">
        <f>IF(+I14&lt;F37,I14,D38)</f>
        <v>1687.2325581395348</v>
      </c>
      <c r="F38" s="485">
        <f t="shared" si="13"/>
        <v>39173.530261363834</v>
      </c>
      <c r="G38" s="486">
        <f t="shared" si="14"/>
        <v>5910.9873016044421</v>
      </c>
      <c r="H38" s="455">
        <f t="shared" si="15"/>
        <v>5910.9873016044421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4"/>
        <v/>
      </c>
      <c r="C39" s="472">
        <f>IF(D11="","-",+C38+1)</f>
        <v>2029</v>
      </c>
      <c r="D39" s="485">
        <f>IF(F38+SUM(E$17:E38)=D$10,F38,D$10-SUM(E$17:E38))</f>
        <v>39173.530261363834</v>
      </c>
      <c r="E39" s="484">
        <f>IF(+I14&lt;F38,I14,D39)</f>
        <v>1687.2325581395348</v>
      </c>
      <c r="F39" s="485">
        <f t="shared" si="13"/>
        <v>37486.2977032243</v>
      </c>
      <c r="G39" s="486">
        <f t="shared" si="14"/>
        <v>5729.0671000493894</v>
      </c>
      <c r="H39" s="455">
        <f t="shared" si="15"/>
        <v>5729.0671000493894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4"/>
        <v/>
      </c>
      <c r="C40" s="472">
        <f>IF(D11="","-",+C39+1)</f>
        <v>2030</v>
      </c>
      <c r="D40" s="485">
        <f>IF(F39+SUM(E$17:E39)=D$10,F39,D$10-SUM(E$17:E39))</f>
        <v>37486.2977032243</v>
      </c>
      <c r="E40" s="484">
        <f>IF(+I14&lt;F39,I14,D40)</f>
        <v>1687.2325581395348</v>
      </c>
      <c r="F40" s="485">
        <f t="shared" si="13"/>
        <v>35799.065145084765</v>
      </c>
      <c r="G40" s="486">
        <f t="shared" si="14"/>
        <v>5547.1468984943358</v>
      </c>
      <c r="H40" s="455">
        <f t="shared" si="15"/>
        <v>5547.1468984943358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4"/>
        <v/>
      </c>
      <c r="C41" s="472">
        <f>IF(D11="","-",+C40+1)</f>
        <v>2031</v>
      </c>
      <c r="D41" s="485">
        <f>IF(F40+SUM(E$17:E40)=D$10,F40,D$10-SUM(E$17:E40))</f>
        <v>35799.065145084765</v>
      </c>
      <c r="E41" s="484">
        <f>IF(+I14&lt;F40,I14,D41)</f>
        <v>1687.2325581395348</v>
      </c>
      <c r="F41" s="485">
        <f t="shared" si="13"/>
        <v>34111.832586945231</v>
      </c>
      <c r="G41" s="486">
        <f t="shared" si="14"/>
        <v>5365.2266969392822</v>
      </c>
      <c r="H41" s="455">
        <f t="shared" si="15"/>
        <v>5365.2266969392822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4"/>
        <v/>
      </c>
      <c r="C42" s="472">
        <f>IF(D11="","-",+C41+1)</f>
        <v>2032</v>
      </c>
      <c r="D42" s="485">
        <f>IF(F41+SUM(E$17:E41)=D$10,F41,D$10-SUM(E$17:E41))</f>
        <v>34111.832586945231</v>
      </c>
      <c r="E42" s="484">
        <f>IF(+I14&lt;F41,I14,D42)</f>
        <v>1687.2325581395348</v>
      </c>
      <c r="F42" s="485">
        <f t="shared" si="13"/>
        <v>32424.600028805697</v>
      </c>
      <c r="G42" s="486">
        <f t="shared" si="14"/>
        <v>5183.3064953842295</v>
      </c>
      <c r="H42" s="455">
        <f t="shared" si="15"/>
        <v>5183.3064953842295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4"/>
        <v/>
      </c>
      <c r="C43" s="472">
        <f>IF(D11="","-",+C42+1)</f>
        <v>2033</v>
      </c>
      <c r="D43" s="485">
        <f>IF(F42+SUM(E$17:E42)=D$10,F42,D$10-SUM(E$17:E42))</f>
        <v>32424.600028805697</v>
      </c>
      <c r="E43" s="484">
        <f>IF(+I14&lt;F42,I14,D43)</f>
        <v>1687.2325581395348</v>
      </c>
      <c r="F43" s="485">
        <f t="shared" si="13"/>
        <v>30737.367470666162</v>
      </c>
      <c r="G43" s="486">
        <f t="shared" si="14"/>
        <v>5001.3862938291759</v>
      </c>
      <c r="H43" s="455">
        <f t="shared" si="15"/>
        <v>5001.3862938291759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4"/>
        <v/>
      </c>
      <c r="C44" s="472">
        <f>IF(D11="","-",+C43+1)</f>
        <v>2034</v>
      </c>
      <c r="D44" s="485">
        <f>IF(F43+SUM(E$17:E43)=D$10,F43,D$10-SUM(E$17:E43))</f>
        <v>30737.367470666162</v>
      </c>
      <c r="E44" s="484">
        <f>IF(+I14&lt;F43,I14,D44)</f>
        <v>1687.2325581395348</v>
      </c>
      <c r="F44" s="485">
        <f t="shared" si="13"/>
        <v>29050.134912526628</v>
      </c>
      <c r="G44" s="486">
        <f t="shared" si="14"/>
        <v>4819.4660922741223</v>
      </c>
      <c r="H44" s="455">
        <f t="shared" si="15"/>
        <v>4819.4660922741223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4"/>
        <v/>
      </c>
      <c r="C45" s="472">
        <f>IF(D11="","-",+C44+1)</f>
        <v>2035</v>
      </c>
      <c r="D45" s="485">
        <f>IF(F44+SUM(E$17:E44)=D$10,F44,D$10-SUM(E$17:E44))</f>
        <v>29050.134912526628</v>
      </c>
      <c r="E45" s="484">
        <f>IF(+I14&lt;F44,I14,D45)</f>
        <v>1687.2325581395348</v>
      </c>
      <c r="F45" s="485">
        <f t="shared" si="13"/>
        <v>27362.902354387094</v>
      </c>
      <c r="G45" s="486">
        <f t="shared" si="14"/>
        <v>4637.5458907190696</v>
      </c>
      <c r="H45" s="455">
        <f t="shared" si="15"/>
        <v>4637.5458907190696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4"/>
        <v/>
      </c>
      <c r="C46" s="472">
        <f>IF(D11="","-",+C45+1)</f>
        <v>2036</v>
      </c>
      <c r="D46" s="485">
        <f>IF(F45+SUM(E$17:E45)=D$10,F45,D$10-SUM(E$17:E45))</f>
        <v>27362.902354387094</v>
      </c>
      <c r="E46" s="484">
        <f>IF(+I14&lt;F45,I14,D46)</f>
        <v>1687.2325581395348</v>
      </c>
      <c r="F46" s="485">
        <f t="shared" si="13"/>
        <v>25675.669796247559</v>
      </c>
      <c r="G46" s="486">
        <f t="shared" si="14"/>
        <v>4455.625689164016</v>
      </c>
      <c r="H46" s="455">
        <f t="shared" si="15"/>
        <v>4455.625689164016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4"/>
        <v/>
      </c>
      <c r="C47" s="472">
        <f>IF(D11="","-",+C46+1)</f>
        <v>2037</v>
      </c>
      <c r="D47" s="485">
        <f>IF(F46+SUM(E$17:E46)=D$10,F46,D$10-SUM(E$17:E46))</f>
        <v>25675.669796247559</v>
      </c>
      <c r="E47" s="484">
        <f>IF(+I14&lt;F46,I14,D47)</f>
        <v>1687.2325581395348</v>
      </c>
      <c r="F47" s="485">
        <f t="shared" si="13"/>
        <v>23988.437238108025</v>
      </c>
      <c r="G47" s="486">
        <f t="shared" si="14"/>
        <v>4273.7054876089624</v>
      </c>
      <c r="H47" s="455">
        <f t="shared" si="15"/>
        <v>4273.7054876089624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4"/>
        <v/>
      </c>
      <c r="C48" s="472">
        <f>IF(D11="","-",+C47+1)</f>
        <v>2038</v>
      </c>
      <c r="D48" s="485">
        <f>IF(F47+SUM(E$17:E47)=D$10,F47,D$10-SUM(E$17:E47))</f>
        <v>23988.437238108025</v>
      </c>
      <c r="E48" s="484">
        <f>IF(+I14&lt;F47,I14,D48)</f>
        <v>1687.2325581395348</v>
      </c>
      <c r="F48" s="485">
        <f t="shared" si="13"/>
        <v>22301.20467996849</v>
      </c>
      <c r="G48" s="486">
        <f t="shared" si="14"/>
        <v>4091.7852860539092</v>
      </c>
      <c r="H48" s="455">
        <f t="shared" si="15"/>
        <v>4091.7852860539092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4"/>
        <v/>
      </c>
      <c r="C49" s="472">
        <f>IF(D11="","-",+C48+1)</f>
        <v>2039</v>
      </c>
      <c r="D49" s="485">
        <f>IF(F48+SUM(E$17:E48)=D$10,F48,D$10-SUM(E$17:E48))</f>
        <v>22301.20467996849</v>
      </c>
      <c r="E49" s="484">
        <f>IF(+I14&lt;F48,I14,D49)</f>
        <v>1687.2325581395348</v>
      </c>
      <c r="F49" s="485">
        <f t="shared" ref="F49:F72" si="16">+D49-E49</f>
        <v>20613.972121828956</v>
      </c>
      <c r="G49" s="486">
        <f t="shared" si="14"/>
        <v>3909.865084498856</v>
      </c>
      <c r="H49" s="455">
        <f t="shared" si="15"/>
        <v>3909.865084498856</v>
      </c>
      <c r="I49" s="475">
        <f t="shared" ref="I49:I72" si="17">H49-G49</f>
        <v>0</v>
      </c>
      <c r="J49" s="475"/>
      <c r="K49" s="487"/>
      <c r="L49" s="478">
        <f t="shared" ref="L49:L72" si="18">IF(K49&lt;&gt;0,+G49-K49,0)</f>
        <v>0</v>
      </c>
      <c r="M49" s="487"/>
      <c r="N49" s="478">
        <f t="shared" ref="N49:N72" si="19">IF(M49&lt;&gt;0,+H49-M49,0)</f>
        <v>0</v>
      </c>
      <c r="O49" s="478">
        <f t="shared" ref="O49:O72" si="20">+N49-L49</f>
        <v>0</v>
      </c>
      <c r="P49" s="242"/>
    </row>
    <row r="50" spans="2:16" ht="12.5">
      <c r="B50" s="160" t="str">
        <f t="shared" si="4"/>
        <v/>
      </c>
      <c r="C50" s="472">
        <f>IF(D11="","-",+C49+1)</f>
        <v>2040</v>
      </c>
      <c r="D50" s="485">
        <f>IF(F49+SUM(E$17:E49)=D$10,F49,D$10-SUM(E$17:E49))</f>
        <v>20613.972121828956</v>
      </c>
      <c r="E50" s="484">
        <f>IF(+I14&lt;F49,I14,D50)</f>
        <v>1687.2325581395348</v>
      </c>
      <c r="F50" s="485">
        <f t="shared" si="16"/>
        <v>18926.739563689422</v>
      </c>
      <c r="G50" s="486">
        <f t="shared" si="14"/>
        <v>3727.9448829438024</v>
      </c>
      <c r="H50" s="455">
        <f t="shared" si="15"/>
        <v>3727.9448829438024</v>
      </c>
      <c r="I50" s="475">
        <f t="shared" si="17"/>
        <v>0</v>
      </c>
      <c r="J50" s="475"/>
      <c r="K50" s="487"/>
      <c r="L50" s="478">
        <f t="shared" si="18"/>
        <v>0</v>
      </c>
      <c r="M50" s="487"/>
      <c r="N50" s="478">
        <f t="shared" si="19"/>
        <v>0</v>
      </c>
      <c r="O50" s="478">
        <f t="shared" si="20"/>
        <v>0</v>
      </c>
      <c r="P50" s="242"/>
    </row>
    <row r="51" spans="2:16" ht="12.5">
      <c r="B51" s="160" t="str">
        <f t="shared" si="4"/>
        <v/>
      </c>
      <c r="C51" s="472">
        <f>IF(D11="","-",+C50+1)</f>
        <v>2041</v>
      </c>
      <c r="D51" s="485">
        <f>IF(F50+SUM(E$17:E50)=D$10,F50,D$10-SUM(E$17:E50))</f>
        <v>18926.739563689422</v>
      </c>
      <c r="E51" s="484">
        <f>IF(+I14&lt;F50,I14,D51)</f>
        <v>1687.2325581395348</v>
      </c>
      <c r="F51" s="485">
        <f t="shared" si="16"/>
        <v>17239.507005549887</v>
      </c>
      <c r="G51" s="486">
        <f t="shared" si="14"/>
        <v>3546.0246813887493</v>
      </c>
      <c r="H51" s="455">
        <f t="shared" si="15"/>
        <v>3546.0246813887493</v>
      </c>
      <c r="I51" s="475">
        <f t="shared" si="17"/>
        <v>0</v>
      </c>
      <c r="J51" s="475"/>
      <c r="K51" s="487"/>
      <c r="L51" s="478">
        <f t="shared" si="18"/>
        <v>0</v>
      </c>
      <c r="M51" s="487"/>
      <c r="N51" s="478">
        <f t="shared" si="19"/>
        <v>0</v>
      </c>
      <c r="O51" s="478">
        <f t="shared" si="20"/>
        <v>0</v>
      </c>
      <c r="P51" s="242"/>
    </row>
    <row r="52" spans="2:16" ht="12.5">
      <c r="B52" s="160" t="str">
        <f t="shared" si="4"/>
        <v/>
      </c>
      <c r="C52" s="472">
        <f>IF(D11="","-",+C51+1)</f>
        <v>2042</v>
      </c>
      <c r="D52" s="485">
        <f>IF(F51+SUM(E$17:E51)=D$10,F51,D$10-SUM(E$17:E51))</f>
        <v>17239.507005549887</v>
      </c>
      <c r="E52" s="484">
        <f>IF(+I14&lt;F51,I14,D52)</f>
        <v>1687.2325581395348</v>
      </c>
      <c r="F52" s="485">
        <f t="shared" si="16"/>
        <v>15552.274447410353</v>
      </c>
      <c r="G52" s="486">
        <f t="shared" si="14"/>
        <v>3364.1044798336961</v>
      </c>
      <c r="H52" s="455">
        <f t="shared" si="15"/>
        <v>3364.1044798336961</v>
      </c>
      <c r="I52" s="475">
        <f t="shared" si="17"/>
        <v>0</v>
      </c>
      <c r="J52" s="475"/>
      <c r="K52" s="487"/>
      <c r="L52" s="478">
        <f t="shared" si="18"/>
        <v>0</v>
      </c>
      <c r="M52" s="487"/>
      <c r="N52" s="478">
        <f t="shared" si="19"/>
        <v>0</v>
      </c>
      <c r="O52" s="478">
        <f t="shared" si="20"/>
        <v>0</v>
      </c>
      <c r="P52" s="242"/>
    </row>
    <row r="53" spans="2:16" ht="12.5">
      <c r="B53" s="160" t="str">
        <f t="shared" si="4"/>
        <v/>
      </c>
      <c r="C53" s="472">
        <f>IF(D11="","-",+C52+1)</f>
        <v>2043</v>
      </c>
      <c r="D53" s="485">
        <f>IF(F52+SUM(E$17:E52)=D$10,F52,D$10-SUM(E$17:E52))</f>
        <v>15552.274447410353</v>
      </c>
      <c r="E53" s="484">
        <f>IF(+I14&lt;F52,I14,D53)</f>
        <v>1687.2325581395348</v>
      </c>
      <c r="F53" s="485">
        <f t="shared" si="16"/>
        <v>13865.041889270819</v>
      </c>
      <c r="G53" s="486">
        <f t="shared" si="14"/>
        <v>3182.1842782786425</v>
      </c>
      <c r="H53" s="455">
        <f t="shared" si="15"/>
        <v>3182.1842782786425</v>
      </c>
      <c r="I53" s="475">
        <f t="shared" si="17"/>
        <v>0</v>
      </c>
      <c r="J53" s="475"/>
      <c r="K53" s="487"/>
      <c r="L53" s="478">
        <f t="shared" si="18"/>
        <v>0</v>
      </c>
      <c r="M53" s="487"/>
      <c r="N53" s="478">
        <f t="shared" si="19"/>
        <v>0</v>
      </c>
      <c r="O53" s="478">
        <f t="shared" si="20"/>
        <v>0</v>
      </c>
      <c r="P53" s="242"/>
    </row>
    <row r="54" spans="2:16" ht="12.5">
      <c r="B54" s="160" t="str">
        <f t="shared" si="4"/>
        <v/>
      </c>
      <c r="C54" s="472">
        <f>IF(D11="","-",+C53+1)</f>
        <v>2044</v>
      </c>
      <c r="D54" s="485">
        <f>IF(F53+SUM(E$17:E53)=D$10,F53,D$10-SUM(E$17:E53))</f>
        <v>13865.041889270819</v>
      </c>
      <c r="E54" s="484">
        <f>IF(+I14&lt;F53,I14,D54)</f>
        <v>1687.2325581395348</v>
      </c>
      <c r="F54" s="485">
        <f t="shared" si="16"/>
        <v>12177.809331131284</v>
      </c>
      <c r="G54" s="486">
        <f t="shared" si="14"/>
        <v>3000.2640767235894</v>
      </c>
      <c r="H54" s="455">
        <f t="shared" si="15"/>
        <v>3000.2640767235894</v>
      </c>
      <c r="I54" s="475">
        <f t="shared" si="17"/>
        <v>0</v>
      </c>
      <c r="J54" s="475"/>
      <c r="K54" s="487"/>
      <c r="L54" s="478">
        <f t="shared" si="18"/>
        <v>0</v>
      </c>
      <c r="M54" s="487"/>
      <c r="N54" s="478">
        <f t="shared" si="19"/>
        <v>0</v>
      </c>
      <c r="O54" s="478">
        <f t="shared" si="20"/>
        <v>0</v>
      </c>
      <c r="P54" s="242"/>
    </row>
    <row r="55" spans="2:16" ht="12.5">
      <c r="B55" s="160" t="str">
        <f t="shared" si="4"/>
        <v/>
      </c>
      <c r="C55" s="472">
        <f>IF(D11="","-",+C54+1)</f>
        <v>2045</v>
      </c>
      <c r="D55" s="485">
        <f>IF(F54+SUM(E$17:E54)=D$10,F54,D$10-SUM(E$17:E54))</f>
        <v>12177.809331131284</v>
      </c>
      <c r="E55" s="484">
        <f>IF(+I14&lt;F54,I14,D55)</f>
        <v>1687.2325581395348</v>
      </c>
      <c r="F55" s="485">
        <f t="shared" si="16"/>
        <v>10490.57677299175</v>
      </c>
      <c r="G55" s="486">
        <f t="shared" si="14"/>
        <v>2818.3438751685362</v>
      </c>
      <c r="H55" s="455">
        <f t="shared" si="15"/>
        <v>2818.3438751685362</v>
      </c>
      <c r="I55" s="475">
        <f t="shared" si="17"/>
        <v>0</v>
      </c>
      <c r="J55" s="475"/>
      <c r="K55" s="487"/>
      <c r="L55" s="478">
        <f t="shared" si="18"/>
        <v>0</v>
      </c>
      <c r="M55" s="487"/>
      <c r="N55" s="478">
        <f t="shared" si="19"/>
        <v>0</v>
      </c>
      <c r="O55" s="478">
        <f t="shared" si="20"/>
        <v>0</v>
      </c>
      <c r="P55" s="242"/>
    </row>
    <row r="56" spans="2:16" ht="12.5">
      <c r="B56" s="160" t="str">
        <f t="shared" si="4"/>
        <v/>
      </c>
      <c r="C56" s="472">
        <f>IF(D11="","-",+C55+1)</f>
        <v>2046</v>
      </c>
      <c r="D56" s="485">
        <f>IF(F55+SUM(E$17:E55)=D$10,F55,D$10-SUM(E$17:E55))</f>
        <v>10490.57677299175</v>
      </c>
      <c r="E56" s="484">
        <f>IF(+I14&lt;F55,I14,D56)</f>
        <v>1687.2325581395348</v>
      </c>
      <c r="F56" s="485">
        <f t="shared" si="16"/>
        <v>8803.3442148522154</v>
      </c>
      <c r="G56" s="486">
        <f t="shared" si="14"/>
        <v>2636.4236736134826</v>
      </c>
      <c r="H56" s="455">
        <f t="shared" si="15"/>
        <v>2636.4236736134826</v>
      </c>
      <c r="I56" s="475">
        <f t="shared" si="17"/>
        <v>0</v>
      </c>
      <c r="J56" s="475"/>
      <c r="K56" s="487"/>
      <c r="L56" s="478">
        <f t="shared" si="18"/>
        <v>0</v>
      </c>
      <c r="M56" s="487"/>
      <c r="N56" s="478">
        <f t="shared" si="19"/>
        <v>0</v>
      </c>
      <c r="O56" s="478">
        <f t="shared" si="20"/>
        <v>0</v>
      </c>
      <c r="P56" s="242"/>
    </row>
    <row r="57" spans="2:16" ht="12.5">
      <c r="B57" s="160" t="str">
        <f t="shared" si="4"/>
        <v/>
      </c>
      <c r="C57" s="472">
        <f>IF(D11="","-",+C56+1)</f>
        <v>2047</v>
      </c>
      <c r="D57" s="485">
        <f>IF(F56+SUM(E$17:E56)=D$10,F56,D$10-SUM(E$17:E56))</f>
        <v>8803.3442148522154</v>
      </c>
      <c r="E57" s="484">
        <f>IF(+I14&lt;F56,I14,D57)</f>
        <v>1687.2325581395348</v>
      </c>
      <c r="F57" s="485">
        <f t="shared" si="16"/>
        <v>7116.111656712681</v>
      </c>
      <c r="G57" s="486">
        <f t="shared" si="14"/>
        <v>2454.5034720584295</v>
      </c>
      <c r="H57" s="455">
        <f t="shared" si="15"/>
        <v>2454.5034720584295</v>
      </c>
      <c r="I57" s="475">
        <f t="shared" si="17"/>
        <v>0</v>
      </c>
      <c r="J57" s="475"/>
      <c r="K57" s="487"/>
      <c r="L57" s="478">
        <f t="shared" si="18"/>
        <v>0</v>
      </c>
      <c r="M57" s="487"/>
      <c r="N57" s="478">
        <f t="shared" si="19"/>
        <v>0</v>
      </c>
      <c r="O57" s="478">
        <f t="shared" si="20"/>
        <v>0</v>
      </c>
      <c r="P57" s="242"/>
    </row>
    <row r="58" spans="2:16" ht="12.5">
      <c r="B58" s="160" t="str">
        <f t="shared" si="4"/>
        <v/>
      </c>
      <c r="C58" s="472">
        <f>IF(D11="","-",+C57+1)</f>
        <v>2048</v>
      </c>
      <c r="D58" s="485">
        <f>IF(F57+SUM(E$17:E57)=D$10,F57,D$10-SUM(E$17:E57))</f>
        <v>7116.111656712681</v>
      </c>
      <c r="E58" s="484">
        <f>IF(+I14&lt;F57,I14,D58)</f>
        <v>1687.2325581395348</v>
      </c>
      <c r="F58" s="485">
        <f t="shared" si="16"/>
        <v>5428.8790985731466</v>
      </c>
      <c r="G58" s="486">
        <f t="shared" si="14"/>
        <v>2272.5832705033763</v>
      </c>
      <c r="H58" s="455">
        <f t="shared" si="15"/>
        <v>2272.5832705033763</v>
      </c>
      <c r="I58" s="475">
        <f t="shared" si="17"/>
        <v>0</v>
      </c>
      <c r="J58" s="475"/>
      <c r="K58" s="487"/>
      <c r="L58" s="478">
        <f t="shared" si="18"/>
        <v>0</v>
      </c>
      <c r="M58" s="487"/>
      <c r="N58" s="478">
        <f t="shared" si="19"/>
        <v>0</v>
      </c>
      <c r="O58" s="478">
        <f t="shared" si="20"/>
        <v>0</v>
      </c>
      <c r="P58" s="242"/>
    </row>
    <row r="59" spans="2:16" ht="12.5">
      <c r="B59" s="160" t="str">
        <f t="shared" si="4"/>
        <v/>
      </c>
      <c r="C59" s="472">
        <f>IF(D11="","-",+C58+1)</f>
        <v>2049</v>
      </c>
      <c r="D59" s="485">
        <f>IF(F58+SUM(E$17:E58)=D$10,F58,D$10-SUM(E$17:E58))</f>
        <v>5428.8790985731466</v>
      </c>
      <c r="E59" s="484">
        <f>IF(+I14&lt;F58,I14,D59)</f>
        <v>1687.2325581395348</v>
      </c>
      <c r="F59" s="485">
        <f t="shared" si="16"/>
        <v>3741.6465404336118</v>
      </c>
      <c r="G59" s="486">
        <f t="shared" si="14"/>
        <v>2090.6630689483227</v>
      </c>
      <c r="H59" s="455">
        <f t="shared" si="15"/>
        <v>2090.6630689483227</v>
      </c>
      <c r="I59" s="475">
        <f t="shared" si="17"/>
        <v>0</v>
      </c>
      <c r="J59" s="475"/>
      <c r="K59" s="487"/>
      <c r="L59" s="478">
        <f t="shared" si="18"/>
        <v>0</v>
      </c>
      <c r="M59" s="487"/>
      <c r="N59" s="478">
        <f t="shared" si="19"/>
        <v>0</v>
      </c>
      <c r="O59" s="478">
        <f t="shared" si="20"/>
        <v>0</v>
      </c>
      <c r="P59" s="242"/>
    </row>
    <row r="60" spans="2:16" ht="12.5">
      <c r="B60" s="160" t="str">
        <f t="shared" si="4"/>
        <v/>
      </c>
      <c r="C60" s="472">
        <f>IF(D11="","-",+C59+1)</f>
        <v>2050</v>
      </c>
      <c r="D60" s="485">
        <f>IF(F59+SUM(E$17:E59)=D$10,F59,D$10-SUM(E$17:E59))</f>
        <v>3741.6465404336118</v>
      </c>
      <c r="E60" s="484">
        <f>IF(+I14&lt;F59,I14,D60)</f>
        <v>1687.2325581395348</v>
      </c>
      <c r="F60" s="485">
        <f t="shared" si="16"/>
        <v>2054.413982294077</v>
      </c>
      <c r="G60" s="486">
        <f t="shared" si="14"/>
        <v>1908.7428673932695</v>
      </c>
      <c r="H60" s="455">
        <f t="shared" si="15"/>
        <v>1908.7428673932695</v>
      </c>
      <c r="I60" s="475">
        <f t="shared" si="17"/>
        <v>0</v>
      </c>
      <c r="J60" s="475"/>
      <c r="K60" s="487"/>
      <c r="L60" s="478">
        <f t="shared" si="18"/>
        <v>0</v>
      </c>
      <c r="M60" s="487"/>
      <c r="N60" s="478">
        <f t="shared" si="19"/>
        <v>0</v>
      </c>
      <c r="O60" s="478">
        <f t="shared" si="20"/>
        <v>0</v>
      </c>
      <c r="P60" s="242"/>
    </row>
    <row r="61" spans="2:16" ht="12.5">
      <c r="B61" s="160" t="str">
        <f t="shared" si="4"/>
        <v/>
      </c>
      <c r="C61" s="472">
        <f>IF(D11="","-",+C60+1)</f>
        <v>2051</v>
      </c>
      <c r="D61" s="485">
        <f>IF(F60+SUM(E$17:E60)=D$10,F60,D$10-SUM(E$17:E60))</f>
        <v>2054.413982294077</v>
      </c>
      <c r="E61" s="484">
        <f>IF(+I14&lt;F60,I14,D61)</f>
        <v>1687.2325581395348</v>
      </c>
      <c r="F61" s="485">
        <f t="shared" si="16"/>
        <v>367.18142415454213</v>
      </c>
      <c r="G61" s="488">
        <f t="shared" si="14"/>
        <v>1726.8226658382162</v>
      </c>
      <c r="H61" s="455">
        <f t="shared" si="15"/>
        <v>1726.8226658382162</v>
      </c>
      <c r="I61" s="475">
        <f t="shared" si="17"/>
        <v>0</v>
      </c>
      <c r="J61" s="475"/>
      <c r="K61" s="487"/>
      <c r="L61" s="478">
        <f t="shared" si="18"/>
        <v>0</v>
      </c>
      <c r="M61" s="487"/>
      <c r="N61" s="478">
        <f t="shared" si="19"/>
        <v>0</v>
      </c>
      <c r="O61" s="478">
        <f t="shared" si="20"/>
        <v>0</v>
      </c>
      <c r="P61" s="242"/>
    </row>
    <row r="62" spans="2:16" ht="12.5">
      <c r="B62" s="160" t="str">
        <f t="shared" si="4"/>
        <v/>
      </c>
      <c r="C62" s="472">
        <f>IF(D11="","-",+C61+1)</f>
        <v>2052</v>
      </c>
      <c r="D62" s="485">
        <f>IF(F61+SUM(E$17:E61)=D$10,F61,D$10-SUM(E$17:E61))</f>
        <v>367.18142415454213</v>
      </c>
      <c r="E62" s="484">
        <f>IF(+I14&lt;F61,I14,D62)</f>
        <v>367.18142415454213</v>
      </c>
      <c r="F62" s="485">
        <f t="shared" si="16"/>
        <v>0</v>
      </c>
      <c r="G62" s="488">
        <f t="shared" si="14"/>
        <v>367.18142415454213</v>
      </c>
      <c r="H62" s="455">
        <f t="shared" si="15"/>
        <v>367.18142415454213</v>
      </c>
      <c r="I62" s="475">
        <f t="shared" si="17"/>
        <v>0</v>
      </c>
      <c r="J62" s="475"/>
      <c r="K62" s="487"/>
      <c r="L62" s="478">
        <f t="shared" si="18"/>
        <v>0</v>
      </c>
      <c r="M62" s="487"/>
      <c r="N62" s="478">
        <f t="shared" si="19"/>
        <v>0</v>
      </c>
      <c r="O62" s="478">
        <f t="shared" si="20"/>
        <v>0</v>
      </c>
      <c r="P62" s="242"/>
    </row>
    <row r="63" spans="2:16" ht="12.5">
      <c r="B63" s="160" t="str">
        <f t="shared" si="4"/>
        <v/>
      </c>
      <c r="C63" s="472">
        <f>IF(D11="","-",+C62+1)</f>
        <v>2053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6"/>
        <v>0</v>
      </c>
      <c r="G63" s="488">
        <f t="shared" si="14"/>
        <v>0</v>
      </c>
      <c r="H63" s="455">
        <f t="shared" si="15"/>
        <v>0</v>
      </c>
      <c r="I63" s="475">
        <f t="shared" si="17"/>
        <v>0</v>
      </c>
      <c r="J63" s="475"/>
      <c r="K63" s="487"/>
      <c r="L63" s="478">
        <f t="shared" si="18"/>
        <v>0</v>
      </c>
      <c r="M63" s="487"/>
      <c r="N63" s="478">
        <f t="shared" si="19"/>
        <v>0</v>
      </c>
      <c r="O63" s="478">
        <f t="shared" si="20"/>
        <v>0</v>
      </c>
      <c r="P63" s="242"/>
    </row>
    <row r="64" spans="2:16" ht="12.5">
      <c r="B64" s="160" t="str">
        <f t="shared" si="4"/>
        <v/>
      </c>
      <c r="C64" s="472">
        <f>IF(D11="","-",+C63+1)</f>
        <v>2054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6"/>
        <v>0</v>
      </c>
      <c r="G64" s="488">
        <f t="shared" si="14"/>
        <v>0</v>
      </c>
      <c r="H64" s="455">
        <f t="shared" si="15"/>
        <v>0</v>
      </c>
      <c r="I64" s="475">
        <f t="shared" si="17"/>
        <v>0</v>
      </c>
      <c r="J64" s="475"/>
      <c r="K64" s="487"/>
      <c r="L64" s="478">
        <f t="shared" si="18"/>
        <v>0</v>
      </c>
      <c r="M64" s="487"/>
      <c r="N64" s="478">
        <f t="shared" si="19"/>
        <v>0</v>
      </c>
      <c r="O64" s="478">
        <f t="shared" si="20"/>
        <v>0</v>
      </c>
      <c r="P64" s="242"/>
    </row>
    <row r="65" spans="2:16" ht="12.5">
      <c r="B65" s="160" t="str">
        <f t="shared" si="4"/>
        <v/>
      </c>
      <c r="C65" s="472">
        <f>IF(D11="","-",+C64+1)</f>
        <v>2055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6"/>
        <v>0</v>
      </c>
      <c r="G65" s="488">
        <f t="shared" si="14"/>
        <v>0</v>
      </c>
      <c r="H65" s="455">
        <f t="shared" si="15"/>
        <v>0</v>
      </c>
      <c r="I65" s="475">
        <f t="shared" si="17"/>
        <v>0</v>
      </c>
      <c r="J65" s="475"/>
      <c r="K65" s="487"/>
      <c r="L65" s="478">
        <f t="shared" si="18"/>
        <v>0</v>
      </c>
      <c r="M65" s="487"/>
      <c r="N65" s="478">
        <f t="shared" si="19"/>
        <v>0</v>
      </c>
      <c r="O65" s="478">
        <f t="shared" si="20"/>
        <v>0</v>
      </c>
      <c r="P65" s="242"/>
    </row>
    <row r="66" spans="2:16" ht="12.5">
      <c r="B66" s="160" t="str">
        <f t="shared" si="4"/>
        <v/>
      </c>
      <c r="C66" s="472">
        <f>IF(D11="","-",+C65+1)</f>
        <v>2056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6"/>
        <v>0</v>
      </c>
      <c r="G66" s="488">
        <f t="shared" si="14"/>
        <v>0</v>
      </c>
      <c r="H66" s="455">
        <f t="shared" si="15"/>
        <v>0</v>
      </c>
      <c r="I66" s="475">
        <f t="shared" si="17"/>
        <v>0</v>
      </c>
      <c r="J66" s="475"/>
      <c r="K66" s="487"/>
      <c r="L66" s="478">
        <f t="shared" si="18"/>
        <v>0</v>
      </c>
      <c r="M66" s="487"/>
      <c r="N66" s="478">
        <f t="shared" si="19"/>
        <v>0</v>
      </c>
      <c r="O66" s="478">
        <f t="shared" si="20"/>
        <v>0</v>
      </c>
      <c r="P66" s="242"/>
    </row>
    <row r="67" spans="2:16" ht="12.5">
      <c r="B67" s="160" t="str">
        <f t="shared" si="4"/>
        <v/>
      </c>
      <c r="C67" s="472">
        <f>IF(D11="","-",+C66+1)</f>
        <v>2057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6"/>
        <v>0</v>
      </c>
      <c r="G67" s="488">
        <f t="shared" si="14"/>
        <v>0</v>
      </c>
      <c r="H67" s="455">
        <f t="shared" si="15"/>
        <v>0</v>
      </c>
      <c r="I67" s="475">
        <f t="shared" si="17"/>
        <v>0</v>
      </c>
      <c r="J67" s="475"/>
      <c r="K67" s="487"/>
      <c r="L67" s="478">
        <f t="shared" si="18"/>
        <v>0</v>
      </c>
      <c r="M67" s="487"/>
      <c r="N67" s="478">
        <f t="shared" si="19"/>
        <v>0</v>
      </c>
      <c r="O67" s="478">
        <f t="shared" si="20"/>
        <v>0</v>
      </c>
      <c r="P67" s="242"/>
    </row>
    <row r="68" spans="2:16" ht="12.5">
      <c r="B68" s="160" t="str">
        <f t="shared" si="4"/>
        <v/>
      </c>
      <c r="C68" s="472">
        <f>IF(D11="","-",+C67+1)</f>
        <v>2058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6"/>
        <v>0</v>
      </c>
      <c r="G68" s="488">
        <f t="shared" si="14"/>
        <v>0</v>
      </c>
      <c r="H68" s="455">
        <f t="shared" si="15"/>
        <v>0</v>
      </c>
      <c r="I68" s="475">
        <f t="shared" si="17"/>
        <v>0</v>
      </c>
      <c r="J68" s="475"/>
      <c r="K68" s="487"/>
      <c r="L68" s="478">
        <f t="shared" si="18"/>
        <v>0</v>
      </c>
      <c r="M68" s="487"/>
      <c r="N68" s="478">
        <f t="shared" si="19"/>
        <v>0</v>
      </c>
      <c r="O68" s="478">
        <f t="shared" si="20"/>
        <v>0</v>
      </c>
      <c r="P68" s="242"/>
    </row>
    <row r="69" spans="2:16" ht="12.5">
      <c r="B69" s="160" t="str">
        <f t="shared" si="4"/>
        <v/>
      </c>
      <c r="C69" s="472">
        <f>IF(D11="","-",+C68+1)</f>
        <v>2059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6"/>
        <v>0</v>
      </c>
      <c r="G69" s="488">
        <f t="shared" si="14"/>
        <v>0</v>
      </c>
      <c r="H69" s="455">
        <f t="shared" si="15"/>
        <v>0</v>
      </c>
      <c r="I69" s="475">
        <f t="shared" si="17"/>
        <v>0</v>
      </c>
      <c r="J69" s="475"/>
      <c r="K69" s="487"/>
      <c r="L69" s="478">
        <f t="shared" si="18"/>
        <v>0</v>
      </c>
      <c r="M69" s="487"/>
      <c r="N69" s="478">
        <f t="shared" si="19"/>
        <v>0</v>
      </c>
      <c r="O69" s="478">
        <f t="shared" si="20"/>
        <v>0</v>
      </c>
      <c r="P69" s="242"/>
    </row>
    <row r="70" spans="2:16" ht="12.5">
      <c r="B70" s="160" t="str">
        <f t="shared" si="4"/>
        <v/>
      </c>
      <c r="C70" s="472">
        <f>IF(D11="","-",+C69+1)</f>
        <v>2060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6"/>
        <v>0</v>
      </c>
      <c r="G70" s="488">
        <f t="shared" si="14"/>
        <v>0</v>
      </c>
      <c r="H70" s="455">
        <f t="shared" si="15"/>
        <v>0</v>
      </c>
      <c r="I70" s="475">
        <f t="shared" si="17"/>
        <v>0</v>
      </c>
      <c r="J70" s="475"/>
      <c r="K70" s="487"/>
      <c r="L70" s="478">
        <f t="shared" si="18"/>
        <v>0</v>
      </c>
      <c r="M70" s="487"/>
      <c r="N70" s="478">
        <f t="shared" si="19"/>
        <v>0</v>
      </c>
      <c r="O70" s="478">
        <f t="shared" si="20"/>
        <v>0</v>
      </c>
      <c r="P70" s="242"/>
    </row>
    <row r="71" spans="2:16" ht="12.5">
      <c r="B71" s="160" t="str">
        <f t="shared" si="4"/>
        <v/>
      </c>
      <c r="C71" s="472">
        <f>IF(D11="","-",+C70+1)</f>
        <v>2061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6"/>
        <v>0</v>
      </c>
      <c r="G71" s="488">
        <f t="shared" si="14"/>
        <v>0</v>
      </c>
      <c r="H71" s="455">
        <f t="shared" si="15"/>
        <v>0</v>
      </c>
      <c r="I71" s="475">
        <f t="shared" si="17"/>
        <v>0</v>
      </c>
      <c r="J71" s="475"/>
      <c r="K71" s="487"/>
      <c r="L71" s="478">
        <f t="shared" si="18"/>
        <v>0</v>
      </c>
      <c r="M71" s="487"/>
      <c r="N71" s="478">
        <f t="shared" si="19"/>
        <v>0</v>
      </c>
      <c r="O71" s="478">
        <f t="shared" si="20"/>
        <v>0</v>
      </c>
      <c r="P71" s="242"/>
    </row>
    <row r="72" spans="2:16" ht="13" thickBot="1">
      <c r="B72" s="160" t="str">
        <f t="shared" si="4"/>
        <v/>
      </c>
      <c r="C72" s="489">
        <f>IF(D11="","-",+C71+1)</f>
        <v>2062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6"/>
        <v>0</v>
      </c>
      <c r="G72" s="492">
        <f t="shared" si="14"/>
        <v>0</v>
      </c>
      <c r="H72" s="435">
        <f t="shared" si="15"/>
        <v>0</v>
      </c>
      <c r="I72" s="493">
        <f t="shared" si="17"/>
        <v>0</v>
      </c>
      <c r="J72" s="475"/>
      <c r="K72" s="494"/>
      <c r="L72" s="495">
        <f t="shared" si="18"/>
        <v>0</v>
      </c>
      <c r="M72" s="494"/>
      <c r="N72" s="495">
        <f t="shared" si="19"/>
        <v>0</v>
      </c>
      <c r="O72" s="495">
        <f t="shared" si="20"/>
        <v>0</v>
      </c>
      <c r="P72" s="242"/>
    </row>
    <row r="73" spans="2:16" ht="12.5">
      <c r="C73" s="346" t="s">
        <v>77</v>
      </c>
      <c r="D73" s="347"/>
      <c r="E73" s="347">
        <f>SUM(E17:E72)</f>
        <v>72551.000000000029</v>
      </c>
      <c r="F73" s="347"/>
      <c r="G73" s="347">
        <f>SUM(G17:G72)</f>
        <v>278045.34786260023</v>
      </c>
      <c r="H73" s="347">
        <f>SUM(H17:H72)</f>
        <v>278045.34786260023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9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7989.0212540933571</v>
      </c>
      <c r="N87" s="508">
        <f>IF(J92&lt;D11,0,VLOOKUP(J92,C17:O72,11))</f>
        <v>7989.0212540933571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7519.8443223081076</v>
      </c>
      <c r="N88" s="512">
        <f>IF(J92&lt;D11,0,VLOOKUP(J92,C99:P154,7))</f>
        <v>7519.8443223081076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Tulsa Southeast Upgrade (repl switches)*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-469.17693178524951</v>
      </c>
      <c r="N89" s="517">
        <f>+N88-N87</f>
        <v>-469.17693178524951</v>
      </c>
      <c r="O89" s="518">
        <f>+O88-O87</f>
        <v>0</v>
      </c>
      <c r="P89" s="232"/>
    </row>
    <row r="90" spans="1:16" ht="13.5" thickBot="1">
      <c r="C90" s="496"/>
      <c r="D90" s="519" t="str">
        <f>D8</f>
        <v>DOES NOT MEET SPP $100,000 MINIMUM INVESTMENT FOR REGIONAL BPU SHARING.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TP2004033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72551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2007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4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1770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2007</v>
      </c>
      <c r="D99" s="473">
        <v>0</v>
      </c>
      <c r="E99" s="480">
        <v>0</v>
      </c>
      <c r="F99" s="479">
        <v>72551</v>
      </c>
      <c r="G99" s="537">
        <v>36276</v>
      </c>
      <c r="H99" s="538">
        <v>5762</v>
      </c>
      <c r="I99" s="539">
        <v>5762</v>
      </c>
      <c r="J99" s="478">
        <f t="shared" ref="J99:J130" si="21">+I99-H99</f>
        <v>0</v>
      </c>
      <c r="K99" s="478"/>
      <c r="L99" s="554">
        <v>0</v>
      </c>
      <c r="M99" s="477">
        <f t="shared" ref="M99:M130" si="22">IF(L99&lt;&gt;0,+H99-L99,0)</f>
        <v>0</v>
      </c>
      <c r="N99" s="554">
        <v>0</v>
      </c>
      <c r="O99" s="477">
        <f t="shared" ref="O99:O130" si="23">IF(N99&lt;&gt;0,+I99-N99,0)</f>
        <v>0</v>
      </c>
      <c r="P99" s="477">
        <f t="shared" ref="P99:P130" si="24">+O99-M99</f>
        <v>0</v>
      </c>
    </row>
    <row r="100" spans="1:16" ht="12.5">
      <c r="B100" s="160" t="str">
        <f>IF(D100=F99,"","IU")</f>
        <v/>
      </c>
      <c r="C100" s="472">
        <f>IF(D93="","-",+C99+1)</f>
        <v>2008</v>
      </c>
      <c r="D100" s="473">
        <v>72551</v>
      </c>
      <c r="E100" s="561">
        <v>1369</v>
      </c>
      <c r="F100" s="479">
        <v>71182</v>
      </c>
      <c r="G100" s="479">
        <v>71867</v>
      </c>
      <c r="H100" s="480">
        <v>12785</v>
      </c>
      <c r="I100" s="481">
        <v>12785</v>
      </c>
      <c r="J100" s="478">
        <f t="shared" si="21"/>
        <v>0</v>
      </c>
      <c r="K100" s="478"/>
      <c r="L100" s="476">
        <v>12785</v>
      </c>
      <c r="M100" s="478">
        <f t="shared" si="22"/>
        <v>0</v>
      </c>
      <c r="N100" s="476">
        <v>12785</v>
      </c>
      <c r="O100" s="478">
        <f t="shared" si="23"/>
        <v>0</v>
      </c>
      <c r="P100" s="478">
        <f t="shared" si="24"/>
        <v>0</v>
      </c>
    </row>
    <row r="101" spans="1:16" ht="12.5">
      <c r="B101" s="160" t="str">
        <f t="shared" ref="B101:B154" si="25">IF(D101=F100,"","IU")</f>
        <v/>
      </c>
      <c r="C101" s="472">
        <f>IF(D93="","-",+C100+1)</f>
        <v>2009</v>
      </c>
      <c r="D101" s="473">
        <v>71182</v>
      </c>
      <c r="E101" s="480">
        <v>1296</v>
      </c>
      <c r="F101" s="479">
        <v>69886</v>
      </c>
      <c r="G101" s="479">
        <v>70534</v>
      </c>
      <c r="H101" s="480">
        <v>11608.65494705257</v>
      </c>
      <c r="I101" s="481">
        <v>11608.65494705257</v>
      </c>
      <c r="J101" s="478">
        <f t="shared" si="21"/>
        <v>0</v>
      </c>
      <c r="K101" s="478"/>
      <c r="L101" s="540">
        <f t="shared" ref="L101:L106" si="26">H101</f>
        <v>11608.65494705257</v>
      </c>
      <c r="M101" s="541">
        <f t="shared" si="22"/>
        <v>0</v>
      </c>
      <c r="N101" s="540">
        <f t="shared" ref="N101:N106" si="27">I101</f>
        <v>11608.65494705257</v>
      </c>
      <c r="O101" s="478">
        <f t="shared" si="23"/>
        <v>0</v>
      </c>
      <c r="P101" s="478">
        <f t="shared" si="24"/>
        <v>0</v>
      </c>
    </row>
    <row r="102" spans="1:16" ht="12.5">
      <c r="B102" s="160" t="str">
        <f t="shared" si="25"/>
        <v/>
      </c>
      <c r="C102" s="472">
        <f>IF(D93="","-",+C101+1)</f>
        <v>2010</v>
      </c>
      <c r="D102" s="473">
        <v>69886</v>
      </c>
      <c r="E102" s="480">
        <v>1423</v>
      </c>
      <c r="F102" s="479">
        <v>68463</v>
      </c>
      <c r="G102" s="479">
        <v>69174.5</v>
      </c>
      <c r="H102" s="480">
        <v>12547.312556925655</v>
      </c>
      <c r="I102" s="481">
        <v>12547.312556925655</v>
      </c>
      <c r="J102" s="478">
        <f t="shared" si="21"/>
        <v>0</v>
      </c>
      <c r="K102" s="478"/>
      <c r="L102" s="540">
        <f t="shared" si="26"/>
        <v>12547.312556925655</v>
      </c>
      <c r="M102" s="541">
        <f t="shared" si="22"/>
        <v>0</v>
      </c>
      <c r="N102" s="540">
        <f t="shared" si="27"/>
        <v>12547.312556925655</v>
      </c>
      <c r="O102" s="478">
        <f t="shared" si="23"/>
        <v>0</v>
      </c>
      <c r="P102" s="478">
        <f t="shared" si="24"/>
        <v>0</v>
      </c>
    </row>
    <row r="103" spans="1:16" ht="12.5">
      <c r="B103" s="160" t="str">
        <f t="shared" si="25"/>
        <v/>
      </c>
      <c r="C103" s="472">
        <f>IF(D93="","-",+C102+1)</f>
        <v>2011</v>
      </c>
      <c r="D103" s="473">
        <v>68463</v>
      </c>
      <c r="E103" s="480">
        <v>1395</v>
      </c>
      <c r="F103" s="479">
        <v>67068</v>
      </c>
      <c r="G103" s="479">
        <v>67765.5</v>
      </c>
      <c r="H103" s="480">
        <v>10869.52752826227</v>
      </c>
      <c r="I103" s="481">
        <v>10869.52752826227</v>
      </c>
      <c r="J103" s="478">
        <f t="shared" si="21"/>
        <v>0</v>
      </c>
      <c r="K103" s="478"/>
      <c r="L103" s="540">
        <f t="shared" si="26"/>
        <v>10869.52752826227</v>
      </c>
      <c r="M103" s="541">
        <f t="shared" si="22"/>
        <v>0</v>
      </c>
      <c r="N103" s="540">
        <f t="shared" si="27"/>
        <v>10869.52752826227</v>
      </c>
      <c r="O103" s="478">
        <f t="shared" si="23"/>
        <v>0</v>
      </c>
      <c r="P103" s="478">
        <f t="shared" si="24"/>
        <v>0</v>
      </c>
    </row>
    <row r="104" spans="1:16" ht="12.5">
      <c r="B104" s="160" t="str">
        <f t="shared" si="25"/>
        <v/>
      </c>
      <c r="C104" s="472">
        <f>IF(D93="","-",+C103+1)</f>
        <v>2012</v>
      </c>
      <c r="D104" s="473">
        <v>67068</v>
      </c>
      <c r="E104" s="480">
        <v>1395</v>
      </c>
      <c r="F104" s="479">
        <v>65673</v>
      </c>
      <c r="G104" s="479">
        <v>66370.5</v>
      </c>
      <c r="H104" s="480">
        <v>10942.760254640152</v>
      </c>
      <c r="I104" s="481">
        <v>10942.760254640152</v>
      </c>
      <c r="J104" s="478">
        <v>0</v>
      </c>
      <c r="K104" s="478"/>
      <c r="L104" s="540">
        <f t="shared" si="26"/>
        <v>10942.760254640152</v>
      </c>
      <c r="M104" s="541">
        <f t="shared" ref="M104:M109" si="28">IF(L104&lt;&gt;0,+H104-L104,0)</f>
        <v>0</v>
      </c>
      <c r="N104" s="540">
        <f t="shared" si="27"/>
        <v>10942.760254640152</v>
      </c>
      <c r="O104" s="478">
        <f t="shared" ref="O104:O109" si="29">IF(N104&lt;&gt;0,+I104-N104,0)</f>
        <v>0</v>
      </c>
      <c r="P104" s="478">
        <f t="shared" ref="P104:P109" si="30">+O104-M104</f>
        <v>0</v>
      </c>
    </row>
    <row r="105" spans="1:16" ht="12.5">
      <c r="B105" s="160" t="str">
        <f t="shared" si="25"/>
        <v/>
      </c>
      <c r="C105" s="472">
        <f>IF(D93="","-",+C104+1)</f>
        <v>2013</v>
      </c>
      <c r="D105" s="473">
        <v>65673</v>
      </c>
      <c r="E105" s="480">
        <v>1395</v>
      </c>
      <c r="F105" s="479">
        <v>64278</v>
      </c>
      <c r="G105" s="479">
        <v>64975.5</v>
      </c>
      <c r="H105" s="480">
        <v>10747.547086020993</v>
      </c>
      <c r="I105" s="481">
        <v>10747.547086020993</v>
      </c>
      <c r="J105" s="478">
        <v>0</v>
      </c>
      <c r="K105" s="478"/>
      <c r="L105" s="540">
        <f t="shared" si="26"/>
        <v>10747.547086020993</v>
      </c>
      <c r="M105" s="541">
        <f t="shared" si="28"/>
        <v>0</v>
      </c>
      <c r="N105" s="540">
        <f t="shared" si="27"/>
        <v>10747.547086020993</v>
      </c>
      <c r="O105" s="478">
        <f t="shared" si="29"/>
        <v>0</v>
      </c>
      <c r="P105" s="478">
        <f t="shared" si="30"/>
        <v>0</v>
      </c>
    </row>
    <row r="106" spans="1:16" ht="12.5">
      <c r="B106" s="160" t="str">
        <f t="shared" si="25"/>
        <v/>
      </c>
      <c r="C106" s="472">
        <f>IF(D93="","-",+C105+1)</f>
        <v>2014</v>
      </c>
      <c r="D106" s="473">
        <v>64278</v>
      </c>
      <c r="E106" s="480">
        <v>1395</v>
      </c>
      <c r="F106" s="479">
        <v>62883</v>
      </c>
      <c r="G106" s="479">
        <v>63580.5</v>
      </c>
      <c r="H106" s="480">
        <v>10334.158398344916</v>
      </c>
      <c r="I106" s="481">
        <v>10334.158398344916</v>
      </c>
      <c r="J106" s="478">
        <v>0</v>
      </c>
      <c r="K106" s="478"/>
      <c r="L106" s="540">
        <f t="shared" si="26"/>
        <v>10334.158398344916</v>
      </c>
      <c r="M106" s="541">
        <f t="shared" si="28"/>
        <v>0</v>
      </c>
      <c r="N106" s="540">
        <f t="shared" si="27"/>
        <v>10334.158398344916</v>
      </c>
      <c r="O106" s="478">
        <f t="shared" si="29"/>
        <v>0</v>
      </c>
      <c r="P106" s="478">
        <f t="shared" si="30"/>
        <v>0</v>
      </c>
    </row>
    <row r="107" spans="1:16" ht="12.5">
      <c r="B107" s="160" t="str">
        <f t="shared" si="25"/>
        <v/>
      </c>
      <c r="C107" s="472">
        <f>IF(D93="","-",+C106+1)</f>
        <v>2015</v>
      </c>
      <c r="D107" s="473">
        <v>62883</v>
      </c>
      <c r="E107" s="480">
        <v>1395</v>
      </c>
      <c r="F107" s="479">
        <v>61488</v>
      </c>
      <c r="G107" s="479">
        <v>62185.5</v>
      </c>
      <c r="H107" s="480">
        <v>9879.7114789405332</v>
      </c>
      <c r="I107" s="481">
        <v>9879.7114789405332</v>
      </c>
      <c r="J107" s="478">
        <f t="shared" si="21"/>
        <v>0</v>
      </c>
      <c r="K107" s="478"/>
      <c r="L107" s="540">
        <f>H107</f>
        <v>9879.7114789405332</v>
      </c>
      <c r="M107" s="541">
        <f t="shared" si="28"/>
        <v>0</v>
      </c>
      <c r="N107" s="540">
        <f>I107</f>
        <v>9879.7114789405332</v>
      </c>
      <c r="O107" s="478">
        <f t="shared" si="29"/>
        <v>0</v>
      </c>
      <c r="P107" s="478">
        <f t="shared" si="30"/>
        <v>0</v>
      </c>
    </row>
    <row r="108" spans="1:16" ht="12.5">
      <c r="B108" s="160" t="str">
        <f t="shared" si="25"/>
        <v/>
      </c>
      <c r="C108" s="472">
        <f>IF(D93="","-",+C107+1)</f>
        <v>2016</v>
      </c>
      <c r="D108" s="473">
        <v>61488</v>
      </c>
      <c r="E108" s="480">
        <v>1577</v>
      </c>
      <c r="F108" s="479">
        <v>59911</v>
      </c>
      <c r="G108" s="479">
        <v>60699.5</v>
      </c>
      <c r="H108" s="480">
        <v>9402.1214987986186</v>
      </c>
      <c r="I108" s="481">
        <v>9402.1214987986186</v>
      </c>
      <c r="J108" s="478">
        <f t="shared" si="21"/>
        <v>0</v>
      </c>
      <c r="K108" s="478"/>
      <c r="L108" s="540">
        <f>H108</f>
        <v>9402.1214987986186</v>
      </c>
      <c r="M108" s="541">
        <f t="shared" si="28"/>
        <v>0</v>
      </c>
      <c r="N108" s="540">
        <f>I108</f>
        <v>9402.1214987986186</v>
      </c>
      <c r="O108" s="478">
        <f t="shared" si="29"/>
        <v>0</v>
      </c>
      <c r="P108" s="478">
        <f t="shared" si="30"/>
        <v>0</v>
      </c>
    </row>
    <row r="109" spans="1:16" ht="12.5">
      <c r="B109" s="160" t="str">
        <f t="shared" si="25"/>
        <v/>
      </c>
      <c r="C109" s="472">
        <f>IF(D93="","-",+C108+1)</f>
        <v>2017</v>
      </c>
      <c r="D109" s="473">
        <v>59911</v>
      </c>
      <c r="E109" s="480">
        <v>1577</v>
      </c>
      <c r="F109" s="479">
        <v>58334</v>
      </c>
      <c r="G109" s="479">
        <v>59122.5</v>
      </c>
      <c r="H109" s="480">
        <v>9076.8382024367129</v>
      </c>
      <c r="I109" s="481">
        <v>9076.8382024367129</v>
      </c>
      <c r="J109" s="478">
        <f t="shared" si="21"/>
        <v>0</v>
      </c>
      <c r="K109" s="478"/>
      <c r="L109" s="540">
        <f>H109</f>
        <v>9076.8382024367129</v>
      </c>
      <c r="M109" s="541">
        <f t="shared" si="28"/>
        <v>0</v>
      </c>
      <c r="N109" s="540">
        <f>I109</f>
        <v>9076.8382024367129</v>
      </c>
      <c r="O109" s="478">
        <f t="shared" si="29"/>
        <v>0</v>
      </c>
      <c r="P109" s="478">
        <f t="shared" si="30"/>
        <v>0</v>
      </c>
    </row>
    <row r="110" spans="1:16" ht="12.5">
      <c r="B110" s="160" t="str">
        <f t="shared" si="25"/>
        <v/>
      </c>
      <c r="C110" s="472">
        <f>IF(D93="","-",+C109+1)</f>
        <v>2018</v>
      </c>
      <c r="D110" s="473">
        <v>58334</v>
      </c>
      <c r="E110" s="480">
        <v>1687</v>
      </c>
      <c r="F110" s="479">
        <v>56647</v>
      </c>
      <c r="G110" s="479">
        <v>57490.5</v>
      </c>
      <c r="H110" s="480">
        <v>7593.3191046629281</v>
      </c>
      <c r="I110" s="481">
        <v>7593.3191046629281</v>
      </c>
      <c r="J110" s="478">
        <f t="shared" si="21"/>
        <v>0</v>
      </c>
      <c r="K110" s="478"/>
      <c r="L110" s="540">
        <f>H110</f>
        <v>7593.3191046629281</v>
      </c>
      <c r="M110" s="541">
        <f t="shared" ref="M110" si="31">IF(L110&lt;&gt;0,+H110-L110,0)</f>
        <v>0</v>
      </c>
      <c r="N110" s="540">
        <f>I110</f>
        <v>7593.3191046629281</v>
      </c>
      <c r="O110" s="478">
        <f t="shared" ref="O110" si="32">IF(N110&lt;&gt;0,+I110-N110,0)</f>
        <v>0</v>
      </c>
      <c r="P110" s="478">
        <f t="shared" ref="P110" si="33">+O110-M110</f>
        <v>0</v>
      </c>
    </row>
    <row r="111" spans="1:16" ht="12.5">
      <c r="B111" s="160" t="str">
        <f t="shared" si="25"/>
        <v/>
      </c>
      <c r="C111" s="472">
        <f>IF(D93="","-",+C110+1)</f>
        <v>2019</v>
      </c>
      <c r="D111" s="346">
        <f>IF(F110+SUM(E$99:E110)=D$92,F110,D$92-SUM(E$99:E110))</f>
        <v>56647</v>
      </c>
      <c r="E111" s="486">
        <f>IF(+J96&lt;F110,J96,D111)</f>
        <v>1770</v>
      </c>
      <c r="F111" s="485">
        <f t="shared" ref="F111:F154" si="34">+D111-E111</f>
        <v>54877</v>
      </c>
      <c r="G111" s="485">
        <f t="shared" ref="G111:G154" si="35">+(F111+D111)/2</f>
        <v>55762</v>
      </c>
      <c r="H111" s="488">
        <f t="shared" ref="H111:H154" si="36">+J$94*G111+E111</f>
        <v>7519.8443223081076</v>
      </c>
      <c r="I111" s="542">
        <f t="shared" ref="I111:I154" si="37">+J$95*G111+E111</f>
        <v>7519.8443223081076</v>
      </c>
      <c r="J111" s="478">
        <f t="shared" si="21"/>
        <v>0</v>
      </c>
      <c r="K111" s="478"/>
      <c r="L111" s="487"/>
      <c r="M111" s="478">
        <f t="shared" si="22"/>
        <v>0</v>
      </c>
      <c r="N111" s="487"/>
      <c r="O111" s="478">
        <f t="shared" si="23"/>
        <v>0</v>
      </c>
      <c r="P111" s="478">
        <f t="shared" si="24"/>
        <v>0</v>
      </c>
    </row>
    <row r="112" spans="1:16" ht="12.5">
      <c r="B112" s="160" t="str">
        <f t="shared" si="25"/>
        <v/>
      </c>
      <c r="C112" s="472">
        <f>IF(D93="","-",+C111+1)</f>
        <v>2020</v>
      </c>
      <c r="D112" s="346">
        <f>IF(F111+SUM(E$99:E111)=D$92,F111,D$92-SUM(E$99:E111))</f>
        <v>54877</v>
      </c>
      <c r="E112" s="486">
        <f>IF(+J96&lt;F111,J96,D112)</f>
        <v>1770</v>
      </c>
      <c r="F112" s="485">
        <f t="shared" si="34"/>
        <v>53107</v>
      </c>
      <c r="G112" s="485">
        <f t="shared" si="35"/>
        <v>53992</v>
      </c>
      <c r="H112" s="488">
        <f t="shared" si="36"/>
        <v>7337.3324961453918</v>
      </c>
      <c r="I112" s="542">
        <f t="shared" si="37"/>
        <v>7337.3324961453918</v>
      </c>
      <c r="J112" s="478">
        <f t="shared" si="21"/>
        <v>0</v>
      </c>
      <c r="K112" s="478"/>
      <c r="L112" s="487"/>
      <c r="M112" s="478">
        <f t="shared" si="22"/>
        <v>0</v>
      </c>
      <c r="N112" s="487"/>
      <c r="O112" s="478">
        <f t="shared" si="23"/>
        <v>0</v>
      </c>
      <c r="P112" s="478">
        <f t="shared" si="24"/>
        <v>0</v>
      </c>
    </row>
    <row r="113" spans="2:16" ht="12.5">
      <c r="B113" s="160" t="str">
        <f t="shared" si="25"/>
        <v/>
      </c>
      <c r="C113" s="472">
        <f>IF(D93="","-",+C112+1)</f>
        <v>2021</v>
      </c>
      <c r="D113" s="346">
        <f>IF(F112+SUM(E$99:E112)=D$92,F112,D$92-SUM(E$99:E112))</f>
        <v>53107</v>
      </c>
      <c r="E113" s="486">
        <f>IF(+J96&lt;F112,J96,D113)</f>
        <v>1770</v>
      </c>
      <c r="F113" s="485">
        <f t="shared" si="34"/>
        <v>51337</v>
      </c>
      <c r="G113" s="485">
        <f t="shared" si="35"/>
        <v>52222</v>
      </c>
      <c r="H113" s="488">
        <f t="shared" si="36"/>
        <v>7154.8206699826769</v>
      </c>
      <c r="I113" s="542">
        <f t="shared" si="37"/>
        <v>7154.8206699826769</v>
      </c>
      <c r="J113" s="478">
        <f t="shared" si="21"/>
        <v>0</v>
      </c>
      <c r="K113" s="478"/>
      <c r="L113" s="487"/>
      <c r="M113" s="478">
        <f t="shared" si="22"/>
        <v>0</v>
      </c>
      <c r="N113" s="487"/>
      <c r="O113" s="478">
        <f t="shared" si="23"/>
        <v>0</v>
      </c>
      <c r="P113" s="478">
        <f t="shared" si="24"/>
        <v>0</v>
      </c>
    </row>
    <row r="114" spans="2:16" ht="12.5">
      <c r="B114" s="160" t="str">
        <f t="shared" si="25"/>
        <v/>
      </c>
      <c r="C114" s="472">
        <f>IF(D93="","-",+C113+1)</f>
        <v>2022</v>
      </c>
      <c r="D114" s="346">
        <f>IF(F113+SUM(E$99:E113)=D$92,F113,D$92-SUM(E$99:E113))</f>
        <v>51337</v>
      </c>
      <c r="E114" s="486">
        <f>IF(+J96&lt;F113,J96,D114)</f>
        <v>1770</v>
      </c>
      <c r="F114" s="485">
        <f t="shared" si="34"/>
        <v>49567</v>
      </c>
      <c r="G114" s="485">
        <f t="shared" si="35"/>
        <v>50452</v>
      </c>
      <c r="H114" s="488">
        <f t="shared" si="36"/>
        <v>6972.3088438199611</v>
      </c>
      <c r="I114" s="542">
        <f t="shared" si="37"/>
        <v>6972.3088438199611</v>
      </c>
      <c r="J114" s="478">
        <f t="shared" si="21"/>
        <v>0</v>
      </c>
      <c r="K114" s="478"/>
      <c r="L114" s="487"/>
      <c r="M114" s="478">
        <f t="shared" si="22"/>
        <v>0</v>
      </c>
      <c r="N114" s="487"/>
      <c r="O114" s="478">
        <f t="shared" si="23"/>
        <v>0</v>
      </c>
      <c r="P114" s="478">
        <f t="shared" si="24"/>
        <v>0</v>
      </c>
    </row>
    <row r="115" spans="2:16" ht="12.5">
      <c r="B115" s="160" t="str">
        <f t="shared" si="25"/>
        <v/>
      </c>
      <c r="C115" s="472">
        <f>IF(D93="","-",+C114+1)</f>
        <v>2023</v>
      </c>
      <c r="D115" s="346">
        <f>IF(F114+SUM(E$99:E114)=D$92,F114,D$92-SUM(E$99:E114))</f>
        <v>49567</v>
      </c>
      <c r="E115" s="486">
        <f>IF(+J96&lt;F114,J96,D115)</f>
        <v>1770</v>
      </c>
      <c r="F115" s="485">
        <f t="shared" si="34"/>
        <v>47797</v>
      </c>
      <c r="G115" s="485">
        <f t="shared" si="35"/>
        <v>48682</v>
      </c>
      <c r="H115" s="488">
        <f t="shared" si="36"/>
        <v>6789.7970176572453</v>
      </c>
      <c r="I115" s="542">
        <f t="shared" si="37"/>
        <v>6789.7970176572453</v>
      </c>
      <c r="J115" s="478">
        <f t="shared" si="21"/>
        <v>0</v>
      </c>
      <c r="K115" s="478"/>
      <c r="L115" s="487"/>
      <c r="M115" s="478">
        <f t="shared" si="22"/>
        <v>0</v>
      </c>
      <c r="N115" s="487"/>
      <c r="O115" s="478">
        <f t="shared" si="23"/>
        <v>0</v>
      </c>
      <c r="P115" s="478">
        <f t="shared" si="24"/>
        <v>0</v>
      </c>
    </row>
    <row r="116" spans="2:16" ht="12.5">
      <c r="B116" s="160" t="str">
        <f t="shared" si="25"/>
        <v/>
      </c>
      <c r="C116" s="472">
        <f>IF(D93="","-",+C115+1)</f>
        <v>2024</v>
      </c>
      <c r="D116" s="346">
        <f>IF(F115+SUM(E$99:E115)=D$92,F115,D$92-SUM(E$99:E115))</f>
        <v>47797</v>
      </c>
      <c r="E116" s="486">
        <f>IF(+J96&lt;F115,J96,D116)</f>
        <v>1770</v>
      </c>
      <c r="F116" s="485">
        <f t="shared" si="34"/>
        <v>46027</v>
      </c>
      <c r="G116" s="485">
        <f t="shared" si="35"/>
        <v>46912</v>
      </c>
      <c r="H116" s="488">
        <f t="shared" si="36"/>
        <v>6607.2851914945295</v>
      </c>
      <c r="I116" s="542">
        <f t="shared" si="37"/>
        <v>6607.2851914945295</v>
      </c>
      <c r="J116" s="478">
        <f t="shared" si="21"/>
        <v>0</v>
      </c>
      <c r="K116" s="478"/>
      <c r="L116" s="487"/>
      <c r="M116" s="478">
        <f t="shared" si="22"/>
        <v>0</v>
      </c>
      <c r="N116" s="487"/>
      <c r="O116" s="478">
        <f t="shared" si="23"/>
        <v>0</v>
      </c>
      <c r="P116" s="478">
        <f t="shared" si="24"/>
        <v>0</v>
      </c>
    </row>
    <row r="117" spans="2:16" ht="12.5">
      <c r="B117" s="160" t="str">
        <f t="shared" si="25"/>
        <v/>
      </c>
      <c r="C117" s="472">
        <f>IF(D93="","-",+C116+1)</f>
        <v>2025</v>
      </c>
      <c r="D117" s="346">
        <f>IF(F116+SUM(E$99:E116)=D$92,F116,D$92-SUM(E$99:E116))</f>
        <v>46027</v>
      </c>
      <c r="E117" s="486">
        <f>IF(+J96&lt;F116,J96,D117)</f>
        <v>1770</v>
      </c>
      <c r="F117" s="485">
        <f t="shared" si="34"/>
        <v>44257</v>
      </c>
      <c r="G117" s="485">
        <f t="shared" si="35"/>
        <v>45142</v>
      </c>
      <c r="H117" s="488">
        <f t="shared" si="36"/>
        <v>6424.7733653318137</v>
      </c>
      <c r="I117" s="542">
        <f t="shared" si="37"/>
        <v>6424.7733653318137</v>
      </c>
      <c r="J117" s="478">
        <f t="shared" si="21"/>
        <v>0</v>
      </c>
      <c r="K117" s="478"/>
      <c r="L117" s="487"/>
      <c r="M117" s="478">
        <f t="shared" si="22"/>
        <v>0</v>
      </c>
      <c r="N117" s="487"/>
      <c r="O117" s="478">
        <f t="shared" si="23"/>
        <v>0</v>
      </c>
      <c r="P117" s="478">
        <f t="shared" si="24"/>
        <v>0</v>
      </c>
    </row>
    <row r="118" spans="2:16" ht="12.5">
      <c r="B118" s="160" t="str">
        <f t="shared" si="25"/>
        <v/>
      </c>
      <c r="C118" s="472">
        <f>IF(D93="","-",+C117+1)</f>
        <v>2026</v>
      </c>
      <c r="D118" s="346">
        <f>IF(F117+SUM(E$99:E117)=D$92,F117,D$92-SUM(E$99:E117))</f>
        <v>44257</v>
      </c>
      <c r="E118" s="486">
        <f>IF(+J96&lt;F117,J96,D118)</f>
        <v>1770</v>
      </c>
      <c r="F118" s="485">
        <f t="shared" si="34"/>
        <v>42487</v>
      </c>
      <c r="G118" s="485">
        <f t="shared" si="35"/>
        <v>43372</v>
      </c>
      <c r="H118" s="488">
        <f t="shared" si="36"/>
        <v>6242.2615391690979</v>
      </c>
      <c r="I118" s="542">
        <f t="shared" si="37"/>
        <v>6242.2615391690979</v>
      </c>
      <c r="J118" s="478">
        <f t="shared" si="21"/>
        <v>0</v>
      </c>
      <c r="K118" s="478"/>
      <c r="L118" s="487"/>
      <c r="M118" s="478">
        <f t="shared" si="22"/>
        <v>0</v>
      </c>
      <c r="N118" s="487"/>
      <c r="O118" s="478">
        <f t="shared" si="23"/>
        <v>0</v>
      </c>
      <c r="P118" s="478">
        <f t="shared" si="24"/>
        <v>0</v>
      </c>
    </row>
    <row r="119" spans="2:16" ht="12.5">
      <c r="B119" s="160" t="str">
        <f t="shared" si="25"/>
        <v/>
      </c>
      <c r="C119" s="472">
        <f>IF(D93="","-",+C118+1)</f>
        <v>2027</v>
      </c>
      <c r="D119" s="346">
        <f>IF(F118+SUM(E$99:E118)=D$92,F118,D$92-SUM(E$99:E118))</f>
        <v>42487</v>
      </c>
      <c r="E119" s="486">
        <f>IF(+J96&lt;F118,J96,D119)</f>
        <v>1770</v>
      </c>
      <c r="F119" s="485">
        <f t="shared" si="34"/>
        <v>40717</v>
      </c>
      <c r="G119" s="485">
        <f t="shared" si="35"/>
        <v>41602</v>
      </c>
      <c r="H119" s="488">
        <f t="shared" si="36"/>
        <v>6059.749713006383</v>
      </c>
      <c r="I119" s="542">
        <f t="shared" si="37"/>
        <v>6059.749713006383</v>
      </c>
      <c r="J119" s="478">
        <f t="shared" si="21"/>
        <v>0</v>
      </c>
      <c r="K119" s="478"/>
      <c r="L119" s="487"/>
      <c r="M119" s="478">
        <f t="shared" si="22"/>
        <v>0</v>
      </c>
      <c r="N119" s="487"/>
      <c r="O119" s="478">
        <f t="shared" si="23"/>
        <v>0</v>
      </c>
      <c r="P119" s="478">
        <f t="shared" si="24"/>
        <v>0</v>
      </c>
    </row>
    <row r="120" spans="2:16" ht="12.5">
      <c r="B120" s="160" t="str">
        <f t="shared" si="25"/>
        <v/>
      </c>
      <c r="C120" s="472">
        <f>IF(D93="","-",+C119+1)</f>
        <v>2028</v>
      </c>
      <c r="D120" s="346">
        <f>IF(F119+SUM(E$99:E119)=D$92,F119,D$92-SUM(E$99:E119))</f>
        <v>40717</v>
      </c>
      <c r="E120" s="486">
        <f>IF(+J96&lt;F119,J96,D120)</f>
        <v>1770</v>
      </c>
      <c r="F120" s="485">
        <f t="shared" si="34"/>
        <v>38947</v>
      </c>
      <c r="G120" s="485">
        <f t="shared" si="35"/>
        <v>39832</v>
      </c>
      <c r="H120" s="488">
        <f t="shared" si="36"/>
        <v>5877.2378868436672</v>
      </c>
      <c r="I120" s="542">
        <f t="shared" si="37"/>
        <v>5877.2378868436672</v>
      </c>
      <c r="J120" s="478">
        <f t="shared" si="21"/>
        <v>0</v>
      </c>
      <c r="K120" s="478"/>
      <c r="L120" s="487"/>
      <c r="M120" s="478">
        <f t="shared" si="22"/>
        <v>0</v>
      </c>
      <c r="N120" s="487"/>
      <c r="O120" s="478">
        <f t="shared" si="23"/>
        <v>0</v>
      </c>
      <c r="P120" s="478">
        <f t="shared" si="24"/>
        <v>0</v>
      </c>
    </row>
    <row r="121" spans="2:16" ht="12.5">
      <c r="B121" s="160" t="str">
        <f t="shared" si="25"/>
        <v/>
      </c>
      <c r="C121" s="472">
        <f>IF(D93="","-",+C120+1)</f>
        <v>2029</v>
      </c>
      <c r="D121" s="346">
        <f>IF(F120+SUM(E$99:E120)=D$92,F120,D$92-SUM(E$99:E120))</f>
        <v>38947</v>
      </c>
      <c r="E121" s="486">
        <f>IF(+J96&lt;F120,J96,D121)</f>
        <v>1770</v>
      </c>
      <c r="F121" s="485">
        <f t="shared" si="34"/>
        <v>37177</v>
      </c>
      <c r="G121" s="485">
        <f t="shared" si="35"/>
        <v>38062</v>
      </c>
      <c r="H121" s="488">
        <f t="shared" si="36"/>
        <v>5694.7260606809514</v>
      </c>
      <c r="I121" s="542">
        <f t="shared" si="37"/>
        <v>5694.7260606809514</v>
      </c>
      <c r="J121" s="478">
        <f t="shared" si="21"/>
        <v>0</v>
      </c>
      <c r="K121" s="478"/>
      <c r="L121" s="487"/>
      <c r="M121" s="478">
        <f t="shared" si="22"/>
        <v>0</v>
      </c>
      <c r="N121" s="487"/>
      <c r="O121" s="478">
        <f t="shared" si="23"/>
        <v>0</v>
      </c>
      <c r="P121" s="478">
        <f t="shared" si="24"/>
        <v>0</v>
      </c>
    </row>
    <row r="122" spans="2:16" ht="12.5">
      <c r="B122" s="160" t="str">
        <f t="shared" si="25"/>
        <v/>
      </c>
      <c r="C122" s="472">
        <f>IF(D93="","-",+C121+1)</f>
        <v>2030</v>
      </c>
      <c r="D122" s="346">
        <f>IF(F121+SUM(E$99:E121)=D$92,F121,D$92-SUM(E$99:E121))</f>
        <v>37177</v>
      </c>
      <c r="E122" s="486">
        <f>IF(+J96&lt;F121,J96,D122)</f>
        <v>1770</v>
      </c>
      <c r="F122" s="485">
        <f t="shared" si="34"/>
        <v>35407</v>
      </c>
      <c r="G122" s="485">
        <f t="shared" si="35"/>
        <v>36292</v>
      </c>
      <c r="H122" s="488">
        <f t="shared" si="36"/>
        <v>5512.2142345182356</v>
      </c>
      <c r="I122" s="542">
        <f t="shared" si="37"/>
        <v>5512.2142345182356</v>
      </c>
      <c r="J122" s="478">
        <f t="shared" si="21"/>
        <v>0</v>
      </c>
      <c r="K122" s="478"/>
      <c r="L122" s="487"/>
      <c r="M122" s="478">
        <f t="shared" si="22"/>
        <v>0</v>
      </c>
      <c r="N122" s="487"/>
      <c r="O122" s="478">
        <f t="shared" si="23"/>
        <v>0</v>
      </c>
      <c r="P122" s="478">
        <f t="shared" si="24"/>
        <v>0</v>
      </c>
    </row>
    <row r="123" spans="2:16" ht="12.5">
      <c r="B123" s="160" t="str">
        <f t="shared" si="25"/>
        <v/>
      </c>
      <c r="C123" s="472">
        <f>IF(D93="","-",+C122+1)</f>
        <v>2031</v>
      </c>
      <c r="D123" s="346">
        <f>IF(F122+SUM(E$99:E122)=D$92,F122,D$92-SUM(E$99:E122))</f>
        <v>35407</v>
      </c>
      <c r="E123" s="486">
        <f>IF(+J96&lt;F122,J96,D123)</f>
        <v>1770</v>
      </c>
      <c r="F123" s="485">
        <f t="shared" si="34"/>
        <v>33637</v>
      </c>
      <c r="G123" s="485">
        <f t="shared" si="35"/>
        <v>34522</v>
      </c>
      <c r="H123" s="488">
        <f t="shared" si="36"/>
        <v>5329.7024083555198</v>
      </c>
      <c r="I123" s="542">
        <f t="shared" si="37"/>
        <v>5329.7024083555198</v>
      </c>
      <c r="J123" s="478">
        <f t="shared" si="21"/>
        <v>0</v>
      </c>
      <c r="K123" s="478"/>
      <c r="L123" s="487"/>
      <c r="M123" s="478">
        <f t="shared" si="22"/>
        <v>0</v>
      </c>
      <c r="N123" s="487"/>
      <c r="O123" s="478">
        <f t="shared" si="23"/>
        <v>0</v>
      </c>
      <c r="P123" s="478">
        <f t="shared" si="24"/>
        <v>0</v>
      </c>
    </row>
    <row r="124" spans="2:16" ht="12.5">
      <c r="B124" s="160" t="str">
        <f t="shared" si="25"/>
        <v/>
      </c>
      <c r="C124" s="472">
        <f>IF(D93="","-",+C123+1)</f>
        <v>2032</v>
      </c>
      <c r="D124" s="346">
        <f>IF(F123+SUM(E$99:E123)=D$92,F123,D$92-SUM(E$99:E123))</f>
        <v>33637</v>
      </c>
      <c r="E124" s="486">
        <f>IF(+J96&lt;F123,J96,D124)</f>
        <v>1770</v>
      </c>
      <c r="F124" s="485">
        <f t="shared" si="34"/>
        <v>31867</v>
      </c>
      <c r="G124" s="485">
        <f t="shared" si="35"/>
        <v>32752</v>
      </c>
      <c r="H124" s="488">
        <f t="shared" si="36"/>
        <v>5147.1905821928049</v>
      </c>
      <c r="I124" s="542">
        <f t="shared" si="37"/>
        <v>5147.1905821928049</v>
      </c>
      <c r="J124" s="478">
        <f t="shared" si="21"/>
        <v>0</v>
      </c>
      <c r="K124" s="478"/>
      <c r="L124" s="487"/>
      <c r="M124" s="478">
        <f t="shared" si="22"/>
        <v>0</v>
      </c>
      <c r="N124" s="487"/>
      <c r="O124" s="478">
        <f t="shared" si="23"/>
        <v>0</v>
      </c>
      <c r="P124" s="478">
        <f t="shared" si="24"/>
        <v>0</v>
      </c>
    </row>
    <row r="125" spans="2:16" ht="12.5">
      <c r="B125" s="160" t="str">
        <f t="shared" si="25"/>
        <v/>
      </c>
      <c r="C125" s="472">
        <f>IF(D93="","-",+C124+1)</f>
        <v>2033</v>
      </c>
      <c r="D125" s="346">
        <f>IF(F124+SUM(E$99:E124)=D$92,F124,D$92-SUM(E$99:E124))</f>
        <v>31867</v>
      </c>
      <c r="E125" s="486">
        <f>IF(+J96&lt;F124,J96,D125)</f>
        <v>1770</v>
      </c>
      <c r="F125" s="485">
        <f t="shared" si="34"/>
        <v>30097</v>
      </c>
      <c r="G125" s="485">
        <f t="shared" si="35"/>
        <v>30982</v>
      </c>
      <c r="H125" s="488">
        <f t="shared" si="36"/>
        <v>4964.6787560300891</v>
      </c>
      <c r="I125" s="542">
        <f t="shared" si="37"/>
        <v>4964.6787560300891</v>
      </c>
      <c r="J125" s="478">
        <f t="shared" si="21"/>
        <v>0</v>
      </c>
      <c r="K125" s="478"/>
      <c r="L125" s="487"/>
      <c r="M125" s="478">
        <f t="shared" si="22"/>
        <v>0</v>
      </c>
      <c r="N125" s="487"/>
      <c r="O125" s="478">
        <f t="shared" si="23"/>
        <v>0</v>
      </c>
      <c r="P125" s="478">
        <f t="shared" si="24"/>
        <v>0</v>
      </c>
    </row>
    <row r="126" spans="2:16" ht="12.5">
      <c r="B126" s="160" t="str">
        <f t="shared" si="25"/>
        <v/>
      </c>
      <c r="C126" s="472">
        <f>IF(D93="","-",+C125+1)</f>
        <v>2034</v>
      </c>
      <c r="D126" s="346">
        <f>IF(F125+SUM(E$99:E125)=D$92,F125,D$92-SUM(E$99:E125))</f>
        <v>30097</v>
      </c>
      <c r="E126" s="486">
        <f>IF(+J96&lt;F125,J96,D126)</f>
        <v>1770</v>
      </c>
      <c r="F126" s="485">
        <f t="shared" si="34"/>
        <v>28327</v>
      </c>
      <c r="G126" s="485">
        <f t="shared" si="35"/>
        <v>29212</v>
      </c>
      <c r="H126" s="488">
        <f t="shared" si="36"/>
        <v>4782.1669298673733</v>
      </c>
      <c r="I126" s="542">
        <f t="shared" si="37"/>
        <v>4782.1669298673733</v>
      </c>
      <c r="J126" s="478">
        <f t="shared" si="21"/>
        <v>0</v>
      </c>
      <c r="K126" s="478"/>
      <c r="L126" s="487"/>
      <c r="M126" s="478">
        <f t="shared" si="22"/>
        <v>0</v>
      </c>
      <c r="N126" s="487"/>
      <c r="O126" s="478">
        <f t="shared" si="23"/>
        <v>0</v>
      </c>
      <c r="P126" s="478">
        <f t="shared" si="24"/>
        <v>0</v>
      </c>
    </row>
    <row r="127" spans="2:16" ht="12.5">
      <c r="B127" s="160" t="str">
        <f t="shared" si="25"/>
        <v/>
      </c>
      <c r="C127" s="472">
        <f>IF(D93="","-",+C126+1)</f>
        <v>2035</v>
      </c>
      <c r="D127" s="346">
        <f>IF(F126+SUM(E$99:E126)=D$92,F126,D$92-SUM(E$99:E126))</f>
        <v>28327</v>
      </c>
      <c r="E127" s="486">
        <f>IF(+J96&lt;F126,J96,D127)</f>
        <v>1770</v>
      </c>
      <c r="F127" s="485">
        <f t="shared" si="34"/>
        <v>26557</v>
      </c>
      <c r="G127" s="485">
        <f t="shared" si="35"/>
        <v>27442</v>
      </c>
      <c r="H127" s="488">
        <f t="shared" si="36"/>
        <v>4599.6551037046574</v>
      </c>
      <c r="I127" s="542">
        <f t="shared" si="37"/>
        <v>4599.6551037046574</v>
      </c>
      <c r="J127" s="478">
        <f t="shared" si="21"/>
        <v>0</v>
      </c>
      <c r="K127" s="478"/>
      <c r="L127" s="487"/>
      <c r="M127" s="478">
        <f t="shared" si="22"/>
        <v>0</v>
      </c>
      <c r="N127" s="487"/>
      <c r="O127" s="478">
        <f t="shared" si="23"/>
        <v>0</v>
      </c>
      <c r="P127" s="478">
        <f t="shared" si="24"/>
        <v>0</v>
      </c>
    </row>
    <row r="128" spans="2:16" ht="12.5">
      <c r="B128" s="160" t="str">
        <f t="shared" si="25"/>
        <v/>
      </c>
      <c r="C128" s="472">
        <f>IF(D93="","-",+C127+1)</f>
        <v>2036</v>
      </c>
      <c r="D128" s="346">
        <f>IF(F127+SUM(E$99:E127)=D$92,F127,D$92-SUM(E$99:E127))</f>
        <v>26557</v>
      </c>
      <c r="E128" s="486">
        <f>IF(+J96&lt;F127,J96,D128)</f>
        <v>1770</v>
      </c>
      <c r="F128" s="485">
        <f t="shared" si="34"/>
        <v>24787</v>
      </c>
      <c r="G128" s="485">
        <f t="shared" si="35"/>
        <v>25672</v>
      </c>
      <c r="H128" s="488">
        <f t="shared" si="36"/>
        <v>4417.1432775419416</v>
      </c>
      <c r="I128" s="542">
        <f t="shared" si="37"/>
        <v>4417.1432775419416</v>
      </c>
      <c r="J128" s="478">
        <f t="shared" si="21"/>
        <v>0</v>
      </c>
      <c r="K128" s="478"/>
      <c r="L128" s="487"/>
      <c r="M128" s="478">
        <f t="shared" si="22"/>
        <v>0</v>
      </c>
      <c r="N128" s="487"/>
      <c r="O128" s="478">
        <f t="shared" si="23"/>
        <v>0</v>
      </c>
      <c r="P128" s="478">
        <f t="shared" si="24"/>
        <v>0</v>
      </c>
    </row>
    <row r="129" spans="2:16" ht="12.5">
      <c r="B129" s="160" t="str">
        <f t="shared" si="25"/>
        <v/>
      </c>
      <c r="C129" s="472">
        <f>IF(D93="","-",+C128+1)</f>
        <v>2037</v>
      </c>
      <c r="D129" s="346">
        <f>IF(F128+SUM(E$99:E128)=D$92,F128,D$92-SUM(E$99:E128))</f>
        <v>24787</v>
      </c>
      <c r="E129" s="486">
        <f>IF(+J96&lt;F128,J96,D129)</f>
        <v>1770</v>
      </c>
      <c r="F129" s="485">
        <f t="shared" si="34"/>
        <v>23017</v>
      </c>
      <c r="G129" s="485">
        <f t="shared" si="35"/>
        <v>23902</v>
      </c>
      <c r="H129" s="488">
        <f t="shared" si="36"/>
        <v>4234.6314513792258</v>
      </c>
      <c r="I129" s="542">
        <f t="shared" si="37"/>
        <v>4234.6314513792258</v>
      </c>
      <c r="J129" s="478">
        <f t="shared" si="21"/>
        <v>0</v>
      </c>
      <c r="K129" s="478"/>
      <c r="L129" s="487"/>
      <c r="M129" s="478">
        <f t="shared" si="22"/>
        <v>0</v>
      </c>
      <c r="N129" s="487"/>
      <c r="O129" s="478">
        <f t="shared" si="23"/>
        <v>0</v>
      </c>
      <c r="P129" s="478">
        <f t="shared" si="24"/>
        <v>0</v>
      </c>
    </row>
    <row r="130" spans="2:16" ht="12.5">
      <c r="B130" s="160" t="str">
        <f t="shared" si="25"/>
        <v/>
      </c>
      <c r="C130" s="472">
        <f>IF(D93="","-",+C129+1)</f>
        <v>2038</v>
      </c>
      <c r="D130" s="346">
        <f>IF(F129+SUM(E$99:E129)=D$92,F129,D$92-SUM(E$99:E129))</f>
        <v>23017</v>
      </c>
      <c r="E130" s="486">
        <f>IF(+J96&lt;F129,J96,D130)</f>
        <v>1770</v>
      </c>
      <c r="F130" s="485">
        <f t="shared" si="34"/>
        <v>21247</v>
      </c>
      <c r="G130" s="485">
        <f t="shared" si="35"/>
        <v>22132</v>
      </c>
      <c r="H130" s="488">
        <f t="shared" si="36"/>
        <v>4052.11962521651</v>
      </c>
      <c r="I130" s="542">
        <f t="shared" si="37"/>
        <v>4052.11962521651</v>
      </c>
      <c r="J130" s="478">
        <f t="shared" si="21"/>
        <v>0</v>
      </c>
      <c r="K130" s="478"/>
      <c r="L130" s="487"/>
      <c r="M130" s="478">
        <f t="shared" si="22"/>
        <v>0</v>
      </c>
      <c r="N130" s="487"/>
      <c r="O130" s="478">
        <f t="shared" si="23"/>
        <v>0</v>
      </c>
      <c r="P130" s="478">
        <f t="shared" si="24"/>
        <v>0</v>
      </c>
    </row>
    <row r="131" spans="2:16" ht="12.5">
      <c r="B131" s="160" t="str">
        <f t="shared" si="25"/>
        <v/>
      </c>
      <c r="C131" s="472">
        <f>IF(D93="","-",+C130+1)</f>
        <v>2039</v>
      </c>
      <c r="D131" s="346">
        <f>IF(F130+SUM(E$99:E130)=D$92,F130,D$92-SUM(E$99:E130))</f>
        <v>21247</v>
      </c>
      <c r="E131" s="486">
        <f>IF(+J96&lt;F130,J96,D131)</f>
        <v>1770</v>
      </c>
      <c r="F131" s="485">
        <f t="shared" si="34"/>
        <v>19477</v>
      </c>
      <c r="G131" s="485">
        <f t="shared" si="35"/>
        <v>20362</v>
      </c>
      <c r="H131" s="488">
        <f t="shared" si="36"/>
        <v>3869.6077990537947</v>
      </c>
      <c r="I131" s="542">
        <f t="shared" si="37"/>
        <v>3869.6077990537947</v>
      </c>
      <c r="J131" s="478">
        <f t="shared" ref="J131:J154" si="38">+I541-H541</f>
        <v>0</v>
      </c>
      <c r="K131" s="478"/>
      <c r="L131" s="487"/>
      <c r="M131" s="478">
        <f t="shared" ref="M131:M154" si="39">IF(L541&lt;&gt;0,+H541-L541,0)</f>
        <v>0</v>
      </c>
      <c r="N131" s="487"/>
      <c r="O131" s="478">
        <f t="shared" ref="O131:O154" si="40">IF(N541&lt;&gt;0,+I541-N541,0)</f>
        <v>0</v>
      </c>
      <c r="P131" s="478">
        <f t="shared" ref="P131:P154" si="41">+O541-M541</f>
        <v>0</v>
      </c>
    </row>
    <row r="132" spans="2:16" ht="12.5">
      <c r="B132" s="160" t="str">
        <f t="shared" si="25"/>
        <v/>
      </c>
      <c r="C132" s="472">
        <f>IF(D93="","-",+C131+1)</f>
        <v>2040</v>
      </c>
      <c r="D132" s="346">
        <f>IF(F131+SUM(E$99:E131)=D$92,F131,D$92-SUM(E$99:E131))</f>
        <v>19477</v>
      </c>
      <c r="E132" s="486">
        <f>IF(+J96&lt;F131,J96,D132)</f>
        <v>1770</v>
      </c>
      <c r="F132" s="485">
        <f t="shared" si="34"/>
        <v>17707</v>
      </c>
      <c r="G132" s="485">
        <f t="shared" si="35"/>
        <v>18592</v>
      </c>
      <c r="H132" s="488">
        <f t="shared" si="36"/>
        <v>3687.0959728910789</v>
      </c>
      <c r="I132" s="542">
        <f t="shared" si="37"/>
        <v>3687.0959728910789</v>
      </c>
      <c r="J132" s="478">
        <f t="shared" si="38"/>
        <v>0</v>
      </c>
      <c r="K132" s="478"/>
      <c r="L132" s="487"/>
      <c r="M132" s="478">
        <f t="shared" si="39"/>
        <v>0</v>
      </c>
      <c r="N132" s="487"/>
      <c r="O132" s="478">
        <f t="shared" si="40"/>
        <v>0</v>
      </c>
      <c r="P132" s="478">
        <f t="shared" si="41"/>
        <v>0</v>
      </c>
    </row>
    <row r="133" spans="2:16" ht="12.5">
      <c r="B133" s="160" t="str">
        <f t="shared" si="25"/>
        <v/>
      </c>
      <c r="C133" s="472">
        <f>IF(D93="","-",+C132+1)</f>
        <v>2041</v>
      </c>
      <c r="D133" s="346">
        <f>IF(F132+SUM(E$99:E132)=D$92,F132,D$92-SUM(E$99:E132))</f>
        <v>17707</v>
      </c>
      <c r="E133" s="486">
        <f>IF(+J96&lt;F132,J96,D133)</f>
        <v>1770</v>
      </c>
      <c r="F133" s="485">
        <f t="shared" si="34"/>
        <v>15937</v>
      </c>
      <c r="G133" s="485">
        <f t="shared" si="35"/>
        <v>16822</v>
      </c>
      <c r="H133" s="488">
        <f t="shared" si="36"/>
        <v>3504.5841467283635</v>
      </c>
      <c r="I133" s="542">
        <f t="shared" si="37"/>
        <v>3504.5841467283635</v>
      </c>
      <c r="J133" s="478">
        <f t="shared" si="38"/>
        <v>0</v>
      </c>
      <c r="K133" s="478"/>
      <c r="L133" s="487"/>
      <c r="M133" s="478">
        <f t="shared" si="39"/>
        <v>0</v>
      </c>
      <c r="N133" s="487"/>
      <c r="O133" s="478">
        <f t="shared" si="40"/>
        <v>0</v>
      </c>
      <c r="P133" s="478">
        <f t="shared" si="41"/>
        <v>0</v>
      </c>
    </row>
    <row r="134" spans="2:16" ht="12.5">
      <c r="B134" s="160" t="str">
        <f t="shared" si="25"/>
        <v/>
      </c>
      <c r="C134" s="472">
        <f>IF(D93="","-",+C133+1)</f>
        <v>2042</v>
      </c>
      <c r="D134" s="346">
        <f>IF(F133+SUM(E$99:E133)=D$92,F133,D$92-SUM(E$99:E133))</f>
        <v>15937</v>
      </c>
      <c r="E134" s="486">
        <f>IF(+J96&lt;F133,J96,D134)</f>
        <v>1770</v>
      </c>
      <c r="F134" s="485">
        <f t="shared" si="34"/>
        <v>14167</v>
      </c>
      <c r="G134" s="485">
        <f t="shared" si="35"/>
        <v>15052</v>
      </c>
      <c r="H134" s="488">
        <f t="shared" si="36"/>
        <v>3322.0723205656477</v>
      </c>
      <c r="I134" s="542">
        <f t="shared" si="37"/>
        <v>3322.0723205656477</v>
      </c>
      <c r="J134" s="478">
        <f t="shared" si="38"/>
        <v>0</v>
      </c>
      <c r="K134" s="478"/>
      <c r="L134" s="487"/>
      <c r="M134" s="478">
        <f t="shared" si="39"/>
        <v>0</v>
      </c>
      <c r="N134" s="487"/>
      <c r="O134" s="478">
        <f t="shared" si="40"/>
        <v>0</v>
      </c>
      <c r="P134" s="478">
        <f t="shared" si="41"/>
        <v>0</v>
      </c>
    </row>
    <row r="135" spans="2:16" ht="12.5">
      <c r="B135" s="160" t="str">
        <f t="shared" si="25"/>
        <v/>
      </c>
      <c r="C135" s="472">
        <f>IF(D93="","-",+C134+1)</f>
        <v>2043</v>
      </c>
      <c r="D135" s="346">
        <f>IF(F134+SUM(E$99:E134)=D$92,F134,D$92-SUM(E$99:E134))</f>
        <v>14167</v>
      </c>
      <c r="E135" s="486">
        <f>IF(+J96&lt;F134,J96,D135)</f>
        <v>1770</v>
      </c>
      <c r="F135" s="485">
        <f t="shared" si="34"/>
        <v>12397</v>
      </c>
      <c r="G135" s="485">
        <f t="shared" si="35"/>
        <v>13282</v>
      </c>
      <c r="H135" s="488">
        <f t="shared" si="36"/>
        <v>3139.5604944029319</v>
      </c>
      <c r="I135" s="542">
        <f t="shared" si="37"/>
        <v>3139.5604944029319</v>
      </c>
      <c r="J135" s="478">
        <f t="shared" si="38"/>
        <v>0</v>
      </c>
      <c r="K135" s="478"/>
      <c r="L135" s="487"/>
      <c r="M135" s="478">
        <f t="shared" si="39"/>
        <v>0</v>
      </c>
      <c r="N135" s="487"/>
      <c r="O135" s="478">
        <f t="shared" si="40"/>
        <v>0</v>
      </c>
      <c r="P135" s="478">
        <f t="shared" si="41"/>
        <v>0</v>
      </c>
    </row>
    <row r="136" spans="2:16" ht="12.5">
      <c r="B136" s="160" t="str">
        <f t="shared" si="25"/>
        <v/>
      </c>
      <c r="C136" s="472">
        <f>IF(D93="","-",+C135+1)</f>
        <v>2044</v>
      </c>
      <c r="D136" s="346">
        <f>IF(F135+SUM(E$99:E135)=D$92,F135,D$92-SUM(E$99:E135))</f>
        <v>12397</v>
      </c>
      <c r="E136" s="486">
        <f>IF(+J96&lt;F135,J96,D136)</f>
        <v>1770</v>
      </c>
      <c r="F136" s="485">
        <f t="shared" si="34"/>
        <v>10627</v>
      </c>
      <c r="G136" s="485">
        <f t="shared" si="35"/>
        <v>11512</v>
      </c>
      <c r="H136" s="488">
        <f t="shared" si="36"/>
        <v>2957.0486682402161</v>
      </c>
      <c r="I136" s="542">
        <f t="shared" si="37"/>
        <v>2957.0486682402161</v>
      </c>
      <c r="J136" s="478">
        <f t="shared" si="38"/>
        <v>0</v>
      </c>
      <c r="K136" s="478"/>
      <c r="L136" s="487"/>
      <c r="M136" s="478">
        <f t="shared" si="39"/>
        <v>0</v>
      </c>
      <c r="N136" s="487"/>
      <c r="O136" s="478">
        <f t="shared" si="40"/>
        <v>0</v>
      </c>
      <c r="P136" s="478">
        <f t="shared" si="41"/>
        <v>0</v>
      </c>
    </row>
    <row r="137" spans="2:16" ht="12.5">
      <c r="B137" s="160" t="str">
        <f t="shared" si="25"/>
        <v/>
      </c>
      <c r="C137" s="472">
        <f>IF(D93="","-",+C136+1)</f>
        <v>2045</v>
      </c>
      <c r="D137" s="346">
        <f>IF(F136+SUM(E$99:E136)=D$92,F136,D$92-SUM(E$99:E136))</f>
        <v>10627</v>
      </c>
      <c r="E137" s="486">
        <f>IF(+J96&lt;F136,J96,D137)</f>
        <v>1770</v>
      </c>
      <c r="F137" s="485">
        <f t="shared" si="34"/>
        <v>8857</v>
      </c>
      <c r="G137" s="485">
        <f t="shared" si="35"/>
        <v>9742</v>
      </c>
      <c r="H137" s="488">
        <f t="shared" si="36"/>
        <v>2774.5368420775003</v>
      </c>
      <c r="I137" s="542">
        <f t="shared" si="37"/>
        <v>2774.5368420775003</v>
      </c>
      <c r="J137" s="478">
        <f t="shared" si="38"/>
        <v>0</v>
      </c>
      <c r="K137" s="478"/>
      <c r="L137" s="487"/>
      <c r="M137" s="478">
        <f t="shared" si="39"/>
        <v>0</v>
      </c>
      <c r="N137" s="487"/>
      <c r="O137" s="478">
        <f t="shared" si="40"/>
        <v>0</v>
      </c>
      <c r="P137" s="478">
        <f t="shared" si="41"/>
        <v>0</v>
      </c>
    </row>
    <row r="138" spans="2:16" ht="12.5">
      <c r="B138" s="160" t="str">
        <f t="shared" si="25"/>
        <v/>
      </c>
      <c r="C138" s="472">
        <f>IF(D93="","-",+C137+1)</f>
        <v>2046</v>
      </c>
      <c r="D138" s="346">
        <f>IF(F137+SUM(E$99:E137)=D$92,F137,D$92-SUM(E$99:E137))</f>
        <v>8857</v>
      </c>
      <c r="E138" s="486">
        <f>IF(+J96&lt;F137,J96,D138)</f>
        <v>1770</v>
      </c>
      <c r="F138" s="485">
        <f t="shared" si="34"/>
        <v>7087</v>
      </c>
      <c r="G138" s="485">
        <f t="shared" si="35"/>
        <v>7972</v>
      </c>
      <c r="H138" s="488">
        <f t="shared" si="36"/>
        <v>2592.0250159147849</v>
      </c>
      <c r="I138" s="542">
        <f t="shared" si="37"/>
        <v>2592.0250159147849</v>
      </c>
      <c r="J138" s="478">
        <f t="shared" si="38"/>
        <v>0</v>
      </c>
      <c r="K138" s="478"/>
      <c r="L138" s="487"/>
      <c r="M138" s="478">
        <f t="shared" si="39"/>
        <v>0</v>
      </c>
      <c r="N138" s="487"/>
      <c r="O138" s="478">
        <f t="shared" si="40"/>
        <v>0</v>
      </c>
      <c r="P138" s="478">
        <f t="shared" si="41"/>
        <v>0</v>
      </c>
    </row>
    <row r="139" spans="2:16" ht="12.5">
      <c r="B139" s="160" t="str">
        <f t="shared" si="25"/>
        <v/>
      </c>
      <c r="C139" s="472">
        <f>IF(D93="","-",+C138+1)</f>
        <v>2047</v>
      </c>
      <c r="D139" s="346">
        <f>IF(F138+SUM(E$99:E138)=D$92,F138,D$92-SUM(E$99:E138))</f>
        <v>7087</v>
      </c>
      <c r="E139" s="486">
        <f>IF(+J96&lt;F138,J96,D139)</f>
        <v>1770</v>
      </c>
      <c r="F139" s="485">
        <f t="shared" si="34"/>
        <v>5317</v>
      </c>
      <c r="G139" s="485">
        <f t="shared" si="35"/>
        <v>6202</v>
      </c>
      <c r="H139" s="488">
        <f t="shared" si="36"/>
        <v>2409.5131897520691</v>
      </c>
      <c r="I139" s="542">
        <f t="shared" si="37"/>
        <v>2409.5131897520691</v>
      </c>
      <c r="J139" s="478">
        <f t="shared" si="38"/>
        <v>0</v>
      </c>
      <c r="K139" s="478"/>
      <c r="L139" s="487"/>
      <c r="M139" s="478">
        <f t="shared" si="39"/>
        <v>0</v>
      </c>
      <c r="N139" s="487"/>
      <c r="O139" s="478">
        <f t="shared" si="40"/>
        <v>0</v>
      </c>
      <c r="P139" s="478">
        <f t="shared" si="41"/>
        <v>0</v>
      </c>
    </row>
    <row r="140" spans="2:16" ht="12.5">
      <c r="B140" s="160" t="str">
        <f t="shared" si="25"/>
        <v/>
      </c>
      <c r="C140" s="472">
        <f>IF(D93="","-",+C139+1)</f>
        <v>2048</v>
      </c>
      <c r="D140" s="346">
        <f>IF(F139+SUM(E$99:E139)=D$92,F139,D$92-SUM(E$99:E139))</f>
        <v>5317</v>
      </c>
      <c r="E140" s="486">
        <f>IF(+J96&lt;F139,J96,D140)</f>
        <v>1770</v>
      </c>
      <c r="F140" s="485">
        <f t="shared" si="34"/>
        <v>3547</v>
      </c>
      <c r="G140" s="485">
        <f t="shared" si="35"/>
        <v>4432</v>
      </c>
      <c r="H140" s="488">
        <f t="shared" si="36"/>
        <v>2227.0013635893538</v>
      </c>
      <c r="I140" s="542">
        <f t="shared" si="37"/>
        <v>2227.0013635893538</v>
      </c>
      <c r="J140" s="478">
        <f t="shared" si="38"/>
        <v>0</v>
      </c>
      <c r="K140" s="478"/>
      <c r="L140" s="487"/>
      <c r="M140" s="478">
        <f t="shared" si="39"/>
        <v>0</v>
      </c>
      <c r="N140" s="487"/>
      <c r="O140" s="478">
        <f t="shared" si="40"/>
        <v>0</v>
      </c>
      <c r="P140" s="478">
        <f t="shared" si="41"/>
        <v>0</v>
      </c>
    </row>
    <row r="141" spans="2:16" ht="12.5">
      <c r="B141" s="160" t="str">
        <f t="shared" si="25"/>
        <v/>
      </c>
      <c r="C141" s="472">
        <f>IF(D93="","-",+C140+1)</f>
        <v>2049</v>
      </c>
      <c r="D141" s="346">
        <f>IF(F140+SUM(E$99:E140)=D$92,F140,D$92-SUM(E$99:E140))</f>
        <v>3547</v>
      </c>
      <c r="E141" s="486">
        <f>IF(+J96&lt;F140,J96,D141)</f>
        <v>1770</v>
      </c>
      <c r="F141" s="485">
        <f t="shared" si="34"/>
        <v>1777</v>
      </c>
      <c r="G141" s="485">
        <f t="shared" si="35"/>
        <v>2662</v>
      </c>
      <c r="H141" s="488">
        <f t="shared" si="36"/>
        <v>2044.489537426638</v>
      </c>
      <c r="I141" s="542">
        <f t="shared" si="37"/>
        <v>2044.489537426638</v>
      </c>
      <c r="J141" s="478">
        <f t="shared" si="38"/>
        <v>0</v>
      </c>
      <c r="K141" s="478"/>
      <c r="L141" s="487"/>
      <c r="M141" s="478">
        <f t="shared" si="39"/>
        <v>0</v>
      </c>
      <c r="N141" s="487"/>
      <c r="O141" s="478">
        <f t="shared" si="40"/>
        <v>0</v>
      </c>
      <c r="P141" s="478">
        <f t="shared" si="41"/>
        <v>0</v>
      </c>
    </row>
    <row r="142" spans="2:16" ht="12.5">
      <c r="B142" s="160" t="str">
        <f t="shared" si="25"/>
        <v/>
      </c>
      <c r="C142" s="472">
        <f>IF(D93="","-",+C141+1)</f>
        <v>2050</v>
      </c>
      <c r="D142" s="346">
        <f>IF(F141+SUM(E$99:E141)=D$92,F141,D$92-SUM(E$99:E141))</f>
        <v>1777</v>
      </c>
      <c r="E142" s="486">
        <f>IF(+J96&lt;F141,J96,D142)</f>
        <v>1770</v>
      </c>
      <c r="F142" s="485">
        <f t="shared" si="34"/>
        <v>7</v>
      </c>
      <c r="G142" s="485">
        <f t="shared" si="35"/>
        <v>892</v>
      </c>
      <c r="H142" s="488">
        <f t="shared" si="36"/>
        <v>1861.9777112639222</v>
      </c>
      <c r="I142" s="542">
        <f t="shared" si="37"/>
        <v>1861.9777112639222</v>
      </c>
      <c r="J142" s="478">
        <f t="shared" si="38"/>
        <v>0</v>
      </c>
      <c r="K142" s="478"/>
      <c r="L142" s="487"/>
      <c r="M142" s="478">
        <f t="shared" si="39"/>
        <v>0</v>
      </c>
      <c r="N142" s="487"/>
      <c r="O142" s="478">
        <f t="shared" si="40"/>
        <v>0</v>
      </c>
      <c r="P142" s="478">
        <f t="shared" si="41"/>
        <v>0</v>
      </c>
    </row>
    <row r="143" spans="2:16" ht="12.5">
      <c r="B143" s="160" t="str">
        <f t="shared" si="25"/>
        <v/>
      </c>
      <c r="C143" s="472">
        <f>IF(D93="","-",+C142+1)</f>
        <v>2051</v>
      </c>
      <c r="D143" s="346">
        <f>IF(F142+SUM(E$99:E142)=D$92,F142,D$92-SUM(E$99:E142))</f>
        <v>7</v>
      </c>
      <c r="E143" s="486">
        <f>IF(+J96&lt;F142,J96,D143)</f>
        <v>7</v>
      </c>
      <c r="F143" s="485">
        <f t="shared" si="34"/>
        <v>0</v>
      </c>
      <c r="G143" s="485">
        <f t="shared" si="35"/>
        <v>3.5</v>
      </c>
      <c r="H143" s="488">
        <f t="shared" si="36"/>
        <v>7.3608990912822065</v>
      </c>
      <c r="I143" s="542">
        <f t="shared" si="37"/>
        <v>7.3608990912822065</v>
      </c>
      <c r="J143" s="478">
        <f t="shared" si="38"/>
        <v>0</v>
      </c>
      <c r="K143" s="478"/>
      <c r="L143" s="487"/>
      <c r="M143" s="478">
        <f t="shared" si="39"/>
        <v>0</v>
      </c>
      <c r="N143" s="487"/>
      <c r="O143" s="478">
        <f t="shared" si="40"/>
        <v>0</v>
      </c>
      <c r="P143" s="478">
        <f t="shared" si="41"/>
        <v>0</v>
      </c>
    </row>
    <row r="144" spans="2:16" ht="12.5">
      <c r="B144" s="160" t="str">
        <f t="shared" si="25"/>
        <v/>
      </c>
      <c r="C144" s="472">
        <f>IF(D93="","-",+C143+1)</f>
        <v>2052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34"/>
        <v>0</v>
      </c>
      <c r="G144" s="485">
        <f t="shared" si="35"/>
        <v>0</v>
      </c>
      <c r="H144" s="488">
        <f t="shared" si="36"/>
        <v>0</v>
      </c>
      <c r="I144" s="542">
        <f t="shared" si="37"/>
        <v>0</v>
      </c>
      <c r="J144" s="478">
        <f t="shared" si="38"/>
        <v>0</v>
      </c>
      <c r="K144" s="478"/>
      <c r="L144" s="487"/>
      <c r="M144" s="478">
        <f t="shared" si="39"/>
        <v>0</v>
      </c>
      <c r="N144" s="487"/>
      <c r="O144" s="478">
        <f t="shared" si="40"/>
        <v>0</v>
      </c>
      <c r="P144" s="478">
        <f t="shared" si="41"/>
        <v>0</v>
      </c>
    </row>
    <row r="145" spans="2:16" ht="12.5">
      <c r="B145" s="160" t="str">
        <f t="shared" si="25"/>
        <v/>
      </c>
      <c r="C145" s="472">
        <f>IF(D93="","-",+C144+1)</f>
        <v>2053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34"/>
        <v>0</v>
      </c>
      <c r="G145" s="485">
        <f t="shared" si="35"/>
        <v>0</v>
      </c>
      <c r="H145" s="488">
        <f t="shared" si="36"/>
        <v>0</v>
      </c>
      <c r="I145" s="542">
        <f t="shared" si="37"/>
        <v>0</v>
      </c>
      <c r="J145" s="478">
        <f t="shared" si="38"/>
        <v>0</v>
      </c>
      <c r="K145" s="478"/>
      <c r="L145" s="487"/>
      <c r="M145" s="478">
        <f t="shared" si="39"/>
        <v>0</v>
      </c>
      <c r="N145" s="487"/>
      <c r="O145" s="478">
        <f t="shared" si="40"/>
        <v>0</v>
      </c>
      <c r="P145" s="478">
        <f t="shared" si="41"/>
        <v>0</v>
      </c>
    </row>
    <row r="146" spans="2:16" ht="12.5">
      <c r="B146" s="160" t="str">
        <f t="shared" si="25"/>
        <v/>
      </c>
      <c r="C146" s="472">
        <f>IF(D93="","-",+C145+1)</f>
        <v>2054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34"/>
        <v>0</v>
      </c>
      <c r="G146" s="485">
        <f t="shared" si="35"/>
        <v>0</v>
      </c>
      <c r="H146" s="488">
        <f t="shared" si="36"/>
        <v>0</v>
      </c>
      <c r="I146" s="542">
        <f t="shared" si="37"/>
        <v>0</v>
      </c>
      <c r="J146" s="478">
        <f t="shared" si="38"/>
        <v>0</v>
      </c>
      <c r="K146" s="478"/>
      <c r="L146" s="487"/>
      <c r="M146" s="478">
        <f t="shared" si="39"/>
        <v>0</v>
      </c>
      <c r="N146" s="487"/>
      <c r="O146" s="478">
        <f t="shared" si="40"/>
        <v>0</v>
      </c>
      <c r="P146" s="478">
        <f t="shared" si="41"/>
        <v>0</v>
      </c>
    </row>
    <row r="147" spans="2:16" ht="12.5">
      <c r="B147" s="160" t="str">
        <f t="shared" si="25"/>
        <v/>
      </c>
      <c r="C147" s="472">
        <f>IF(D93="","-",+C146+1)</f>
        <v>2055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34"/>
        <v>0</v>
      </c>
      <c r="G147" s="485">
        <f t="shared" si="35"/>
        <v>0</v>
      </c>
      <c r="H147" s="488">
        <f t="shared" si="36"/>
        <v>0</v>
      </c>
      <c r="I147" s="542">
        <f t="shared" si="37"/>
        <v>0</v>
      </c>
      <c r="J147" s="478">
        <f t="shared" si="38"/>
        <v>0</v>
      </c>
      <c r="K147" s="478"/>
      <c r="L147" s="487"/>
      <c r="M147" s="478">
        <f t="shared" si="39"/>
        <v>0</v>
      </c>
      <c r="N147" s="487"/>
      <c r="O147" s="478">
        <f t="shared" si="40"/>
        <v>0</v>
      </c>
      <c r="P147" s="478">
        <f t="shared" si="41"/>
        <v>0</v>
      </c>
    </row>
    <row r="148" spans="2:16" ht="12.5">
      <c r="B148" s="160" t="str">
        <f t="shared" si="25"/>
        <v/>
      </c>
      <c r="C148" s="472">
        <f>IF(D93="","-",+C147+1)</f>
        <v>2056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34"/>
        <v>0</v>
      </c>
      <c r="G148" s="485">
        <f t="shared" si="35"/>
        <v>0</v>
      </c>
      <c r="H148" s="488">
        <f t="shared" si="36"/>
        <v>0</v>
      </c>
      <c r="I148" s="542">
        <f t="shared" si="37"/>
        <v>0</v>
      </c>
      <c r="J148" s="478">
        <f t="shared" si="38"/>
        <v>0</v>
      </c>
      <c r="K148" s="478"/>
      <c r="L148" s="487"/>
      <c r="M148" s="478">
        <f t="shared" si="39"/>
        <v>0</v>
      </c>
      <c r="N148" s="487"/>
      <c r="O148" s="478">
        <f t="shared" si="40"/>
        <v>0</v>
      </c>
      <c r="P148" s="478">
        <f t="shared" si="41"/>
        <v>0</v>
      </c>
    </row>
    <row r="149" spans="2:16" ht="12.5">
      <c r="B149" s="160" t="str">
        <f t="shared" si="25"/>
        <v/>
      </c>
      <c r="C149" s="472">
        <f>IF(D93="","-",+C148+1)</f>
        <v>2057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34"/>
        <v>0</v>
      </c>
      <c r="G149" s="485">
        <f t="shared" si="35"/>
        <v>0</v>
      </c>
      <c r="H149" s="488">
        <f t="shared" si="36"/>
        <v>0</v>
      </c>
      <c r="I149" s="542">
        <f t="shared" si="37"/>
        <v>0</v>
      </c>
      <c r="J149" s="478">
        <f t="shared" si="38"/>
        <v>0</v>
      </c>
      <c r="K149" s="478"/>
      <c r="L149" s="487"/>
      <c r="M149" s="478">
        <f t="shared" si="39"/>
        <v>0</v>
      </c>
      <c r="N149" s="487"/>
      <c r="O149" s="478">
        <f t="shared" si="40"/>
        <v>0</v>
      </c>
      <c r="P149" s="478">
        <f t="shared" si="41"/>
        <v>0</v>
      </c>
    </row>
    <row r="150" spans="2:16" ht="12.5">
      <c r="B150" s="160" t="str">
        <f t="shared" si="25"/>
        <v/>
      </c>
      <c r="C150" s="472">
        <f>IF(D93="","-",+C149+1)</f>
        <v>2058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34"/>
        <v>0</v>
      </c>
      <c r="G150" s="485">
        <f t="shared" si="35"/>
        <v>0</v>
      </c>
      <c r="H150" s="488">
        <f t="shared" si="36"/>
        <v>0</v>
      </c>
      <c r="I150" s="542">
        <f t="shared" si="37"/>
        <v>0</v>
      </c>
      <c r="J150" s="478">
        <f t="shared" si="38"/>
        <v>0</v>
      </c>
      <c r="K150" s="478"/>
      <c r="L150" s="487"/>
      <c r="M150" s="478">
        <f t="shared" si="39"/>
        <v>0</v>
      </c>
      <c r="N150" s="487"/>
      <c r="O150" s="478">
        <f t="shared" si="40"/>
        <v>0</v>
      </c>
      <c r="P150" s="478">
        <f t="shared" si="41"/>
        <v>0</v>
      </c>
    </row>
    <row r="151" spans="2:16" ht="12.5">
      <c r="B151" s="160" t="str">
        <f t="shared" si="25"/>
        <v/>
      </c>
      <c r="C151" s="472">
        <f>IF(D93="","-",+C150+1)</f>
        <v>2059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34"/>
        <v>0</v>
      </c>
      <c r="G151" s="485">
        <f t="shared" si="35"/>
        <v>0</v>
      </c>
      <c r="H151" s="488">
        <f t="shared" si="36"/>
        <v>0</v>
      </c>
      <c r="I151" s="542">
        <f t="shared" si="37"/>
        <v>0</v>
      </c>
      <c r="J151" s="478">
        <f t="shared" si="38"/>
        <v>0</v>
      </c>
      <c r="K151" s="478"/>
      <c r="L151" s="487"/>
      <c r="M151" s="478">
        <f t="shared" si="39"/>
        <v>0</v>
      </c>
      <c r="N151" s="487"/>
      <c r="O151" s="478">
        <f t="shared" si="40"/>
        <v>0</v>
      </c>
      <c r="P151" s="478">
        <f t="shared" si="41"/>
        <v>0</v>
      </c>
    </row>
    <row r="152" spans="2:16" ht="12.5">
      <c r="B152" s="160" t="str">
        <f t="shared" si="25"/>
        <v/>
      </c>
      <c r="C152" s="472">
        <f>IF(D93="","-",+C151+1)</f>
        <v>2060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34"/>
        <v>0</v>
      </c>
      <c r="G152" s="485">
        <f t="shared" si="35"/>
        <v>0</v>
      </c>
      <c r="H152" s="488">
        <f t="shared" si="36"/>
        <v>0</v>
      </c>
      <c r="I152" s="542">
        <f t="shared" si="37"/>
        <v>0</v>
      </c>
      <c r="J152" s="478">
        <f t="shared" si="38"/>
        <v>0</v>
      </c>
      <c r="K152" s="478"/>
      <c r="L152" s="487"/>
      <c r="M152" s="478">
        <f t="shared" si="39"/>
        <v>0</v>
      </c>
      <c r="N152" s="487"/>
      <c r="O152" s="478">
        <f t="shared" si="40"/>
        <v>0</v>
      </c>
      <c r="P152" s="478">
        <f t="shared" si="41"/>
        <v>0</v>
      </c>
    </row>
    <row r="153" spans="2:16" ht="12.5">
      <c r="B153" s="160" t="str">
        <f t="shared" si="25"/>
        <v/>
      </c>
      <c r="C153" s="472">
        <f>IF(D93="","-",+C152+1)</f>
        <v>2061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34"/>
        <v>0</v>
      </c>
      <c r="G153" s="485">
        <f t="shared" si="35"/>
        <v>0</v>
      </c>
      <c r="H153" s="488">
        <f t="shared" si="36"/>
        <v>0</v>
      </c>
      <c r="I153" s="542">
        <f t="shared" si="37"/>
        <v>0</v>
      </c>
      <c r="J153" s="478">
        <f t="shared" si="38"/>
        <v>0</v>
      </c>
      <c r="K153" s="478"/>
      <c r="L153" s="487"/>
      <c r="M153" s="478">
        <f t="shared" si="39"/>
        <v>0</v>
      </c>
      <c r="N153" s="487"/>
      <c r="O153" s="478">
        <f t="shared" si="40"/>
        <v>0</v>
      </c>
      <c r="P153" s="478">
        <f t="shared" si="41"/>
        <v>0</v>
      </c>
    </row>
    <row r="154" spans="2:16" ht="13" thickBot="1">
      <c r="B154" s="160" t="str">
        <f t="shared" si="25"/>
        <v/>
      </c>
      <c r="C154" s="489">
        <f>IF(D93="","-",+C153+1)</f>
        <v>2062</v>
      </c>
      <c r="D154" s="490">
        <f>IF(F153+SUM(E$99:E153)=D$92,F153,D$92-SUM(E$99:E153))</f>
        <v>0</v>
      </c>
      <c r="E154" s="544">
        <f>IF(+J96&lt;F153,J96,D154)</f>
        <v>0</v>
      </c>
      <c r="F154" s="490">
        <f t="shared" si="34"/>
        <v>0</v>
      </c>
      <c r="G154" s="490">
        <f t="shared" si="35"/>
        <v>0</v>
      </c>
      <c r="H154" s="492">
        <f t="shared" si="36"/>
        <v>0</v>
      </c>
      <c r="I154" s="545">
        <f t="shared" si="37"/>
        <v>0</v>
      </c>
      <c r="J154" s="495">
        <f t="shared" si="38"/>
        <v>0</v>
      </c>
      <c r="K154" s="478"/>
      <c r="L154" s="494"/>
      <c r="M154" s="495">
        <f t="shared" si="39"/>
        <v>0</v>
      </c>
      <c r="N154" s="494"/>
      <c r="O154" s="495">
        <f t="shared" si="40"/>
        <v>0</v>
      </c>
      <c r="P154" s="495">
        <f t="shared" si="41"/>
        <v>0</v>
      </c>
    </row>
    <row r="155" spans="2:16" ht="12.5">
      <c r="C155" s="346" t="s">
        <v>77</v>
      </c>
      <c r="D155" s="347"/>
      <c r="E155" s="347">
        <f>SUM(E99:E154)</f>
        <v>72551</v>
      </c>
      <c r="F155" s="347"/>
      <c r="G155" s="347"/>
      <c r="H155" s="347">
        <f>SUM(H99:H154)</f>
        <v>271665.46449232916</v>
      </c>
      <c r="I155" s="347">
        <f>SUM(I99:I154)</f>
        <v>271665.46449232916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44" priority="1" stopIfTrue="1" operator="equal">
      <formula>$I$10</formula>
    </cfRule>
  </conditionalFormatting>
  <conditionalFormatting sqref="C99:C154">
    <cfRule type="cellIs" dxfId="43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C00000"/>
  </sheetPr>
  <dimension ref="A1:P162"/>
  <sheetViews>
    <sheetView view="pageBreakPreview" topLeftCell="B1" zoomScale="75" zoomScaleNormal="100" workbookViewId="0">
      <selection activeCell="E9" sqref="E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10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10113.720930232557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10113.720930232557</v>
      </c>
      <c r="O6" s="232"/>
      <c r="P6" s="232"/>
    </row>
    <row r="7" spans="1:16" ht="13.5" thickBot="1">
      <c r="C7" s="431" t="s">
        <v>46</v>
      </c>
      <c r="D7" s="564" t="s">
        <v>258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221</v>
      </c>
      <c r="E9" s="577" t="s">
        <v>346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96566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2010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2245.7209302325582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2010</v>
      </c>
      <c r="D17" s="473">
        <v>135400</v>
      </c>
      <c r="E17" s="474">
        <v>1209</v>
      </c>
      <c r="F17" s="473">
        <v>134191</v>
      </c>
      <c r="G17" s="474">
        <v>20572</v>
      </c>
      <c r="H17" s="481">
        <v>20572</v>
      </c>
      <c r="I17" s="475">
        <f t="shared" ref="I17:I48" si="0">H17-G17</f>
        <v>0</v>
      </c>
      <c r="J17" s="475"/>
      <c r="K17" s="554">
        <f t="shared" ref="K17:K22" si="1">G17</f>
        <v>20572</v>
      </c>
      <c r="L17" s="477">
        <f t="shared" ref="L17:L48" si="2">IF(K17&lt;&gt;0,+G17-K17,0)</f>
        <v>0</v>
      </c>
      <c r="M17" s="554">
        <f t="shared" ref="M17:M22" si="3">H17</f>
        <v>20572</v>
      </c>
      <c r="N17" s="477">
        <f t="shared" ref="N17:N48" si="4">IF(M17&lt;&gt;0,+H17-M17,0)</f>
        <v>0</v>
      </c>
      <c r="O17" s="478">
        <f t="shared" ref="O17:O48" si="5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2011</v>
      </c>
      <c r="D18" s="479">
        <v>95357</v>
      </c>
      <c r="E18" s="480">
        <v>1893.4509803921569</v>
      </c>
      <c r="F18" s="479">
        <v>93463.549019607846</v>
      </c>
      <c r="G18" s="480">
        <v>16524.450980392157</v>
      </c>
      <c r="H18" s="481">
        <v>16524.450980392157</v>
      </c>
      <c r="I18" s="475">
        <f t="shared" si="0"/>
        <v>0</v>
      </c>
      <c r="J18" s="475"/>
      <c r="K18" s="476">
        <f t="shared" si="1"/>
        <v>16524.450980392157</v>
      </c>
      <c r="L18" s="550">
        <f t="shared" si="2"/>
        <v>0</v>
      </c>
      <c r="M18" s="476">
        <f t="shared" si="3"/>
        <v>16524.450980392157</v>
      </c>
      <c r="N18" s="478">
        <f t="shared" si="4"/>
        <v>0</v>
      </c>
      <c r="O18" s="478">
        <f t="shared" si="5"/>
        <v>0</v>
      </c>
      <c r="P18" s="242"/>
    </row>
    <row r="19" spans="2:16" ht="12.5">
      <c r="B19" s="160" t="str">
        <f>IF(D19=F18,"","IU")</f>
        <v/>
      </c>
      <c r="C19" s="472">
        <f>IF(D11="","-",+C18+1)</f>
        <v>2012</v>
      </c>
      <c r="D19" s="479">
        <v>93463.549019607846</v>
      </c>
      <c r="E19" s="480">
        <v>1857.0384615384614</v>
      </c>
      <c r="F19" s="479">
        <v>91606.510558069378</v>
      </c>
      <c r="G19" s="480">
        <v>14609.038461538461</v>
      </c>
      <c r="H19" s="481">
        <v>14609.038461538461</v>
      </c>
      <c r="I19" s="475">
        <f t="shared" si="0"/>
        <v>0</v>
      </c>
      <c r="J19" s="475"/>
      <c r="K19" s="476">
        <f t="shared" si="1"/>
        <v>14609.038461538461</v>
      </c>
      <c r="L19" s="550">
        <f t="shared" si="2"/>
        <v>0</v>
      </c>
      <c r="M19" s="476">
        <f t="shared" si="3"/>
        <v>14609.038461538461</v>
      </c>
      <c r="N19" s="478">
        <f t="shared" si="4"/>
        <v>0</v>
      </c>
      <c r="O19" s="478">
        <f t="shared" si="5"/>
        <v>0</v>
      </c>
      <c r="P19" s="242"/>
    </row>
    <row r="20" spans="2:16" ht="12.5">
      <c r="B20" s="160" t="str">
        <f t="shared" ref="B20:B72" si="6">IF(D20=F19,"","IU")</f>
        <v/>
      </c>
      <c r="C20" s="472">
        <f>IF(D11="","-",+C19+1)</f>
        <v>2013</v>
      </c>
      <c r="D20" s="479">
        <v>91606.510558069378</v>
      </c>
      <c r="E20" s="480">
        <v>1857.0384615384614</v>
      </c>
      <c r="F20" s="479">
        <v>89749.47209653091</v>
      </c>
      <c r="G20" s="480">
        <v>14674.038461538461</v>
      </c>
      <c r="H20" s="481">
        <v>14674.038461538461</v>
      </c>
      <c r="I20" s="475">
        <v>0</v>
      </c>
      <c r="J20" s="475"/>
      <c r="K20" s="476">
        <f t="shared" si="1"/>
        <v>14674.038461538461</v>
      </c>
      <c r="L20" s="550">
        <f t="shared" ref="L20:L25" si="7">IF(K20&lt;&gt;0,+G20-K20,0)</f>
        <v>0</v>
      </c>
      <c r="M20" s="476">
        <f t="shared" si="3"/>
        <v>14674.038461538461</v>
      </c>
      <c r="N20" s="478">
        <f t="shared" ref="N20:N25" si="8">IF(M20&lt;&gt;0,+H20-M20,0)</f>
        <v>0</v>
      </c>
      <c r="O20" s="478">
        <f t="shared" ref="O20:O25" si="9">+N20-L20</f>
        <v>0</v>
      </c>
      <c r="P20" s="242"/>
    </row>
    <row r="21" spans="2:16" ht="12.5">
      <c r="B21" s="160" t="str">
        <f t="shared" si="6"/>
        <v/>
      </c>
      <c r="C21" s="472">
        <f>IF(D11="","-",+C20+1)</f>
        <v>2014</v>
      </c>
      <c r="D21" s="479">
        <v>89749.47209653091</v>
      </c>
      <c r="E21" s="480">
        <v>1857.0384615384614</v>
      </c>
      <c r="F21" s="479">
        <v>87892.433634992442</v>
      </c>
      <c r="G21" s="480">
        <v>13956.038461538461</v>
      </c>
      <c r="H21" s="481">
        <v>13956.038461538461</v>
      </c>
      <c r="I21" s="475">
        <v>0</v>
      </c>
      <c r="J21" s="475"/>
      <c r="K21" s="476">
        <f t="shared" si="1"/>
        <v>13956.038461538461</v>
      </c>
      <c r="L21" s="550">
        <f t="shared" si="7"/>
        <v>0</v>
      </c>
      <c r="M21" s="476">
        <f t="shared" si="3"/>
        <v>13956.038461538461</v>
      </c>
      <c r="N21" s="478">
        <f t="shared" si="8"/>
        <v>0</v>
      </c>
      <c r="O21" s="478">
        <f t="shared" si="9"/>
        <v>0</v>
      </c>
      <c r="P21" s="242"/>
    </row>
    <row r="22" spans="2:16" ht="12.5">
      <c r="B22" s="160" t="str">
        <f t="shared" si="6"/>
        <v/>
      </c>
      <c r="C22" s="472">
        <f>IF(D11="","-",+C21+1)</f>
        <v>2015</v>
      </c>
      <c r="D22" s="479">
        <v>87892.433634992442</v>
      </c>
      <c r="E22" s="480">
        <v>1857.0384615384614</v>
      </c>
      <c r="F22" s="479">
        <v>86035.395173453973</v>
      </c>
      <c r="G22" s="480">
        <v>13719.038461538461</v>
      </c>
      <c r="H22" s="481">
        <v>13719.038461538461</v>
      </c>
      <c r="I22" s="475">
        <v>0</v>
      </c>
      <c r="J22" s="475"/>
      <c r="K22" s="476">
        <f t="shared" si="1"/>
        <v>13719.038461538461</v>
      </c>
      <c r="L22" s="550">
        <f t="shared" si="7"/>
        <v>0</v>
      </c>
      <c r="M22" s="476">
        <f t="shared" si="3"/>
        <v>13719.038461538461</v>
      </c>
      <c r="N22" s="478">
        <f t="shared" si="8"/>
        <v>0</v>
      </c>
      <c r="O22" s="478">
        <f t="shared" si="9"/>
        <v>0</v>
      </c>
      <c r="P22" s="242"/>
    </row>
    <row r="23" spans="2:16" ht="12.5">
      <c r="B23" s="160" t="str">
        <f t="shared" si="6"/>
        <v/>
      </c>
      <c r="C23" s="472">
        <f>IF(D11="","-",+C22+1)</f>
        <v>2016</v>
      </c>
      <c r="D23" s="479">
        <v>86035.395173453973</v>
      </c>
      <c r="E23" s="480">
        <v>1857.0384615384614</v>
      </c>
      <c r="F23" s="479">
        <v>84178.356711915505</v>
      </c>
      <c r="G23" s="480">
        <v>12898.038461538461</v>
      </c>
      <c r="H23" s="481">
        <v>12898.038461538461</v>
      </c>
      <c r="I23" s="475">
        <f t="shared" si="0"/>
        <v>0</v>
      </c>
      <c r="J23" s="475"/>
      <c r="K23" s="476">
        <f>G23</f>
        <v>12898.038461538461</v>
      </c>
      <c r="L23" s="550">
        <f t="shared" si="7"/>
        <v>0</v>
      </c>
      <c r="M23" s="476">
        <f>H23</f>
        <v>12898.038461538461</v>
      </c>
      <c r="N23" s="478">
        <f t="shared" si="8"/>
        <v>0</v>
      </c>
      <c r="O23" s="478">
        <f t="shared" si="9"/>
        <v>0</v>
      </c>
      <c r="P23" s="242"/>
    </row>
    <row r="24" spans="2:16" ht="12.5">
      <c r="B24" s="160" t="str">
        <f t="shared" si="6"/>
        <v/>
      </c>
      <c r="C24" s="472">
        <f>IF(D11="","-",+C23+1)</f>
        <v>2017</v>
      </c>
      <c r="D24" s="479">
        <v>84178.356711915505</v>
      </c>
      <c r="E24" s="480">
        <v>2099.2608695652175</v>
      </c>
      <c r="F24" s="479">
        <v>82079.095842350289</v>
      </c>
      <c r="G24" s="480">
        <v>12544.260869565218</v>
      </c>
      <c r="H24" s="481">
        <v>12544.260869565218</v>
      </c>
      <c r="I24" s="475">
        <f t="shared" si="0"/>
        <v>0</v>
      </c>
      <c r="J24" s="475"/>
      <c r="K24" s="476">
        <f>G24</f>
        <v>12544.260869565218</v>
      </c>
      <c r="L24" s="550">
        <f t="shared" si="7"/>
        <v>0</v>
      </c>
      <c r="M24" s="476">
        <f>H24</f>
        <v>12544.260869565218</v>
      </c>
      <c r="N24" s="478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6"/>
        <v/>
      </c>
      <c r="C25" s="472">
        <f>IF(D11="","-",+C24+1)</f>
        <v>2018</v>
      </c>
      <c r="D25" s="479">
        <v>82079.095842350289</v>
      </c>
      <c r="E25" s="480">
        <v>2145.911111111111</v>
      </c>
      <c r="F25" s="479">
        <v>79933.184731239176</v>
      </c>
      <c r="G25" s="480">
        <v>11847.120662682713</v>
      </c>
      <c r="H25" s="481">
        <v>11847.120662682713</v>
      </c>
      <c r="I25" s="475">
        <f t="shared" si="0"/>
        <v>0</v>
      </c>
      <c r="J25" s="475"/>
      <c r="K25" s="476">
        <f>G25</f>
        <v>11847.120662682713</v>
      </c>
      <c r="L25" s="550">
        <f t="shared" si="7"/>
        <v>0</v>
      </c>
      <c r="M25" s="476">
        <f>H25</f>
        <v>11847.120662682713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6"/>
        <v/>
      </c>
      <c r="C26" s="472">
        <f>IF(D11="","-",+C25+1)</f>
        <v>2019</v>
      </c>
      <c r="D26" s="479">
        <v>79933.184731239176</v>
      </c>
      <c r="E26" s="480">
        <v>2414.15</v>
      </c>
      <c r="F26" s="479">
        <v>77519.034731239182</v>
      </c>
      <c r="G26" s="480">
        <v>11204.44220775155</v>
      </c>
      <c r="H26" s="481">
        <v>11204.44220775155</v>
      </c>
      <c r="I26" s="475">
        <f t="shared" si="0"/>
        <v>0</v>
      </c>
      <c r="J26" s="475"/>
      <c r="K26" s="476">
        <f>G26</f>
        <v>11204.44220775155</v>
      </c>
      <c r="L26" s="550">
        <f t="shared" ref="L26" si="10">IF(K26&lt;&gt;0,+G26-K26,0)</f>
        <v>0</v>
      </c>
      <c r="M26" s="476">
        <f>H26</f>
        <v>11204.44220775155</v>
      </c>
      <c r="N26" s="478">
        <f t="shared" ref="N26" si="11">IF(M26&lt;&gt;0,+H26-M26,0)</f>
        <v>0</v>
      </c>
      <c r="O26" s="478">
        <f t="shared" ref="O26" si="12">+N26-L26</f>
        <v>0</v>
      </c>
      <c r="P26" s="242"/>
    </row>
    <row r="27" spans="2:16" ht="12.5">
      <c r="B27" s="566" t="str">
        <f t="shared" si="6"/>
        <v>IU</v>
      </c>
      <c r="C27" s="472">
        <f>IF(D11="","-",+C26+1)</f>
        <v>2020</v>
      </c>
      <c r="D27" s="479">
        <v>77787.273620128064</v>
      </c>
      <c r="E27" s="480">
        <v>2299.1904761904761</v>
      </c>
      <c r="F27" s="479">
        <v>75488.083143937591</v>
      </c>
      <c r="G27" s="480">
        <v>10576.425832738674</v>
      </c>
      <c r="H27" s="481">
        <v>10576.425832738674</v>
      </c>
      <c r="I27" s="475">
        <f t="shared" si="0"/>
        <v>0</v>
      </c>
      <c r="J27" s="475"/>
      <c r="K27" s="476">
        <f>G27</f>
        <v>10576.425832738674</v>
      </c>
      <c r="L27" s="550">
        <f t="shared" ref="L27" si="13">IF(K27&lt;&gt;0,+G27-K27,0)</f>
        <v>0</v>
      </c>
      <c r="M27" s="476">
        <f>H27</f>
        <v>10576.425832738674</v>
      </c>
      <c r="N27" s="478">
        <f t="shared" si="4"/>
        <v>0</v>
      </c>
      <c r="O27" s="478">
        <f t="shared" si="5"/>
        <v>0</v>
      </c>
      <c r="P27" s="242"/>
    </row>
    <row r="28" spans="2:16" ht="12.5">
      <c r="B28" s="160" t="str">
        <f t="shared" si="6"/>
        <v>IU</v>
      </c>
      <c r="C28" s="472">
        <f>IF(D11="","-",+C27+1)</f>
        <v>2021</v>
      </c>
      <c r="D28" s="485">
        <f>IF(F27+SUM(E$17:E27)=D$10,F27,D$10-SUM(E$17:E27))</f>
        <v>75219.844255048723</v>
      </c>
      <c r="E28" s="484">
        <f>IF(+I14&lt;F27,I14,D28)</f>
        <v>2245.7209302325582</v>
      </c>
      <c r="F28" s="485">
        <f t="shared" ref="F28:F48" si="14">+D28-E28</f>
        <v>72974.123324816159</v>
      </c>
      <c r="G28" s="486">
        <f t="shared" ref="G28:G72" si="15">ROUND(I$12*F28,0)+E28</f>
        <v>10113.720930232557</v>
      </c>
      <c r="H28" s="455">
        <f t="shared" ref="H28:H72" si="16">ROUND(I$13*F28,0)+E28</f>
        <v>10113.720930232557</v>
      </c>
      <c r="I28" s="475">
        <f t="shared" si="0"/>
        <v>0</v>
      </c>
      <c r="J28" s="475"/>
      <c r="K28" s="487"/>
      <c r="L28" s="478">
        <f t="shared" si="2"/>
        <v>0</v>
      </c>
      <c r="M28" s="487"/>
      <c r="N28" s="478">
        <f t="shared" si="4"/>
        <v>0</v>
      </c>
      <c r="O28" s="478">
        <f t="shared" si="5"/>
        <v>0</v>
      </c>
      <c r="P28" s="242"/>
    </row>
    <row r="29" spans="2:16" ht="12.5">
      <c r="B29" s="160" t="str">
        <f t="shared" si="6"/>
        <v/>
      </c>
      <c r="C29" s="472">
        <f>IF(D11="","-",+C28+1)</f>
        <v>2022</v>
      </c>
      <c r="D29" s="485">
        <f>IF(F28+SUM(E$17:E28)=D$10,F28,D$10-SUM(E$17:E28))</f>
        <v>72974.123324816159</v>
      </c>
      <c r="E29" s="484">
        <f>IF(+I14&lt;F28,I14,D29)</f>
        <v>2245.7209302325582</v>
      </c>
      <c r="F29" s="485">
        <f t="shared" si="14"/>
        <v>70728.402394583594</v>
      </c>
      <c r="G29" s="486">
        <f t="shared" si="15"/>
        <v>9871.7209302325573</v>
      </c>
      <c r="H29" s="455">
        <f t="shared" si="16"/>
        <v>9871.7209302325573</v>
      </c>
      <c r="I29" s="475">
        <f t="shared" si="0"/>
        <v>0</v>
      </c>
      <c r="J29" s="475"/>
      <c r="K29" s="487"/>
      <c r="L29" s="478">
        <f t="shared" si="2"/>
        <v>0</v>
      </c>
      <c r="M29" s="487"/>
      <c r="N29" s="478">
        <f t="shared" si="4"/>
        <v>0</v>
      </c>
      <c r="O29" s="478">
        <f t="shared" si="5"/>
        <v>0</v>
      </c>
      <c r="P29" s="242"/>
    </row>
    <row r="30" spans="2:16" ht="12.5">
      <c r="B30" s="160" t="str">
        <f t="shared" si="6"/>
        <v/>
      </c>
      <c r="C30" s="472">
        <f>IF(D11="","-",+C29+1)</f>
        <v>2023</v>
      </c>
      <c r="D30" s="485">
        <f>IF(F29+SUM(E$17:E29)=D$10,F29,D$10-SUM(E$17:E29))</f>
        <v>70728.402394583594</v>
      </c>
      <c r="E30" s="484">
        <f>IF(+I14&lt;F29,I14,D30)</f>
        <v>2245.7209302325582</v>
      </c>
      <c r="F30" s="485">
        <f t="shared" si="14"/>
        <v>68482.68146435103</v>
      </c>
      <c r="G30" s="486">
        <f t="shared" si="15"/>
        <v>9629.7209302325573</v>
      </c>
      <c r="H30" s="455">
        <f t="shared" si="16"/>
        <v>9629.7209302325573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2"/>
    </row>
    <row r="31" spans="2:16" ht="12.5">
      <c r="B31" s="160" t="str">
        <f t="shared" si="6"/>
        <v/>
      </c>
      <c r="C31" s="472">
        <f>IF(D11="","-",+C30+1)</f>
        <v>2024</v>
      </c>
      <c r="D31" s="485">
        <f>IF(F30+SUM(E$17:E30)=D$10,F30,D$10-SUM(E$17:E30))</f>
        <v>68482.68146435103</v>
      </c>
      <c r="E31" s="484">
        <f>IF(+I14&lt;F30,I14,D31)</f>
        <v>2245.7209302325582</v>
      </c>
      <c r="F31" s="485">
        <f t="shared" si="14"/>
        <v>66236.960534118465</v>
      </c>
      <c r="G31" s="486">
        <f t="shared" si="15"/>
        <v>9387.7209302325573</v>
      </c>
      <c r="H31" s="455">
        <f t="shared" si="16"/>
        <v>9387.7209302325573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2"/>
    </row>
    <row r="32" spans="2:16" ht="12.5">
      <c r="B32" s="160" t="str">
        <f t="shared" si="6"/>
        <v/>
      </c>
      <c r="C32" s="472">
        <f>IF(D11="","-",+C31+1)</f>
        <v>2025</v>
      </c>
      <c r="D32" s="485">
        <f>IF(F31+SUM(E$17:E31)=D$10,F31,D$10-SUM(E$17:E31))</f>
        <v>66236.960534118465</v>
      </c>
      <c r="E32" s="484">
        <f>IF(+I14&lt;F31,I14,D32)</f>
        <v>2245.7209302325582</v>
      </c>
      <c r="F32" s="485">
        <f t="shared" si="14"/>
        <v>63991.239603885908</v>
      </c>
      <c r="G32" s="486">
        <f t="shared" si="15"/>
        <v>9145.7209302325573</v>
      </c>
      <c r="H32" s="455">
        <f t="shared" si="16"/>
        <v>9145.7209302325573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2"/>
    </row>
    <row r="33" spans="2:16" ht="12.5">
      <c r="B33" s="160" t="str">
        <f t="shared" si="6"/>
        <v/>
      </c>
      <c r="C33" s="472">
        <f>IF(D11="","-",+C32+1)</f>
        <v>2026</v>
      </c>
      <c r="D33" s="485">
        <f>IF(F32+SUM(E$17:E32)=D$10,F32,D$10-SUM(E$17:E32))</f>
        <v>63991.239603885908</v>
      </c>
      <c r="E33" s="484">
        <f>IF(+I14&lt;F32,I14,D33)</f>
        <v>2245.7209302325582</v>
      </c>
      <c r="F33" s="485">
        <f t="shared" si="14"/>
        <v>61745.518673653351</v>
      </c>
      <c r="G33" s="486">
        <f t="shared" si="15"/>
        <v>8903.7209302325573</v>
      </c>
      <c r="H33" s="455">
        <f t="shared" si="16"/>
        <v>8903.7209302325573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2"/>
    </row>
    <row r="34" spans="2:16" ht="12.5">
      <c r="B34" s="160" t="str">
        <f t="shared" si="6"/>
        <v/>
      </c>
      <c r="C34" s="472">
        <f>IF(D11="","-",+C33+1)</f>
        <v>2027</v>
      </c>
      <c r="D34" s="485">
        <f>IF(F33+SUM(E$17:E33)=D$10,F33,D$10-SUM(E$17:E33))</f>
        <v>61745.518673653351</v>
      </c>
      <c r="E34" s="484">
        <f>IF(+I14&lt;F33,I14,D34)</f>
        <v>2245.7209302325582</v>
      </c>
      <c r="F34" s="485">
        <f t="shared" si="14"/>
        <v>59499.797743420793</v>
      </c>
      <c r="G34" s="486">
        <f t="shared" si="15"/>
        <v>8660.7209302325573</v>
      </c>
      <c r="H34" s="455">
        <f t="shared" si="16"/>
        <v>8660.7209302325573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2"/>
    </row>
    <row r="35" spans="2:16" ht="12.5">
      <c r="B35" s="160" t="str">
        <f t="shared" si="6"/>
        <v/>
      </c>
      <c r="C35" s="472">
        <f>IF(D11="","-",+C34+1)</f>
        <v>2028</v>
      </c>
      <c r="D35" s="485">
        <f>IF(F34+SUM(E$17:E34)=D$10,F34,D$10-SUM(E$17:E34))</f>
        <v>59499.797743420793</v>
      </c>
      <c r="E35" s="484">
        <f>IF(+I14&lt;F34,I14,D35)</f>
        <v>2245.7209302325582</v>
      </c>
      <c r="F35" s="485">
        <f t="shared" si="14"/>
        <v>57254.076813188236</v>
      </c>
      <c r="G35" s="486">
        <f t="shared" si="15"/>
        <v>8418.7209302325573</v>
      </c>
      <c r="H35" s="455">
        <f t="shared" si="16"/>
        <v>8418.7209302325573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2"/>
    </row>
    <row r="36" spans="2:16" ht="12.5">
      <c r="B36" s="160" t="str">
        <f t="shared" si="6"/>
        <v/>
      </c>
      <c r="C36" s="472">
        <f>IF(D11="","-",+C35+1)</f>
        <v>2029</v>
      </c>
      <c r="D36" s="485">
        <f>IF(F35+SUM(E$17:E35)=D$10,F35,D$10-SUM(E$17:E35))</f>
        <v>57254.076813188236</v>
      </c>
      <c r="E36" s="484">
        <f>IF(+I14&lt;F35,I14,D36)</f>
        <v>2245.7209302325582</v>
      </c>
      <c r="F36" s="485">
        <f t="shared" si="14"/>
        <v>55008.355882955679</v>
      </c>
      <c r="G36" s="486">
        <f t="shared" si="15"/>
        <v>8176.7209302325582</v>
      </c>
      <c r="H36" s="455">
        <f t="shared" si="16"/>
        <v>8176.7209302325582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2"/>
    </row>
    <row r="37" spans="2:16" ht="12.5">
      <c r="B37" s="160" t="str">
        <f t="shared" si="6"/>
        <v/>
      </c>
      <c r="C37" s="472">
        <f>IF(D11="","-",+C36+1)</f>
        <v>2030</v>
      </c>
      <c r="D37" s="485">
        <f>IF(F36+SUM(E$17:E36)=D$10,F36,D$10-SUM(E$17:E36))</f>
        <v>55008.355882955679</v>
      </c>
      <c r="E37" s="484">
        <f>IF(+I14&lt;F36,I14,D37)</f>
        <v>2245.7209302325582</v>
      </c>
      <c r="F37" s="485">
        <f t="shared" si="14"/>
        <v>52762.634952723121</v>
      </c>
      <c r="G37" s="486">
        <f t="shared" si="15"/>
        <v>7934.7209302325582</v>
      </c>
      <c r="H37" s="455">
        <f t="shared" si="16"/>
        <v>7934.7209302325582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2"/>
    </row>
    <row r="38" spans="2:16" ht="12.5">
      <c r="B38" s="160" t="str">
        <f t="shared" si="6"/>
        <v/>
      </c>
      <c r="C38" s="472">
        <f>IF(D11="","-",+C37+1)</f>
        <v>2031</v>
      </c>
      <c r="D38" s="485">
        <f>IF(F37+SUM(E$17:E37)=D$10,F37,D$10-SUM(E$17:E37))</f>
        <v>52762.634952723121</v>
      </c>
      <c r="E38" s="484">
        <f>IF(+I14&lt;F37,I14,D38)</f>
        <v>2245.7209302325582</v>
      </c>
      <c r="F38" s="485">
        <f t="shared" si="14"/>
        <v>50516.914022490564</v>
      </c>
      <c r="G38" s="486">
        <f t="shared" si="15"/>
        <v>7692.7209302325582</v>
      </c>
      <c r="H38" s="455">
        <f t="shared" si="16"/>
        <v>7692.7209302325582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2"/>
    </row>
    <row r="39" spans="2:16" ht="12.5">
      <c r="B39" s="160" t="str">
        <f t="shared" si="6"/>
        <v/>
      </c>
      <c r="C39" s="472">
        <f>IF(D11="","-",+C38+1)</f>
        <v>2032</v>
      </c>
      <c r="D39" s="485">
        <f>IF(F38+SUM(E$17:E38)=D$10,F38,D$10-SUM(E$17:E38))</f>
        <v>50516.914022490564</v>
      </c>
      <c r="E39" s="484">
        <f>IF(+I14&lt;F38,I14,D39)</f>
        <v>2245.7209302325582</v>
      </c>
      <c r="F39" s="485">
        <f t="shared" si="14"/>
        <v>48271.193092258007</v>
      </c>
      <c r="G39" s="486">
        <f t="shared" si="15"/>
        <v>7450.7209302325582</v>
      </c>
      <c r="H39" s="455">
        <f t="shared" si="16"/>
        <v>7450.7209302325582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2"/>
    </row>
    <row r="40" spans="2:16" ht="12.5">
      <c r="B40" s="160" t="str">
        <f t="shared" si="6"/>
        <v/>
      </c>
      <c r="C40" s="472">
        <f>IF(D11="","-",+C39+1)</f>
        <v>2033</v>
      </c>
      <c r="D40" s="485">
        <f>IF(F39+SUM(E$17:E39)=D$10,F39,D$10-SUM(E$17:E39))</f>
        <v>48271.193092258007</v>
      </c>
      <c r="E40" s="484">
        <f>IF(+I14&lt;F39,I14,D40)</f>
        <v>2245.7209302325582</v>
      </c>
      <c r="F40" s="485">
        <f t="shared" si="14"/>
        <v>46025.47216202545</v>
      </c>
      <c r="G40" s="486">
        <f t="shared" si="15"/>
        <v>7208.7209302325582</v>
      </c>
      <c r="H40" s="455">
        <f t="shared" si="16"/>
        <v>7208.7209302325582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2"/>
    </row>
    <row r="41" spans="2:16" ht="12.5">
      <c r="B41" s="160" t="str">
        <f t="shared" si="6"/>
        <v/>
      </c>
      <c r="C41" s="472">
        <f>IF(D11="","-",+C40+1)</f>
        <v>2034</v>
      </c>
      <c r="D41" s="485">
        <f>IF(F40+SUM(E$17:E40)=D$10,F40,D$10-SUM(E$17:E40))</f>
        <v>46025.47216202545</v>
      </c>
      <c r="E41" s="484">
        <f>IF(+I14&lt;F40,I14,D41)</f>
        <v>2245.7209302325582</v>
      </c>
      <c r="F41" s="485">
        <f t="shared" si="14"/>
        <v>43779.751231792892</v>
      </c>
      <c r="G41" s="486">
        <f t="shared" si="15"/>
        <v>6965.7209302325582</v>
      </c>
      <c r="H41" s="455">
        <f t="shared" si="16"/>
        <v>6965.7209302325582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2"/>
    </row>
    <row r="42" spans="2:16" ht="12.5">
      <c r="B42" s="160" t="str">
        <f t="shared" si="6"/>
        <v/>
      </c>
      <c r="C42" s="472">
        <f>IF(D11="","-",+C41+1)</f>
        <v>2035</v>
      </c>
      <c r="D42" s="485">
        <f>IF(F41+SUM(E$17:E41)=D$10,F41,D$10-SUM(E$17:E41))</f>
        <v>43779.751231792892</v>
      </c>
      <c r="E42" s="484">
        <f>IF(+I14&lt;F41,I14,D42)</f>
        <v>2245.7209302325582</v>
      </c>
      <c r="F42" s="485">
        <f t="shared" si="14"/>
        <v>41534.030301560335</v>
      </c>
      <c r="G42" s="486">
        <f t="shared" si="15"/>
        <v>6723.7209302325582</v>
      </c>
      <c r="H42" s="455">
        <f t="shared" si="16"/>
        <v>6723.7209302325582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2"/>
    </row>
    <row r="43" spans="2:16" ht="12.5">
      <c r="B43" s="160" t="str">
        <f t="shared" si="6"/>
        <v/>
      </c>
      <c r="C43" s="472">
        <f>IF(D11="","-",+C42+1)</f>
        <v>2036</v>
      </c>
      <c r="D43" s="485">
        <f>IF(F42+SUM(E$17:E42)=D$10,F42,D$10-SUM(E$17:E42))</f>
        <v>41534.030301560335</v>
      </c>
      <c r="E43" s="484">
        <f>IF(+I14&lt;F42,I14,D43)</f>
        <v>2245.7209302325582</v>
      </c>
      <c r="F43" s="485">
        <f t="shared" si="14"/>
        <v>39288.309371327778</v>
      </c>
      <c r="G43" s="486">
        <f t="shared" si="15"/>
        <v>6481.7209302325582</v>
      </c>
      <c r="H43" s="455">
        <f t="shared" si="16"/>
        <v>6481.7209302325582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2"/>
    </row>
    <row r="44" spans="2:16" ht="12.5">
      <c r="B44" s="160" t="str">
        <f t="shared" si="6"/>
        <v/>
      </c>
      <c r="C44" s="472">
        <f>IF(D11="","-",+C43+1)</f>
        <v>2037</v>
      </c>
      <c r="D44" s="485">
        <f>IF(F43+SUM(E$17:E43)=D$10,F43,D$10-SUM(E$17:E43))</f>
        <v>39288.309371327778</v>
      </c>
      <c r="E44" s="484">
        <f>IF(+I14&lt;F43,I14,D44)</f>
        <v>2245.7209302325582</v>
      </c>
      <c r="F44" s="485">
        <f t="shared" si="14"/>
        <v>37042.58844109522</v>
      </c>
      <c r="G44" s="486">
        <f t="shared" si="15"/>
        <v>6239.7209302325582</v>
      </c>
      <c r="H44" s="455">
        <f t="shared" si="16"/>
        <v>6239.7209302325582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2"/>
    </row>
    <row r="45" spans="2:16" ht="12.5">
      <c r="B45" s="160" t="str">
        <f t="shared" si="6"/>
        <v/>
      </c>
      <c r="C45" s="472">
        <f>IF(D11="","-",+C44+1)</f>
        <v>2038</v>
      </c>
      <c r="D45" s="485">
        <f>IF(F44+SUM(E$17:E44)=D$10,F44,D$10-SUM(E$17:E44))</f>
        <v>37042.58844109522</v>
      </c>
      <c r="E45" s="484">
        <f>IF(+I14&lt;F44,I14,D45)</f>
        <v>2245.7209302325582</v>
      </c>
      <c r="F45" s="485">
        <f t="shared" si="14"/>
        <v>34796.867510862663</v>
      </c>
      <c r="G45" s="486">
        <f t="shared" si="15"/>
        <v>5997.7209302325582</v>
      </c>
      <c r="H45" s="455">
        <f t="shared" si="16"/>
        <v>5997.7209302325582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2"/>
    </row>
    <row r="46" spans="2:16" ht="12.5">
      <c r="B46" s="160" t="str">
        <f t="shared" si="6"/>
        <v/>
      </c>
      <c r="C46" s="472">
        <f>IF(D11="","-",+C45+1)</f>
        <v>2039</v>
      </c>
      <c r="D46" s="485">
        <f>IF(F45+SUM(E$17:E45)=D$10,F45,D$10-SUM(E$17:E45))</f>
        <v>34796.867510862663</v>
      </c>
      <c r="E46" s="484">
        <f>IF(+I14&lt;F45,I14,D46)</f>
        <v>2245.7209302325582</v>
      </c>
      <c r="F46" s="485">
        <f t="shared" si="14"/>
        <v>32551.146580630106</v>
      </c>
      <c r="G46" s="486">
        <f t="shared" si="15"/>
        <v>5755.7209302325582</v>
      </c>
      <c r="H46" s="455">
        <f t="shared" si="16"/>
        <v>5755.7209302325582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2"/>
    </row>
    <row r="47" spans="2:16" ht="12.5">
      <c r="B47" s="160" t="str">
        <f t="shared" si="6"/>
        <v/>
      </c>
      <c r="C47" s="472">
        <f>IF(D11="","-",+C46+1)</f>
        <v>2040</v>
      </c>
      <c r="D47" s="485">
        <f>IF(F46+SUM(E$17:E46)=D$10,F46,D$10-SUM(E$17:E46))</f>
        <v>32551.146580630106</v>
      </c>
      <c r="E47" s="484">
        <f>IF(+I14&lt;F46,I14,D47)</f>
        <v>2245.7209302325582</v>
      </c>
      <c r="F47" s="485">
        <f t="shared" si="14"/>
        <v>30305.425650397548</v>
      </c>
      <c r="G47" s="486">
        <f t="shared" si="15"/>
        <v>5513.7209302325582</v>
      </c>
      <c r="H47" s="455">
        <f t="shared" si="16"/>
        <v>5513.7209302325582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2"/>
    </row>
    <row r="48" spans="2:16" ht="12.5">
      <c r="B48" s="160" t="str">
        <f t="shared" si="6"/>
        <v/>
      </c>
      <c r="C48" s="472">
        <f>IF(D11="","-",+C47+1)</f>
        <v>2041</v>
      </c>
      <c r="D48" s="485">
        <f>IF(F47+SUM(E$17:E47)=D$10,F47,D$10-SUM(E$17:E47))</f>
        <v>30305.425650397548</v>
      </c>
      <c r="E48" s="484">
        <f>IF(+I14&lt;F47,I14,D48)</f>
        <v>2245.7209302325582</v>
      </c>
      <c r="F48" s="485">
        <f t="shared" si="14"/>
        <v>28059.704720164991</v>
      </c>
      <c r="G48" s="486">
        <f t="shared" si="15"/>
        <v>5270.7209302325582</v>
      </c>
      <c r="H48" s="455">
        <f t="shared" si="16"/>
        <v>5270.7209302325582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2"/>
    </row>
    <row r="49" spans="2:16" ht="12.5">
      <c r="B49" s="160" t="str">
        <f t="shared" si="6"/>
        <v/>
      </c>
      <c r="C49" s="472">
        <f>IF(D11="","-",+C48+1)</f>
        <v>2042</v>
      </c>
      <c r="D49" s="485">
        <f>IF(F48+SUM(E$17:E48)=D$10,F48,D$10-SUM(E$17:E48))</f>
        <v>28059.704720164991</v>
      </c>
      <c r="E49" s="484">
        <f>IF(+I14&lt;F48,I14,D49)</f>
        <v>2245.7209302325582</v>
      </c>
      <c r="F49" s="485">
        <f t="shared" ref="F49:F72" si="17">+D49-E49</f>
        <v>25813.983789932434</v>
      </c>
      <c r="G49" s="486">
        <f t="shared" si="15"/>
        <v>5028.7209302325582</v>
      </c>
      <c r="H49" s="455">
        <f t="shared" si="16"/>
        <v>5028.7209302325582</v>
      </c>
      <c r="I49" s="475">
        <f t="shared" ref="I49:I72" si="18">H49-G49</f>
        <v>0</v>
      </c>
      <c r="J49" s="475"/>
      <c r="K49" s="487"/>
      <c r="L49" s="478">
        <f t="shared" ref="L49:L72" si="19">IF(K49&lt;&gt;0,+G49-K49,0)</f>
        <v>0</v>
      </c>
      <c r="M49" s="487"/>
      <c r="N49" s="478">
        <f t="shared" ref="N49:N72" si="20">IF(M49&lt;&gt;0,+H49-M49,0)</f>
        <v>0</v>
      </c>
      <c r="O49" s="478">
        <f t="shared" ref="O49:O72" si="21">+N49-L49</f>
        <v>0</v>
      </c>
      <c r="P49" s="242"/>
    </row>
    <row r="50" spans="2:16" ht="12.5">
      <c r="B50" s="160" t="str">
        <f t="shared" si="6"/>
        <v/>
      </c>
      <c r="C50" s="472">
        <f>IF(D11="","-",+C49+1)</f>
        <v>2043</v>
      </c>
      <c r="D50" s="485">
        <f>IF(F49+SUM(E$17:E49)=D$10,F49,D$10-SUM(E$17:E49))</f>
        <v>25813.983789932434</v>
      </c>
      <c r="E50" s="484">
        <f>IF(+I14&lt;F49,I14,D50)</f>
        <v>2245.7209302325582</v>
      </c>
      <c r="F50" s="485">
        <f t="shared" si="17"/>
        <v>23568.262859699877</v>
      </c>
      <c r="G50" s="486">
        <f t="shared" si="15"/>
        <v>4786.7209302325582</v>
      </c>
      <c r="H50" s="455">
        <f t="shared" si="16"/>
        <v>4786.7209302325582</v>
      </c>
      <c r="I50" s="475">
        <f t="shared" si="18"/>
        <v>0</v>
      </c>
      <c r="J50" s="475"/>
      <c r="K50" s="487"/>
      <c r="L50" s="478">
        <f t="shared" si="19"/>
        <v>0</v>
      </c>
      <c r="M50" s="487"/>
      <c r="N50" s="478">
        <f t="shared" si="20"/>
        <v>0</v>
      </c>
      <c r="O50" s="478">
        <f t="shared" si="21"/>
        <v>0</v>
      </c>
      <c r="P50" s="242"/>
    </row>
    <row r="51" spans="2:16" ht="12.5">
      <c r="B51" s="160" t="str">
        <f t="shared" si="6"/>
        <v/>
      </c>
      <c r="C51" s="472">
        <f>IF(D11="","-",+C50+1)</f>
        <v>2044</v>
      </c>
      <c r="D51" s="485">
        <f>IF(F50+SUM(E$17:E50)=D$10,F50,D$10-SUM(E$17:E50))</f>
        <v>23568.262859699877</v>
      </c>
      <c r="E51" s="484">
        <f>IF(+I14&lt;F50,I14,D51)</f>
        <v>2245.7209302325582</v>
      </c>
      <c r="F51" s="485">
        <f t="shared" si="17"/>
        <v>21322.541929467319</v>
      </c>
      <c r="G51" s="486">
        <f t="shared" si="15"/>
        <v>4544.7209302325582</v>
      </c>
      <c r="H51" s="455">
        <f t="shared" si="16"/>
        <v>4544.7209302325582</v>
      </c>
      <c r="I51" s="475">
        <f t="shared" si="18"/>
        <v>0</v>
      </c>
      <c r="J51" s="475"/>
      <c r="K51" s="487"/>
      <c r="L51" s="478">
        <f t="shared" si="19"/>
        <v>0</v>
      </c>
      <c r="M51" s="487"/>
      <c r="N51" s="478">
        <f t="shared" si="20"/>
        <v>0</v>
      </c>
      <c r="O51" s="478">
        <f t="shared" si="21"/>
        <v>0</v>
      </c>
      <c r="P51" s="242"/>
    </row>
    <row r="52" spans="2:16" ht="12.5">
      <c r="B52" s="160" t="str">
        <f t="shared" si="6"/>
        <v/>
      </c>
      <c r="C52" s="472">
        <f>IF(D11="","-",+C51+1)</f>
        <v>2045</v>
      </c>
      <c r="D52" s="485">
        <f>IF(F51+SUM(E$17:E51)=D$10,F51,D$10-SUM(E$17:E51))</f>
        <v>21322.541929467319</v>
      </c>
      <c r="E52" s="484">
        <f>IF(+I14&lt;F51,I14,D52)</f>
        <v>2245.7209302325582</v>
      </c>
      <c r="F52" s="485">
        <f t="shared" si="17"/>
        <v>19076.820999234762</v>
      </c>
      <c r="G52" s="486">
        <f t="shared" si="15"/>
        <v>4302.7209302325582</v>
      </c>
      <c r="H52" s="455">
        <f t="shared" si="16"/>
        <v>4302.7209302325582</v>
      </c>
      <c r="I52" s="475">
        <f t="shared" si="18"/>
        <v>0</v>
      </c>
      <c r="J52" s="475"/>
      <c r="K52" s="487"/>
      <c r="L52" s="478">
        <f t="shared" si="19"/>
        <v>0</v>
      </c>
      <c r="M52" s="487"/>
      <c r="N52" s="478">
        <f t="shared" si="20"/>
        <v>0</v>
      </c>
      <c r="O52" s="478">
        <f t="shared" si="21"/>
        <v>0</v>
      </c>
      <c r="P52" s="242"/>
    </row>
    <row r="53" spans="2:16" ht="12.5">
      <c r="B53" s="160" t="str">
        <f t="shared" si="6"/>
        <v/>
      </c>
      <c r="C53" s="472">
        <f>IF(D11="","-",+C52+1)</f>
        <v>2046</v>
      </c>
      <c r="D53" s="485">
        <f>IF(F52+SUM(E$17:E52)=D$10,F52,D$10-SUM(E$17:E52))</f>
        <v>19076.820999234762</v>
      </c>
      <c r="E53" s="484">
        <f>IF(+I14&lt;F52,I14,D53)</f>
        <v>2245.7209302325582</v>
      </c>
      <c r="F53" s="485">
        <f t="shared" si="17"/>
        <v>16831.100069002205</v>
      </c>
      <c r="G53" s="486">
        <f t="shared" si="15"/>
        <v>4060.7209302325582</v>
      </c>
      <c r="H53" s="455">
        <f t="shared" si="16"/>
        <v>4060.7209302325582</v>
      </c>
      <c r="I53" s="475">
        <f t="shared" si="18"/>
        <v>0</v>
      </c>
      <c r="J53" s="475"/>
      <c r="K53" s="487"/>
      <c r="L53" s="478">
        <f t="shared" si="19"/>
        <v>0</v>
      </c>
      <c r="M53" s="487"/>
      <c r="N53" s="478">
        <f t="shared" si="20"/>
        <v>0</v>
      </c>
      <c r="O53" s="478">
        <f t="shared" si="21"/>
        <v>0</v>
      </c>
      <c r="P53" s="242"/>
    </row>
    <row r="54" spans="2:16" ht="12.5">
      <c r="B54" s="160" t="str">
        <f t="shared" si="6"/>
        <v/>
      </c>
      <c r="C54" s="472">
        <f>IF(D11="","-",+C53+1)</f>
        <v>2047</v>
      </c>
      <c r="D54" s="485">
        <f>IF(F53+SUM(E$17:E53)=D$10,F53,D$10-SUM(E$17:E53))</f>
        <v>16831.100069002205</v>
      </c>
      <c r="E54" s="484">
        <f>IF(+I14&lt;F53,I14,D54)</f>
        <v>2245.7209302325582</v>
      </c>
      <c r="F54" s="485">
        <f t="shared" si="17"/>
        <v>14585.379138769647</v>
      </c>
      <c r="G54" s="486">
        <f t="shared" si="15"/>
        <v>3818.7209302325582</v>
      </c>
      <c r="H54" s="455">
        <f t="shared" si="16"/>
        <v>3818.7209302325582</v>
      </c>
      <c r="I54" s="475">
        <f t="shared" si="18"/>
        <v>0</v>
      </c>
      <c r="J54" s="475"/>
      <c r="K54" s="487"/>
      <c r="L54" s="478">
        <f t="shared" si="19"/>
        <v>0</v>
      </c>
      <c r="M54" s="487"/>
      <c r="N54" s="478">
        <f t="shared" si="20"/>
        <v>0</v>
      </c>
      <c r="O54" s="478">
        <f t="shared" si="21"/>
        <v>0</v>
      </c>
      <c r="P54" s="242"/>
    </row>
    <row r="55" spans="2:16" ht="12.5">
      <c r="B55" s="160" t="str">
        <f t="shared" si="6"/>
        <v/>
      </c>
      <c r="C55" s="472">
        <f>IF(D11="","-",+C54+1)</f>
        <v>2048</v>
      </c>
      <c r="D55" s="485">
        <f>IF(F54+SUM(E$17:E54)=D$10,F54,D$10-SUM(E$17:E54))</f>
        <v>14585.379138769647</v>
      </c>
      <c r="E55" s="484">
        <f>IF(+I14&lt;F54,I14,D55)</f>
        <v>2245.7209302325582</v>
      </c>
      <c r="F55" s="485">
        <f t="shared" si="17"/>
        <v>12339.65820853709</v>
      </c>
      <c r="G55" s="486">
        <f t="shared" si="15"/>
        <v>3575.7209302325582</v>
      </c>
      <c r="H55" s="455">
        <f t="shared" si="16"/>
        <v>3575.7209302325582</v>
      </c>
      <c r="I55" s="475">
        <f t="shared" si="18"/>
        <v>0</v>
      </c>
      <c r="J55" s="475"/>
      <c r="K55" s="487"/>
      <c r="L55" s="478">
        <f t="shared" si="19"/>
        <v>0</v>
      </c>
      <c r="M55" s="487"/>
      <c r="N55" s="478">
        <f t="shared" si="20"/>
        <v>0</v>
      </c>
      <c r="O55" s="478">
        <f t="shared" si="21"/>
        <v>0</v>
      </c>
      <c r="P55" s="242"/>
    </row>
    <row r="56" spans="2:16" ht="12.5">
      <c r="B56" s="160" t="str">
        <f t="shared" si="6"/>
        <v/>
      </c>
      <c r="C56" s="472">
        <f>IF(D11="","-",+C55+1)</f>
        <v>2049</v>
      </c>
      <c r="D56" s="485">
        <f>IF(F55+SUM(E$17:E55)=D$10,F55,D$10-SUM(E$17:E55))</f>
        <v>12339.65820853709</v>
      </c>
      <c r="E56" s="484">
        <f>IF(+I14&lt;F55,I14,D56)</f>
        <v>2245.7209302325582</v>
      </c>
      <c r="F56" s="485">
        <f t="shared" si="17"/>
        <v>10093.937278304533</v>
      </c>
      <c r="G56" s="486">
        <f t="shared" si="15"/>
        <v>3333.7209302325582</v>
      </c>
      <c r="H56" s="455">
        <f t="shared" si="16"/>
        <v>3333.7209302325582</v>
      </c>
      <c r="I56" s="475">
        <f t="shared" si="18"/>
        <v>0</v>
      </c>
      <c r="J56" s="475"/>
      <c r="K56" s="487"/>
      <c r="L56" s="478">
        <f t="shared" si="19"/>
        <v>0</v>
      </c>
      <c r="M56" s="487"/>
      <c r="N56" s="478">
        <f t="shared" si="20"/>
        <v>0</v>
      </c>
      <c r="O56" s="478">
        <f t="shared" si="21"/>
        <v>0</v>
      </c>
      <c r="P56" s="242"/>
    </row>
    <row r="57" spans="2:16" ht="12.5">
      <c r="B57" s="160" t="str">
        <f t="shared" si="6"/>
        <v/>
      </c>
      <c r="C57" s="472">
        <f>IF(D11="","-",+C56+1)</f>
        <v>2050</v>
      </c>
      <c r="D57" s="485">
        <f>IF(F56+SUM(E$17:E56)=D$10,F56,D$10-SUM(E$17:E56))</f>
        <v>10093.937278304533</v>
      </c>
      <c r="E57" s="484">
        <f>IF(+I14&lt;F56,I14,D57)</f>
        <v>2245.7209302325582</v>
      </c>
      <c r="F57" s="485">
        <f t="shared" si="17"/>
        <v>7848.2163480719746</v>
      </c>
      <c r="G57" s="486">
        <f t="shared" si="15"/>
        <v>3091.7209302325582</v>
      </c>
      <c r="H57" s="455">
        <f t="shared" si="16"/>
        <v>3091.7209302325582</v>
      </c>
      <c r="I57" s="475">
        <f t="shared" si="18"/>
        <v>0</v>
      </c>
      <c r="J57" s="475"/>
      <c r="K57" s="487"/>
      <c r="L57" s="478">
        <f t="shared" si="19"/>
        <v>0</v>
      </c>
      <c r="M57" s="487"/>
      <c r="N57" s="478">
        <f t="shared" si="20"/>
        <v>0</v>
      </c>
      <c r="O57" s="478">
        <f t="shared" si="21"/>
        <v>0</v>
      </c>
      <c r="P57" s="242"/>
    </row>
    <row r="58" spans="2:16" ht="12.5">
      <c r="B58" s="160" t="str">
        <f t="shared" si="6"/>
        <v/>
      </c>
      <c r="C58" s="472">
        <f>IF(D11="","-",+C57+1)</f>
        <v>2051</v>
      </c>
      <c r="D58" s="485">
        <f>IF(F57+SUM(E$17:E57)=D$10,F57,D$10-SUM(E$17:E57))</f>
        <v>7848.2163480719746</v>
      </c>
      <c r="E58" s="484">
        <f>IF(+I14&lt;F57,I14,D58)</f>
        <v>2245.7209302325582</v>
      </c>
      <c r="F58" s="485">
        <f t="shared" si="17"/>
        <v>5602.4954178394164</v>
      </c>
      <c r="G58" s="486">
        <f t="shared" si="15"/>
        <v>2849.7209302325582</v>
      </c>
      <c r="H58" s="455">
        <f t="shared" si="16"/>
        <v>2849.7209302325582</v>
      </c>
      <c r="I58" s="475">
        <f t="shared" si="18"/>
        <v>0</v>
      </c>
      <c r="J58" s="475"/>
      <c r="K58" s="487"/>
      <c r="L58" s="478">
        <f t="shared" si="19"/>
        <v>0</v>
      </c>
      <c r="M58" s="487"/>
      <c r="N58" s="478">
        <f t="shared" si="20"/>
        <v>0</v>
      </c>
      <c r="O58" s="478">
        <f t="shared" si="21"/>
        <v>0</v>
      </c>
      <c r="P58" s="242"/>
    </row>
    <row r="59" spans="2:16" ht="12.5">
      <c r="B59" s="160" t="str">
        <f t="shared" si="6"/>
        <v/>
      </c>
      <c r="C59" s="472">
        <f>IF(D11="","-",+C58+1)</f>
        <v>2052</v>
      </c>
      <c r="D59" s="485">
        <f>IF(F58+SUM(E$17:E58)=D$10,F58,D$10-SUM(E$17:E58))</f>
        <v>5602.4954178394164</v>
      </c>
      <c r="E59" s="484">
        <f>IF(+I14&lt;F58,I14,D59)</f>
        <v>2245.7209302325582</v>
      </c>
      <c r="F59" s="485">
        <f t="shared" si="17"/>
        <v>3356.7744876068582</v>
      </c>
      <c r="G59" s="486">
        <f t="shared" si="15"/>
        <v>2607.7209302325582</v>
      </c>
      <c r="H59" s="455">
        <f t="shared" si="16"/>
        <v>2607.7209302325582</v>
      </c>
      <c r="I59" s="475">
        <f t="shared" si="18"/>
        <v>0</v>
      </c>
      <c r="J59" s="475"/>
      <c r="K59" s="487"/>
      <c r="L59" s="478">
        <f t="shared" si="19"/>
        <v>0</v>
      </c>
      <c r="M59" s="487"/>
      <c r="N59" s="478">
        <f t="shared" si="20"/>
        <v>0</v>
      </c>
      <c r="O59" s="478">
        <f t="shared" si="21"/>
        <v>0</v>
      </c>
      <c r="P59" s="242"/>
    </row>
    <row r="60" spans="2:16" ht="12.5">
      <c r="B60" s="160" t="str">
        <f t="shared" si="6"/>
        <v>IU</v>
      </c>
      <c r="C60" s="472">
        <f>IF(D11="","-",+C59+1)</f>
        <v>2053</v>
      </c>
      <c r="D60" s="485">
        <f>IF(F59+SUM(E$17:E59)=D$10,F59,D$10-SUM(E$17:E59))</f>
        <v>3356.7744876068027</v>
      </c>
      <c r="E60" s="484">
        <f>IF(+I14&lt;F59,I14,D60)</f>
        <v>2245.7209302325582</v>
      </c>
      <c r="F60" s="485">
        <f t="shared" si="17"/>
        <v>1111.0535573742445</v>
      </c>
      <c r="G60" s="486">
        <f t="shared" si="15"/>
        <v>2365.7209302325582</v>
      </c>
      <c r="H60" s="455">
        <f t="shared" si="16"/>
        <v>2365.7209302325582</v>
      </c>
      <c r="I60" s="475">
        <f t="shared" si="18"/>
        <v>0</v>
      </c>
      <c r="J60" s="475"/>
      <c r="K60" s="487"/>
      <c r="L60" s="478">
        <f t="shared" si="19"/>
        <v>0</v>
      </c>
      <c r="M60" s="487"/>
      <c r="N60" s="478">
        <f t="shared" si="20"/>
        <v>0</v>
      </c>
      <c r="O60" s="478">
        <f t="shared" si="21"/>
        <v>0</v>
      </c>
      <c r="P60" s="242"/>
    </row>
    <row r="61" spans="2:16" ht="12.5">
      <c r="B61" s="160" t="str">
        <f t="shared" si="6"/>
        <v/>
      </c>
      <c r="C61" s="472">
        <f>IF(D11="","-",+C60+1)</f>
        <v>2054</v>
      </c>
      <c r="D61" s="485">
        <f>IF(F60+SUM(E$17:E60)=D$10,F60,D$10-SUM(E$17:E60))</f>
        <v>1111.0535573742445</v>
      </c>
      <c r="E61" s="484">
        <f>IF(+I14&lt;F60,I14,D61)</f>
        <v>1111.0535573742445</v>
      </c>
      <c r="F61" s="485">
        <f t="shared" si="17"/>
        <v>0</v>
      </c>
      <c r="G61" s="488">
        <f t="shared" si="15"/>
        <v>1111.0535573742445</v>
      </c>
      <c r="H61" s="455">
        <f t="shared" si="16"/>
        <v>1111.0535573742445</v>
      </c>
      <c r="I61" s="475">
        <f t="shared" si="18"/>
        <v>0</v>
      </c>
      <c r="J61" s="475"/>
      <c r="K61" s="487"/>
      <c r="L61" s="478">
        <f t="shared" si="19"/>
        <v>0</v>
      </c>
      <c r="M61" s="487"/>
      <c r="N61" s="478">
        <f t="shared" si="20"/>
        <v>0</v>
      </c>
      <c r="O61" s="478">
        <f t="shared" si="21"/>
        <v>0</v>
      </c>
      <c r="P61" s="242"/>
    </row>
    <row r="62" spans="2:16" ht="12.5">
      <c r="B62" s="160" t="str">
        <f t="shared" si="6"/>
        <v/>
      </c>
      <c r="C62" s="472">
        <f>IF(D11="","-",+C61+1)</f>
        <v>2055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17"/>
        <v>0</v>
      </c>
      <c r="G62" s="488">
        <f t="shared" si="15"/>
        <v>0</v>
      </c>
      <c r="H62" s="455">
        <f t="shared" si="16"/>
        <v>0</v>
      </c>
      <c r="I62" s="475">
        <f t="shared" si="18"/>
        <v>0</v>
      </c>
      <c r="J62" s="475"/>
      <c r="K62" s="487"/>
      <c r="L62" s="478">
        <f t="shared" si="19"/>
        <v>0</v>
      </c>
      <c r="M62" s="487"/>
      <c r="N62" s="478">
        <f t="shared" si="20"/>
        <v>0</v>
      </c>
      <c r="O62" s="478">
        <f t="shared" si="21"/>
        <v>0</v>
      </c>
      <c r="P62" s="242"/>
    </row>
    <row r="63" spans="2:16" ht="12.5">
      <c r="B63" s="160" t="str">
        <f t="shared" si="6"/>
        <v/>
      </c>
      <c r="C63" s="472">
        <f>IF(D11="","-",+C62+1)</f>
        <v>2056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7"/>
        <v>0</v>
      </c>
      <c r="G63" s="488">
        <f t="shared" si="15"/>
        <v>0</v>
      </c>
      <c r="H63" s="455">
        <f t="shared" si="16"/>
        <v>0</v>
      </c>
      <c r="I63" s="475">
        <f t="shared" si="18"/>
        <v>0</v>
      </c>
      <c r="J63" s="475"/>
      <c r="K63" s="487"/>
      <c r="L63" s="478">
        <f t="shared" si="19"/>
        <v>0</v>
      </c>
      <c r="M63" s="487"/>
      <c r="N63" s="478">
        <f t="shared" si="20"/>
        <v>0</v>
      </c>
      <c r="O63" s="478">
        <f t="shared" si="21"/>
        <v>0</v>
      </c>
      <c r="P63" s="242"/>
    </row>
    <row r="64" spans="2:16" ht="12.5">
      <c r="B64" s="160" t="str">
        <f t="shared" si="6"/>
        <v/>
      </c>
      <c r="C64" s="472">
        <f>IF(D11="","-",+C63+1)</f>
        <v>2057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7"/>
        <v>0</v>
      </c>
      <c r="G64" s="488">
        <f t="shared" si="15"/>
        <v>0</v>
      </c>
      <c r="H64" s="455">
        <f t="shared" si="16"/>
        <v>0</v>
      </c>
      <c r="I64" s="475">
        <f t="shared" si="18"/>
        <v>0</v>
      </c>
      <c r="J64" s="475"/>
      <c r="K64" s="487"/>
      <c r="L64" s="478">
        <f t="shared" si="19"/>
        <v>0</v>
      </c>
      <c r="M64" s="487"/>
      <c r="N64" s="478">
        <f t="shared" si="20"/>
        <v>0</v>
      </c>
      <c r="O64" s="478">
        <f t="shared" si="21"/>
        <v>0</v>
      </c>
      <c r="P64" s="242"/>
    </row>
    <row r="65" spans="2:16" ht="12.5">
      <c r="B65" s="565" t="str">
        <f t="shared" si="6"/>
        <v/>
      </c>
      <c r="C65" s="472">
        <f>IF(D11="","-",+C64+1)</f>
        <v>2058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7"/>
        <v>0</v>
      </c>
      <c r="G65" s="488">
        <f t="shared" si="15"/>
        <v>0</v>
      </c>
      <c r="H65" s="455">
        <f t="shared" si="16"/>
        <v>0</v>
      </c>
      <c r="I65" s="475">
        <f t="shared" si="18"/>
        <v>0</v>
      </c>
      <c r="J65" s="475"/>
      <c r="K65" s="487"/>
      <c r="L65" s="478">
        <f t="shared" si="19"/>
        <v>0</v>
      </c>
      <c r="M65" s="487"/>
      <c r="N65" s="478">
        <f t="shared" si="20"/>
        <v>0</v>
      </c>
      <c r="O65" s="478">
        <f t="shared" si="21"/>
        <v>0</v>
      </c>
      <c r="P65" s="242"/>
    </row>
    <row r="66" spans="2:16" ht="12.5">
      <c r="B66" s="160" t="str">
        <f t="shared" si="6"/>
        <v/>
      </c>
      <c r="C66" s="472">
        <f>IF(D11="","-",+C65+1)</f>
        <v>2059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7"/>
        <v>0</v>
      </c>
      <c r="G66" s="488">
        <f t="shared" si="15"/>
        <v>0</v>
      </c>
      <c r="H66" s="455">
        <f t="shared" si="16"/>
        <v>0</v>
      </c>
      <c r="I66" s="475">
        <f t="shared" si="18"/>
        <v>0</v>
      </c>
      <c r="J66" s="475"/>
      <c r="K66" s="487"/>
      <c r="L66" s="478">
        <f t="shared" si="19"/>
        <v>0</v>
      </c>
      <c r="M66" s="487"/>
      <c r="N66" s="478">
        <f t="shared" si="20"/>
        <v>0</v>
      </c>
      <c r="O66" s="478">
        <f t="shared" si="21"/>
        <v>0</v>
      </c>
      <c r="P66" s="242"/>
    </row>
    <row r="67" spans="2:16" ht="12.5">
      <c r="B67" s="160" t="str">
        <f t="shared" si="6"/>
        <v/>
      </c>
      <c r="C67" s="472">
        <f>IF(D11="","-",+C66+1)</f>
        <v>2060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7"/>
        <v>0</v>
      </c>
      <c r="G67" s="488">
        <f t="shared" si="15"/>
        <v>0</v>
      </c>
      <c r="H67" s="455">
        <f t="shared" si="16"/>
        <v>0</v>
      </c>
      <c r="I67" s="475">
        <f t="shared" si="18"/>
        <v>0</v>
      </c>
      <c r="J67" s="475"/>
      <c r="K67" s="487"/>
      <c r="L67" s="478">
        <f t="shared" si="19"/>
        <v>0</v>
      </c>
      <c r="M67" s="487"/>
      <c r="N67" s="478">
        <f t="shared" si="20"/>
        <v>0</v>
      </c>
      <c r="O67" s="478">
        <f t="shared" si="21"/>
        <v>0</v>
      </c>
      <c r="P67" s="242"/>
    </row>
    <row r="68" spans="2:16" ht="12.5">
      <c r="B68" s="160" t="str">
        <f t="shared" si="6"/>
        <v/>
      </c>
      <c r="C68" s="472">
        <f>IF(D11="","-",+C67+1)</f>
        <v>2061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7"/>
        <v>0</v>
      </c>
      <c r="G68" s="488">
        <f t="shared" si="15"/>
        <v>0</v>
      </c>
      <c r="H68" s="455">
        <f t="shared" si="16"/>
        <v>0</v>
      </c>
      <c r="I68" s="475">
        <f t="shared" si="18"/>
        <v>0</v>
      </c>
      <c r="J68" s="475"/>
      <c r="K68" s="487"/>
      <c r="L68" s="478">
        <f t="shared" si="19"/>
        <v>0</v>
      </c>
      <c r="M68" s="487"/>
      <c r="N68" s="478">
        <f t="shared" si="20"/>
        <v>0</v>
      </c>
      <c r="O68" s="478">
        <f t="shared" si="21"/>
        <v>0</v>
      </c>
      <c r="P68" s="242"/>
    </row>
    <row r="69" spans="2:16" ht="12.5">
      <c r="B69" s="160" t="str">
        <f t="shared" si="6"/>
        <v/>
      </c>
      <c r="C69" s="472">
        <f>IF(D11="","-",+C68+1)</f>
        <v>2062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7"/>
        <v>0</v>
      </c>
      <c r="G69" s="488">
        <f t="shared" si="15"/>
        <v>0</v>
      </c>
      <c r="H69" s="455">
        <f t="shared" si="16"/>
        <v>0</v>
      </c>
      <c r="I69" s="475">
        <f t="shared" si="18"/>
        <v>0</v>
      </c>
      <c r="J69" s="475"/>
      <c r="K69" s="487"/>
      <c r="L69" s="478">
        <f t="shared" si="19"/>
        <v>0</v>
      </c>
      <c r="M69" s="487"/>
      <c r="N69" s="478">
        <f t="shared" si="20"/>
        <v>0</v>
      </c>
      <c r="O69" s="478">
        <f t="shared" si="21"/>
        <v>0</v>
      </c>
      <c r="P69" s="242"/>
    </row>
    <row r="70" spans="2:16" ht="12.5">
      <c r="B70" s="160" t="str">
        <f t="shared" si="6"/>
        <v/>
      </c>
      <c r="C70" s="472">
        <f>IF(D11="","-",+C69+1)</f>
        <v>2063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7"/>
        <v>0</v>
      </c>
      <c r="G70" s="488">
        <f t="shared" si="15"/>
        <v>0</v>
      </c>
      <c r="H70" s="455">
        <f t="shared" si="16"/>
        <v>0</v>
      </c>
      <c r="I70" s="475">
        <f t="shared" si="18"/>
        <v>0</v>
      </c>
      <c r="J70" s="475"/>
      <c r="K70" s="487"/>
      <c r="L70" s="478">
        <f t="shared" si="19"/>
        <v>0</v>
      </c>
      <c r="M70" s="487"/>
      <c r="N70" s="478">
        <f t="shared" si="20"/>
        <v>0</v>
      </c>
      <c r="O70" s="478">
        <f t="shared" si="21"/>
        <v>0</v>
      </c>
      <c r="P70" s="242"/>
    </row>
    <row r="71" spans="2:16" ht="12.5">
      <c r="B71" s="160" t="str">
        <f t="shared" si="6"/>
        <v/>
      </c>
      <c r="C71" s="472">
        <f>IF(D11="","-",+C70+1)</f>
        <v>2064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7"/>
        <v>0</v>
      </c>
      <c r="G71" s="488">
        <f t="shared" si="15"/>
        <v>0</v>
      </c>
      <c r="H71" s="455">
        <f t="shared" si="16"/>
        <v>0</v>
      </c>
      <c r="I71" s="475">
        <f t="shared" si="18"/>
        <v>0</v>
      </c>
      <c r="J71" s="475"/>
      <c r="K71" s="487"/>
      <c r="L71" s="478">
        <f t="shared" si="19"/>
        <v>0</v>
      </c>
      <c r="M71" s="487"/>
      <c r="N71" s="478">
        <f t="shared" si="20"/>
        <v>0</v>
      </c>
      <c r="O71" s="478">
        <f t="shared" si="21"/>
        <v>0</v>
      </c>
      <c r="P71" s="242"/>
    </row>
    <row r="72" spans="2:16" ht="13" thickBot="1">
      <c r="B72" s="160" t="str">
        <f t="shared" si="6"/>
        <v/>
      </c>
      <c r="C72" s="489">
        <f>IF(D11="","-",+C71+1)</f>
        <v>2065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7"/>
        <v>0</v>
      </c>
      <c r="G72" s="492">
        <f t="shared" si="15"/>
        <v>0</v>
      </c>
      <c r="H72" s="435">
        <f t="shared" si="16"/>
        <v>0</v>
      </c>
      <c r="I72" s="493">
        <f t="shared" si="18"/>
        <v>0</v>
      </c>
      <c r="J72" s="475"/>
      <c r="K72" s="494"/>
      <c r="L72" s="495">
        <f t="shared" si="19"/>
        <v>0</v>
      </c>
      <c r="M72" s="494"/>
      <c r="N72" s="495">
        <f t="shared" si="20"/>
        <v>0</v>
      </c>
      <c r="O72" s="495">
        <f t="shared" si="21"/>
        <v>0</v>
      </c>
      <c r="P72" s="242"/>
    </row>
    <row r="73" spans="2:16" ht="12.5">
      <c r="C73" s="346" t="s">
        <v>77</v>
      </c>
      <c r="D73" s="347"/>
      <c r="E73" s="347">
        <f>SUM(E17:E72)</f>
        <v>96566</v>
      </c>
      <c r="F73" s="347"/>
      <c r="G73" s="347">
        <f>SUM(G17:G72)</f>
        <v>360146.73711587104</v>
      </c>
      <c r="H73" s="347">
        <f>SUM(H17:H72)</f>
        <v>360146.73711587104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10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11204.44220775155</v>
      </c>
      <c r="N87" s="508">
        <f>IF(J92&lt;D11,0,VLOOKUP(J92,C17:O72,11))</f>
        <v>11204.44220775155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10471.414334884656</v>
      </c>
      <c r="N88" s="512">
        <f>IF(J92&lt;D11,0,VLOOKUP(J92,C99:P154,7))</f>
        <v>10471.414334884656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Wavetrap Clinton City-Foss Tap 69kV Ckt 1*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-733.02787286689454</v>
      </c>
      <c r="N89" s="517">
        <f>+N88-N87</f>
        <v>-733.02787286689454</v>
      </c>
      <c r="O89" s="518">
        <f>+O88-O87</f>
        <v>0</v>
      </c>
      <c r="P89" s="232"/>
    </row>
    <row r="90" spans="1:16" ht="13.5" thickBot="1">
      <c r="C90" s="496"/>
      <c r="D90" s="519" t="str">
        <f>D8</f>
        <v>DOES NOT MEET SPP $100,000 MINIMUM INVESTMENT FOR REGIONAL BPU SHARING.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TP2009011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96566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2010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2355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2010</v>
      </c>
      <c r="D99" s="473">
        <v>0</v>
      </c>
      <c r="E99" s="480">
        <v>946.5</v>
      </c>
      <c r="F99" s="479">
        <v>95619.5</v>
      </c>
      <c r="G99" s="537">
        <v>47809.75</v>
      </c>
      <c r="H99" s="538">
        <v>8635.0355480484341</v>
      </c>
      <c r="I99" s="539">
        <v>8635.0355480484341</v>
      </c>
      <c r="J99" s="478">
        <f t="shared" ref="J99:J130" si="22">+I99-H99</f>
        <v>0</v>
      </c>
      <c r="K99" s="478"/>
      <c r="L99" s="567">
        <f t="shared" ref="L99:L104" si="23">H99</f>
        <v>8635.0355480484341</v>
      </c>
      <c r="M99" s="568">
        <f t="shared" ref="M99:M130" si="24">IF(L99&lt;&gt;0,+H99-L99,0)</f>
        <v>0</v>
      </c>
      <c r="N99" s="567">
        <f t="shared" ref="N99:N104" si="25">I99</f>
        <v>8635.0355480484341</v>
      </c>
      <c r="O99" s="477">
        <f t="shared" ref="O99:O130" si="26">IF(N99&lt;&gt;0,+I99-N99,0)</f>
        <v>0</v>
      </c>
      <c r="P99" s="477">
        <f t="shared" ref="P99:P130" si="27">+O99-M99</f>
        <v>0</v>
      </c>
    </row>
    <row r="100" spans="1:16" ht="12.5">
      <c r="B100" s="160" t="str">
        <f>IF(D100=F99,"","IU")</f>
        <v/>
      </c>
      <c r="C100" s="472">
        <f>IF(D93="","-",+C99+1)</f>
        <v>2011</v>
      </c>
      <c r="D100" s="473">
        <v>95619.5</v>
      </c>
      <c r="E100" s="480">
        <v>1857</v>
      </c>
      <c r="F100" s="479">
        <v>93762.5</v>
      </c>
      <c r="G100" s="479">
        <v>94691</v>
      </c>
      <c r="H100" s="480">
        <v>15096.07425133265</v>
      </c>
      <c r="I100" s="481">
        <v>15096.07425133265</v>
      </c>
      <c r="J100" s="478">
        <f t="shared" si="22"/>
        <v>0</v>
      </c>
      <c r="K100" s="478"/>
      <c r="L100" s="540">
        <f t="shared" si="23"/>
        <v>15096.07425133265</v>
      </c>
      <c r="M100" s="541">
        <f t="shared" si="24"/>
        <v>0</v>
      </c>
      <c r="N100" s="540">
        <f t="shared" si="25"/>
        <v>15096.07425133265</v>
      </c>
      <c r="O100" s="478">
        <f t="shared" si="26"/>
        <v>0</v>
      </c>
      <c r="P100" s="478">
        <f t="shared" si="27"/>
        <v>0</v>
      </c>
    </row>
    <row r="101" spans="1:16" ht="12.5">
      <c r="B101" s="160" t="str">
        <f t="shared" ref="B101:B154" si="28">IF(D101=F100,"","IU")</f>
        <v/>
      </c>
      <c r="C101" s="472">
        <f>IF(D93="","-",+C100+1)</f>
        <v>2012</v>
      </c>
      <c r="D101" s="473">
        <v>93762.5</v>
      </c>
      <c r="E101" s="480">
        <v>1857</v>
      </c>
      <c r="F101" s="479">
        <v>91905.5</v>
      </c>
      <c r="G101" s="479">
        <v>92834</v>
      </c>
      <c r="H101" s="480">
        <v>15211.679797187964</v>
      </c>
      <c r="I101" s="481">
        <v>15211.679797187964</v>
      </c>
      <c r="J101" s="478">
        <v>0</v>
      </c>
      <c r="K101" s="478"/>
      <c r="L101" s="540">
        <f t="shared" si="23"/>
        <v>15211.679797187964</v>
      </c>
      <c r="M101" s="541">
        <f t="shared" ref="M101:M106" si="29">IF(L101&lt;&gt;0,+H101-L101,0)</f>
        <v>0</v>
      </c>
      <c r="N101" s="540">
        <f t="shared" si="25"/>
        <v>15211.679797187964</v>
      </c>
      <c r="O101" s="478">
        <f t="shared" ref="O101:O106" si="30">IF(N101&lt;&gt;0,+I101-N101,0)</f>
        <v>0</v>
      </c>
      <c r="P101" s="478">
        <f t="shared" ref="P101:P106" si="31">+O101-M101</f>
        <v>0</v>
      </c>
    </row>
    <row r="102" spans="1:16" ht="12.5">
      <c r="B102" s="160" t="str">
        <f t="shared" si="28"/>
        <v/>
      </c>
      <c r="C102" s="472">
        <f>IF(D93="","-",+C101+1)</f>
        <v>2013</v>
      </c>
      <c r="D102" s="473">
        <v>91905.5</v>
      </c>
      <c r="E102" s="480">
        <v>1857</v>
      </c>
      <c r="F102" s="479">
        <v>90048.5</v>
      </c>
      <c r="G102" s="479">
        <v>90977</v>
      </c>
      <c r="H102" s="480">
        <v>14952.192437840908</v>
      </c>
      <c r="I102" s="481">
        <v>14952.192437840908</v>
      </c>
      <c r="J102" s="478">
        <v>0</v>
      </c>
      <c r="K102" s="478"/>
      <c r="L102" s="540">
        <f t="shared" si="23"/>
        <v>14952.192437840908</v>
      </c>
      <c r="M102" s="541">
        <f t="shared" si="29"/>
        <v>0</v>
      </c>
      <c r="N102" s="540">
        <f t="shared" si="25"/>
        <v>14952.192437840908</v>
      </c>
      <c r="O102" s="478">
        <f t="shared" si="30"/>
        <v>0</v>
      </c>
      <c r="P102" s="478">
        <f t="shared" si="31"/>
        <v>0</v>
      </c>
    </row>
    <row r="103" spans="1:16" ht="12.5">
      <c r="B103" s="160" t="str">
        <f t="shared" si="28"/>
        <v/>
      </c>
      <c r="C103" s="472">
        <f>IF(D93="","-",+C102+1)</f>
        <v>2014</v>
      </c>
      <c r="D103" s="473">
        <v>90048.5</v>
      </c>
      <c r="E103" s="480">
        <v>1857</v>
      </c>
      <c r="F103" s="479">
        <v>88191.5</v>
      </c>
      <c r="G103" s="479">
        <v>89120</v>
      </c>
      <c r="H103" s="480">
        <v>14386.907699066522</v>
      </c>
      <c r="I103" s="481">
        <v>14386.907699066522</v>
      </c>
      <c r="J103" s="478">
        <v>0</v>
      </c>
      <c r="K103" s="478"/>
      <c r="L103" s="540">
        <f t="shared" si="23"/>
        <v>14386.907699066522</v>
      </c>
      <c r="M103" s="541">
        <f t="shared" si="29"/>
        <v>0</v>
      </c>
      <c r="N103" s="540">
        <f t="shared" si="25"/>
        <v>14386.907699066522</v>
      </c>
      <c r="O103" s="478">
        <f t="shared" si="30"/>
        <v>0</v>
      </c>
      <c r="P103" s="478">
        <f t="shared" si="31"/>
        <v>0</v>
      </c>
    </row>
    <row r="104" spans="1:16" ht="12.5">
      <c r="B104" s="160" t="str">
        <f t="shared" si="28"/>
        <v/>
      </c>
      <c r="C104" s="472">
        <f>IF(D93="","-",+C103+1)</f>
        <v>2015</v>
      </c>
      <c r="D104" s="473">
        <v>88191.5</v>
      </c>
      <c r="E104" s="480">
        <v>1857</v>
      </c>
      <c r="F104" s="479">
        <v>86334.5</v>
      </c>
      <c r="G104" s="479">
        <v>87263</v>
      </c>
      <c r="H104" s="480">
        <v>13763.334720904193</v>
      </c>
      <c r="I104" s="481">
        <v>13763.334720904193</v>
      </c>
      <c r="J104" s="478">
        <f t="shared" si="22"/>
        <v>0</v>
      </c>
      <c r="K104" s="478"/>
      <c r="L104" s="540">
        <f t="shared" si="23"/>
        <v>13763.334720904193</v>
      </c>
      <c r="M104" s="541">
        <f t="shared" si="29"/>
        <v>0</v>
      </c>
      <c r="N104" s="540">
        <f t="shared" si="25"/>
        <v>13763.334720904193</v>
      </c>
      <c r="O104" s="478">
        <f t="shared" si="30"/>
        <v>0</v>
      </c>
      <c r="P104" s="478">
        <f t="shared" si="31"/>
        <v>0</v>
      </c>
    </row>
    <row r="105" spans="1:16" ht="12.5">
      <c r="B105" s="160" t="str">
        <f t="shared" si="28"/>
        <v/>
      </c>
      <c r="C105" s="472">
        <f>IF(D93="","-",+C104+1)</f>
        <v>2016</v>
      </c>
      <c r="D105" s="473">
        <v>86334.5</v>
      </c>
      <c r="E105" s="480">
        <v>2099</v>
      </c>
      <c r="F105" s="479">
        <v>84235.5</v>
      </c>
      <c r="G105" s="479">
        <v>85285</v>
      </c>
      <c r="H105" s="480">
        <v>13093.579642748955</v>
      </c>
      <c r="I105" s="481">
        <v>13093.579642748955</v>
      </c>
      <c r="J105" s="478">
        <f t="shared" si="22"/>
        <v>0</v>
      </c>
      <c r="K105" s="478"/>
      <c r="L105" s="540">
        <f>H105</f>
        <v>13093.579642748955</v>
      </c>
      <c r="M105" s="541">
        <f t="shared" si="29"/>
        <v>0</v>
      </c>
      <c r="N105" s="540">
        <f>I105</f>
        <v>13093.579642748955</v>
      </c>
      <c r="O105" s="478">
        <f t="shared" si="30"/>
        <v>0</v>
      </c>
      <c r="P105" s="478">
        <f t="shared" si="31"/>
        <v>0</v>
      </c>
    </row>
    <row r="106" spans="1:16" ht="12.5">
      <c r="B106" s="160" t="str">
        <f t="shared" si="28"/>
        <v/>
      </c>
      <c r="C106" s="472">
        <f>IF(D93="","-",+C105+1)</f>
        <v>2017</v>
      </c>
      <c r="D106" s="473">
        <v>84235.5</v>
      </c>
      <c r="E106" s="480">
        <v>2099</v>
      </c>
      <c r="F106" s="479">
        <v>82136.5</v>
      </c>
      <c r="G106" s="479">
        <v>83186</v>
      </c>
      <c r="H106" s="480">
        <v>12651.353853573521</v>
      </c>
      <c r="I106" s="481">
        <v>12651.353853573521</v>
      </c>
      <c r="J106" s="478">
        <f t="shared" si="22"/>
        <v>0</v>
      </c>
      <c r="K106" s="478"/>
      <c r="L106" s="540">
        <f>H106</f>
        <v>12651.353853573521</v>
      </c>
      <c r="M106" s="541">
        <f t="shared" si="29"/>
        <v>0</v>
      </c>
      <c r="N106" s="540">
        <f>I106</f>
        <v>12651.353853573521</v>
      </c>
      <c r="O106" s="478">
        <f t="shared" si="30"/>
        <v>0</v>
      </c>
      <c r="P106" s="478">
        <f t="shared" si="31"/>
        <v>0</v>
      </c>
    </row>
    <row r="107" spans="1:16" ht="12.5">
      <c r="B107" s="160" t="str">
        <f t="shared" si="28"/>
        <v/>
      </c>
      <c r="C107" s="472">
        <f>IF(D93="","-",+C106+1)</f>
        <v>2018</v>
      </c>
      <c r="D107" s="473">
        <v>82136.5</v>
      </c>
      <c r="E107" s="480">
        <v>2246</v>
      </c>
      <c r="F107" s="479">
        <v>79890.5</v>
      </c>
      <c r="G107" s="479">
        <v>81013.5</v>
      </c>
      <c r="H107" s="480">
        <v>10568.967843132519</v>
      </c>
      <c r="I107" s="481">
        <v>10568.967843132519</v>
      </c>
      <c r="J107" s="478">
        <f t="shared" si="22"/>
        <v>0</v>
      </c>
      <c r="K107" s="478"/>
      <c r="L107" s="540">
        <f>H107</f>
        <v>10568.967843132519</v>
      </c>
      <c r="M107" s="541">
        <f t="shared" ref="M107" si="32">IF(L107&lt;&gt;0,+H107-L107,0)</f>
        <v>0</v>
      </c>
      <c r="N107" s="540">
        <f>I107</f>
        <v>10568.967843132519</v>
      </c>
      <c r="O107" s="478">
        <f t="shared" ref="O107" si="33">IF(N107&lt;&gt;0,+I107-N107,0)</f>
        <v>0</v>
      </c>
      <c r="P107" s="478">
        <f t="shared" ref="P107" si="34">+O107-M107</f>
        <v>0</v>
      </c>
    </row>
    <row r="108" spans="1:16" ht="12.5">
      <c r="B108" s="160" t="str">
        <f t="shared" si="28"/>
        <v/>
      </c>
      <c r="C108" s="472">
        <f>IF(D93="","-",+C107+1)</f>
        <v>2019</v>
      </c>
      <c r="D108" s="346">
        <f>IF(F107+SUM(E$99:E107)=D$92,F107,D$92-SUM(E$99:E107))</f>
        <v>79890.5</v>
      </c>
      <c r="E108" s="486">
        <f>IF(+J96&lt;F107,J96,D108)</f>
        <v>2355</v>
      </c>
      <c r="F108" s="485">
        <f t="shared" ref="F108:F129" si="35">+D108-E108</f>
        <v>77535.5</v>
      </c>
      <c r="G108" s="485">
        <f t="shared" ref="G108:G129" si="36">+(F108+D108)/2</f>
        <v>78713</v>
      </c>
      <c r="H108" s="488">
        <f t="shared" ref="H108:H130" si="37">+J$94*G108+E108</f>
        <v>10471.414334884656</v>
      </c>
      <c r="I108" s="542">
        <f t="shared" ref="I108:I130" si="38">+J$95*G108+E108</f>
        <v>10471.414334884656</v>
      </c>
      <c r="J108" s="478">
        <f t="shared" si="22"/>
        <v>0</v>
      </c>
      <c r="K108" s="478"/>
      <c r="L108" s="487"/>
      <c r="M108" s="478">
        <f t="shared" si="24"/>
        <v>0</v>
      </c>
      <c r="N108" s="487"/>
      <c r="O108" s="478">
        <f t="shared" si="26"/>
        <v>0</v>
      </c>
      <c r="P108" s="478">
        <f t="shared" si="27"/>
        <v>0</v>
      </c>
    </row>
    <row r="109" spans="1:16" ht="12.5">
      <c r="B109" s="160" t="str">
        <f t="shared" si="28"/>
        <v/>
      </c>
      <c r="C109" s="472">
        <f>IF(D93="","-",+C108+1)</f>
        <v>2020</v>
      </c>
      <c r="D109" s="346">
        <f>IF(F108+SUM(E$99:E108)=D$92,F108,D$92-SUM(E$99:E108))</f>
        <v>77535.5</v>
      </c>
      <c r="E109" s="486">
        <f>IF(+J96&lt;F108,J96,D109)</f>
        <v>2355</v>
      </c>
      <c r="F109" s="485">
        <f t="shared" si="35"/>
        <v>75180.5</v>
      </c>
      <c r="G109" s="485">
        <f t="shared" si="36"/>
        <v>76358</v>
      </c>
      <c r="H109" s="488">
        <f t="shared" si="37"/>
        <v>10228.580803464771</v>
      </c>
      <c r="I109" s="542">
        <f t="shared" si="38"/>
        <v>10228.580803464771</v>
      </c>
      <c r="J109" s="478">
        <f t="shared" si="22"/>
        <v>0</v>
      </c>
      <c r="K109" s="478"/>
      <c r="L109" s="487"/>
      <c r="M109" s="478">
        <f t="shared" si="24"/>
        <v>0</v>
      </c>
      <c r="N109" s="487"/>
      <c r="O109" s="478">
        <f t="shared" si="26"/>
        <v>0</v>
      </c>
      <c r="P109" s="478">
        <f t="shared" si="27"/>
        <v>0</v>
      </c>
    </row>
    <row r="110" spans="1:16" ht="12.5">
      <c r="B110" s="160" t="str">
        <f t="shared" si="28"/>
        <v/>
      </c>
      <c r="C110" s="472">
        <f>IF(D93="","-",+C109+1)</f>
        <v>2021</v>
      </c>
      <c r="D110" s="346">
        <f>IF(F109+SUM(E$99:E109)=D$92,F109,D$92-SUM(E$99:E109))</f>
        <v>75180.5</v>
      </c>
      <c r="E110" s="486">
        <f>IF(+J96&lt;F109,J96,D110)</f>
        <v>2355</v>
      </c>
      <c r="F110" s="485">
        <f t="shared" si="35"/>
        <v>72825.5</v>
      </c>
      <c r="G110" s="485">
        <f t="shared" si="36"/>
        <v>74003</v>
      </c>
      <c r="H110" s="488">
        <f t="shared" si="37"/>
        <v>9985.7472720448859</v>
      </c>
      <c r="I110" s="542">
        <f t="shared" si="38"/>
        <v>9985.7472720448859</v>
      </c>
      <c r="J110" s="478">
        <f t="shared" si="22"/>
        <v>0</v>
      </c>
      <c r="K110" s="478"/>
      <c r="L110" s="487"/>
      <c r="M110" s="478">
        <f t="shared" si="24"/>
        <v>0</v>
      </c>
      <c r="N110" s="487"/>
      <c r="O110" s="478">
        <f t="shared" si="26"/>
        <v>0</v>
      </c>
      <c r="P110" s="478">
        <f t="shared" si="27"/>
        <v>0</v>
      </c>
    </row>
    <row r="111" spans="1:16" ht="12.5">
      <c r="B111" s="160" t="str">
        <f t="shared" si="28"/>
        <v/>
      </c>
      <c r="C111" s="472">
        <f>IF(D93="","-",+C110+1)</f>
        <v>2022</v>
      </c>
      <c r="D111" s="346">
        <f>IF(F110+SUM(E$99:E110)=D$92,F110,D$92-SUM(E$99:E110))</f>
        <v>72825.5</v>
      </c>
      <c r="E111" s="486">
        <f>IF(+J96&lt;F110,J96,D111)</f>
        <v>2355</v>
      </c>
      <c r="F111" s="485">
        <f t="shared" si="35"/>
        <v>70470.5</v>
      </c>
      <c r="G111" s="485">
        <f t="shared" si="36"/>
        <v>71648</v>
      </c>
      <c r="H111" s="488">
        <f t="shared" si="37"/>
        <v>9742.9137406250011</v>
      </c>
      <c r="I111" s="542">
        <f t="shared" si="38"/>
        <v>9742.9137406250011</v>
      </c>
      <c r="J111" s="478">
        <f t="shared" si="22"/>
        <v>0</v>
      </c>
      <c r="K111" s="478"/>
      <c r="L111" s="487"/>
      <c r="M111" s="478">
        <f t="shared" si="24"/>
        <v>0</v>
      </c>
      <c r="N111" s="487"/>
      <c r="O111" s="478">
        <f t="shared" si="26"/>
        <v>0</v>
      </c>
      <c r="P111" s="478">
        <f t="shared" si="27"/>
        <v>0</v>
      </c>
    </row>
    <row r="112" spans="1:16" ht="12.5">
      <c r="B112" s="160" t="str">
        <f t="shared" si="28"/>
        <v/>
      </c>
      <c r="C112" s="472">
        <f>IF(D93="","-",+C111+1)</f>
        <v>2023</v>
      </c>
      <c r="D112" s="346">
        <f>IF(F111+SUM(E$99:E111)=D$92,F111,D$92-SUM(E$99:E111))</f>
        <v>70470.5</v>
      </c>
      <c r="E112" s="486">
        <f>IF(+J96&lt;F111,J96,D112)</f>
        <v>2355</v>
      </c>
      <c r="F112" s="485">
        <f t="shared" si="35"/>
        <v>68115.5</v>
      </c>
      <c r="G112" s="485">
        <f t="shared" si="36"/>
        <v>69293</v>
      </c>
      <c r="H112" s="488">
        <f t="shared" si="37"/>
        <v>9500.0802092051163</v>
      </c>
      <c r="I112" s="542">
        <f t="shared" si="38"/>
        <v>9500.0802092051163</v>
      </c>
      <c r="J112" s="478">
        <f t="shared" si="22"/>
        <v>0</v>
      </c>
      <c r="K112" s="478"/>
      <c r="L112" s="487"/>
      <c r="M112" s="478">
        <f t="shared" si="24"/>
        <v>0</v>
      </c>
      <c r="N112" s="487"/>
      <c r="O112" s="478">
        <f t="shared" si="26"/>
        <v>0</v>
      </c>
      <c r="P112" s="478">
        <f t="shared" si="27"/>
        <v>0</v>
      </c>
    </row>
    <row r="113" spans="2:16" ht="12.5">
      <c r="B113" s="160" t="str">
        <f t="shared" si="28"/>
        <v/>
      </c>
      <c r="C113" s="472">
        <f>IF(D93="","-",+C112+1)</f>
        <v>2024</v>
      </c>
      <c r="D113" s="346">
        <f>IF(F112+SUM(E$99:E112)=D$92,F112,D$92-SUM(E$99:E112))</f>
        <v>68115.5</v>
      </c>
      <c r="E113" s="486">
        <f>IF(+J96&lt;F112,J96,D113)</f>
        <v>2355</v>
      </c>
      <c r="F113" s="485">
        <f t="shared" si="35"/>
        <v>65760.5</v>
      </c>
      <c r="G113" s="485">
        <f t="shared" si="36"/>
        <v>66938</v>
      </c>
      <c r="H113" s="488">
        <f t="shared" si="37"/>
        <v>9257.2466777852314</v>
      </c>
      <c r="I113" s="542">
        <f t="shared" si="38"/>
        <v>9257.2466777852314</v>
      </c>
      <c r="J113" s="478">
        <f t="shared" si="22"/>
        <v>0</v>
      </c>
      <c r="K113" s="478"/>
      <c r="L113" s="487"/>
      <c r="M113" s="478">
        <f t="shared" si="24"/>
        <v>0</v>
      </c>
      <c r="N113" s="487"/>
      <c r="O113" s="478">
        <f t="shared" si="26"/>
        <v>0</v>
      </c>
      <c r="P113" s="478">
        <f t="shared" si="27"/>
        <v>0</v>
      </c>
    </row>
    <row r="114" spans="2:16" ht="12.5">
      <c r="B114" s="160" t="str">
        <f t="shared" si="28"/>
        <v/>
      </c>
      <c r="C114" s="472">
        <f>IF(D93="","-",+C113+1)</f>
        <v>2025</v>
      </c>
      <c r="D114" s="346">
        <f>IF(F113+SUM(E$99:E113)=D$92,F113,D$92-SUM(E$99:E113))</f>
        <v>65760.5</v>
      </c>
      <c r="E114" s="486">
        <f>IF(+J96&lt;F113,J96,D114)</f>
        <v>2355</v>
      </c>
      <c r="F114" s="485">
        <f t="shared" si="35"/>
        <v>63405.5</v>
      </c>
      <c r="G114" s="485">
        <f t="shared" si="36"/>
        <v>64583</v>
      </c>
      <c r="H114" s="488">
        <f t="shared" si="37"/>
        <v>9014.4131463653466</v>
      </c>
      <c r="I114" s="542">
        <f t="shared" si="38"/>
        <v>9014.4131463653466</v>
      </c>
      <c r="J114" s="478">
        <f t="shared" si="22"/>
        <v>0</v>
      </c>
      <c r="K114" s="478"/>
      <c r="L114" s="487"/>
      <c r="M114" s="478">
        <f t="shared" si="24"/>
        <v>0</v>
      </c>
      <c r="N114" s="487"/>
      <c r="O114" s="478">
        <f t="shared" si="26"/>
        <v>0</v>
      </c>
      <c r="P114" s="478">
        <f t="shared" si="27"/>
        <v>0</v>
      </c>
    </row>
    <row r="115" spans="2:16" ht="12.5">
      <c r="B115" s="160" t="str">
        <f t="shared" si="28"/>
        <v/>
      </c>
      <c r="C115" s="472">
        <f>IF(D93="","-",+C114+1)</f>
        <v>2026</v>
      </c>
      <c r="D115" s="346">
        <f>IF(F114+SUM(E$99:E114)=D$92,F114,D$92-SUM(E$99:E114))</f>
        <v>63405.5</v>
      </c>
      <c r="E115" s="486">
        <f>IF(+J96&lt;F114,J96,D115)</f>
        <v>2355</v>
      </c>
      <c r="F115" s="485">
        <f t="shared" si="35"/>
        <v>61050.5</v>
      </c>
      <c r="G115" s="485">
        <f t="shared" si="36"/>
        <v>62228</v>
      </c>
      <c r="H115" s="488">
        <f t="shared" si="37"/>
        <v>8771.5796149454636</v>
      </c>
      <c r="I115" s="542">
        <f t="shared" si="38"/>
        <v>8771.5796149454636</v>
      </c>
      <c r="J115" s="478">
        <f t="shared" si="22"/>
        <v>0</v>
      </c>
      <c r="K115" s="478"/>
      <c r="L115" s="487"/>
      <c r="M115" s="478">
        <f t="shared" si="24"/>
        <v>0</v>
      </c>
      <c r="N115" s="487"/>
      <c r="O115" s="478">
        <f t="shared" si="26"/>
        <v>0</v>
      </c>
      <c r="P115" s="478">
        <f t="shared" si="27"/>
        <v>0</v>
      </c>
    </row>
    <row r="116" spans="2:16" ht="12.5">
      <c r="B116" s="160" t="str">
        <f t="shared" si="28"/>
        <v/>
      </c>
      <c r="C116" s="472">
        <f>IF(D93="","-",+C115+1)</f>
        <v>2027</v>
      </c>
      <c r="D116" s="346">
        <f>IF(F115+SUM(E$99:E115)=D$92,F115,D$92-SUM(E$99:E115))</f>
        <v>61050.5</v>
      </c>
      <c r="E116" s="486">
        <f>IF(+J96&lt;F115,J96,D116)</f>
        <v>2355</v>
      </c>
      <c r="F116" s="485">
        <f t="shared" si="35"/>
        <v>58695.5</v>
      </c>
      <c r="G116" s="485">
        <f t="shared" si="36"/>
        <v>59873</v>
      </c>
      <c r="H116" s="488">
        <f t="shared" si="37"/>
        <v>8528.7460835255788</v>
      </c>
      <c r="I116" s="542">
        <f t="shared" si="38"/>
        <v>8528.7460835255788</v>
      </c>
      <c r="J116" s="478">
        <f t="shared" si="22"/>
        <v>0</v>
      </c>
      <c r="K116" s="478"/>
      <c r="L116" s="487"/>
      <c r="M116" s="478">
        <f t="shared" si="24"/>
        <v>0</v>
      </c>
      <c r="N116" s="487"/>
      <c r="O116" s="478">
        <f t="shared" si="26"/>
        <v>0</v>
      </c>
      <c r="P116" s="478">
        <f t="shared" si="27"/>
        <v>0</v>
      </c>
    </row>
    <row r="117" spans="2:16" ht="12.5">
      <c r="B117" s="160" t="str">
        <f t="shared" si="28"/>
        <v/>
      </c>
      <c r="C117" s="472">
        <f>IF(D93="","-",+C116+1)</f>
        <v>2028</v>
      </c>
      <c r="D117" s="346">
        <f>IF(F116+SUM(E$99:E116)=D$92,F116,D$92-SUM(E$99:E116))</f>
        <v>58695.5</v>
      </c>
      <c r="E117" s="486">
        <f>IF(+J96&lt;F116,J96,D117)</f>
        <v>2355</v>
      </c>
      <c r="F117" s="485">
        <f t="shared" si="35"/>
        <v>56340.5</v>
      </c>
      <c r="G117" s="485">
        <f t="shared" si="36"/>
        <v>57518</v>
      </c>
      <c r="H117" s="488">
        <f t="shared" si="37"/>
        <v>8285.9125521056958</v>
      </c>
      <c r="I117" s="542">
        <f t="shared" si="38"/>
        <v>8285.9125521056958</v>
      </c>
      <c r="J117" s="478">
        <f t="shared" si="22"/>
        <v>0</v>
      </c>
      <c r="K117" s="478"/>
      <c r="L117" s="487"/>
      <c r="M117" s="478">
        <f t="shared" si="24"/>
        <v>0</v>
      </c>
      <c r="N117" s="487"/>
      <c r="O117" s="478">
        <f t="shared" si="26"/>
        <v>0</v>
      </c>
      <c r="P117" s="478">
        <f t="shared" si="27"/>
        <v>0</v>
      </c>
    </row>
    <row r="118" spans="2:16" ht="12.5">
      <c r="B118" s="160" t="str">
        <f t="shared" si="28"/>
        <v/>
      </c>
      <c r="C118" s="472">
        <f>IF(D93="","-",+C117+1)</f>
        <v>2029</v>
      </c>
      <c r="D118" s="346">
        <f>IF(F117+SUM(E$99:E117)=D$92,F117,D$92-SUM(E$99:E117))</f>
        <v>56340.5</v>
      </c>
      <c r="E118" s="486">
        <f>IF(+J96&lt;F117,J96,D118)</f>
        <v>2355</v>
      </c>
      <c r="F118" s="485">
        <f t="shared" si="35"/>
        <v>53985.5</v>
      </c>
      <c r="G118" s="485">
        <f t="shared" si="36"/>
        <v>55163</v>
      </c>
      <c r="H118" s="488">
        <f t="shared" si="37"/>
        <v>8043.0790206858101</v>
      </c>
      <c r="I118" s="542">
        <f t="shared" si="38"/>
        <v>8043.0790206858101</v>
      </c>
      <c r="J118" s="478">
        <f t="shared" si="22"/>
        <v>0</v>
      </c>
      <c r="K118" s="478"/>
      <c r="L118" s="487"/>
      <c r="M118" s="478">
        <f t="shared" si="24"/>
        <v>0</v>
      </c>
      <c r="N118" s="487"/>
      <c r="O118" s="478">
        <f t="shared" si="26"/>
        <v>0</v>
      </c>
      <c r="P118" s="478">
        <f t="shared" si="27"/>
        <v>0</v>
      </c>
    </row>
    <row r="119" spans="2:16" ht="12.5">
      <c r="B119" s="160" t="str">
        <f t="shared" si="28"/>
        <v/>
      </c>
      <c r="C119" s="472">
        <f>IF(D93="","-",+C118+1)</f>
        <v>2030</v>
      </c>
      <c r="D119" s="346">
        <f>IF(F118+SUM(E$99:E118)=D$92,F118,D$92-SUM(E$99:E118))</f>
        <v>53985.5</v>
      </c>
      <c r="E119" s="486">
        <f>IF(+J96&lt;F118,J96,D119)</f>
        <v>2355</v>
      </c>
      <c r="F119" s="485">
        <f t="shared" si="35"/>
        <v>51630.5</v>
      </c>
      <c r="G119" s="485">
        <f t="shared" si="36"/>
        <v>52808</v>
      </c>
      <c r="H119" s="488">
        <f t="shared" si="37"/>
        <v>7800.2454892659262</v>
      </c>
      <c r="I119" s="542">
        <f t="shared" si="38"/>
        <v>7800.2454892659262</v>
      </c>
      <c r="J119" s="478">
        <f t="shared" si="22"/>
        <v>0</v>
      </c>
      <c r="K119" s="478"/>
      <c r="L119" s="487"/>
      <c r="M119" s="478">
        <f t="shared" si="24"/>
        <v>0</v>
      </c>
      <c r="N119" s="487"/>
      <c r="O119" s="478">
        <f t="shared" si="26"/>
        <v>0</v>
      </c>
      <c r="P119" s="478">
        <f t="shared" si="27"/>
        <v>0</v>
      </c>
    </row>
    <row r="120" spans="2:16" ht="12.5">
      <c r="B120" s="160" t="str">
        <f t="shared" si="28"/>
        <v/>
      </c>
      <c r="C120" s="472">
        <f>IF(D93="","-",+C119+1)</f>
        <v>2031</v>
      </c>
      <c r="D120" s="346">
        <f>IF(F119+SUM(E$99:E119)=D$92,F119,D$92-SUM(E$99:E119))</f>
        <v>51630.5</v>
      </c>
      <c r="E120" s="486">
        <f>IF(+J96&lt;F119,J96,D120)</f>
        <v>2355</v>
      </c>
      <c r="F120" s="485">
        <f t="shared" si="35"/>
        <v>49275.5</v>
      </c>
      <c r="G120" s="485">
        <f t="shared" si="36"/>
        <v>50453</v>
      </c>
      <c r="H120" s="488">
        <f t="shared" si="37"/>
        <v>7557.4119578460413</v>
      </c>
      <c r="I120" s="542">
        <f t="shared" si="38"/>
        <v>7557.4119578460413</v>
      </c>
      <c r="J120" s="478">
        <f t="shared" si="22"/>
        <v>0</v>
      </c>
      <c r="K120" s="478"/>
      <c r="L120" s="487"/>
      <c r="M120" s="478">
        <f t="shared" si="24"/>
        <v>0</v>
      </c>
      <c r="N120" s="487"/>
      <c r="O120" s="478">
        <f t="shared" si="26"/>
        <v>0</v>
      </c>
      <c r="P120" s="478">
        <f t="shared" si="27"/>
        <v>0</v>
      </c>
    </row>
    <row r="121" spans="2:16" ht="12.5">
      <c r="B121" s="160" t="str">
        <f t="shared" si="28"/>
        <v/>
      </c>
      <c r="C121" s="472">
        <f>IF(D93="","-",+C120+1)</f>
        <v>2032</v>
      </c>
      <c r="D121" s="346">
        <f>IF(F120+SUM(E$99:E120)=D$92,F120,D$92-SUM(E$99:E120))</f>
        <v>49275.5</v>
      </c>
      <c r="E121" s="486">
        <f>IF(+J96&lt;F120,J96,D121)</f>
        <v>2355</v>
      </c>
      <c r="F121" s="485">
        <f t="shared" si="35"/>
        <v>46920.5</v>
      </c>
      <c r="G121" s="485">
        <f t="shared" si="36"/>
        <v>48098</v>
      </c>
      <c r="H121" s="488">
        <f t="shared" si="37"/>
        <v>7314.5784264261574</v>
      </c>
      <c r="I121" s="542">
        <f t="shared" si="38"/>
        <v>7314.5784264261574</v>
      </c>
      <c r="J121" s="478">
        <f t="shared" si="22"/>
        <v>0</v>
      </c>
      <c r="K121" s="478"/>
      <c r="L121" s="487"/>
      <c r="M121" s="478">
        <f t="shared" si="24"/>
        <v>0</v>
      </c>
      <c r="N121" s="487"/>
      <c r="O121" s="478">
        <f t="shared" si="26"/>
        <v>0</v>
      </c>
      <c r="P121" s="478">
        <f t="shared" si="27"/>
        <v>0</v>
      </c>
    </row>
    <row r="122" spans="2:16" ht="12.5">
      <c r="B122" s="160" t="str">
        <f t="shared" si="28"/>
        <v/>
      </c>
      <c r="C122" s="472">
        <f>IF(D93="","-",+C121+1)</f>
        <v>2033</v>
      </c>
      <c r="D122" s="346">
        <f>IF(F121+SUM(E$99:E121)=D$92,F121,D$92-SUM(E$99:E121))</f>
        <v>46920.5</v>
      </c>
      <c r="E122" s="486">
        <f>IF(+J96&lt;F121,J96,D122)</f>
        <v>2355</v>
      </c>
      <c r="F122" s="485">
        <f t="shared" si="35"/>
        <v>44565.5</v>
      </c>
      <c r="G122" s="485">
        <f t="shared" si="36"/>
        <v>45743</v>
      </c>
      <c r="H122" s="488">
        <f t="shared" si="37"/>
        <v>7071.7448950062726</v>
      </c>
      <c r="I122" s="542">
        <f t="shared" si="38"/>
        <v>7071.7448950062726</v>
      </c>
      <c r="J122" s="478">
        <f t="shared" si="22"/>
        <v>0</v>
      </c>
      <c r="K122" s="478"/>
      <c r="L122" s="487"/>
      <c r="M122" s="478">
        <f t="shared" si="24"/>
        <v>0</v>
      </c>
      <c r="N122" s="487"/>
      <c r="O122" s="478">
        <f t="shared" si="26"/>
        <v>0</v>
      </c>
      <c r="P122" s="478">
        <f t="shared" si="27"/>
        <v>0</v>
      </c>
    </row>
    <row r="123" spans="2:16" ht="12.5">
      <c r="B123" s="160" t="str">
        <f t="shared" si="28"/>
        <v/>
      </c>
      <c r="C123" s="472">
        <f>IF(D93="","-",+C122+1)</f>
        <v>2034</v>
      </c>
      <c r="D123" s="346">
        <f>IF(F122+SUM(E$99:E122)=D$92,F122,D$92-SUM(E$99:E122))</f>
        <v>44565.5</v>
      </c>
      <c r="E123" s="486">
        <f>IF(+J96&lt;F122,J96,D123)</f>
        <v>2355</v>
      </c>
      <c r="F123" s="485">
        <f t="shared" si="35"/>
        <v>42210.5</v>
      </c>
      <c r="G123" s="485">
        <f t="shared" si="36"/>
        <v>43388</v>
      </c>
      <c r="H123" s="488">
        <f t="shared" si="37"/>
        <v>6828.9113635863887</v>
      </c>
      <c r="I123" s="542">
        <f t="shared" si="38"/>
        <v>6828.9113635863887</v>
      </c>
      <c r="J123" s="478">
        <f t="shared" si="22"/>
        <v>0</v>
      </c>
      <c r="K123" s="478"/>
      <c r="L123" s="487"/>
      <c r="M123" s="478">
        <f t="shared" si="24"/>
        <v>0</v>
      </c>
      <c r="N123" s="487"/>
      <c r="O123" s="478">
        <f t="shared" si="26"/>
        <v>0</v>
      </c>
      <c r="P123" s="478">
        <f t="shared" si="27"/>
        <v>0</v>
      </c>
    </row>
    <row r="124" spans="2:16" ht="12.5">
      <c r="B124" s="160" t="str">
        <f t="shared" si="28"/>
        <v/>
      </c>
      <c r="C124" s="472">
        <f>IF(D93="","-",+C123+1)</f>
        <v>2035</v>
      </c>
      <c r="D124" s="346">
        <f>IF(F123+SUM(E$99:E123)=D$92,F123,D$92-SUM(E$99:E123))</f>
        <v>42210.5</v>
      </c>
      <c r="E124" s="486">
        <f>IF(+J96&lt;F123,J96,D124)</f>
        <v>2355</v>
      </c>
      <c r="F124" s="485">
        <f t="shared" si="35"/>
        <v>39855.5</v>
      </c>
      <c r="G124" s="485">
        <f t="shared" si="36"/>
        <v>41033</v>
      </c>
      <c r="H124" s="488">
        <f t="shared" si="37"/>
        <v>6586.0778321665039</v>
      </c>
      <c r="I124" s="542">
        <f t="shared" si="38"/>
        <v>6586.0778321665039</v>
      </c>
      <c r="J124" s="478">
        <f t="shared" si="22"/>
        <v>0</v>
      </c>
      <c r="K124" s="478"/>
      <c r="L124" s="487"/>
      <c r="M124" s="478">
        <f t="shared" si="24"/>
        <v>0</v>
      </c>
      <c r="N124" s="487"/>
      <c r="O124" s="478">
        <f t="shared" si="26"/>
        <v>0</v>
      </c>
      <c r="P124" s="478">
        <f t="shared" si="27"/>
        <v>0</v>
      </c>
    </row>
    <row r="125" spans="2:16" ht="12.5">
      <c r="B125" s="160" t="str">
        <f t="shared" si="28"/>
        <v/>
      </c>
      <c r="C125" s="472">
        <f>IF(D93="","-",+C124+1)</f>
        <v>2036</v>
      </c>
      <c r="D125" s="346">
        <f>IF(F124+SUM(E$99:E124)=D$92,F124,D$92-SUM(E$99:E124))</f>
        <v>39855.5</v>
      </c>
      <c r="E125" s="486">
        <f>IF(+J96&lt;F124,J96,D125)</f>
        <v>2355</v>
      </c>
      <c r="F125" s="485">
        <f t="shared" si="35"/>
        <v>37500.5</v>
      </c>
      <c r="G125" s="485">
        <f t="shared" si="36"/>
        <v>38678</v>
      </c>
      <c r="H125" s="488">
        <f t="shared" si="37"/>
        <v>6343.244300746619</v>
      </c>
      <c r="I125" s="542">
        <f t="shared" si="38"/>
        <v>6343.244300746619</v>
      </c>
      <c r="J125" s="478">
        <f t="shared" si="22"/>
        <v>0</v>
      </c>
      <c r="K125" s="478"/>
      <c r="L125" s="487"/>
      <c r="M125" s="478">
        <f t="shared" si="24"/>
        <v>0</v>
      </c>
      <c r="N125" s="487"/>
      <c r="O125" s="478">
        <f t="shared" si="26"/>
        <v>0</v>
      </c>
      <c r="P125" s="478">
        <f t="shared" si="27"/>
        <v>0</v>
      </c>
    </row>
    <row r="126" spans="2:16" ht="12.5">
      <c r="B126" s="160" t="str">
        <f t="shared" si="28"/>
        <v/>
      </c>
      <c r="C126" s="472">
        <f>IF(D93="","-",+C125+1)</f>
        <v>2037</v>
      </c>
      <c r="D126" s="346">
        <f>IF(F125+SUM(E$99:E125)=D$92,F125,D$92-SUM(E$99:E125))</f>
        <v>37500.5</v>
      </c>
      <c r="E126" s="486">
        <f>IF(+J96&lt;F125,J96,D126)</f>
        <v>2355</v>
      </c>
      <c r="F126" s="485">
        <f t="shared" si="35"/>
        <v>35145.5</v>
      </c>
      <c r="G126" s="485">
        <f t="shared" si="36"/>
        <v>36323</v>
      </c>
      <c r="H126" s="488">
        <f t="shared" si="37"/>
        <v>6100.4107693267351</v>
      </c>
      <c r="I126" s="542">
        <f t="shared" si="38"/>
        <v>6100.4107693267351</v>
      </c>
      <c r="J126" s="478">
        <f t="shared" si="22"/>
        <v>0</v>
      </c>
      <c r="K126" s="478"/>
      <c r="L126" s="487"/>
      <c r="M126" s="478">
        <f t="shared" si="24"/>
        <v>0</v>
      </c>
      <c r="N126" s="487"/>
      <c r="O126" s="478">
        <f t="shared" si="26"/>
        <v>0</v>
      </c>
      <c r="P126" s="478">
        <f t="shared" si="27"/>
        <v>0</v>
      </c>
    </row>
    <row r="127" spans="2:16" ht="12.5">
      <c r="B127" s="160" t="str">
        <f t="shared" si="28"/>
        <v/>
      </c>
      <c r="C127" s="472">
        <f>IF(D93="","-",+C126+1)</f>
        <v>2038</v>
      </c>
      <c r="D127" s="346">
        <f>IF(F126+SUM(E$99:E126)=D$92,F126,D$92-SUM(E$99:E126))</f>
        <v>35145.5</v>
      </c>
      <c r="E127" s="486">
        <f>IF(+J96&lt;F126,J96,D127)</f>
        <v>2355</v>
      </c>
      <c r="F127" s="485">
        <f t="shared" si="35"/>
        <v>32790.5</v>
      </c>
      <c r="G127" s="485">
        <f t="shared" si="36"/>
        <v>33968</v>
      </c>
      <c r="H127" s="488">
        <f t="shared" si="37"/>
        <v>5857.5772379068512</v>
      </c>
      <c r="I127" s="542">
        <f t="shared" si="38"/>
        <v>5857.5772379068512</v>
      </c>
      <c r="J127" s="478">
        <f t="shared" si="22"/>
        <v>0</v>
      </c>
      <c r="K127" s="478"/>
      <c r="L127" s="487"/>
      <c r="M127" s="478">
        <f t="shared" si="24"/>
        <v>0</v>
      </c>
      <c r="N127" s="487"/>
      <c r="O127" s="478">
        <f t="shared" si="26"/>
        <v>0</v>
      </c>
      <c r="P127" s="478">
        <f t="shared" si="27"/>
        <v>0</v>
      </c>
    </row>
    <row r="128" spans="2:16" ht="12.5">
      <c r="B128" s="160" t="str">
        <f t="shared" si="28"/>
        <v/>
      </c>
      <c r="C128" s="472">
        <f>IF(D93="","-",+C127+1)</f>
        <v>2039</v>
      </c>
      <c r="D128" s="346">
        <f>IF(F127+SUM(E$99:E127)=D$92,F127,D$92-SUM(E$99:E127))</f>
        <v>32790.5</v>
      </c>
      <c r="E128" s="486">
        <f>IF(+J96&lt;F127,J96,D128)</f>
        <v>2355</v>
      </c>
      <c r="F128" s="485">
        <f t="shared" si="35"/>
        <v>30435.5</v>
      </c>
      <c r="G128" s="485">
        <f t="shared" si="36"/>
        <v>31613</v>
      </c>
      <c r="H128" s="488">
        <f t="shared" si="37"/>
        <v>5614.7437064869664</v>
      </c>
      <c r="I128" s="542">
        <f t="shared" si="38"/>
        <v>5614.7437064869664</v>
      </c>
      <c r="J128" s="478">
        <f t="shared" si="22"/>
        <v>0</v>
      </c>
      <c r="K128" s="478"/>
      <c r="L128" s="487"/>
      <c r="M128" s="478">
        <f t="shared" si="24"/>
        <v>0</v>
      </c>
      <c r="N128" s="487"/>
      <c r="O128" s="478">
        <f t="shared" si="26"/>
        <v>0</v>
      </c>
      <c r="P128" s="478">
        <f t="shared" si="27"/>
        <v>0</v>
      </c>
    </row>
    <row r="129" spans="2:16" ht="12.5">
      <c r="B129" s="160" t="str">
        <f t="shared" si="28"/>
        <v/>
      </c>
      <c r="C129" s="472">
        <f>IF(D93="","-",+C128+1)</f>
        <v>2040</v>
      </c>
      <c r="D129" s="346">
        <f>IF(F128+SUM(E$99:E128)=D$92,F128,D$92-SUM(E$99:E128))</f>
        <v>30435.5</v>
      </c>
      <c r="E129" s="486">
        <f>IF(+J96&lt;F128,J96,D129)</f>
        <v>2355</v>
      </c>
      <c r="F129" s="485">
        <f t="shared" si="35"/>
        <v>28080.5</v>
      </c>
      <c r="G129" s="485">
        <f t="shared" si="36"/>
        <v>29258</v>
      </c>
      <c r="H129" s="488">
        <f t="shared" si="37"/>
        <v>5371.9101750670816</v>
      </c>
      <c r="I129" s="542">
        <f t="shared" si="38"/>
        <v>5371.9101750670816</v>
      </c>
      <c r="J129" s="478">
        <f t="shared" si="22"/>
        <v>0</v>
      </c>
      <c r="K129" s="478"/>
      <c r="L129" s="487"/>
      <c r="M129" s="478">
        <f t="shared" si="24"/>
        <v>0</v>
      </c>
      <c r="N129" s="487"/>
      <c r="O129" s="478">
        <f t="shared" si="26"/>
        <v>0</v>
      </c>
      <c r="P129" s="478">
        <f t="shared" si="27"/>
        <v>0</v>
      </c>
    </row>
    <row r="130" spans="2:16" ht="12.5">
      <c r="B130" s="160" t="str">
        <f t="shared" si="28"/>
        <v/>
      </c>
      <c r="C130" s="472">
        <f>IF(D93="","-",+C129+1)</f>
        <v>2041</v>
      </c>
      <c r="D130" s="346">
        <f>IF(F129+SUM(E$99:E129)=D$92,F129,D$92-SUM(E$99:E129))</f>
        <v>28080.5</v>
      </c>
      <c r="E130" s="486">
        <f>IF(+J96&lt;F129,J96,D130)</f>
        <v>2355</v>
      </c>
      <c r="F130" s="485">
        <f t="shared" ref="F130:F145" si="39">+D130-E130</f>
        <v>25725.5</v>
      </c>
      <c r="G130" s="485">
        <f t="shared" ref="G130:G145" si="40">+(F130+D130)/2</f>
        <v>26903</v>
      </c>
      <c r="H130" s="488">
        <f t="shared" si="37"/>
        <v>5129.0766436471977</v>
      </c>
      <c r="I130" s="542">
        <f t="shared" si="38"/>
        <v>5129.0766436471977</v>
      </c>
      <c r="J130" s="478">
        <f t="shared" si="22"/>
        <v>0</v>
      </c>
      <c r="K130" s="478"/>
      <c r="L130" s="487"/>
      <c r="M130" s="478">
        <f t="shared" si="24"/>
        <v>0</v>
      </c>
      <c r="N130" s="487"/>
      <c r="O130" s="478">
        <f t="shared" si="26"/>
        <v>0</v>
      </c>
      <c r="P130" s="478">
        <f t="shared" si="27"/>
        <v>0</v>
      </c>
    </row>
    <row r="131" spans="2:16" ht="12.5">
      <c r="B131" s="160" t="str">
        <f t="shared" si="28"/>
        <v/>
      </c>
      <c r="C131" s="472">
        <f>IF(D93="","-",+C130+1)</f>
        <v>2042</v>
      </c>
      <c r="D131" s="346">
        <f>IF(F130+SUM(E$99:E130)=D$92,F130,D$92-SUM(E$99:E130))</f>
        <v>25725.5</v>
      </c>
      <c r="E131" s="486">
        <f>IF(+J96&lt;F130,J96,D131)</f>
        <v>2355</v>
      </c>
      <c r="F131" s="485">
        <f t="shared" si="39"/>
        <v>23370.5</v>
      </c>
      <c r="G131" s="485">
        <f t="shared" si="40"/>
        <v>24548</v>
      </c>
      <c r="H131" s="488">
        <f t="shared" ref="H131:H154" si="41">+J$94*G131+E131</f>
        <v>4886.2431122273138</v>
      </c>
      <c r="I131" s="542">
        <f t="shared" ref="I131:I154" si="42">+J$95*G131+E131</f>
        <v>4886.2431122273138</v>
      </c>
      <c r="J131" s="478">
        <f t="shared" ref="J131:J154" si="43">+I541-H541</f>
        <v>0</v>
      </c>
      <c r="K131" s="478"/>
      <c r="L131" s="487"/>
      <c r="M131" s="478">
        <f t="shared" ref="M131:M154" si="44">IF(L541&lt;&gt;0,+H541-L541,0)</f>
        <v>0</v>
      </c>
      <c r="N131" s="487"/>
      <c r="O131" s="478">
        <f t="shared" ref="O131:O154" si="45">IF(N541&lt;&gt;0,+I541-N541,0)</f>
        <v>0</v>
      </c>
      <c r="P131" s="478">
        <f t="shared" ref="P131:P154" si="46">+O541-M541</f>
        <v>0</v>
      </c>
    </row>
    <row r="132" spans="2:16" ht="12.5">
      <c r="B132" s="160" t="str">
        <f t="shared" si="28"/>
        <v/>
      </c>
      <c r="C132" s="472">
        <f>IF(D93="","-",+C131+1)</f>
        <v>2043</v>
      </c>
      <c r="D132" s="346">
        <f>IF(F131+SUM(E$99:E131)=D$92,F131,D$92-SUM(E$99:E131))</f>
        <v>23370.5</v>
      </c>
      <c r="E132" s="486">
        <f>IF(+J96&lt;F131,J96,D132)</f>
        <v>2355</v>
      </c>
      <c r="F132" s="485">
        <f t="shared" si="39"/>
        <v>21015.5</v>
      </c>
      <c r="G132" s="485">
        <f t="shared" si="40"/>
        <v>22193</v>
      </c>
      <c r="H132" s="488">
        <f t="shared" si="41"/>
        <v>4643.4095808074289</v>
      </c>
      <c r="I132" s="542">
        <f t="shared" si="42"/>
        <v>4643.4095808074289</v>
      </c>
      <c r="J132" s="478">
        <f t="shared" si="43"/>
        <v>0</v>
      </c>
      <c r="K132" s="478"/>
      <c r="L132" s="487"/>
      <c r="M132" s="478">
        <f t="shared" si="44"/>
        <v>0</v>
      </c>
      <c r="N132" s="487"/>
      <c r="O132" s="478">
        <f t="shared" si="45"/>
        <v>0</v>
      </c>
      <c r="P132" s="478">
        <f t="shared" si="46"/>
        <v>0</v>
      </c>
    </row>
    <row r="133" spans="2:16" ht="12.5">
      <c r="B133" s="160" t="str">
        <f t="shared" si="28"/>
        <v/>
      </c>
      <c r="C133" s="472">
        <f>IF(D93="","-",+C132+1)</f>
        <v>2044</v>
      </c>
      <c r="D133" s="346">
        <f>IF(F132+SUM(E$99:E132)=D$92,F132,D$92-SUM(E$99:E132))</f>
        <v>21015.5</v>
      </c>
      <c r="E133" s="486">
        <f>IF(+J96&lt;F132,J96,D133)</f>
        <v>2355</v>
      </c>
      <c r="F133" s="485">
        <f t="shared" si="39"/>
        <v>18660.5</v>
      </c>
      <c r="G133" s="485">
        <f t="shared" si="40"/>
        <v>19838</v>
      </c>
      <c r="H133" s="488">
        <f t="shared" si="41"/>
        <v>4400.5760493875441</v>
      </c>
      <c r="I133" s="542">
        <f t="shared" si="42"/>
        <v>4400.5760493875441</v>
      </c>
      <c r="J133" s="478">
        <f t="shared" si="43"/>
        <v>0</v>
      </c>
      <c r="K133" s="478"/>
      <c r="L133" s="487"/>
      <c r="M133" s="478">
        <f t="shared" si="44"/>
        <v>0</v>
      </c>
      <c r="N133" s="487"/>
      <c r="O133" s="478">
        <f t="shared" si="45"/>
        <v>0</v>
      </c>
      <c r="P133" s="478">
        <f t="shared" si="46"/>
        <v>0</v>
      </c>
    </row>
    <row r="134" spans="2:16" ht="12.5">
      <c r="B134" s="160" t="str">
        <f t="shared" si="28"/>
        <v/>
      </c>
      <c r="C134" s="472">
        <f>IF(D93="","-",+C133+1)</f>
        <v>2045</v>
      </c>
      <c r="D134" s="346">
        <f>IF(F133+SUM(E$99:E133)=D$92,F133,D$92-SUM(E$99:E133))</f>
        <v>18660.5</v>
      </c>
      <c r="E134" s="486">
        <f>IF(+J96&lt;F133,J96,D134)</f>
        <v>2355</v>
      </c>
      <c r="F134" s="485">
        <f t="shared" si="39"/>
        <v>16305.5</v>
      </c>
      <c r="G134" s="485">
        <f t="shared" si="40"/>
        <v>17483</v>
      </c>
      <c r="H134" s="488">
        <f t="shared" si="41"/>
        <v>4157.7425179676602</v>
      </c>
      <c r="I134" s="542">
        <f t="shared" si="42"/>
        <v>4157.7425179676602</v>
      </c>
      <c r="J134" s="478">
        <f t="shared" si="43"/>
        <v>0</v>
      </c>
      <c r="K134" s="478"/>
      <c r="L134" s="487"/>
      <c r="M134" s="478">
        <f t="shared" si="44"/>
        <v>0</v>
      </c>
      <c r="N134" s="487"/>
      <c r="O134" s="478">
        <f t="shared" si="45"/>
        <v>0</v>
      </c>
      <c r="P134" s="478">
        <f t="shared" si="46"/>
        <v>0</v>
      </c>
    </row>
    <row r="135" spans="2:16" ht="12.5">
      <c r="B135" s="160" t="str">
        <f t="shared" si="28"/>
        <v/>
      </c>
      <c r="C135" s="472">
        <f>IF(D93="","-",+C134+1)</f>
        <v>2046</v>
      </c>
      <c r="D135" s="346">
        <f>IF(F134+SUM(E$99:E134)=D$92,F134,D$92-SUM(E$99:E134))</f>
        <v>16305.5</v>
      </c>
      <c r="E135" s="486">
        <f>IF(+J96&lt;F134,J96,D135)</f>
        <v>2355</v>
      </c>
      <c r="F135" s="485">
        <f t="shared" si="39"/>
        <v>13950.5</v>
      </c>
      <c r="G135" s="485">
        <f t="shared" si="40"/>
        <v>15128</v>
      </c>
      <c r="H135" s="488">
        <f t="shared" si="41"/>
        <v>3914.9089865477754</v>
      </c>
      <c r="I135" s="542">
        <f t="shared" si="42"/>
        <v>3914.9089865477754</v>
      </c>
      <c r="J135" s="478">
        <f t="shared" si="43"/>
        <v>0</v>
      </c>
      <c r="K135" s="478"/>
      <c r="L135" s="487"/>
      <c r="M135" s="478">
        <f t="shared" si="44"/>
        <v>0</v>
      </c>
      <c r="N135" s="487"/>
      <c r="O135" s="478">
        <f t="shared" si="45"/>
        <v>0</v>
      </c>
      <c r="P135" s="478">
        <f t="shared" si="46"/>
        <v>0</v>
      </c>
    </row>
    <row r="136" spans="2:16" ht="12.5">
      <c r="B136" s="160" t="str">
        <f t="shared" si="28"/>
        <v/>
      </c>
      <c r="C136" s="472">
        <f>IF(D93="","-",+C135+1)</f>
        <v>2047</v>
      </c>
      <c r="D136" s="346">
        <f>IF(F135+SUM(E$99:E135)=D$92,F135,D$92-SUM(E$99:E135))</f>
        <v>13950.5</v>
      </c>
      <c r="E136" s="486">
        <f>IF(+J96&lt;F135,J96,D136)</f>
        <v>2355</v>
      </c>
      <c r="F136" s="485">
        <f t="shared" si="39"/>
        <v>11595.5</v>
      </c>
      <c r="G136" s="485">
        <f t="shared" si="40"/>
        <v>12773</v>
      </c>
      <c r="H136" s="488">
        <f t="shared" si="41"/>
        <v>3672.075455127891</v>
      </c>
      <c r="I136" s="542">
        <f t="shared" si="42"/>
        <v>3672.075455127891</v>
      </c>
      <c r="J136" s="478">
        <f t="shared" si="43"/>
        <v>0</v>
      </c>
      <c r="K136" s="478"/>
      <c r="L136" s="487"/>
      <c r="M136" s="478">
        <f t="shared" si="44"/>
        <v>0</v>
      </c>
      <c r="N136" s="487"/>
      <c r="O136" s="478">
        <f t="shared" si="45"/>
        <v>0</v>
      </c>
      <c r="P136" s="478">
        <f t="shared" si="46"/>
        <v>0</v>
      </c>
    </row>
    <row r="137" spans="2:16" ht="12.5">
      <c r="B137" s="160" t="str">
        <f t="shared" si="28"/>
        <v/>
      </c>
      <c r="C137" s="472">
        <f>IF(D93="","-",+C136+1)</f>
        <v>2048</v>
      </c>
      <c r="D137" s="346">
        <f>IF(F136+SUM(E$99:E136)=D$92,F136,D$92-SUM(E$99:E136))</f>
        <v>11595.5</v>
      </c>
      <c r="E137" s="486">
        <f>IF(+J96&lt;F136,J96,D137)</f>
        <v>2355</v>
      </c>
      <c r="F137" s="485">
        <f t="shared" si="39"/>
        <v>9240.5</v>
      </c>
      <c r="G137" s="485">
        <f t="shared" si="40"/>
        <v>10418</v>
      </c>
      <c r="H137" s="488">
        <f t="shared" si="41"/>
        <v>3429.2419237080067</v>
      </c>
      <c r="I137" s="542">
        <f t="shared" si="42"/>
        <v>3429.2419237080067</v>
      </c>
      <c r="J137" s="478">
        <f t="shared" si="43"/>
        <v>0</v>
      </c>
      <c r="K137" s="478"/>
      <c r="L137" s="487"/>
      <c r="M137" s="478">
        <f t="shared" si="44"/>
        <v>0</v>
      </c>
      <c r="N137" s="487"/>
      <c r="O137" s="478">
        <f t="shared" si="45"/>
        <v>0</v>
      </c>
      <c r="P137" s="478">
        <f t="shared" si="46"/>
        <v>0</v>
      </c>
    </row>
    <row r="138" spans="2:16" ht="12.5">
      <c r="B138" s="160" t="str">
        <f t="shared" si="28"/>
        <v/>
      </c>
      <c r="C138" s="472">
        <f>IF(D93="","-",+C137+1)</f>
        <v>2049</v>
      </c>
      <c r="D138" s="346">
        <f>IF(F137+SUM(E$99:E137)=D$92,F137,D$92-SUM(E$99:E137))</f>
        <v>9240.5</v>
      </c>
      <c r="E138" s="486">
        <f>IF(+J96&lt;F137,J96,D138)</f>
        <v>2355</v>
      </c>
      <c r="F138" s="485">
        <f t="shared" si="39"/>
        <v>6885.5</v>
      </c>
      <c r="G138" s="485">
        <f t="shared" si="40"/>
        <v>8063</v>
      </c>
      <c r="H138" s="488">
        <f t="shared" si="41"/>
        <v>3186.4083922881223</v>
      </c>
      <c r="I138" s="542">
        <f t="shared" si="42"/>
        <v>3186.4083922881223</v>
      </c>
      <c r="J138" s="478">
        <f t="shared" si="43"/>
        <v>0</v>
      </c>
      <c r="K138" s="478"/>
      <c r="L138" s="487"/>
      <c r="M138" s="478">
        <f t="shared" si="44"/>
        <v>0</v>
      </c>
      <c r="N138" s="487"/>
      <c r="O138" s="478">
        <f t="shared" si="45"/>
        <v>0</v>
      </c>
      <c r="P138" s="478">
        <f t="shared" si="46"/>
        <v>0</v>
      </c>
    </row>
    <row r="139" spans="2:16" ht="12.5">
      <c r="B139" s="160" t="str">
        <f t="shared" si="28"/>
        <v/>
      </c>
      <c r="C139" s="472">
        <f>IF(D93="","-",+C138+1)</f>
        <v>2050</v>
      </c>
      <c r="D139" s="346">
        <f>IF(F138+SUM(E$99:E138)=D$92,F138,D$92-SUM(E$99:E138))</f>
        <v>6885.5</v>
      </c>
      <c r="E139" s="486">
        <f>IF(+J96&lt;F138,J96,D139)</f>
        <v>2355</v>
      </c>
      <c r="F139" s="485">
        <f t="shared" si="39"/>
        <v>4530.5</v>
      </c>
      <c r="G139" s="485">
        <f t="shared" si="40"/>
        <v>5708</v>
      </c>
      <c r="H139" s="488">
        <f t="shared" si="41"/>
        <v>2943.5748608682379</v>
      </c>
      <c r="I139" s="542">
        <f t="shared" si="42"/>
        <v>2943.5748608682379</v>
      </c>
      <c r="J139" s="478">
        <f t="shared" si="43"/>
        <v>0</v>
      </c>
      <c r="K139" s="478"/>
      <c r="L139" s="487"/>
      <c r="M139" s="478">
        <f t="shared" si="44"/>
        <v>0</v>
      </c>
      <c r="N139" s="487"/>
      <c r="O139" s="478">
        <f t="shared" si="45"/>
        <v>0</v>
      </c>
      <c r="P139" s="478">
        <f t="shared" si="46"/>
        <v>0</v>
      </c>
    </row>
    <row r="140" spans="2:16" ht="12.5">
      <c r="B140" s="160" t="str">
        <f t="shared" si="28"/>
        <v/>
      </c>
      <c r="C140" s="472">
        <f>IF(D93="","-",+C139+1)</f>
        <v>2051</v>
      </c>
      <c r="D140" s="346">
        <f>IF(F139+SUM(E$99:E139)=D$92,F139,D$92-SUM(E$99:E139))</f>
        <v>4530.5</v>
      </c>
      <c r="E140" s="486">
        <f>IF(+J96&lt;F139,J96,D140)</f>
        <v>2355</v>
      </c>
      <c r="F140" s="485">
        <f t="shared" si="39"/>
        <v>2175.5</v>
      </c>
      <c r="G140" s="485">
        <f t="shared" si="40"/>
        <v>3353</v>
      </c>
      <c r="H140" s="488">
        <f t="shared" si="41"/>
        <v>2700.7413294483536</v>
      </c>
      <c r="I140" s="542">
        <f t="shared" si="42"/>
        <v>2700.7413294483536</v>
      </c>
      <c r="J140" s="478">
        <f t="shared" si="43"/>
        <v>0</v>
      </c>
      <c r="K140" s="478"/>
      <c r="L140" s="487"/>
      <c r="M140" s="478">
        <f t="shared" si="44"/>
        <v>0</v>
      </c>
      <c r="N140" s="487"/>
      <c r="O140" s="478">
        <f t="shared" si="45"/>
        <v>0</v>
      </c>
      <c r="P140" s="478">
        <f t="shared" si="46"/>
        <v>0</v>
      </c>
    </row>
    <row r="141" spans="2:16" ht="12.5">
      <c r="B141" s="160" t="str">
        <f t="shared" si="28"/>
        <v/>
      </c>
      <c r="C141" s="472">
        <f>IF(D93="","-",+C140+1)</f>
        <v>2052</v>
      </c>
      <c r="D141" s="346">
        <f>IF(F140+SUM(E$99:E140)=D$92,F140,D$92-SUM(E$99:E140))</f>
        <v>2175.5</v>
      </c>
      <c r="E141" s="486">
        <f>IF(+J96&lt;F140,J96,D141)</f>
        <v>2175.5</v>
      </c>
      <c r="F141" s="485">
        <f t="shared" si="39"/>
        <v>0</v>
      </c>
      <c r="G141" s="485">
        <f t="shared" si="40"/>
        <v>1087.75</v>
      </c>
      <c r="H141" s="488">
        <f t="shared" si="41"/>
        <v>2287.6622818692058</v>
      </c>
      <c r="I141" s="542">
        <f t="shared" si="42"/>
        <v>2287.6622818692058</v>
      </c>
      <c r="J141" s="478">
        <f t="shared" si="43"/>
        <v>0</v>
      </c>
      <c r="K141" s="478"/>
      <c r="L141" s="487"/>
      <c r="M141" s="478">
        <f t="shared" si="44"/>
        <v>0</v>
      </c>
      <c r="N141" s="487"/>
      <c r="O141" s="478">
        <f t="shared" si="45"/>
        <v>0</v>
      </c>
      <c r="P141" s="478">
        <f t="shared" si="46"/>
        <v>0</v>
      </c>
    </row>
    <row r="142" spans="2:16" ht="12.5">
      <c r="B142" s="160" t="str">
        <f t="shared" si="28"/>
        <v/>
      </c>
      <c r="C142" s="472">
        <f>IF(D93="","-",+C141+1)</f>
        <v>2053</v>
      </c>
      <c r="D142" s="346">
        <f>IF(F141+SUM(E$99:E141)=D$92,F141,D$92-SUM(E$99:E141))</f>
        <v>0</v>
      </c>
      <c r="E142" s="486">
        <f>IF(+J96&lt;F141,J96,D142)</f>
        <v>0</v>
      </c>
      <c r="F142" s="485">
        <f t="shared" si="39"/>
        <v>0</v>
      </c>
      <c r="G142" s="485">
        <f t="shared" si="40"/>
        <v>0</v>
      </c>
      <c r="H142" s="488">
        <f t="shared" si="41"/>
        <v>0</v>
      </c>
      <c r="I142" s="542">
        <f t="shared" si="42"/>
        <v>0</v>
      </c>
      <c r="J142" s="478">
        <f t="shared" si="43"/>
        <v>0</v>
      </c>
      <c r="K142" s="478"/>
      <c r="L142" s="487"/>
      <c r="M142" s="478">
        <f t="shared" si="44"/>
        <v>0</v>
      </c>
      <c r="N142" s="487"/>
      <c r="O142" s="478">
        <f t="shared" si="45"/>
        <v>0</v>
      </c>
      <c r="P142" s="478">
        <f t="shared" si="46"/>
        <v>0</v>
      </c>
    </row>
    <row r="143" spans="2:16" ht="12.5">
      <c r="B143" s="160" t="str">
        <f t="shared" si="28"/>
        <v/>
      </c>
      <c r="C143" s="472">
        <f>IF(D93="","-",+C142+1)</f>
        <v>2054</v>
      </c>
      <c r="D143" s="346">
        <f>IF(F142+SUM(E$99:E142)=D$92,F142,D$92-SUM(E$99:E142))</f>
        <v>0</v>
      </c>
      <c r="E143" s="486">
        <f>IF(+J96&lt;F142,J96,D143)</f>
        <v>0</v>
      </c>
      <c r="F143" s="485">
        <f t="shared" si="39"/>
        <v>0</v>
      </c>
      <c r="G143" s="485">
        <f t="shared" si="40"/>
        <v>0</v>
      </c>
      <c r="H143" s="488">
        <f t="shared" si="41"/>
        <v>0</v>
      </c>
      <c r="I143" s="542">
        <f t="shared" si="42"/>
        <v>0</v>
      </c>
      <c r="J143" s="478">
        <f t="shared" si="43"/>
        <v>0</v>
      </c>
      <c r="K143" s="478"/>
      <c r="L143" s="487"/>
      <c r="M143" s="478">
        <f t="shared" si="44"/>
        <v>0</v>
      </c>
      <c r="N143" s="487"/>
      <c r="O143" s="478">
        <f t="shared" si="45"/>
        <v>0</v>
      </c>
      <c r="P143" s="478">
        <f t="shared" si="46"/>
        <v>0</v>
      </c>
    </row>
    <row r="144" spans="2:16" ht="12.5">
      <c r="B144" s="160" t="str">
        <f t="shared" si="28"/>
        <v/>
      </c>
      <c r="C144" s="472">
        <f>IF(D93="","-",+C143+1)</f>
        <v>2055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39"/>
        <v>0</v>
      </c>
      <c r="G144" s="485">
        <f t="shared" si="40"/>
        <v>0</v>
      </c>
      <c r="H144" s="488">
        <f t="shared" si="41"/>
        <v>0</v>
      </c>
      <c r="I144" s="542">
        <f t="shared" si="42"/>
        <v>0</v>
      </c>
      <c r="J144" s="478">
        <f t="shared" si="43"/>
        <v>0</v>
      </c>
      <c r="K144" s="478"/>
      <c r="L144" s="487"/>
      <c r="M144" s="478">
        <f t="shared" si="44"/>
        <v>0</v>
      </c>
      <c r="N144" s="487"/>
      <c r="O144" s="478">
        <f t="shared" si="45"/>
        <v>0</v>
      </c>
      <c r="P144" s="478">
        <f t="shared" si="46"/>
        <v>0</v>
      </c>
    </row>
    <row r="145" spans="2:16" ht="12.5">
      <c r="B145" s="160" t="str">
        <f t="shared" si="28"/>
        <v/>
      </c>
      <c r="C145" s="472">
        <f>IF(D93="","-",+C144+1)</f>
        <v>2056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39"/>
        <v>0</v>
      </c>
      <c r="G145" s="485">
        <f t="shared" si="40"/>
        <v>0</v>
      </c>
      <c r="H145" s="488">
        <f t="shared" si="41"/>
        <v>0</v>
      </c>
      <c r="I145" s="542">
        <f t="shared" si="42"/>
        <v>0</v>
      </c>
      <c r="J145" s="478">
        <f t="shared" si="43"/>
        <v>0</v>
      </c>
      <c r="K145" s="478"/>
      <c r="L145" s="487"/>
      <c r="M145" s="478">
        <f t="shared" si="44"/>
        <v>0</v>
      </c>
      <c r="N145" s="487"/>
      <c r="O145" s="478">
        <f t="shared" si="45"/>
        <v>0</v>
      </c>
      <c r="P145" s="478">
        <f t="shared" si="46"/>
        <v>0</v>
      </c>
    </row>
    <row r="146" spans="2:16" ht="12.5">
      <c r="B146" s="160" t="str">
        <f t="shared" si="28"/>
        <v/>
      </c>
      <c r="C146" s="472">
        <f>IF(D93="","-",+C145+1)</f>
        <v>2057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ref="F146:F154" si="47">+D146-E146</f>
        <v>0</v>
      </c>
      <c r="G146" s="485">
        <f t="shared" ref="G146:G154" si="48">+(F146+D146)/2</f>
        <v>0</v>
      </c>
      <c r="H146" s="488">
        <f t="shared" si="41"/>
        <v>0</v>
      </c>
      <c r="I146" s="542">
        <f t="shared" si="42"/>
        <v>0</v>
      </c>
      <c r="J146" s="478">
        <f t="shared" si="43"/>
        <v>0</v>
      </c>
      <c r="K146" s="478"/>
      <c r="L146" s="487"/>
      <c r="M146" s="478">
        <f t="shared" si="44"/>
        <v>0</v>
      </c>
      <c r="N146" s="487"/>
      <c r="O146" s="478">
        <f t="shared" si="45"/>
        <v>0</v>
      </c>
      <c r="P146" s="478">
        <f t="shared" si="46"/>
        <v>0</v>
      </c>
    </row>
    <row r="147" spans="2:16" ht="12.5">
      <c r="B147" s="160" t="str">
        <f t="shared" si="28"/>
        <v/>
      </c>
      <c r="C147" s="472">
        <f>IF(D93="","-",+C146+1)</f>
        <v>2058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47"/>
        <v>0</v>
      </c>
      <c r="G147" s="485">
        <f t="shared" si="48"/>
        <v>0</v>
      </c>
      <c r="H147" s="488">
        <f t="shared" si="41"/>
        <v>0</v>
      </c>
      <c r="I147" s="542">
        <f t="shared" si="42"/>
        <v>0</v>
      </c>
      <c r="J147" s="478">
        <f t="shared" si="43"/>
        <v>0</v>
      </c>
      <c r="K147" s="478"/>
      <c r="L147" s="487"/>
      <c r="M147" s="478">
        <f t="shared" si="44"/>
        <v>0</v>
      </c>
      <c r="N147" s="487"/>
      <c r="O147" s="478">
        <f t="shared" si="45"/>
        <v>0</v>
      </c>
      <c r="P147" s="478">
        <f t="shared" si="46"/>
        <v>0</v>
      </c>
    </row>
    <row r="148" spans="2:16" ht="12.5">
      <c r="B148" s="160" t="str">
        <f t="shared" si="28"/>
        <v/>
      </c>
      <c r="C148" s="472">
        <f>IF(D93="","-",+C147+1)</f>
        <v>2059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47"/>
        <v>0</v>
      </c>
      <c r="G148" s="485">
        <f t="shared" si="48"/>
        <v>0</v>
      </c>
      <c r="H148" s="488">
        <f t="shared" si="41"/>
        <v>0</v>
      </c>
      <c r="I148" s="542">
        <f t="shared" si="42"/>
        <v>0</v>
      </c>
      <c r="J148" s="478">
        <f t="shared" si="43"/>
        <v>0</v>
      </c>
      <c r="K148" s="478"/>
      <c r="L148" s="487"/>
      <c r="M148" s="478">
        <f t="shared" si="44"/>
        <v>0</v>
      </c>
      <c r="N148" s="487"/>
      <c r="O148" s="478">
        <f t="shared" si="45"/>
        <v>0</v>
      </c>
      <c r="P148" s="478">
        <f t="shared" si="46"/>
        <v>0</v>
      </c>
    </row>
    <row r="149" spans="2:16" ht="12.5">
      <c r="B149" s="160" t="str">
        <f t="shared" si="28"/>
        <v/>
      </c>
      <c r="C149" s="472">
        <f>IF(D93="","-",+C148+1)</f>
        <v>2060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47"/>
        <v>0</v>
      </c>
      <c r="G149" s="485">
        <f t="shared" si="48"/>
        <v>0</v>
      </c>
      <c r="H149" s="488">
        <f t="shared" si="41"/>
        <v>0</v>
      </c>
      <c r="I149" s="542">
        <f t="shared" si="42"/>
        <v>0</v>
      </c>
      <c r="J149" s="478">
        <f t="shared" si="43"/>
        <v>0</v>
      </c>
      <c r="K149" s="478"/>
      <c r="L149" s="487"/>
      <c r="M149" s="478">
        <f t="shared" si="44"/>
        <v>0</v>
      </c>
      <c r="N149" s="487"/>
      <c r="O149" s="478">
        <f t="shared" si="45"/>
        <v>0</v>
      </c>
      <c r="P149" s="478">
        <f t="shared" si="46"/>
        <v>0</v>
      </c>
    </row>
    <row r="150" spans="2:16" ht="12.5">
      <c r="B150" s="160" t="str">
        <f t="shared" si="28"/>
        <v/>
      </c>
      <c r="C150" s="472">
        <f>IF(D93="","-",+C149+1)</f>
        <v>2061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47"/>
        <v>0</v>
      </c>
      <c r="G150" s="485">
        <f t="shared" si="48"/>
        <v>0</v>
      </c>
      <c r="H150" s="488">
        <f t="shared" si="41"/>
        <v>0</v>
      </c>
      <c r="I150" s="542">
        <f t="shared" si="42"/>
        <v>0</v>
      </c>
      <c r="J150" s="478">
        <f t="shared" si="43"/>
        <v>0</v>
      </c>
      <c r="K150" s="478"/>
      <c r="L150" s="487"/>
      <c r="M150" s="478">
        <f t="shared" si="44"/>
        <v>0</v>
      </c>
      <c r="N150" s="487"/>
      <c r="O150" s="478">
        <f t="shared" si="45"/>
        <v>0</v>
      </c>
      <c r="P150" s="478">
        <f t="shared" si="46"/>
        <v>0</v>
      </c>
    </row>
    <row r="151" spans="2:16" ht="12.5">
      <c r="B151" s="160" t="str">
        <f t="shared" si="28"/>
        <v/>
      </c>
      <c r="C151" s="472">
        <f>IF(D93="","-",+C150+1)</f>
        <v>2062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47"/>
        <v>0</v>
      </c>
      <c r="G151" s="485">
        <f t="shared" si="48"/>
        <v>0</v>
      </c>
      <c r="H151" s="488">
        <f t="shared" si="41"/>
        <v>0</v>
      </c>
      <c r="I151" s="542">
        <f t="shared" si="42"/>
        <v>0</v>
      </c>
      <c r="J151" s="478">
        <f t="shared" si="43"/>
        <v>0</v>
      </c>
      <c r="K151" s="478"/>
      <c r="L151" s="487"/>
      <c r="M151" s="478">
        <f t="shared" si="44"/>
        <v>0</v>
      </c>
      <c r="N151" s="487"/>
      <c r="O151" s="478">
        <f t="shared" si="45"/>
        <v>0</v>
      </c>
      <c r="P151" s="478">
        <f t="shared" si="46"/>
        <v>0</v>
      </c>
    </row>
    <row r="152" spans="2:16" ht="12.5">
      <c r="B152" s="160" t="str">
        <f t="shared" si="28"/>
        <v/>
      </c>
      <c r="C152" s="472">
        <f>IF(D93="","-",+C151+1)</f>
        <v>2063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47"/>
        <v>0</v>
      </c>
      <c r="G152" s="485">
        <f t="shared" si="48"/>
        <v>0</v>
      </c>
      <c r="H152" s="488">
        <f t="shared" si="41"/>
        <v>0</v>
      </c>
      <c r="I152" s="542">
        <f t="shared" si="42"/>
        <v>0</v>
      </c>
      <c r="J152" s="478">
        <f t="shared" si="43"/>
        <v>0</v>
      </c>
      <c r="K152" s="478"/>
      <c r="L152" s="487"/>
      <c r="M152" s="478">
        <f t="shared" si="44"/>
        <v>0</v>
      </c>
      <c r="N152" s="487"/>
      <c r="O152" s="478">
        <f t="shared" si="45"/>
        <v>0</v>
      </c>
      <c r="P152" s="478">
        <f t="shared" si="46"/>
        <v>0</v>
      </c>
    </row>
    <row r="153" spans="2:16" ht="12.5">
      <c r="B153" s="160" t="str">
        <f t="shared" si="28"/>
        <v/>
      </c>
      <c r="C153" s="472">
        <f>IF(D93="","-",+C152+1)</f>
        <v>2064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47"/>
        <v>0</v>
      </c>
      <c r="G153" s="485">
        <f t="shared" si="48"/>
        <v>0</v>
      </c>
      <c r="H153" s="488">
        <f t="shared" si="41"/>
        <v>0</v>
      </c>
      <c r="I153" s="542">
        <f t="shared" si="42"/>
        <v>0</v>
      </c>
      <c r="J153" s="478">
        <f t="shared" si="43"/>
        <v>0</v>
      </c>
      <c r="K153" s="478"/>
      <c r="L153" s="487"/>
      <c r="M153" s="478">
        <f t="shared" si="44"/>
        <v>0</v>
      </c>
      <c r="N153" s="487"/>
      <c r="O153" s="478">
        <f t="shared" si="45"/>
        <v>0</v>
      </c>
      <c r="P153" s="478">
        <f t="shared" si="46"/>
        <v>0</v>
      </c>
    </row>
    <row r="154" spans="2:16" ht="13" thickBot="1">
      <c r="B154" s="160" t="str">
        <f t="shared" si="28"/>
        <v/>
      </c>
      <c r="C154" s="489">
        <f>IF(D93="","-",+C153+1)</f>
        <v>2065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7"/>
        <v>0</v>
      </c>
      <c r="G154" s="490">
        <f t="shared" si="48"/>
        <v>0</v>
      </c>
      <c r="H154" s="492">
        <f t="shared" si="41"/>
        <v>0</v>
      </c>
      <c r="I154" s="545">
        <f t="shared" si="42"/>
        <v>0</v>
      </c>
      <c r="J154" s="495">
        <f t="shared" si="43"/>
        <v>0</v>
      </c>
      <c r="K154" s="478"/>
      <c r="L154" s="494"/>
      <c r="M154" s="495">
        <f t="shared" si="44"/>
        <v>0</v>
      </c>
      <c r="N154" s="494"/>
      <c r="O154" s="495">
        <f t="shared" si="45"/>
        <v>0</v>
      </c>
      <c r="P154" s="495">
        <f t="shared" si="46"/>
        <v>0</v>
      </c>
    </row>
    <row r="155" spans="2:16" ht="12.5">
      <c r="C155" s="346" t="s">
        <v>77</v>
      </c>
      <c r="D155" s="347"/>
      <c r="E155" s="347">
        <f>SUM(E99:E154)</f>
        <v>96566</v>
      </c>
      <c r="F155" s="347"/>
      <c r="G155" s="347"/>
      <c r="H155" s="347">
        <f>SUM(H99:H154)</f>
        <v>337987.35653719946</v>
      </c>
      <c r="I155" s="347">
        <f>SUM(I99:I154)</f>
        <v>337987.35653719946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42" priority="1" stopIfTrue="1" operator="equal">
      <formula>$I$10</formula>
    </cfRule>
  </conditionalFormatting>
  <conditionalFormatting sqref="C99:C154">
    <cfRule type="cellIs" dxfId="41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1">
    <tabColor rgb="FF92D050"/>
  </sheetPr>
  <dimension ref="A1:P162"/>
  <sheetViews>
    <sheetView view="pageBreakPreview" topLeftCell="B1" zoomScale="75" zoomScaleNormal="100" workbookViewId="0">
      <selection activeCell="E9" sqref="E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3" width="17.7265625" style="148" customWidth="1"/>
    <col min="14" max="14" width="16.7265625" style="148" customWidth="1"/>
    <col min="15" max="15" width="18.4531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11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569" t="s">
        <v>263</v>
      </c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149953.47953488372</v>
      </c>
      <c r="P5" s="232"/>
    </row>
    <row r="6" spans="1:16" ht="15.5">
      <c r="C6" s="570" t="s">
        <v>264</v>
      </c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149953.47953488372</v>
      </c>
      <c r="O6" s="232"/>
      <c r="P6" s="232"/>
    </row>
    <row r="7" spans="1:16" ht="13.5" thickBot="1">
      <c r="C7" s="431" t="s">
        <v>46</v>
      </c>
      <c r="D7" s="432" t="s">
        <v>229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6" thickBot="1">
      <c r="C8" s="571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572" t="s">
        <v>228</v>
      </c>
      <c r="E9" s="577" t="s">
        <v>345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f>1493723*94%</f>
        <v>1404099.6199999999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2011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32653.479534883718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2011</v>
      </c>
      <c r="D17" s="473">
        <v>1624000</v>
      </c>
      <c r="E17" s="474">
        <v>15921.568627450981</v>
      </c>
      <c r="F17" s="473">
        <v>1608078.4313725489</v>
      </c>
      <c r="G17" s="474">
        <v>267655.54041850357</v>
      </c>
      <c r="H17" s="481">
        <v>267655.54041850357</v>
      </c>
      <c r="I17" s="475">
        <f>H17-G17</f>
        <v>0</v>
      </c>
      <c r="J17" s="475"/>
      <c r="K17" s="554">
        <f t="shared" ref="K17:K22" si="0">G17</f>
        <v>267655.54041850357</v>
      </c>
      <c r="L17" s="562">
        <f t="shared" ref="L17:L48" si="1">IF(K17&lt;&gt;0,+G17-K17,0)</f>
        <v>0</v>
      </c>
      <c r="M17" s="554">
        <f t="shared" ref="M17:M22" si="2">H17</f>
        <v>267655.54041850357</v>
      </c>
      <c r="N17" s="477">
        <f t="shared" ref="N17:N48" si="3">IF(M17&lt;&gt;0,+H17-M17,0)</f>
        <v>0</v>
      </c>
      <c r="O17" s="478">
        <f t="shared" ref="O17:O48" si="4">+N17-L17</f>
        <v>0</v>
      </c>
      <c r="P17" s="242"/>
    </row>
    <row r="18" spans="2:16" ht="12.5">
      <c r="B18" s="160" t="str">
        <f t="shared" ref="B18:B49" si="5">IF(D18=F17,"","IU")</f>
        <v>IU</v>
      </c>
      <c r="C18" s="472">
        <f>IF(D11="","-",+C17+1)</f>
        <v>2012</v>
      </c>
      <c r="D18" s="479">
        <v>1420815.4313725489</v>
      </c>
      <c r="E18" s="480">
        <v>27629.557692307691</v>
      </c>
      <c r="F18" s="479">
        <v>1393185.8736802412</v>
      </c>
      <c r="G18" s="480">
        <v>221570.55769230769</v>
      </c>
      <c r="H18" s="481">
        <v>221570.55769230769</v>
      </c>
      <c r="I18" s="475">
        <f t="shared" ref="I18:I48" si="6">H18-G18</f>
        <v>0</v>
      </c>
      <c r="J18" s="475"/>
      <c r="K18" s="476">
        <f t="shared" si="0"/>
        <v>221570.55769230769</v>
      </c>
      <c r="L18" s="550">
        <f t="shared" si="1"/>
        <v>0</v>
      </c>
      <c r="M18" s="476">
        <f t="shared" si="2"/>
        <v>221570.55769230769</v>
      </c>
      <c r="N18" s="478">
        <f t="shared" si="3"/>
        <v>0</v>
      </c>
      <c r="O18" s="478">
        <f t="shared" si="4"/>
        <v>0</v>
      </c>
      <c r="P18" s="242"/>
    </row>
    <row r="19" spans="2:16" ht="12.5">
      <c r="B19" s="160" t="str">
        <f t="shared" si="5"/>
        <v>IU</v>
      </c>
      <c r="C19" s="472">
        <f>IF(D11="","-",+C18+1)</f>
        <v>2013</v>
      </c>
      <c r="D19" s="479">
        <v>1450171.8736802414</v>
      </c>
      <c r="E19" s="480">
        <v>28725.442307692309</v>
      </c>
      <c r="F19" s="479">
        <v>1421446.4313725492</v>
      </c>
      <c r="G19" s="480">
        <v>231717.44230769231</v>
      </c>
      <c r="H19" s="481">
        <v>231717.44230769231</v>
      </c>
      <c r="I19" s="475">
        <v>0</v>
      </c>
      <c r="J19" s="475"/>
      <c r="K19" s="476">
        <f t="shared" si="0"/>
        <v>231717.44230769231</v>
      </c>
      <c r="L19" s="550">
        <f t="shared" ref="L19:L24" si="7">IF(K19&lt;&gt;0,+G19-K19,0)</f>
        <v>0</v>
      </c>
      <c r="M19" s="476">
        <f t="shared" si="2"/>
        <v>231717.44230769231</v>
      </c>
      <c r="N19" s="478">
        <f t="shared" ref="N19:N24" si="8">IF(M19&lt;&gt;0,+H19-M19,0)</f>
        <v>0</v>
      </c>
      <c r="O19" s="478">
        <f t="shared" ref="O19:O24" si="9">+N19-L19</f>
        <v>0</v>
      </c>
      <c r="P19" s="242"/>
    </row>
    <row r="20" spans="2:16" ht="12.5">
      <c r="B20" s="160" t="str">
        <f t="shared" si="5"/>
        <v>IU</v>
      </c>
      <c r="C20" s="472">
        <f>IF(D11="","-",+C19+1)</f>
        <v>2014</v>
      </c>
      <c r="D20" s="479">
        <v>1331823.0513725488</v>
      </c>
      <c r="E20" s="480">
        <v>27001.915769230767</v>
      </c>
      <c r="F20" s="479">
        <v>1304821.135603318</v>
      </c>
      <c r="G20" s="480">
        <v>206621.91576923078</v>
      </c>
      <c r="H20" s="481">
        <v>206621.91576923078</v>
      </c>
      <c r="I20" s="475">
        <v>0</v>
      </c>
      <c r="J20" s="475"/>
      <c r="K20" s="476">
        <f t="shared" si="0"/>
        <v>206621.91576923078</v>
      </c>
      <c r="L20" s="550">
        <f t="shared" si="7"/>
        <v>0</v>
      </c>
      <c r="M20" s="476">
        <f t="shared" si="2"/>
        <v>206621.91576923078</v>
      </c>
      <c r="N20" s="478">
        <f t="shared" si="8"/>
        <v>0</v>
      </c>
      <c r="O20" s="478">
        <f t="shared" si="9"/>
        <v>0</v>
      </c>
      <c r="P20" s="242"/>
    </row>
    <row r="21" spans="2:16" ht="12.5">
      <c r="B21" s="160" t="str">
        <f t="shared" si="5"/>
        <v/>
      </c>
      <c r="C21" s="472">
        <f>IF(D11="","-",+C20+1)</f>
        <v>2015</v>
      </c>
      <c r="D21" s="479">
        <v>1304821.135603318</v>
      </c>
      <c r="E21" s="480">
        <v>27001.915769230767</v>
      </c>
      <c r="F21" s="479">
        <v>1277819.2198340872</v>
      </c>
      <c r="G21" s="480">
        <v>203176.91576923078</v>
      </c>
      <c r="H21" s="481">
        <v>203176.91576923078</v>
      </c>
      <c r="I21" s="475">
        <v>0</v>
      </c>
      <c r="J21" s="475"/>
      <c r="K21" s="476">
        <f t="shared" si="0"/>
        <v>203176.91576923078</v>
      </c>
      <c r="L21" s="550">
        <f t="shared" si="7"/>
        <v>0</v>
      </c>
      <c r="M21" s="476">
        <f t="shared" si="2"/>
        <v>203176.91576923078</v>
      </c>
      <c r="N21" s="478">
        <f t="shared" si="8"/>
        <v>0</v>
      </c>
      <c r="O21" s="478">
        <f t="shared" si="9"/>
        <v>0</v>
      </c>
      <c r="P21" s="242"/>
    </row>
    <row r="22" spans="2:16" ht="12.5">
      <c r="B22" s="160" t="str">
        <f t="shared" si="5"/>
        <v/>
      </c>
      <c r="C22" s="472">
        <f>IF(D11="","-",+C21+1)</f>
        <v>2016</v>
      </c>
      <c r="D22" s="479">
        <v>1277819.2198340872</v>
      </c>
      <c r="E22" s="480">
        <v>27001.915769230767</v>
      </c>
      <c r="F22" s="479">
        <v>1250817.3040648564</v>
      </c>
      <c r="G22" s="480">
        <v>191058.91576923078</v>
      </c>
      <c r="H22" s="481">
        <v>191058.91576923078</v>
      </c>
      <c r="I22" s="475">
        <f t="shared" si="6"/>
        <v>0</v>
      </c>
      <c r="J22" s="475"/>
      <c r="K22" s="476">
        <f t="shared" si="0"/>
        <v>191058.91576923078</v>
      </c>
      <c r="L22" s="550">
        <f t="shared" si="7"/>
        <v>0</v>
      </c>
      <c r="M22" s="476">
        <f t="shared" si="2"/>
        <v>191058.91576923078</v>
      </c>
      <c r="N22" s="478">
        <f t="shared" si="8"/>
        <v>0</v>
      </c>
      <c r="O22" s="478">
        <f t="shared" si="9"/>
        <v>0</v>
      </c>
      <c r="P22" s="242"/>
    </row>
    <row r="23" spans="2:16" ht="12.5">
      <c r="B23" s="160" t="str">
        <f t="shared" si="5"/>
        <v/>
      </c>
      <c r="C23" s="472">
        <f>IF(D11="","-",+C22+1)</f>
        <v>2017</v>
      </c>
      <c r="D23" s="479">
        <v>1250817.3040648564</v>
      </c>
      <c r="E23" s="480">
        <v>30523.904782608693</v>
      </c>
      <c r="F23" s="479">
        <v>1220293.3992822478</v>
      </c>
      <c r="G23" s="480">
        <v>185818.9047826087</v>
      </c>
      <c r="H23" s="481">
        <v>185818.9047826087</v>
      </c>
      <c r="I23" s="475">
        <f t="shared" si="6"/>
        <v>0</v>
      </c>
      <c r="J23" s="475"/>
      <c r="K23" s="476">
        <f>G23</f>
        <v>185818.9047826087</v>
      </c>
      <c r="L23" s="550">
        <f t="shared" si="7"/>
        <v>0</v>
      </c>
      <c r="M23" s="476">
        <f>H23</f>
        <v>185818.9047826087</v>
      </c>
      <c r="N23" s="478">
        <f t="shared" si="8"/>
        <v>0</v>
      </c>
      <c r="O23" s="478">
        <f t="shared" si="9"/>
        <v>0</v>
      </c>
      <c r="P23" s="242"/>
    </row>
    <row r="24" spans="2:16" ht="12.5">
      <c r="B24" s="160" t="str">
        <f t="shared" si="5"/>
        <v/>
      </c>
      <c r="C24" s="472">
        <f>IF(D11="","-",+C23+1)</f>
        <v>2018</v>
      </c>
      <c r="D24" s="479">
        <v>1220293.3992822478</v>
      </c>
      <c r="E24" s="480">
        <v>31202.213777777775</v>
      </c>
      <c r="F24" s="479">
        <v>1189091.18550447</v>
      </c>
      <c r="G24" s="480">
        <v>175474.88659362236</v>
      </c>
      <c r="H24" s="481">
        <v>175474.88659362236</v>
      </c>
      <c r="I24" s="475">
        <f t="shared" si="6"/>
        <v>0</v>
      </c>
      <c r="J24" s="475"/>
      <c r="K24" s="476">
        <f>G24</f>
        <v>175474.88659362236</v>
      </c>
      <c r="L24" s="550">
        <f t="shared" si="7"/>
        <v>0</v>
      </c>
      <c r="M24" s="476">
        <f>H24</f>
        <v>175474.88659362236</v>
      </c>
      <c r="N24" s="478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5"/>
        <v/>
      </c>
      <c r="C25" s="472">
        <f>IF(D11="","-",+C24+1)</f>
        <v>2019</v>
      </c>
      <c r="D25" s="479">
        <v>1189091.18550447</v>
      </c>
      <c r="E25" s="480">
        <v>35102.4905</v>
      </c>
      <c r="F25" s="479">
        <v>1153988.6950044699</v>
      </c>
      <c r="G25" s="480">
        <v>165912.69365934882</v>
      </c>
      <c r="H25" s="481">
        <v>165912.69365934882</v>
      </c>
      <c r="I25" s="475">
        <f t="shared" si="6"/>
        <v>0</v>
      </c>
      <c r="J25" s="475"/>
      <c r="K25" s="476">
        <f>G25</f>
        <v>165912.69365934882</v>
      </c>
      <c r="L25" s="550">
        <f t="shared" ref="L25" si="10">IF(K25&lt;&gt;0,+G25-K25,0)</f>
        <v>0</v>
      </c>
      <c r="M25" s="476">
        <f>H25</f>
        <v>165912.69365934882</v>
      </c>
      <c r="N25" s="478">
        <f t="shared" ref="N25" si="11">IF(M25&lt;&gt;0,+H25-M25,0)</f>
        <v>0</v>
      </c>
      <c r="O25" s="478">
        <f t="shared" ref="O25" si="12">+N25-L25</f>
        <v>0</v>
      </c>
      <c r="P25" s="242"/>
    </row>
    <row r="26" spans="2:16" ht="12.5">
      <c r="B26" s="160" t="str">
        <f t="shared" si="5"/>
        <v>IU</v>
      </c>
      <c r="C26" s="472">
        <f>IF(D11="","-",+C25+1)</f>
        <v>2020</v>
      </c>
      <c r="D26" s="479">
        <v>1157888.9717266923</v>
      </c>
      <c r="E26" s="480">
        <v>33430.943333333329</v>
      </c>
      <c r="F26" s="479">
        <v>1124458.0283933589</v>
      </c>
      <c r="G26" s="480">
        <v>156683.13262286683</v>
      </c>
      <c r="H26" s="481">
        <v>156683.13262286683</v>
      </c>
      <c r="I26" s="475">
        <f t="shared" si="6"/>
        <v>0</v>
      </c>
      <c r="J26" s="475"/>
      <c r="K26" s="476">
        <f>G26</f>
        <v>156683.13262286683</v>
      </c>
      <c r="L26" s="550">
        <f t="shared" ref="L26" si="13">IF(K26&lt;&gt;0,+G26-K26,0)</f>
        <v>0</v>
      </c>
      <c r="M26" s="476">
        <f>H26</f>
        <v>156683.13262286683</v>
      </c>
      <c r="N26" s="478">
        <f t="shared" si="3"/>
        <v>0</v>
      </c>
      <c r="O26" s="478">
        <f t="shared" si="4"/>
        <v>0</v>
      </c>
      <c r="P26" s="242"/>
    </row>
    <row r="27" spans="2:16" ht="12.5">
      <c r="B27" s="160" t="str">
        <f t="shared" si="5"/>
        <v>IU</v>
      </c>
      <c r="C27" s="472">
        <f>IF(D11="","-",+C26+1)</f>
        <v>2021</v>
      </c>
      <c r="D27" s="483">
        <f>IF(F26+SUM(E$17:E26)=D$10,F26,D$10-SUM(E$17:E26))</f>
        <v>1120557.7516711368</v>
      </c>
      <c r="E27" s="484">
        <f>IF(+I14&lt;F26,I14,D27)</f>
        <v>32653.479534883718</v>
      </c>
      <c r="F27" s="485">
        <f t="shared" ref="F27:F49" si="14">+D27-E27</f>
        <v>1087904.2721362531</v>
      </c>
      <c r="G27" s="486">
        <f t="shared" ref="G27:G49" si="15">ROUND(I$12*F27,0)+E27</f>
        <v>149953.47953488372</v>
      </c>
      <c r="H27" s="455">
        <f t="shared" ref="H27:H49" si="16">ROUND(I$13*F27,0)+E27</f>
        <v>149953.47953488372</v>
      </c>
      <c r="I27" s="475">
        <f t="shared" si="6"/>
        <v>0</v>
      </c>
      <c r="J27" s="475"/>
      <c r="K27" s="487"/>
      <c r="L27" s="478">
        <f t="shared" si="1"/>
        <v>0</v>
      </c>
      <c r="M27" s="487"/>
      <c r="N27" s="478">
        <f t="shared" si="3"/>
        <v>0</v>
      </c>
      <c r="O27" s="478">
        <f t="shared" si="4"/>
        <v>0</v>
      </c>
      <c r="P27" s="242"/>
    </row>
    <row r="28" spans="2:16" ht="12.5">
      <c r="B28" s="160" t="str">
        <f t="shared" si="5"/>
        <v/>
      </c>
      <c r="C28" s="472">
        <f>IF(D11="","-",+C27+1)</f>
        <v>2022</v>
      </c>
      <c r="D28" s="485">
        <f>IF(F27+SUM(E$17:E27)=D$10,F27,D$10-SUM(E$17:E27))</f>
        <v>1087904.2721362531</v>
      </c>
      <c r="E28" s="484">
        <f>IF(+I14&lt;F27,I14,D28)</f>
        <v>32653.479534883718</v>
      </c>
      <c r="F28" s="485">
        <f t="shared" si="14"/>
        <v>1055250.7926013693</v>
      </c>
      <c r="G28" s="486">
        <f t="shared" si="15"/>
        <v>146432.47953488372</v>
      </c>
      <c r="H28" s="455">
        <f t="shared" si="16"/>
        <v>146432.47953488372</v>
      </c>
      <c r="I28" s="475">
        <f t="shared" si="6"/>
        <v>0</v>
      </c>
      <c r="J28" s="475"/>
      <c r="K28" s="487"/>
      <c r="L28" s="478">
        <f t="shared" si="1"/>
        <v>0</v>
      </c>
      <c r="M28" s="487"/>
      <c r="N28" s="478">
        <f t="shared" si="3"/>
        <v>0</v>
      </c>
      <c r="O28" s="478">
        <f t="shared" si="4"/>
        <v>0</v>
      </c>
      <c r="P28" s="242"/>
    </row>
    <row r="29" spans="2:16" ht="12.5">
      <c r="B29" s="160" t="str">
        <f t="shared" si="5"/>
        <v/>
      </c>
      <c r="C29" s="472">
        <f>IF(D11="","-",+C28+1)</f>
        <v>2023</v>
      </c>
      <c r="D29" s="485">
        <f>IF(F28+SUM(E$17:E28)=D$10,F28,D$10-SUM(E$17:E28))</f>
        <v>1055250.7926013693</v>
      </c>
      <c r="E29" s="484">
        <f>IF(+I14&lt;F28,I14,D29)</f>
        <v>32653.479534883718</v>
      </c>
      <c r="F29" s="485">
        <f t="shared" si="14"/>
        <v>1022597.3130664856</v>
      </c>
      <c r="G29" s="486">
        <f t="shared" si="15"/>
        <v>142911.47953488372</v>
      </c>
      <c r="H29" s="455">
        <f t="shared" si="16"/>
        <v>142911.47953488372</v>
      </c>
      <c r="I29" s="475">
        <f t="shared" si="6"/>
        <v>0</v>
      </c>
      <c r="J29" s="475"/>
      <c r="K29" s="487"/>
      <c r="L29" s="478">
        <f t="shared" si="1"/>
        <v>0</v>
      </c>
      <c r="M29" s="487"/>
      <c r="N29" s="478">
        <f t="shared" si="3"/>
        <v>0</v>
      </c>
      <c r="O29" s="478">
        <f t="shared" si="4"/>
        <v>0</v>
      </c>
      <c r="P29" s="242"/>
    </row>
    <row r="30" spans="2:16" ht="12.5">
      <c r="B30" s="160" t="str">
        <f t="shared" si="5"/>
        <v/>
      </c>
      <c r="C30" s="472">
        <f>IF(D11="","-",+C29+1)</f>
        <v>2024</v>
      </c>
      <c r="D30" s="485">
        <f>IF(F29+SUM(E$17:E29)=D$10,F29,D$10-SUM(E$17:E29))</f>
        <v>1022597.3130664856</v>
      </c>
      <c r="E30" s="484">
        <f>IF(+I14&lt;F29,I14,D30)</f>
        <v>32653.479534883718</v>
      </c>
      <c r="F30" s="485">
        <f t="shared" si="14"/>
        <v>989943.83353160182</v>
      </c>
      <c r="G30" s="486">
        <f t="shared" si="15"/>
        <v>139390.47953488372</v>
      </c>
      <c r="H30" s="455">
        <f t="shared" si="16"/>
        <v>139390.47953488372</v>
      </c>
      <c r="I30" s="475">
        <f t="shared" si="6"/>
        <v>0</v>
      </c>
      <c r="J30" s="475"/>
      <c r="K30" s="487"/>
      <c r="L30" s="478">
        <f t="shared" si="1"/>
        <v>0</v>
      </c>
      <c r="M30" s="487"/>
      <c r="N30" s="478">
        <f t="shared" si="3"/>
        <v>0</v>
      </c>
      <c r="O30" s="478">
        <f t="shared" si="4"/>
        <v>0</v>
      </c>
      <c r="P30" s="242"/>
    </row>
    <row r="31" spans="2:16" ht="12.5">
      <c r="B31" s="160" t="str">
        <f t="shared" si="5"/>
        <v/>
      </c>
      <c r="C31" s="472">
        <f>IF(D11="","-",+C30+1)</f>
        <v>2025</v>
      </c>
      <c r="D31" s="485">
        <f>IF(F30+SUM(E$17:E30)=D$10,F30,D$10-SUM(E$17:E30))</f>
        <v>989943.83353160182</v>
      </c>
      <c r="E31" s="484">
        <f>IF(+I14&lt;F30,I14,D31)</f>
        <v>32653.479534883718</v>
      </c>
      <c r="F31" s="485">
        <f t="shared" si="14"/>
        <v>957290.35399671807</v>
      </c>
      <c r="G31" s="486">
        <f t="shared" si="15"/>
        <v>135870.47953488372</v>
      </c>
      <c r="H31" s="455">
        <f t="shared" si="16"/>
        <v>135870.47953488372</v>
      </c>
      <c r="I31" s="475">
        <f t="shared" si="6"/>
        <v>0</v>
      </c>
      <c r="J31" s="475"/>
      <c r="K31" s="487"/>
      <c r="L31" s="478">
        <f t="shared" si="1"/>
        <v>0</v>
      </c>
      <c r="M31" s="487"/>
      <c r="N31" s="478">
        <f t="shared" si="3"/>
        <v>0</v>
      </c>
      <c r="O31" s="478">
        <f t="shared" si="4"/>
        <v>0</v>
      </c>
      <c r="P31" s="242"/>
    </row>
    <row r="32" spans="2:16" ht="12.5">
      <c r="B32" s="160" t="str">
        <f t="shared" si="5"/>
        <v/>
      </c>
      <c r="C32" s="472">
        <f>IF(D11="","-",+C31+1)</f>
        <v>2026</v>
      </c>
      <c r="D32" s="485">
        <f>IF(F31+SUM(E$17:E31)=D$10,F31,D$10-SUM(E$17:E31))</f>
        <v>957290.35399671807</v>
      </c>
      <c r="E32" s="484">
        <f>IF(+I14&lt;F31,I14,D32)</f>
        <v>32653.479534883718</v>
      </c>
      <c r="F32" s="485">
        <f t="shared" si="14"/>
        <v>924636.87446183432</v>
      </c>
      <c r="G32" s="486">
        <f t="shared" si="15"/>
        <v>132349.47953488372</v>
      </c>
      <c r="H32" s="455">
        <f t="shared" si="16"/>
        <v>132349.47953488372</v>
      </c>
      <c r="I32" s="475">
        <f t="shared" si="6"/>
        <v>0</v>
      </c>
      <c r="J32" s="475"/>
      <c r="K32" s="487"/>
      <c r="L32" s="478">
        <f t="shared" si="1"/>
        <v>0</v>
      </c>
      <c r="M32" s="487"/>
      <c r="N32" s="478">
        <f t="shared" si="3"/>
        <v>0</v>
      </c>
      <c r="O32" s="478">
        <f t="shared" si="4"/>
        <v>0</v>
      </c>
      <c r="P32" s="242"/>
    </row>
    <row r="33" spans="2:16" ht="12.5">
      <c r="B33" s="160" t="str">
        <f t="shared" si="5"/>
        <v/>
      </c>
      <c r="C33" s="472">
        <f>IF(D11="","-",+C32+1)</f>
        <v>2027</v>
      </c>
      <c r="D33" s="485">
        <f>IF(F32+SUM(E$17:E32)=D$10,F32,D$10-SUM(E$17:E32))</f>
        <v>924636.87446183432</v>
      </c>
      <c r="E33" s="484">
        <f>IF(+I14&lt;F32,I14,D33)</f>
        <v>32653.479534883718</v>
      </c>
      <c r="F33" s="485">
        <f t="shared" si="14"/>
        <v>891983.39492695057</v>
      </c>
      <c r="G33" s="486">
        <f t="shared" si="15"/>
        <v>128828.47953488372</v>
      </c>
      <c r="H33" s="455">
        <f t="shared" si="16"/>
        <v>128828.47953488372</v>
      </c>
      <c r="I33" s="475">
        <f t="shared" si="6"/>
        <v>0</v>
      </c>
      <c r="J33" s="475"/>
      <c r="K33" s="487"/>
      <c r="L33" s="478">
        <f t="shared" si="1"/>
        <v>0</v>
      </c>
      <c r="M33" s="487"/>
      <c r="N33" s="478">
        <f t="shared" si="3"/>
        <v>0</v>
      </c>
      <c r="O33" s="478">
        <f t="shared" si="4"/>
        <v>0</v>
      </c>
      <c r="P33" s="242"/>
    </row>
    <row r="34" spans="2:16" ht="12.5">
      <c r="B34" s="160" t="str">
        <f t="shared" si="5"/>
        <v/>
      </c>
      <c r="C34" s="472">
        <f>IF(D11="","-",+C33+1)</f>
        <v>2028</v>
      </c>
      <c r="D34" s="485">
        <f>IF(F33+SUM(E$17:E33)=D$10,F33,D$10-SUM(E$17:E33))</f>
        <v>891983.39492695057</v>
      </c>
      <c r="E34" s="484">
        <f>IF(+I14&lt;F33,I14,D34)</f>
        <v>32653.479534883718</v>
      </c>
      <c r="F34" s="485">
        <f t="shared" si="14"/>
        <v>859329.91539206682</v>
      </c>
      <c r="G34" s="486">
        <f t="shared" si="15"/>
        <v>125307.47953488372</v>
      </c>
      <c r="H34" s="455">
        <f t="shared" si="16"/>
        <v>125307.47953488372</v>
      </c>
      <c r="I34" s="475">
        <f t="shared" si="6"/>
        <v>0</v>
      </c>
      <c r="J34" s="475"/>
      <c r="K34" s="487"/>
      <c r="L34" s="478">
        <f t="shared" si="1"/>
        <v>0</v>
      </c>
      <c r="M34" s="487"/>
      <c r="N34" s="478">
        <f t="shared" si="3"/>
        <v>0</v>
      </c>
      <c r="O34" s="478">
        <f t="shared" si="4"/>
        <v>0</v>
      </c>
      <c r="P34" s="242"/>
    </row>
    <row r="35" spans="2:16" ht="12.5">
      <c r="B35" s="160" t="str">
        <f t="shared" si="5"/>
        <v/>
      </c>
      <c r="C35" s="472">
        <f>IF(D11="","-",+C34+1)</f>
        <v>2029</v>
      </c>
      <c r="D35" s="485">
        <f>IF(F34+SUM(E$17:E34)=D$10,F34,D$10-SUM(E$17:E34))</f>
        <v>859329.91539206682</v>
      </c>
      <c r="E35" s="484">
        <f>IF(+I14&lt;F34,I14,D35)</f>
        <v>32653.479534883718</v>
      </c>
      <c r="F35" s="485">
        <f t="shared" si="14"/>
        <v>826676.43585718307</v>
      </c>
      <c r="G35" s="486">
        <f t="shared" si="15"/>
        <v>121787.47953488372</v>
      </c>
      <c r="H35" s="455">
        <f t="shared" si="16"/>
        <v>121787.47953488372</v>
      </c>
      <c r="I35" s="475">
        <f t="shared" si="6"/>
        <v>0</v>
      </c>
      <c r="J35" s="475"/>
      <c r="K35" s="487"/>
      <c r="L35" s="478">
        <f t="shared" si="1"/>
        <v>0</v>
      </c>
      <c r="M35" s="487"/>
      <c r="N35" s="478">
        <f t="shared" si="3"/>
        <v>0</v>
      </c>
      <c r="O35" s="478">
        <f t="shared" si="4"/>
        <v>0</v>
      </c>
      <c r="P35" s="242"/>
    </row>
    <row r="36" spans="2:16" ht="12.5">
      <c r="B36" s="160" t="str">
        <f t="shared" si="5"/>
        <v/>
      </c>
      <c r="C36" s="472">
        <f>IF(D11="","-",+C35+1)</f>
        <v>2030</v>
      </c>
      <c r="D36" s="485">
        <f>IF(F35+SUM(E$17:E35)=D$10,F35,D$10-SUM(E$17:E35))</f>
        <v>826676.43585718307</v>
      </c>
      <c r="E36" s="484">
        <f>IF(+I14&lt;F35,I14,D36)</f>
        <v>32653.479534883718</v>
      </c>
      <c r="F36" s="485">
        <f t="shared" si="14"/>
        <v>794022.95632229932</v>
      </c>
      <c r="G36" s="486">
        <f t="shared" si="15"/>
        <v>118266.47953488372</v>
      </c>
      <c r="H36" s="455">
        <f t="shared" si="16"/>
        <v>118266.47953488372</v>
      </c>
      <c r="I36" s="475">
        <f t="shared" si="6"/>
        <v>0</v>
      </c>
      <c r="J36" s="475"/>
      <c r="K36" s="487"/>
      <c r="L36" s="478">
        <f t="shared" si="1"/>
        <v>0</v>
      </c>
      <c r="M36" s="487"/>
      <c r="N36" s="478">
        <f t="shared" si="3"/>
        <v>0</v>
      </c>
      <c r="O36" s="478">
        <f t="shared" si="4"/>
        <v>0</v>
      </c>
      <c r="P36" s="242"/>
    </row>
    <row r="37" spans="2:16" ht="12.5">
      <c r="B37" s="160" t="str">
        <f t="shared" si="5"/>
        <v/>
      </c>
      <c r="C37" s="472">
        <f>IF(D11="","-",+C36+1)</f>
        <v>2031</v>
      </c>
      <c r="D37" s="485">
        <f>IF(F36+SUM(E$17:E36)=D$10,F36,D$10-SUM(E$17:E36))</f>
        <v>794022.95632229932</v>
      </c>
      <c r="E37" s="484">
        <f>IF(+I14&lt;F36,I14,D37)</f>
        <v>32653.479534883718</v>
      </c>
      <c r="F37" s="485">
        <f t="shared" si="14"/>
        <v>761369.47678741557</v>
      </c>
      <c r="G37" s="486">
        <f t="shared" si="15"/>
        <v>114745.47953488372</v>
      </c>
      <c r="H37" s="455">
        <f t="shared" si="16"/>
        <v>114745.47953488372</v>
      </c>
      <c r="I37" s="475">
        <f t="shared" si="6"/>
        <v>0</v>
      </c>
      <c r="J37" s="475"/>
      <c r="K37" s="487"/>
      <c r="L37" s="478">
        <f t="shared" si="1"/>
        <v>0</v>
      </c>
      <c r="M37" s="487"/>
      <c r="N37" s="478">
        <f t="shared" si="3"/>
        <v>0</v>
      </c>
      <c r="O37" s="478">
        <f t="shared" si="4"/>
        <v>0</v>
      </c>
      <c r="P37" s="242"/>
    </row>
    <row r="38" spans="2:16" ht="12.5">
      <c r="B38" s="160" t="str">
        <f t="shared" si="5"/>
        <v/>
      </c>
      <c r="C38" s="472">
        <f>IF(D11="","-",+C37+1)</f>
        <v>2032</v>
      </c>
      <c r="D38" s="485">
        <f>IF(F37+SUM(E$17:E37)=D$10,F37,D$10-SUM(E$17:E37))</f>
        <v>761369.47678741557</v>
      </c>
      <c r="E38" s="484">
        <f>IF(+I14&lt;F37,I14,D38)</f>
        <v>32653.479534883718</v>
      </c>
      <c r="F38" s="485">
        <f t="shared" si="14"/>
        <v>728715.99725253182</v>
      </c>
      <c r="G38" s="486">
        <f t="shared" si="15"/>
        <v>111224.47953488372</v>
      </c>
      <c r="H38" s="455">
        <f t="shared" si="16"/>
        <v>111224.47953488372</v>
      </c>
      <c r="I38" s="475">
        <f t="shared" si="6"/>
        <v>0</v>
      </c>
      <c r="J38" s="475"/>
      <c r="K38" s="487"/>
      <c r="L38" s="478">
        <f t="shared" si="1"/>
        <v>0</v>
      </c>
      <c r="M38" s="487"/>
      <c r="N38" s="478">
        <f t="shared" si="3"/>
        <v>0</v>
      </c>
      <c r="O38" s="478">
        <f t="shared" si="4"/>
        <v>0</v>
      </c>
      <c r="P38" s="242"/>
    </row>
    <row r="39" spans="2:16" ht="12.5">
      <c r="B39" s="160" t="str">
        <f t="shared" si="5"/>
        <v/>
      </c>
      <c r="C39" s="472">
        <f>IF(D11="","-",+C38+1)</f>
        <v>2033</v>
      </c>
      <c r="D39" s="485">
        <f>IF(F38+SUM(E$17:E38)=D$10,F38,D$10-SUM(E$17:E38))</f>
        <v>728715.99725253182</v>
      </c>
      <c r="E39" s="484">
        <f>IF(+I14&lt;F38,I14,D39)</f>
        <v>32653.479534883718</v>
      </c>
      <c r="F39" s="485">
        <f t="shared" si="14"/>
        <v>696062.51771764806</v>
      </c>
      <c r="G39" s="486">
        <f t="shared" si="15"/>
        <v>107704.47953488372</v>
      </c>
      <c r="H39" s="455">
        <f t="shared" si="16"/>
        <v>107704.47953488372</v>
      </c>
      <c r="I39" s="475">
        <f t="shared" si="6"/>
        <v>0</v>
      </c>
      <c r="J39" s="475"/>
      <c r="K39" s="487"/>
      <c r="L39" s="478">
        <f t="shared" si="1"/>
        <v>0</v>
      </c>
      <c r="M39" s="487"/>
      <c r="N39" s="478">
        <f t="shared" si="3"/>
        <v>0</v>
      </c>
      <c r="O39" s="478">
        <f t="shared" si="4"/>
        <v>0</v>
      </c>
      <c r="P39" s="242"/>
    </row>
    <row r="40" spans="2:16" ht="12.5">
      <c r="B40" s="160" t="str">
        <f t="shared" si="5"/>
        <v/>
      </c>
      <c r="C40" s="472">
        <f>IF(D11="","-",+C39+1)</f>
        <v>2034</v>
      </c>
      <c r="D40" s="485">
        <f>IF(F39+SUM(E$17:E39)=D$10,F39,D$10-SUM(E$17:E39))</f>
        <v>696062.51771764806</v>
      </c>
      <c r="E40" s="484">
        <f>IF(+I14&lt;F39,I14,D40)</f>
        <v>32653.479534883718</v>
      </c>
      <c r="F40" s="485">
        <f t="shared" si="14"/>
        <v>663409.03818276431</v>
      </c>
      <c r="G40" s="486">
        <f t="shared" si="15"/>
        <v>104183.47953488372</v>
      </c>
      <c r="H40" s="455">
        <f t="shared" si="16"/>
        <v>104183.47953488372</v>
      </c>
      <c r="I40" s="475">
        <f t="shared" si="6"/>
        <v>0</v>
      </c>
      <c r="J40" s="475"/>
      <c r="K40" s="487"/>
      <c r="L40" s="478">
        <f t="shared" si="1"/>
        <v>0</v>
      </c>
      <c r="M40" s="487"/>
      <c r="N40" s="478">
        <f t="shared" si="3"/>
        <v>0</v>
      </c>
      <c r="O40" s="478">
        <f t="shared" si="4"/>
        <v>0</v>
      </c>
      <c r="P40" s="242"/>
    </row>
    <row r="41" spans="2:16" ht="12.5">
      <c r="B41" s="160" t="str">
        <f t="shared" si="5"/>
        <v/>
      </c>
      <c r="C41" s="472">
        <f>IF(D11="","-",+C40+1)</f>
        <v>2035</v>
      </c>
      <c r="D41" s="485">
        <f>IF(F40+SUM(E$17:E40)=D$10,F40,D$10-SUM(E$17:E40))</f>
        <v>663409.03818276431</v>
      </c>
      <c r="E41" s="484">
        <f>IF(+I14&lt;F40,I14,D41)</f>
        <v>32653.479534883718</v>
      </c>
      <c r="F41" s="485">
        <f t="shared" si="14"/>
        <v>630755.55864788056</v>
      </c>
      <c r="G41" s="486">
        <f t="shared" si="15"/>
        <v>100662.47953488372</v>
      </c>
      <c r="H41" s="455">
        <f t="shared" si="16"/>
        <v>100662.47953488372</v>
      </c>
      <c r="I41" s="475">
        <f t="shared" si="6"/>
        <v>0</v>
      </c>
      <c r="J41" s="475"/>
      <c r="K41" s="487"/>
      <c r="L41" s="478">
        <f t="shared" si="1"/>
        <v>0</v>
      </c>
      <c r="M41" s="487"/>
      <c r="N41" s="478">
        <f t="shared" si="3"/>
        <v>0</v>
      </c>
      <c r="O41" s="478">
        <f t="shared" si="4"/>
        <v>0</v>
      </c>
      <c r="P41" s="242"/>
    </row>
    <row r="42" spans="2:16" ht="12.5">
      <c r="B42" s="160" t="str">
        <f t="shared" si="5"/>
        <v/>
      </c>
      <c r="C42" s="472">
        <f>IF(D11="","-",+C41+1)</f>
        <v>2036</v>
      </c>
      <c r="D42" s="485">
        <f>IF(F41+SUM(E$17:E41)=D$10,F41,D$10-SUM(E$17:E41))</f>
        <v>630755.55864788056</v>
      </c>
      <c r="E42" s="484">
        <f>IF(+I14&lt;F41,I14,D42)</f>
        <v>32653.479534883718</v>
      </c>
      <c r="F42" s="485">
        <f t="shared" si="14"/>
        <v>598102.07911299681</v>
      </c>
      <c r="G42" s="486">
        <f t="shared" si="15"/>
        <v>97141.479534883721</v>
      </c>
      <c r="H42" s="455">
        <f t="shared" si="16"/>
        <v>97141.479534883721</v>
      </c>
      <c r="I42" s="475">
        <f t="shared" si="6"/>
        <v>0</v>
      </c>
      <c r="J42" s="475"/>
      <c r="K42" s="487"/>
      <c r="L42" s="478">
        <f t="shared" si="1"/>
        <v>0</v>
      </c>
      <c r="M42" s="487"/>
      <c r="N42" s="478">
        <f t="shared" si="3"/>
        <v>0</v>
      </c>
      <c r="O42" s="478">
        <f t="shared" si="4"/>
        <v>0</v>
      </c>
      <c r="P42" s="242"/>
    </row>
    <row r="43" spans="2:16" ht="12.5">
      <c r="B43" s="160" t="str">
        <f t="shared" si="5"/>
        <v/>
      </c>
      <c r="C43" s="472">
        <f>IF(D11="","-",+C42+1)</f>
        <v>2037</v>
      </c>
      <c r="D43" s="485">
        <f>IF(F42+SUM(E$17:E42)=D$10,F42,D$10-SUM(E$17:E42))</f>
        <v>598102.07911299681</v>
      </c>
      <c r="E43" s="484">
        <f>IF(+I14&lt;F42,I14,D43)</f>
        <v>32653.479534883718</v>
      </c>
      <c r="F43" s="485">
        <f t="shared" si="14"/>
        <v>565448.59957811306</v>
      </c>
      <c r="G43" s="486">
        <f t="shared" si="15"/>
        <v>93621.479534883721</v>
      </c>
      <c r="H43" s="455">
        <f t="shared" si="16"/>
        <v>93621.479534883721</v>
      </c>
      <c r="I43" s="475">
        <f t="shared" si="6"/>
        <v>0</v>
      </c>
      <c r="J43" s="475"/>
      <c r="K43" s="487"/>
      <c r="L43" s="478">
        <f t="shared" si="1"/>
        <v>0</v>
      </c>
      <c r="M43" s="487"/>
      <c r="N43" s="478">
        <f t="shared" si="3"/>
        <v>0</v>
      </c>
      <c r="O43" s="478">
        <f t="shared" si="4"/>
        <v>0</v>
      </c>
      <c r="P43" s="242"/>
    </row>
    <row r="44" spans="2:16" ht="12.5">
      <c r="B44" s="160" t="str">
        <f t="shared" si="5"/>
        <v/>
      </c>
      <c r="C44" s="472">
        <f>IF(D11="","-",+C43+1)</f>
        <v>2038</v>
      </c>
      <c r="D44" s="485">
        <f>IF(F43+SUM(E$17:E43)=D$10,F43,D$10-SUM(E$17:E43))</f>
        <v>565448.59957811306</v>
      </c>
      <c r="E44" s="484">
        <f>IF(+I14&lt;F43,I14,D44)</f>
        <v>32653.479534883718</v>
      </c>
      <c r="F44" s="485">
        <f t="shared" si="14"/>
        <v>532795.12004322931</v>
      </c>
      <c r="G44" s="486">
        <f t="shared" si="15"/>
        <v>90100.479534883721</v>
      </c>
      <c r="H44" s="455">
        <f t="shared" si="16"/>
        <v>90100.479534883721</v>
      </c>
      <c r="I44" s="475">
        <f t="shared" si="6"/>
        <v>0</v>
      </c>
      <c r="J44" s="475"/>
      <c r="K44" s="487"/>
      <c r="L44" s="478">
        <f t="shared" si="1"/>
        <v>0</v>
      </c>
      <c r="M44" s="487"/>
      <c r="N44" s="478">
        <f t="shared" si="3"/>
        <v>0</v>
      </c>
      <c r="O44" s="478">
        <f t="shared" si="4"/>
        <v>0</v>
      </c>
      <c r="P44" s="242"/>
    </row>
    <row r="45" spans="2:16" ht="12.5">
      <c r="B45" s="160" t="str">
        <f t="shared" si="5"/>
        <v/>
      </c>
      <c r="C45" s="472">
        <f>IF(D11="","-",+C44+1)</f>
        <v>2039</v>
      </c>
      <c r="D45" s="485">
        <f>IF(F44+SUM(E$17:E44)=D$10,F44,D$10-SUM(E$17:E44))</f>
        <v>532795.12004322931</v>
      </c>
      <c r="E45" s="484">
        <f>IF(+I14&lt;F44,I14,D45)</f>
        <v>32653.479534883718</v>
      </c>
      <c r="F45" s="485">
        <f t="shared" si="14"/>
        <v>500141.64050834562</v>
      </c>
      <c r="G45" s="486">
        <f t="shared" si="15"/>
        <v>86579.479534883721</v>
      </c>
      <c r="H45" s="455">
        <f t="shared" si="16"/>
        <v>86579.479534883721</v>
      </c>
      <c r="I45" s="475">
        <f t="shared" si="6"/>
        <v>0</v>
      </c>
      <c r="J45" s="475"/>
      <c r="K45" s="487"/>
      <c r="L45" s="478">
        <f t="shared" si="1"/>
        <v>0</v>
      </c>
      <c r="M45" s="487"/>
      <c r="N45" s="478">
        <f t="shared" si="3"/>
        <v>0</v>
      </c>
      <c r="O45" s="478">
        <f t="shared" si="4"/>
        <v>0</v>
      </c>
      <c r="P45" s="242"/>
    </row>
    <row r="46" spans="2:16" ht="12.5">
      <c r="B46" s="160" t="str">
        <f t="shared" si="5"/>
        <v/>
      </c>
      <c r="C46" s="472">
        <f>IF(D11="","-",+C45+1)</f>
        <v>2040</v>
      </c>
      <c r="D46" s="485">
        <f>IF(F45+SUM(E$17:E45)=D$10,F45,D$10-SUM(E$17:E45))</f>
        <v>500141.64050834562</v>
      </c>
      <c r="E46" s="484">
        <f>IF(+I14&lt;F45,I14,D46)</f>
        <v>32653.479534883718</v>
      </c>
      <c r="F46" s="485">
        <f t="shared" si="14"/>
        <v>467488.16097346193</v>
      </c>
      <c r="G46" s="486">
        <f t="shared" si="15"/>
        <v>83058.479534883721</v>
      </c>
      <c r="H46" s="455">
        <f t="shared" si="16"/>
        <v>83058.479534883721</v>
      </c>
      <c r="I46" s="475">
        <f t="shared" si="6"/>
        <v>0</v>
      </c>
      <c r="J46" s="475"/>
      <c r="K46" s="487"/>
      <c r="L46" s="478">
        <f t="shared" si="1"/>
        <v>0</v>
      </c>
      <c r="M46" s="487"/>
      <c r="N46" s="478">
        <f t="shared" si="3"/>
        <v>0</v>
      </c>
      <c r="O46" s="478">
        <f t="shared" si="4"/>
        <v>0</v>
      </c>
      <c r="P46" s="242"/>
    </row>
    <row r="47" spans="2:16" ht="12.5">
      <c r="B47" s="160" t="str">
        <f t="shared" si="5"/>
        <v/>
      </c>
      <c r="C47" s="472">
        <f>IF(D11="","-",+C46+1)</f>
        <v>2041</v>
      </c>
      <c r="D47" s="485">
        <f>IF(F46+SUM(E$17:E46)=D$10,F46,D$10-SUM(E$17:E46))</f>
        <v>467488.16097346193</v>
      </c>
      <c r="E47" s="484">
        <f>IF(+I14&lt;F46,I14,D47)</f>
        <v>32653.479534883718</v>
      </c>
      <c r="F47" s="485">
        <f t="shared" si="14"/>
        <v>434834.68143857823</v>
      </c>
      <c r="G47" s="486">
        <f t="shared" si="15"/>
        <v>79538.479534883721</v>
      </c>
      <c r="H47" s="455">
        <f t="shared" si="16"/>
        <v>79538.479534883721</v>
      </c>
      <c r="I47" s="475">
        <f t="shared" si="6"/>
        <v>0</v>
      </c>
      <c r="J47" s="475"/>
      <c r="K47" s="487"/>
      <c r="L47" s="478">
        <f t="shared" si="1"/>
        <v>0</v>
      </c>
      <c r="M47" s="487"/>
      <c r="N47" s="478">
        <f t="shared" si="3"/>
        <v>0</v>
      </c>
      <c r="O47" s="478">
        <f t="shared" si="4"/>
        <v>0</v>
      </c>
      <c r="P47" s="242"/>
    </row>
    <row r="48" spans="2:16" ht="12.5">
      <c r="B48" s="160" t="str">
        <f t="shared" si="5"/>
        <v/>
      </c>
      <c r="C48" s="472">
        <f>IF(D11="","-",+C47+1)</f>
        <v>2042</v>
      </c>
      <c r="D48" s="485">
        <f>IF(F47+SUM(E$17:E47)=D$10,F47,D$10-SUM(E$17:E47))</f>
        <v>434834.68143857823</v>
      </c>
      <c r="E48" s="484">
        <f>IF(+I14&lt;F47,I14,D48)</f>
        <v>32653.479534883718</v>
      </c>
      <c r="F48" s="485">
        <f t="shared" si="14"/>
        <v>402181.20190369454</v>
      </c>
      <c r="G48" s="486">
        <f t="shared" si="15"/>
        <v>76017.479534883721</v>
      </c>
      <c r="H48" s="455">
        <f t="shared" si="16"/>
        <v>76017.479534883721</v>
      </c>
      <c r="I48" s="475">
        <f t="shared" si="6"/>
        <v>0</v>
      </c>
      <c r="J48" s="475"/>
      <c r="K48" s="487"/>
      <c r="L48" s="478">
        <f t="shared" si="1"/>
        <v>0</v>
      </c>
      <c r="M48" s="487"/>
      <c r="N48" s="478">
        <f t="shared" si="3"/>
        <v>0</v>
      </c>
      <c r="O48" s="478">
        <f t="shared" si="4"/>
        <v>0</v>
      </c>
      <c r="P48" s="242"/>
    </row>
    <row r="49" spans="2:16" ht="12.5">
      <c r="B49" s="160" t="str">
        <f t="shared" si="5"/>
        <v/>
      </c>
      <c r="C49" s="472">
        <f>IF(D11="","-",+C48+1)</f>
        <v>2043</v>
      </c>
      <c r="D49" s="485">
        <f>IF(F48+SUM(E$17:E48)=D$10,F48,D$10-SUM(E$17:E48))</f>
        <v>402181.20190369454</v>
      </c>
      <c r="E49" s="484">
        <f>IF(+I14&lt;F48,I14,D49)</f>
        <v>32653.479534883718</v>
      </c>
      <c r="F49" s="485">
        <f t="shared" si="14"/>
        <v>369527.72236881085</v>
      </c>
      <c r="G49" s="486">
        <f t="shared" si="15"/>
        <v>72496.479534883721</v>
      </c>
      <c r="H49" s="455">
        <f t="shared" si="16"/>
        <v>72496.479534883721</v>
      </c>
      <c r="I49" s="475">
        <f t="shared" ref="I49:I72" si="17">H49-G49</f>
        <v>0</v>
      </c>
      <c r="J49" s="475"/>
      <c r="K49" s="487"/>
      <c r="L49" s="478">
        <f t="shared" ref="L49:L72" si="18">IF(K49&lt;&gt;0,+G49-K49,0)</f>
        <v>0</v>
      </c>
      <c r="M49" s="487"/>
      <c r="N49" s="478">
        <f t="shared" ref="N49:N72" si="19">IF(M49&lt;&gt;0,+H49-M49,0)</f>
        <v>0</v>
      </c>
      <c r="O49" s="478">
        <f t="shared" ref="O49:O72" si="20">+N49-L49</f>
        <v>0</v>
      </c>
      <c r="P49" s="242"/>
    </row>
    <row r="50" spans="2:16" ht="12.5">
      <c r="B50" s="160" t="str">
        <f t="shared" ref="B50:B72" si="21">IF(D50=F49,"","IU")</f>
        <v/>
      </c>
      <c r="C50" s="472">
        <f>IF(D11="","-",+C49+1)</f>
        <v>2044</v>
      </c>
      <c r="D50" s="485">
        <f>IF(F49+SUM(E$17:E49)=D$10,F49,D$10-SUM(E$17:E49))</f>
        <v>369527.72236881085</v>
      </c>
      <c r="E50" s="484">
        <f>IF(+I14&lt;F49,I14,D50)</f>
        <v>32653.479534883718</v>
      </c>
      <c r="F50" s="485">
        <f t="shared" ref="F50:F72" si="22">+D50-E50</f>
        <v>336874.24283392716</v>
      </c>
      <c r="G50" s="486">
        <f t="shared" ref="G50:G72" si="23">ROUND(I$12*F50,0)+E50</f>
        <v>68975.479534883721</v>
      </c>
      <c r="H50" s="455">
        <f t="shared" ref="H50:H72" si="24">ROUND(I$13*F50,0)+E50</f>
        <v>68975.479534883721</v>
      </c>
      <c r="I50" s="475">
        <f t="shared" si="17"/>
        <v>0</v>
      </c>
      <c r="J50" s="475"/>
      <c r="K50" s="487"/>
      <c r="L50" s="478">
        <f t="shared" si="18"/>
        <v>0</v>
      </c>
      <c r="M50" s="487"/>
      <c r="N50" s="478">
        <f t="shared" si="19"/>
        <v>0</v>
      </c>
      <c r="O50" s="478">
        <f t="shared" si="20"/>
        <v>0</v>
      </c>
      <c r="P50" s="242"/>
    </row>
    <row r="51" spans="2:16" ht="12.5">
      <c r="B51" s="160" t="str">
        <f t="shared" si="21"/>
        <v/>
      </c>
      <c r="C51" s="472">
        <f>IF(D11="","-",+C50+1)</f>
        <v>2045</v>
      </c>
      <c r="D51" s="485">
        <f>IF(F50+SUM(E$17:E50)=D$10,F50,D$10-SUM(E$17:E50))</f>
        <v>336874.24283392716</v>
      </c>
      <c r="E51" s="484">
        <f>IF(+I14&lt;F50,I14,D51)</f>
        <v>32653.479534883718</v>
      </c>
      <c r="F51" s="485">
        <f t="shared" si="22"/>
        <v>304220.76329904346</v>
      </c>
      <c r="G51" s="486">
        <f t="shared" si="23"/>
        <v>65455.479534883721</v>
      </c>
      <c r="H51" s="455">
        <f t="shared" si="24"/>
        <v>65455.479534883721</v>
      </c>
      <c r="I51" s="475">
        <f t="shared" si="17"/>
        <v>0</v>
      </c>
      <c r="J51" s="475"/>
      <c r="K51" s="487"/>
      <c r="L51" s="478">
        <f t="shared" si="18"/>
        <v>0</v>
      </c>
      <c r="M51" s="487"/>
      <c r="N51" s="478">
        <f t="shared" si="19"/>
        <v>0</v>
      </c>
      <c r="O51" s="478">
        <f t="shared" si="20"/>
        <v>0</v>
      </c>
      <c r="P51" s="242"/>
    </row>
    <row r="52" spans="2:16" ht="12.5">
      <c r="B52" s="160" t="str">
        <f t="shared" si="21"/>
        <v/>
      </c>
      <c r="C52" s="472">
        <f>IF(D11="","-",+C51+1)</f>
        <v>2046</v>
      </c>
      <c r="D52" s="485">
        <f>IF(F51+SUM(E$17:E51)=D$10,F51,D$10-SUM(E$17:E51))</f>
        <v>304220.76329904346</v>
      </c>
      <c r="E52" s="484">
        <f>IF(+I14&lt;F51,I14,D52)</f>
        <v>32653.479534883718</v>
      </c>
      <c r="F52" s="485">
        <f t="shared" si="22"/>
        <v>271567.28376415977</v>
      </c>
      <c r="G52" s="486">
        <f t="shared" si="23"/>
        <v>61934.479534883721</v>
      </c>
      <c r="H52" s="455">
        <f t="shared" si="24"/>
        <v>61934.479534883721</v>
      </c>
      <c r="I52" s="475">
        <f t="shared" si="17"/>
        <v>0</v>
      </c>
      <c r="J52" s="475"/>
      <c r="K52" s="487"/>
      <c r="L52" s="478">
        <f t="shared" si="18"/>
        <v>0</v>
      </c>
      <c r="M52" s="487"/>
      <c r="N52" s="478">
        <f t="shared" si="19"/>
        <v>0</v>
      </c>
      <c r="O52" s="478">
        <f t="shared" si="20"/>
        <v>0</v>
      </c>
      <c r="P52" s="242"/>
    </row>
    <row r="53" spans="2:16" ht="12.5">
      <c r="B53" s="160" t="str">
        <f t="shared" si="21"/>
        <v/>
      </c>
      <c r="C53" s="472">
        <f>IF(D11="","-",+C52+1)</f>
        <v>2047</v>
      </c>
      <c r="D53" s="485">
        <f>IF(F52+SUM(E$17:E52)=D$10,F52,D$10-SUM(E$17:E52))</f>
        <v>271567.28376415977</v>
      </c>
      <c r="E53" s="484">
        <f>IF(+I14&lt;F52,I14,D53)</f>
        <v>32653.479534883718</v>
      </c>
      <c r="F53" s="485">
        <f t="shared" si="22"/>
        <v>238913.80422927605</v>
      </c>
      <c r="G53" s="486">
        <f t="shared" si="23"/>
        <v>58413.479534883721</v>
      </c>
      <c r="H53" s="455">
        <f t="shared" si="24"/>
        <v>58413.479534883721</v>
      </c>
      <c r="I53" s="475">
        <f t="shared" si="17"/>
        <v>0</v>
      </c>
      <c r="J53" s="475"/>
      <c r="K53" s="487"/>
      <c r="L53" s="478">
        <f t="shared" si="18"/>
        <v>0</v>
      </c>
      <c r="M53" s="487"/>
      <c r="N53" s="478">
        <f t="shared" si="19"/>
        <v>0</v>
      </c>
      <c r="O53" s="478">
        <f t="shared" si="20"/>
        <v>0</v>
      </c>
      <c r="P53" s="242"/>
    </row>
    <row r="54" spans="2:16" ht="12.5">
      <c r="B54" s="160" t="str">
        <f t="shared" si="21"/>
        <v/>
      </c>
      <c r="C54" s="472">
        <f>IF(D11="","-",+C53+1)</f>
        <v>2048</v>
      </c>
      <c r="D54" s="485">
        <f>IF(F53+SUM(E$17:E53)=D$10,F53,D$10-SUM(E$17:E53))</f>
        <v>238913.80422927605</v>
      </c>
      <c r="E54" s="484">
        <f>IF(+I14&lt;F53,I14,D54)</f>
        <v>32653.479534883718</v>
      </c>
      <c r="F54" s="485">
        <f t="shared" si="22"/>
        <v>206260.32469439233</v>
      </c>
      <c r="G54" s="486">
        <f t="shared" si="23"/>
        <v>54892.479534883721</v>
      </c>
      <c r="H54" s="455">
        <f t="shared" si="24"/>
        <v>54892.479534883721</v>
      </c>
      <c r="I54" s="475">
        <f t="shared" si="17"/>
        <v>0</v>
      </c>
      <c r="J54" s="475"/>
      <c r="K54" s="487"/>
      <c r="L54" s="478">
        <f t="shared" si="18"/>
        <v>0</v>
      </c>
      <c r="M54" s="487"/>
      <c r="N54" s="478">
        <f t="shared" si="19"/>
        <v>0</v>
      </c>
      <c r="O54" s="478">
        <f t="shared" si="20"/>
        <v>0</v>
      </c>
      <c r="P54" s="242"/>
    </row>
    <row r="55" spans="2:16" ht="12.5">
      <c r="B55" s="160" t="str">
        <f t="shared" si="21"/>
        <v/>
      </c>
      <c r="C55" s="472">
        <f>IF(D11="","-",+C54+1)</f>
        <v>2049</v>
      </c>
      <c r="D55" s="485">
        <f>IF(F54+SUM(E$17:E54)=D$10,F54,D$10-SUM(E$17:E54))</f>
        <v>206260.32469439233</v>
      </c>
      <c r="E55" s="484">
        <f>IF(+I14&lt;F54,I14,D55)</f>
        <v>32653.479534883718</v>
      </c>
      <c r="F55" s="485">
        <f t="shared" si="22"/>
        <v>173606.84515950861</v>
      </c>
      <c r="G55" s="486">
        <f t="shared" si="23"/>
        <v>51372.479534883721</v>
      </c>
      <c r="H55" s="455">
        <f t="shared" si="24"/>
        <v>51372.479534883721</v>
      </c>
      <c r="I55" s="475">
        <f t="shared" si="17"/>
        <v>0</v>
      </c>
      <c r="J55" s="475"/>
      <c r="K55" s="487"/>
      <c r="L55" s="478">
        <f t="shared" si="18"/>
        <v>0</v>
      </c>
      <c r="M55" s="487"/>
      <c r="N55" s="478">
        <f t="shared" si="19"/>
        <v>0</v>
      </c>
      <c r="O55" s="478">
        <f t="shared" si="20"/>
        <v>0</v>
      </c>
      <c r="P55" s="242"/>
    </row>
    <row r="56" spans="2:16" ht="12.5">
      <c r="B56" s="160" t="str">
        <f t="shared" si="21"/>
        <v/>
      </c>
      <c r="C56" s="472">
        <f>IF(D11="","-",+C55+1)</f>
        <v>2050</v>
      </c>
      <c r="D56" s="485">
        <f>IF(F55+SUM(E$17:E55)=D$10,F55,D$10-SUM(E$17:E55))</f>
        <v>173606.84515950861</v>
      </c>
      <c r="E56" s="484">
        <f>IF(+I14&lt;F55,I14,D56)</f>
        <v>32653.479534883718</v>
      </c>
      <c r="F56" s="485">
        <f t="shared" si="22"/>
        <v>140953.36562462489</v>
      </c>
      <c r="G56" s="486">
        <f t="shared" si="23"/>
        <v>47851.479534883721</v>
      </c>
      <c r="H56" s="455">
        <f t="shared" si="24"/>
        <v>47851.479534883721</v>
      </c>
      <c r="I56" s="475">
        <f t="shared" si="17"/>
        <v>0</v>
      </c>
      <c r="J56" s="475"/>
      <c r="K56" s="487"/>
      <c r="L56" s="478">
        <f t="shared" si="18"/>
        <v>0</v>
      </c>
      <c r="M56" s="487"/>
      <c r="N56" s="478">
        <f t="shared" si="19"/>
        <v>0</v>
      </c>
      <c r="O56" s="478">
        <f t="shared" si="20"/>
        <v>0</v>
      </c>
      <c r="P56" s="242"/>
    </row>
    <row r="57" spans="2:16" ht="12.5">
      <c r="B57" s="160" t="str">
        <f t="shared" si="21"/>
        <v/>
      </c>
      <c r="C57" s="472">
        <f>IF(D11="","-",+C56+1)</f>
        <v>2051</v>
      </c>
      <c r="D57" s="485">
        <f>IF(F56+SUM(E$17:E56)=D$10,F56,D$10-SUM(E$17:E56))</f>
        <v>140953.36562462489</v>
      </c>
      <c r="E57" s="484">
        <f>IF(+I14&lt;F56,I14,D57)</f>
        <v>32653.479534883718</v>
      </c>
      <c r="F57" s="485">
        <f t="shared" si="22"/>
        <v>108299.88608974117</v>
      </c>
      <c r="G57" s="486">
        <f t="shared" si="23"/>
        <v>44330.479534883721</v>
      </c>
      <c r="H57" s="455">
        <f t="shared" si="24"/>
        <v>44330.479534883721</v>
      </c>
      <c r="I57" s="475">
        <f t="shared" si="17"/>
        <v>0</v>
      </c>
      <c r="J57" s="475"/>
      <c r="K57" s="487"/>
      <c r="L57" s="478">
        <f t="shared" si="18"/>
        <v>0</v>
      </c>
      <c r="M57" s="487"/>
      <c r="N57" s="478">
        <f t="shared" si="19"/>
        <v>0</v>
      </c>
      <c r="O57" s="478">
        <f t="shared" si="20"/>
        <v>0</v>
      </c>
      <c r="P57" s="242"/>
    </row>
    <row r="58" spans="2:16" ht="12.5">
      <c r="B58" s="160" t="str">
        <f t="shared" si="21"/>
        <v/>
      </c>
      <c r="C58" s="472">
        <f>IF(D11="","-",+C57+1)</f>
        <v>2052</v>
      </c>
      <c r="D58" s="485">
        <f>IF(F57+SUM(E$17:E57)=D$10,F57,D$10-SUM(E$17:E57))</f>
        <v>108299.88608974117</v>
      </c>
      <c r="E58" s="484">
        <f>IF(+I14&lt;F57,I14,D58)</f>
        <v>32653.479534883718</v>
      </c>
      <c r="F58" s="485">
        <f t="shared" si="22"/>
        <v>75646.406554857444</v>
      </c>
      <c r="G58" s="486">
        <f t="shared" si="23"/>
        <v>40809.479534883721</v>
      </c>
      <c r="H58" s="455">
        <f t="shared" si="24"/>
        <v>40809.479534883721</v>
      </c>
      <c r="I58" s="475">
        <f t="shared" si="17"/>
        <v>0</v>
      </c>
      <c r="J58" s="475"/>
      <c r="K58" s="487"/>
      <c r="L58" s="478">
        <f t="shared" si="18"/>
        <v>0</v>
      </c>
      <c r="M58" s="487"/>
      <c r="N58" s="478">
        <f t="shared" si="19"/>
        <v>0</v>
      </c>
      <c r="O58" s="478">
        <f t="shared" si="20"/>
        <v>0</v>
      </c>
      <c r="P58" s="242"/>
    </row>
    <row r="59" spans="2:16" ht="12.5">
      <c r="B59" s="160" t="str">
        <f t="shared" si="21"/>
        <v/>
      </c>
      <c r="C59" s="472">
        <f>IF(D11="","-",+C58+1)</f>
        <v>2053</v>
      </c>
      <c r="D59" s="485">
        <f>IF(F58+SUM(E$17:E58)=D$10,F58,D$10-SUM(E$17:E58))</f>
        <v>75646.406554857444</v>
      </c>
      <c r="E59" s="484">
        <f>IF(+I14&lt;F58,I14,D59)</f>
        <v>32653.479534883718</v>
      </c>
      <c r="F59" s="485">
        <f t="shared" si="22"/>
        <v>42992.927019973722</v>
      </c>
      <c r="G59" s="486">
        <f t="shared" si="23"/>
        <v>37289.479534883721</v>
      </c>
      <c r="H59" s="455">
        <f t="shared" si="24"/>
        <v>37289.479534883721</v>
      </c>
      <c r="I59" s="475">
        <f t="shared" si="17"/>
        <v>0</v>
      </c>
      <c r="J59" s="475"/>
      <c r="K59" s="487"/>
      <c r="L59" s="478">
        <f t="shared" si="18"/>
        <v>0</v>
      </c>
      <c r="M59" s="487"/>
      <c r="N59" s="478">
        <f t="shared" si="19"/>
        <v>0</v>
      </c>
      <c r="O59" s="478">
        <f t="shared" si="20"/>
        <v>0</v>
      </c>
      <c r="P59" s="242"/>
    </row>
    <row r="60" spans="2:16" ht="12.5">
      <c r="B60" s="160" t="str">
        <f t="shared" si="21"/>
        <v/>
      </c>
      <c r="C60" s="472">
        <f>IF(D11="","-",+C59+1)</f>
        <v>2054</v>
      </c>
      <c r="D60" s="485">
        <f>IF(F59+SUM(E$17:E59)=D$10,F59,D$10-SUM(E$17:E59))</f>
        <v>42992.927019973722</v>
      </c>
      <c r="E60" s="484">
        <f>IF(+I14&lt;F59,I14,D60)</f>
        <v>32653.479534883718</v>
      </c>
      <c r="F60" s="485">
        <f t="shared" si="22"/>
        <v>10339.447485090004</v>
      </c>
      <c r="G60" s="486">
        <f t="shared" si="23"/>
        <v>33768.479534883721</v>
      </c>
      <c r="H60" s="455">
        <f t="shared" si="24"/>
        <v>33768.479534883721</v>
      </c>
      <c r="I60" s="475">
        <f t="shared" si="17"/>
        <v>0</v>
      </c>
      <c r="J60" s="475"/>
      <c r="K60" s="487"/>
      <c r="L60" s="478">
        <f t="shared" si="18"/>
        <v>0</v>
      </c>
      <c r="M60" s="487"/>
      <c r="N60" s="478">
        <f t="shared" si="19"/>
        <v>0</v>
      </c>
      <c r="O60" s="478">
        <f t="shared" si="20"/>
        <v>0</v>
      </c>
      <c r="P60" s="242"/>
    </row>
    <row r="61" spans="2:16" ht="12.5">
      <c r="B61" s="160" t="str">
        <f t="shared" si="21"/>
        <v/>
      </c>
      <c r="C61" s="472">
        <f>IF(D11="","-",+C60+1)</f>
        <v>2055</v>
      </c>
      <c r="D61" s="485">
        <f>IF(F60+SUM(E$17:E60)=D$10,F60,D$10-SUM(E$17:E60))</f>
        <v>10339.447485090004</v>
      </c>
      <c r="E61" s="484">
        <f>IF(+I14&lt;F60,I14,D61)</f>
        <v>10339.447485090004</v>
      </c>
      <c r="F61" s="485">
        <f t="shared" si="22"/>
        <v>0</v>
      </c>
      <c r="G61" s="488">
        <f t="shared" si="23"/>
        <v>10339.447485090004</v>
      </c>
      <c r="H61" s="455">
        <f t="shared" si="24"/>
        <v>10339.447485090004</v>
      </c>
      <c r="I61" s="475">
        <f t="shared" si="17"/>
        <v>0</v>
      </c>
      <c r="J61" s="475"/>
      <c r="K61" s="487"/>
      <c r="L61" s="478">
        <f t="shared" si="18"/>
        <v>0</v>
      </c>
      <c r="M61" s="487"/>
      <c r="N61" s="478">
        <f t="shared" si="19"/>
        <v>0</v>
      </c>
      <c r="O61" s="478">
        <f t="shared" si="20"/>
        <v>0</v>
      </c>
      <c r="P61" s="242"/>
    </row>
    <row r="62" spans="2:16" ht="12.5">
      <c r="B62" s="160" t="str">
        <f t="shared" si="21"/>
        <v/>
      </c>
      <c r="C62" s="472">
        <f>IF(D11="","-",+C61+1)</f>
        <v>2056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2"/>
        <v>0</v>
      </c>
      <c r="G62" s="488">
        <f t="shared" si="23"/>
        <v>0</v>
      </c>
      <c r="H62" s="455">
        <f t="shared" si="24"/>
        <v>0</v>
      </c>
      <c r="I62" s="475">
        <f t="shared" si="17"/>
        <v>0</v>
      </c>
      <c r="J62" s="475"/>
      <c r="K62" s="487"/>
      <c r="L62" s="478">
        <f t="shared" si="18"/>
        <v>0</v>
      </c>
      <c r="M62" s="487"/>
      <c r="N62" s="478">
        <f t="shared" si="19"/>
        <v>0</v>
      </c>
      <c r="O62" s="478">
        <f t="shared" si="20"/>
        <v>0</v>
      </c>
      <c r="P62" s="242"/>
    </row>
    <row r="63" spans="2:16" ht="12.5">
      <c r="B63" s="160" t="str">
        <f t="shared" si="21"/>
        <v/>
      </c>
      <c r="C63" s="472">
        <f>IF(D11="","-",+C62+1)</f>
        <v>2057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2"/>
        <v>0</v>
      </c>
      <c r="G63" s="488">
        <f t="shared" si="23"/>
        <v>0</v>
      </c>
      <c r="H63" s="455">
        <f t="shared" si="24"/>
        <v>0</v>
      </c>
      <c r="I63" s="475">
        <f t="shared" si="17"/>
        <v>0</v>
      </c>
      <c r="J63" s="475"/>
      <c r="K63" s="487"/>
      <c r="L63" s="478">
        <f t="shared" si="18"/>
        <v>0</v>
      </c>
      <c r="M63" s="487"/>
      <c r="N63" s="478">
        <f t="shared" si="19"/>
        <v>0</v>
      </c>
      <c r="O63" s="478">
        <f t="shared" si="20"/>
        <v>0</v>
      </c>
      <c r="P63" s="242"/>
    </row>
    <row r="64" spans="2:16" ht="12.5">
      <c r="B64" s="160" t="str">
        <f t="shared" si="21"/>
        <v/>
      </c>
      <c r="C64" s="472">
        <f>IF(D11="","-",+C63+1)</f>
        <v>2058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2"/>
        <v>0</v>
      </c>
      <c r="G64" s="488">
        <f t="shared" si="23"/>
        <v>0</v>
      </c>
      <c r="H64" s="455">
        <f t="shared" si="24"/>
        <v>0</v>
      </c>
      <c r="I64" s="475">
        <f t="shared" si="17"/>
        <v>0</v>
      </c>
      <c r="J64" s="475"/>
      <c r="K64" s="487"/>
      <c r="L64" s="478">
        <f t="shared" si="18"/>
        <v>0</v>
      </c>
      <c r="M64" s="487"/>
      <c r="N64" s="478">
        <f t="shared" si="19"/>
        <v>0</v>
      </c>
      <c r="O64" s="478">
        <f t="shared" si="20"/>
        <v>0</v>
      </c>
      <c r="P64" s="242"/>
    </row>
    <row r="65" spans="2:16" ht="12.5">
      <c r="B65" s="160" t="str">
        <f t="shared" si="21"/>
        <v/>
      </c>
      <c r="C65" s="472">
        <f>IF(D11="","-",+C64+1)</f>
        <v>2059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2"/>
        <v>0</v>
      </c>
      <c r="G65" s="488">
        <f t="shared" si="23"/>
        <v>0</v>
      </c>
      <c r="H65" s="455">
        <f t="shared" si="24"/>
        <v>0</v>
      </c>
      <c r="I65" s="475">
        <f t="shared" si="17"/>
        <v>0</v>
      </c>
      <c r="J65" s="475"/>
      <c r="K65" s="487"/>
      <c r="L65" s="478">
        <f t="shared" si="18"/>
        <v>0</v>
      </c>
      <c r="M65" s="487"/>
      <c r="N65" s="478">
        <f t="shared" si="19"/>
        <v>0</v>
      </c>
      <c r="O65" s="478">
        <f t="shared" si="20"/>
        <v>0</v>
      </c>
      <c r="P65" s="242"/>
    </row>
    <row r="66" spans="2:16" ht="12.5">
      <c r="B66" s="160" t="str">
        <f t="shared" si="21"/>
        <v/>
      </c>
      <c r="C66" s="472">
        <f>IF(D11="","-",+C65+1)</f>
        <v>2060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2"/>
        <v>0</v>
      </c>
      <c r="G66" s="488">
        <f t="shared" si="23"/>
        <v>0</v>
      </c>
      <c r="H66" s="455">
        <f t="shared" si="24"/>
        <v>0</v>
      </c>
      <c r="I66" s="475">
        <f t="shared" si="17"/>
        <v>0</v>
      </c>
      <c r="J66" s="475"/>
      <c r="K66" s="487"/>
      <c r="L66" s="478">
        <f t="shared" si="18"/>
        <v>0</v>
      </c>
      <c r="M66" s="487"/>
      <c r="N66" s="478">
        <f t="shared" si="19"/>
        <v>0</v>
      </c>
      <c r="O66" s="478">
        <f t="shared" si="20"/>
        <v>0</v>
      </c>
      <c r="P66" s="242"/>
    </row>
    <row r="67" spans="2:16" ht="12.5">
      <c r="B67" s="160" t="str">
        <f t="shared" si="21"/>
        <v/>
      </c>
      <c r="C67" s="472">
        <f>IF(D11="","-",+C66+1)</f>
        <v>2061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2"/>
        <v>0</v>
      </c>
      <c r="G67" s="488">
        <f t="shared" si="23"/>
        <v>0</v>
      </c>
      <c r="H67" s="455">
        <f t="shared" si="24"/>
        <v>0</v>
      </c>
      <c r="I67" s="475">
        <f t="shared" si="17"/>
        <v>0</v>
      </c>
      <c r="J67" s="475"/>
      <c r="K67" s="487"/>
      <c r="L67" s="478">
        <f t="shared" si="18"/>
        <v>0</v>
      </c>
      <c r="M67" s="487"/>
      <c r="N67" s="478">
        <f t="shared" si="19"/>
        <v>0</v>
      </c>
      <c r="O67" s="478">
        <f t="shared" si="20"/>
        <v>0</v>
      </c>
      <c r="P67" s="242"/>
    </row>
    <row r="68" spans="2:16" ht="12.5">
      <c r="B68" s="160" t="str">
        <f t="shared" si="21"/>
        <v/>
      </c>
      <c r="C68" s="472">
        <f>IF(D11="","-",+C67+1)</f>
        <v>2062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2"/>
        <v>0</v>
      </c>
      <c r="G68" s="488">
        <f t="shared" si="23"/>
        <v>0</v>
      </c>
      <c r="H68" s="455">
        <f t="shared" si="24"/>
        <v>0</v>
      </c>
      <c r="I68" s="475">
        <f t="shared" si="17"/>
        <v>0</v>
      </c>
      <c r="J68" s="475"/>
      <c r="K68" s="487"/>
      <c r="L68" s="478">
        <f t="shared" si="18"/>
        <v>0</v>
      </c>
      <c r="M68" s="487"/>
      <c r="N68" s="478">
        <f t="shared" si="19"/>
        <v>0</v>
      </c>
      <c r="O68" s="478">
        <f t="shared" si="20"/>
        <v>0</v>
      </c>
      <c r="P68" s="242"/>
    </row>
    <row r="69" spans="2:16" ht="12.5">
      <c r="B69" s="160" t="str">
        <f t="shared" si="21"/>
        <v/>
      </c>
      <c r="C69" s="472">
        <f>IF(D11="","-",+C68+1)</f>
        <v>2063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2"/>
        <v>0</v>
      </c>
      <c r="G69" s="488">
        <f t="shared" si="23"/>
        <v>0</v>
      </c>
      <c r="H69" s="455">
        <f t="shared" si="24"/>
        <v>0</v>
      </c>
      <c r="I69" s="475">
        <f t="shared" si="17"/>
        <v>0</v>
      </c>
      <c r="J69" s="475"/>
      <c r="K69" s="487"/>
      <c r="L69" s="478">
        <f t="shared" si="18"/>
        <v>0</v>
      </c>
      <c r="M69" s="487"/>
      <c r="N69" s="478">
        <f t="shared" si="19"/>
        <v>0</v>
      </c>
      <c r="O69" s="478">
        <f t="shared" si="20"/>
        <v>0</v>
      </c>
      <c r="P69" s="242"/>
    </row>
    <row r="70" spans="2:16" ht="12.5">
      <c r="B70" s="160" t="str">
        <f t="shared" si="21"/>
        <v/>
      </c>
      <c r="C70" s="472">
        <f>IF(D11="","-",+C69+1)</f>
        <v>2064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2"/>
        <v>0</v>
      </c>
      <c r="G70" s="488">
        <f t="shared" si="23"/>
        <v>0</v>
      </c>
      <c r="H70" s="455">
        <f t="shared" si="24"/>
        <v>0</v>
      </c>
      <c r="I70" s="475">
        <f t="shared" si="17"/>
        <v>0</v>
      </c>
      <c r="J70" s="475"/>
      <c r="K70" s="487"/>
      <c r="L70" s="478">
        <f t="shared" si="18"/>
        <v>0</v>
      </c>
      <c r="M70" s="487"/>
      <c r="N70" s="478">
        <f t="shared" si="19"/>
        <v>0</v>
      </c>
      <c r="O70" s="478">
        <f t="shared" si="20"/>
        <v>0</v>
      </c>
      <c r="P70" s="242"/>
    </row>
    <row r="71" spans="2:16" ht="12.5">
      <c r="B71" s="160" t="str">
        <f t="shared" si="21"/>
        <v/>
      </c>
      <c r="C71" s="472">
        <f>IF(D11="","-",+C70+1)</f>
        <v>2065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2"/>
        <v>0</v>
      </c>
      <c r="G71" s="488">
        <f t="shared" si="23"/>
        <v>0</v>
      </c>
      <c r="H71" s="455">
        <f t="shared" si="24"/>
        <v>0</v>
      </c>
      <c r="I71" s="475">
        <f t="shared" si="17"/>
        <v>0</v>
      </c>
      <c r="J71" s="475"/>
      <c r="K71" s="487"/>
      <c r="L71" s="478">
        <f t="shared" si="18"/>
        <v>0</v>
      </c>
      <c r="M71" s="487"/>
      <c r="N71" s="478">
        <f t="shared" si="19"/>
        <v>0</v>
      </c>
      <c r="O71" s="478">
        <f t="shared" si="20"/>
        <v>0</v>
      </c>
      <c r="P71" s="242"/>
    </row>
    <row r="72" spans="2:16" ht="13" thickBot="1">
      <c r="B72" s="160" t="str">
        <f t="shared" si="21"/>
        <v/>
      </c>
      <c r="C72" s="489">
        <f>IF(D11="","-",+C71+1)</f>
        <v>2066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2"/>
        <v>0</v>
      </c>
      <c r="G72" s="492">
        <f t="shared" si="23"/>
        <v>0</v>
      </c>
      <c r="H72" s="435">
        <f t="shared" si="24"/>
        <v>0</v>
      </c>
      <c r="I72" s="493">
        <f t="shared" si="17"/>
        <v>0</v>
      </c>
      <c r="J72" s="475"/>
      <c r="K72" s="494"/>
      <c r="L72" s="495">
        <f t="shared" si="18"/>
        <v>0</v>
      </c>
      <c r="M72" s="494"/>
      <c r="N72" s="495">
        <f t="shared" si="19"/>
        <v>0</v>
      </c>
      <c r="O72" s="495">
        <f t="shared" si="20"/>
        <v>0</v>
      </c>
      <c r="P72" s="242"/>
    </row>
    <row r="73" spans="2:16" ht="12.5">
      <c r="C73" s="346" t="s">
        <v>77</v>
      </c>
      <c r="D73" s="347"/>
      <c r="E73" s="347">
        <f>SUM(E17:E72)</f>
        <v>1404099.62</v>
      </c>
      <c r="F73" s="347"/>
      <c r="G73" s="347">
        <f>SUM(G17:G72)</f>
        <v>5139295.6570557803</v>
      </c>
      <c r="H73" s="347">
        <f>SUM(H17:H72)</f>
        <v>5139295.6570557803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11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165912.69365934882</v>
      </c>
      <c r="N87" s="508">
        <f>IF(J92&lt;D11,0,VLOOKUP(J92,C17:O72,11))</f>
        <v>165912.69365934882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154683.86507702887</v>
      </c>
      <c r="N88" s="512">
        <f>IF(J92&lt;D11,0,VLOOKUP(J92,C99:P154,7))</f>
        <v>154683.86507702887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Bartlesville SE to Coffeyville T Rebuild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-11228.828582319955</v>
      </c>
      <c r="N89" s="517">
        <f>+N88-N87</f>
        <v>-11228.828582319955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TP2008079-PSO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f>D10</f>
        <v>1404099.6199999999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2011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34246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2011</v>
      </c>
      <c r="D99" s="473">
        <v>0</v>
      </c>
      <c r="E99" s="480">
        <v>13815</v>
      </c>
      <c r="F99" s="573">
        <v>1422922</v>
      </c>
      <c r="G99" s="537">
        <v>711461</v>
      </c>
      <c r="H99" s="539">
        <v>113286.80836539247</v>
      </c>
      <c r="I99" s="539">
        <v>113286.80836539247</v>
      </c>
      <c r="J99" s="478">
        <f t="shared" ref="J99:J130" si="25">+I99-H99</f>
        <v>0</v>
      </c>
      <c r="K99" s="574"/>
      <c r="L99" s="567">
        <f t="shared" ref="L99:L104" si="26">H99</f>
        <v>113286.80836539247</v>
      </c>
      <c r="M99" s="575">
        <f t="shared" ref="M99:M130" si="27">IF(L99&lt;&gt;0,+H99-L99,0)</f>
        <v>0</v>
      </c>
      <c r="N99" s="567">
        <f t="shared" ref="N99:N104" si="28">I99</f>
        <v>113286.80836539247</v>
      </c>
      <c r="O99" s="477">
        <f t="shared" ref="O99:O130" si="29">IF(N99&lt;&gt;0,+I99-N99,0)</f>
        <v>0</v>
      </c>
      <c r="P99" s="348">
        <f t="shared" ref="P99:P130" si="30">+O99-M99</f>
        <v>0</v>
      </c>
    </row>
    <row r="100" spans="1:16" ht="12.5">
      <c r="B100" s="160" t="str">
        <f t="shared" ref="B100:B131" si="31">IF(D100=F99,"","IU")</f>
        <v>IU</v>
      </c>
      <c r="C100" s="472">
        <f>IF(D93="","-",+C99+1)</f>
        <v>2012</v>
      </c>
      <c r="D100" s="473">
        <v>1479908</v>
      </c>
      <c r="E100" s="480">
        <v>28725</v>
      </c>
      <c r="F100" s="573">
        <v>1451183</v>
      </c>
      <c r="G100" s="479">
        <v>1465545.5</v>
      </c>
      <c r="H100" s="539">
        <v>239551.75399863988</v>
      </c>
      <c r="I100" s="539">
        <v>239551.75399863988</v>
      </c>
      <c r="J100" s="478">
        <v>0</v>
      </c>
      <c r="K100" s="574"/>
      <c r="L100" s="540">
        <f t="shared" si="26"/>
        <v>239551.75399863988</v>
      </c>
      <c r="M100" s="575">
        <f t="shared" ref="M100:M105" si="32">IF(L100&lt;&gt;0,+H100-L100,0)</f>
        <v>0</v>
      </c>
      <c r="N100" s="540">
        <f t="shared" si="28"/>
        <v>239551.75399863988</v>
      </c>
      <c r="O100" s="478">
        <f t="shared" ref="O100:O105" si="33">IF(N100&lt;&gt;0,+I100-N100,0)</f>
        <v>0</v>
      </c>
      <c r="P100" s="348">
        <f t="shared" ref="P100:P105" si="34">+O100-M100</f>
        <v>0</v>
      </c>
    </row>
    <row r="101" spans="1:16" ht="12.5">
      <c r="B101" s="160" t="str">
        <f t="shared" si="31"/>
        <v/>
      </c>
      <c r="C101" s="472">
        <f>IF(D93="","-",+C100+1)</f>
        <v>2013</v>
      </c>
      <c r="D101" s="473">
        <v>1451183</v>
      </c>
      <c r="E101" s="480">
        <v>28725</v>
      </c>
      <c r="F101" s="573">
        <v>1422458</v>
      </c>
      <c r="G101" s="479">
        <v>1436820.5</v>
      </c>
      <c r="H101" s="539">
        <v>235540.35933406017</v>
      </c>
      <c r="I101" s="539">
        <v>235540.35933406017</v>
      </c>
      <c r="J101" s="478">
        <v>0</v>
      </c>
      <c r="K101" s="574"/>
      <c r="L101" s="540">
        <f t="shared" si="26"/>
        <v>235540.35933406017</v>
      </c>
      <c r="M101" s="575">
        <f t="shared" si="32"/>
        <v>0</v>
      </c>
      <c r="N101" s="540">
        <f t="shared" si="28"/>
        <v>235540.35933406017</v>
      </c>
      <c r="O101" s="478">
        <f t="shared" si="33"/>
        <v>0</v>
      </c>
      <c r="P101" s="348">
        <f t="shared" si="34"/>
        <v>0</v>
      </c>
    </row>
    <row r="102" spans="1:16" ht="12.5">
      <c r="B102" s="160" t="str">
        <f t="shared" si="31"/>
        <v>IU</v>
      </c>
      <c r="C102" s="472">
        <f>IF(D93="","-",+C101+1)</f>
        <v>2014</v>
      </c>
      <c r="D102" s="473">
        <v>1332834.6199999999</v>
      </c>
      <c r="E102" s="480">
        <v>27002</v>
      </c>
      <c r="F102" s="573">
        <v>1305832.6199999999</v>
      </c>
      <c r="G102" s="479">
        <v>1319333.6199999999</v>
      </c>
      <c r="H102" s="539">
        <v>212494.91385632072</v>
      </c>
      <c r="I102" s="539">
        <v>212494.91385632072</v>
      </c>
      <c r="J102" s="478">
        <v>0</v>
      </c>
      <c r="K102" s="574"/>
      <c r="L102" s="540">
        <f t="shared" si="26"/>
        <v>212494.91385632072</v>
      </c>
      <c r="M102" s="575">
        <f t="shared" si="32"/>
        <v>0</v>
      </c>
      <c r="N102" s="540">
        <f t="shared" si="28"/>
        <v>212494.91385632072</v>
      </c>
      <c r="O102" s="478">
        <f t="shared" si="33"/>
        <v>0</v>
      </c>
      <c r="P102" s="348">
        <f t="shared" si="34"/>
        <v>0</v>
      </c>
    </row>
    <row r="103" spans="1:16" ht="12.5">
      <c r="B103" s="160" t="str">
        <f t="shared" si="31"/>
        <v/>
      </c>
      <c r="C103" s="472">
        <f>IF(D93="","-",+C102+1)</f>
        <v>2015</v>
      </c>
      <c r="D103" s="473">
        <v>1305832.6199999999</v>
      </c>
      <c r="E103" s="480">
        <v>27002</v>
      </c>
      <c r="F103" s="573">
        <v>1278830.6199999999</v>
      </c>
      <c r="G103" s="479">
        <v>1292331.6199999999</v>
      </c>
      <c r="H103" s="539">
        <v>203330.25869072074</v>
      </c>
      <c r="I103" s="539">
        <v>203330.25869072074</v>
      </c>
      <c r="J103" s="478">
        <f t="shared" si="25"/>
        <v>0</v>
      </c>
      <c r="K103" s="574"/>
      <c r="L103" s="540">
        <f t="shared" si="26"/>
        <v>203330.25869072074</v>
      </c>
      <c r="M103" s="575">
        <f t="shared" si="32"/>
        <v>0</v>
      </c>
      <c r="N103" s="540">
        <f t="shared" si="28"/>
        <v>203330.25869072074</v>
      </c>
      <c r="O103" s="478">
        <f t="shared" si="33"/>
        <v>0</v>
      </c>
      <c r="P103" s="348">
        <f t="shared" si="34"/>
        <v>0</v>
      </c>
    </row>
    <row r="104" spans="1:16" ht="12.5">
      <c r="B104" s="160" t="str">
        <f t="shared" si="31"/>
        <v/>
      </c>
      <c r="C104" s="472">
        <f>IF(D93="","-",+C103+1)</f>
        <v>2016</v>
      </c>
      <c r="D104" s="473">
        <v>1278830.6199999999</v>
      </c>
      <c r="E104" s="480">
        <v>30524</v>
      </c>
      <c r="F104" s="573">
        <v>1248306.6199999999</v>
      </c>
      <c r="G104" s="479">
        <v>1263568.6199999999</v>
      </c>
      <c r="H104" s="539">
        <v>193417.89490142919</v>
      </c>
      <c r="I104" s="539">
        <v>193417.89490142919</v>
      </c>
      <c r="J104" s="478">
        <f t="shared" si="25"/>
        <v>0</v>
      </c>
      <c r="K104" s="478"/>
      <c r="L104" s="540">
        <f t="shared" si="26"/>
        <v>193417.89490142919</v>
      </c>
      <c r="M104" s="575">
        <f t="shared" si="32"/>
        <v>0</v>
      </c>
      <c r="N104" s="540">
        <f t="shared" si="28"/>
        <v>193417.89490142919</v>
      </c>
      <c r="O104" s="478">
        <f t="shared" si="33"/>
        <v>0</v>
      </c>
      <c r="P104" s="348">
        <f t="shared" si="34"/>
        <v>0</v>
      </c>
    </row>
    <row r="105" spans="1:16" ht="12.5">
      <c r="B105" s="160" t="str">
        <f t="shared" si="31"/>
        <v/>
      </c>
      <c r="C105" s="472">
        <f>IF(D93="","-",+C104+1)</f>
        <v>2017</v>
      </c>
      <c r="D105" s="473">
        <v>1248306.6199999999</v>
      </c>
      <c r="E105" s="480">
        <v>30524</v>
      </c>
      <c r="F105" s="573">
        <v>1217782.6199999999</v>
      </c>
      <c r="G105" s="479">
        <v>1233044.6199999999</v>
      </c>
      <c r="H105" s="539">
        <v>186938.81917011391</v>
      </c>
      <c r="I105" s="539">
        <v>186938.81917011391</v>
      </c>
      <c r="J105" s="478">
        <f t="shared" si="25"/>
        <v>0</v>
      </c>
      <c r="K105" s="478"/>
      <c r="L105" s="540">
        <f>H105</f>
        <v>186938.81917011391</v>
      </c>
      <c r="M105" s="575">
        <f t="shared" si="32"/>
        <v>0</v>
      </c>
      <c r="N105" s="540">
        <f>I105</f>
        <v>186938.81917011391</v>
      </c>
      <c r="O105" s="478">
        <f t="shared" si="33"/>
        <v>0</v>
      </c>
      <c r="P105" s="348">
        <f t="shared" si="34"/>
        <v>0</v>
      </c>
    </row>
    <row r="106" spans="1:16" ht="12.5">
      <c r="B106" s="160" t="str">
        <f t="shared" si="31"/>
        <v/>
      </c>
      <c r="C106" s="472">
        <f>IF(D93="","-",+C105+1)</f>
        <v>2018</v>
      </c>
      <c r="D106" s="473">
        <v>1217782.6199999999</v>
      </c>
      <c r="E106" s="480">
        <v>32653</v>
      </c>
      <c r="F106" s="573">
        <v>1185129.6199999999</v>
      </c>
      <c r="G106" s="479">
        <v>1201456.1199999999</v>
      </c>
      <c r="H106" s="539">
        <v>156085.27550586959</v>
      </c>
      <c r="I106" s="539">
        <v>156085.27550586959</v>
      </c>
      <c r="J106" s="478">
        <f t="shared" si="25"/>
        <v>0</v>
      </c>
      <c r="K106" s="478"/>
      <c r="L106" s="540">
        <f>H106</f>
        <v>156085.27550586959</v>
      </c>
      <c r="M106" s="575">
        <f t="shared" ref="M106" si="35">IF(L106&lt;&gt;0,+H106-L106,0)</f>
        <v>0</v>
      </c>
      <c r="N106" s="540">
        <f>I106</f>
        <v>156085.27550586959</v>
      </c>
      <c r="O106" s="478">
        <f t="shared" ref="O106" si="36">IF(N106&lt;&gt;0,+I106-N106,0)</f>
        <v>0</v>
      </c>
      <c r="P106" s="348">
        <f t="shared" ref="P106" si="37">+O106-M106</f>
        <v>0</v>
      </c>
    </row>
    <row r="107" spans="1:16" ht="12.5">
      <c r="B107" s="160" t="str">
        <f t="shared" si="31"/>
        <v/>
      </c>
      <c r="C107" s="472">
        <f>IF(D93="","-",+C106+1)</f>
        <v>2019</v>
      </c>
      <c r="D107" s="346">
        <f>IF(F106+SUM(E$99:E106)=D$92,F106,D$92-SUM(E$99:E106))</f>
        <v>1185129.6199999999</v>
      </c>
      <c r="E107" s="486">
        <f>IF(+J96&lt;F106,J96,D107)</f>
        <v>34246</v>
      </c>
      <c r="F107" s="485">
        <f t="shared" ref="F107:F130" si="38">+D107-E107</f>
        <v>1150883.6199999999</v>
      </c>
      <c r="G107" s="485">
        <f t="shared" ref="G107:G130" si="39">+(F107+D107)/2</f>
        <v>1168006.6199999999</v>
      </c>
      <c r="H107" s="488">
        <f t="shared" ref="H107:H130" si="40">+J$94*G107+E107</f>
        <v>154683.86507702887</v>
      </c>
      <c r="I107" s="542">
        <f t="shared" ref="I107:I130" si="41">+J$95*G107+E107</f>
        <v>154683.86507702887</v>
      </c>
      <c r="J107" s="478">
        <f t="shared" si="25"/>
        <v>0</v>
      </c>
      <c r="K107" s="478"/>
      <c r="L107" s="487"/>
      <c r="M107" s="478">
        <f t="shared" si="27"/>
        <v>0</v>
      </c>
      <c r="N107" s="487"/>
      <c r="O107" s="478">
        <f t="shared" si="29"/>
        <v>0</v>
      </c>
      <c r="P107" s="475">
        <f t="shared" si="30"/>
        <v>0</v>
      </c>
    </row>
    <row r="108" spans="1:16" ht="12.5">
      <c r="B108" s="160" t="str">
        <f t="shared" si="31"/>
        <v/>
      </c>
      <c r="C108" s="472">
        <f>IF(D93="","-",+C107+1)</f>
        <v>2020</v>
      </c>
      <c r="D108" s="346">
        <f>IF(F107+SUM(E$99:E107)=D$92,F107,D$92-SUM(E$99:E107))</f>
        <v>1150883.6199999999</v>
      </c>
      <c r="E108" s="486">
        <f>IF(+J96&lt;F107,J96,D108)</f>
        <v>34246</v>
      </c>
      <c r="F108" s="485">
        <f t="shared" si="38"/>
        <v>1116637.6199999999</v>
      </c>
      <c r="G108" s="485">
        <f t="shared" si="39"/>
        <v>1133760.6199999999</v>
      </c>
      <c r="H108" s="488">
        <f t="shared" si="40"/>
        <v>151152.62213987159</v>
      </c>
      <c r="I108" s="542">
        <f t="shared" si="41"/>
        <v>151152.62213987159</v>
      </c>
      <c r="J108" s="478">
        <f t="shared" si="25"/>
        <v>0</v>
      </c>
      <c r="K108" s="478"/>
      <c r="L108" s="487"/>
      <c r="M108" s="478">
        <f t="shared" si="27"/>
        <v>0</v>
      </c>
      <c r="N108" s="487"/>
      <c r="O108" s="478">
        <f t="shared" si="29"/>
        <v>0</v>
      </c>
      <c r="P108" s="475">
        <f t="shared" si="30"/>
        <v>0</v>
      </c>
    </row>
    <row r="109" spans="1:16" ht="12.5">
      <c r="B109" s="160" t="str">
        <f t="shared" si="31"/>
        <v/>
      </c>
      <c r="C109" s="472">
        <f>IF(D93="","-",+C108+1)</f>
        <v>2021</v>
      </c>
      <c r="D109" s="346">
        <f>IF(F108+SUM(E$99:E108)=D$92,F108,D$92-SUM(E$99:E108))</f>
        <v>1116637.6199999999</v>
      </c>
      <c r="E109" s="486">
        <f>IF(+J96&lt;F108,J96,D109)</f>
        <v>34246</v>
      </c>
      <c r="F109" s="485">
        <f t="shared" si="38"/>
        <v>1082391.6199999999</v>
      </c>
      <c r="G109" s="485">
        <f t="shared" si="39"/>
        <v>1099514.6199999999</v>
      </c>
      <c r="H109" s="488">
        <f t="shared" si="40"/>
        <v>147621.37920271431</v>
      </c>
      <c r="I109" s="542">
        <f t="shared" si="41"/>
        <v>147621.37920271431</v>
      </c>
      <c r="J109" s="478">
        <f t="shared" si="25"/>
        <v>0</v>
      </c>
      <c r="K109" s="478"/>
      <c r="L109" s="487"/>
      <c r="M109" s="478">
        <f t="shared" si="27"/>
        <v>0</v>
      </c>
      <c r="N109" s="487"/>
      <c r="O109" s="478">
        <f t="shared" si="29"/>
        <v>0</v>
      </c>
      <c r="P109" s="478">
        <f t="shared" si="30"/>
        <v>0</v>
      </c>
    </row>
    <row r="110" spans="1:16" ht="12.5">
      <c r="B110" s="160" t="str">
        <f t="shared" si="31"/>
        <v/>
      </c>
      <c r="C110" s="472">
        <f>IF(D93="","-",+C109+1)</f>
        <v>2022</v>
      </c>
      <c r="D110" s="346">
        <f>IF(F109+SUM(E$99:E109)=D$92,F109,D$92-SUM(E$99:E109))</f>
        <v>1082391.6199999999</v>
      </c>
      <c r="E110" s="486">
        <f>IF(+J96&lt;F109,J96,D110)</f>
        <v>34246</v>
      </c>
      <c r="F110" s="485">
        <f t="shared" si="38"/>
        <v>1048145.6199999999</v>
      </c>
      <c r="G110" s="485">
        <f t="shared" si="39"/>
        <v>1065268.6199999999</v>
      </c>
      <c r="H110" s="488">
        <f t="shared" si="40"/>
        <v>144090.13626555706</v>
      </c>
      <c r="I110" s="542">
        <f t="shared" si="41"/>
        <v>144090.13626555706</v>
      </c>
      <c r="J110" s="478">
        <f t="shared" si="25"/>
        <v>0</v>
      </c>
      <c r="K110" s="478"/>
      <c r="L110" s="487"/>
      <c r="M110" s="478">
        <f t="shared" si="27"/>
        <v>0</v>
      </c>
      <c r="N110" s="487"/>
      <c r="O110" s="478">
        <f t="shared" si="29"/>
        <v>0</v>
      </c>
      <c r="P110" s="478">
        <f t="shared" si="30"/>
        <v>0</v>
      </c>
    </row>
    <row r="111" spans="1:16" ht="12.5">
      <c r="B111" s="160" t="str">
        <f t="shared" si="31"/>
        <v/>
      </c>
      <c r="C111" s="472">
        <f>IF(D93="","-",+C110+1)</f>
        <v>2023</v>
      </c>
      <c r="D111" s="346">
        <f>IF(F110+SUM(E$99:E110)=D$92,F110,D$92-SUM(E$99:E110))</f>
        <v>1048145.6199999999</v>
      </c>
      <c r="E111" s="486">
        <f>IF(+J96&lt;F110,J96,D111)</f>
        <v>34246</v>
      </c>
      <c r="F111" s="485">
        <f t="shared" si="38"/>
        <v>1013899.6199999999</v>
      </c>
      <c r="G111" s="485">
        <f t="shared" si="39"/>
        <v>1031022.6199999999</v>
      </c>
      <c r="H111" s="488">
        <f t="shared" si="40"/>
        <v>140558.8933283998</v>
      </c>
      <c r="I111" s="542">
        <f t="shared" si="41"/>
        <v>140558.8933283998</v>
      </c>
      <c r="J111" s="478">
        <f t="shared" si="25"/>
        <v>0</v>
      </c>
      <c r="K111" s="478"/>
      <c r="L111" s="487"/>
      <c r="M111" s="478">
        <f t="shared" si="27"/>
        <v>0</v>
      </c>
      <c r="N111" s="487"/>
      <c r="O111" s="478">
        <f t="shared" si="29"/>
        <v>0</v>
      </c>
      <c r="P111" s="478">
        <f t="shared" si="30"/>
        <v>0</v>
      </c>
    </row>
    <row r="112" spans="1:16" ht="12.5">
      <c r="B112" s="160" t="str">
        <f t="shared" si="31"/>
        <v/>
      </c>
      <c r="C112" s="472">
        <f>IF(D93="","-",+C111+1)</f>
        <v>2024</v>
      </c>
      <c r="D112" s="346">
        <f>IF(F111+SUM(E$99:E111)=D$92,F111,D$92-SUM(E$99:E111))</f>
        <v>1013899.6199999999</v>
      </c>
      <c r="E112" s="486">
        <f>IF(+J96&lt;F111,J96,D112)</f>
        <v>34246</v>
      </c>
      <c r="F112" s="485">
        <f t="shared" si="38"/>
        <v>979653.61999999988</v>
      </c>
      <c r="G112" s="485">
        <f t="shared" si="39"/>
        <v>996776.61999999988</v>
      </c>
      <c r="H112" s="488">
        <f t="shared" si="40"/>
        <v>137027.65039124253</v>
      </c>
      <c r="I112" s="542">
        <f t="shared" si="41"/>
        <v>137027.65039124253</v>
      </c>
      <c r="J112" s="478">
        <f t="shared" si="25"/>
        <v>0</v>
      </c>
      <c r="K112" s="478"/>
      <c r="L112" s="487"/>
      <c r="M112" s="478">
        <f t="shared" si="27"/>
        <v>0</v>
      </c>
      <c r="N112" s="487"/>
      <c r="O112" s="478">
        <f t="shared" si="29"/>
        <v>0</v>
      </c>
      <c r="P112" s="478">
        <f t="shared" si="30"/>
        <v>0</v>
      </c>
    </row>
    <row r="113" spans="2:16" ht="12.5">
      <c r="B113" s="160" t="str">
        <f t="shared" si="31"/>
        <v/>
      </c>
      <c r="C113" s="472">
        <f>IF(D93="","-",+C112+1)</f>
        <v>2025</v>
      </c>
      <c r="D113" s="346">
        <f>IF(F112+SUM(E$99:E112)=D$92,F112,D$92-SUM(E$99:E112))</f>
        <v>979653.61999999988</v>
      </c>
      <c r="E113" s="486">
        <f>IF(+J96&lt;F112,J96,D113)</f>
        <v>34246</v>
      </c>
      <c r="F113" s="485">
        <f t="shared" si="38"/>
        <v>945407.61999999988</v>
      </c>
      <c r="G113" s="485">
        <f t="shared" si="39"/>
        <v>962530.61999999988</v>
      </c>
      <c r="H113" s="488">
        <f t="shared" si="40"/>
        <v>133496.40745408525</v>
      </c>
      <c r="I113" s="542">
        <f t="shared" si="41"/>
        <v>133496.40745408525</v>
      </c>
      <c r="J113" s="478">
        <f t="shared" si="25"/>
        <v>0</v>
      </c>
      <c r="K113" s="478"/>
      <c r="L113" s="487"/>
      <c r="M113" s="478">
        <f t="shared" si="27"/>
        <v>0</v>
      </c>
      <c r="N113" s="487"/>
      <c r="O113" s="478">
        <f t="shared" si="29"/>
        <v>0</v>
      </c>
      <c r="P113" s="478">
        <f t="shared" si="30"/>
        <v>0</v>
      </c>
    </row>
    <row r="114" spans="2:16" ht="12.5">
      <c r="B114" s="160" t="str">
        <f t="shared" si="31"/>
        <v/>
      </c>
      <c r="C114" s="472">
        <f>IF(D93="","-",+C113+1)</f>
        <v>2026</v>
      </c>
      <c r="D114" s="346">
        <f>IF(F113+SUM(E$99:E113)=D$92,F113,D$92-SUM(E$99:E113))</f>
        <v>945407.61999999988</v>
      </c>
      <c r="E114" s="486">
        <f>IF(+J96&lt;F113,J96,D114)</f>
        <v>34246</v>
      </c>
      <c r="F114" s="485">
        <f t="shared" si="38"/>
        <v>911161.61999999988</v>
      </c>
      <c r="G114" s="485">
        <f t="shared" si="39"/>
        <v>928284.61999999988</v>
      </c>
      <c r="H114" s="488">
        <f t="shared" si="40"/>
        <v>129965.16451692799</v>
      </c>
      <c r="I114" s="542">
        <f t="shared" si="41"/>
        <v>129965.16451692799</v>
      </c>
      <c r="J114" s="478">
        <f t="shared" si="25"/>
        <v>0</v>
      </c>
      <c r="K114" s="478"/>
      <c r="L114" s="487"/>
      <c r="M114" s="478">
        <f t="shared" si="27"/>
        <v>0</v>
      </c>
      <c r="N114" s="487"/>
      <c r="O114" s="478">
        <f t="shared" si="29"/>
        <v>0</v>
      </c>
      <c r="P114" s="478">
        <f t="shared" si="30"/>
        <v>0</v>
      </c>
    </row>
    <row r="115" spans="2:16" ht="12.5">
      <c r="B115" s="160" t="str">
        <f t="shared" si="31"/>
        <v/>
      </c>
      <c r="C115" s="472">
        <f>IF(D93="","-",+C114+1)</f>
        <v>2027</v>
      </c>
      <c r="D115" s="346">
        <f>IF(F114+SUM(E$99:E114)=D$92,F114,D$92-SUM(E$99:E114))</f>
        <v>911161.61999999988</v>
      </c>
      <c r="E115" s="486">
        <f>IF(+J96&lt;F114,J96,D115)</f>
        <v>34246</v>
      </c>
      <c r="F115" s="485">
        <f t="shared" si="38"/>
        <v>876915.61999999988</v>
      </c>
      <c r="G115" s="485">
        <f t="shared" si="39"/>
        <v>894038.61999999988</v>
      </c>
      <c r="H115" s="488">
        <f t="shared" si="40"/>
        <v>126433.92157977073</v>
      </c>
      <c r="I115" s="542">
        <f t="shared" si="41"/>
        <v>126433.92157977073</v>
      </c>
      <c r="J115" s="478">
        <f t="shared" si="25"/>
        <v>0</v>
      </c>
      <c r="K115" s="478"/>
      <c r="L115" s="487"/>
      <c r="M115" s="478">
        <f t="shared" si="27"/>
        <v>0</v>
      </c>
      <c r="N115" s="487"/>
      <c r="O115" s="478">
        <f t="shared" si="29"/>
        <v>0</v>
      </c>
      <c r="P115" s="478">
        <f t="shared" si="30"/>
        <v>0</v>
      </c>
    </row>
    <row r="116" spans="2:16" ht="12.5">
      <c r="B116" s="160" t="str">
        <f t="shared" si="31"/>
        <v/>
      </c>
      <c r="C116" s="472">
        <f>IF(D93="","-",+C115+1)</f>
        <v>2028</v>
      </c>
      <c r="D116" s="346">
        <f>IF(F115+SUM(E$99:E115)=D$92,F115,D$92-SUM(E$99:E115))</f>
        <v>876915.61999999988</v>
      </c>
      <c r="E116" s="486">
        <f>IF(+J96&lt;F115,J96,D116)</f>
        <v>34246</v>
      </c>
      <c r="F116" s="485">
        <f t="shared" si="38"/>
        <v>842669.61999999988</v>
      </c>
      <c r="G116" s="485">
        <f t="shared" si="39"/>
        <v>859792.61999999988</v>
      </c>
      <c r="H116" s="488">
        <f t="shared" si="40"/>
        <v>122902.67864261346</v>
      </c>
      <c r="I116" s="542">
        <f t="shared" si="41"/>
        <v>122902.67864261346</v>
      </c>
      <c r="J116" s="478">
        <f t="shared" si="25"/>
        <v>0</v>
      </c>
      <c r="K116" s="478"/>
      <c r="L116" s="487"/>
      <c r="M116" s="478">
        <f t="shared" si="27"/>
        <v>0</v>
      </c>
      <c r="N116" s="487"/>
      <c r="O116" s="478">
        <f t="shared" si="29"/>
        <v>0</v>
      </c>
      <c r="P116" s="478">
        <f t="shared" si="30"/>
        <v>0</v>
      </c>
    </row>
    <row r="117" spans="2:16" ht="12.5">
      <c r="B117" s="160" t="str">
        <f t="shared" si="31"/>
        <v/>
      </c>
      <c r="C117" s="472">
        <f>IF(D93="","-",+C116+1)</f>
        <v>2029</v>
      </c>
      <c r="D117" s="346">
        <f>IF(F116+SUM(E$99:E116)=D$92,F116,D$92-SUM(E$99:E116))</f>
        <v>842669.61999999988</v>
      </c>
      <c r="E117" s="486">
        <f>IF(+J96&lt;F116,J96,D117)</f>
        <v>34246</v>
      </c>
      <c r="F117" s="485">
        <f t="shared" si="38"/>
        <v>808423.61999999988</v>
      </c>
      <c r="G117" s="485">
        <f t="shared" si="39"/>
        <v>825546.61999999988</v>
      </c>
      <c r="H117" s="488">
        <f t="shared" si="40"/>
        <v>119371.4357054562</v>
      </c>
      <c r="I117" s="542">
        <f t="shared" si="41"/>
        <v>119371.4357054562</v>
      </c>
      <c r="J117" s="478">
        <f t="shared" si="25"/>
        <v>0</v>
      </c>
      <c r="K117" s="478"/>
      <c r="L117" s="487"/>
      <c r="M117" s="478">
        <f t="shared" si="27"/>
        <v>0</v>
      </c>
      <c r="N117" s="487"/>
      <c r="O117" s="478">
        <f t="shared" si="29"/>
        <v>0</v>
      </c>
      <c r="P117" s="478">
        <f t="shared" si="30"/>
        <v>0</v>
      </c>
    </row>
    <row r="118" spans="2:16" ht="12.5">
      <c r="B118" s="160" t="str">
        <f t="shared" si="31"/>
        <v/>
      </c>
      <c r="C118" s="472">
        <f>IF(D93="","-",+C117+1)</f>
        <v>2030</v>
      </c>
      <c r="D118" s="346">
        <f>IF(F117+SUM(E$99:E117)=D$92,F117,D$92-SUM(E$99:E117))</f>
        <v>808423.61999999988</v>
      </c>
      <c r="E118" s="486">
        <f>IF(+J96&lt;F117,J96,D118)</f>
        <v>34246</v>
      </c>
      <c r="F118" s="485">
        <f t="shared" si="38"/>
        <v>774177.61999999988</v>
      </c>
      <c r="G118" s="485">
        <f t="shared" si="39"/>
        <v>791300.61999999988</v>
      </c>
      <c r="H118" s="488">
        <f t="shared" si="40"/>
        <v>115840.19276829893</v>
      </c>
      <c r="I118" s="542">
        <f t="shared" si="41"/>
        <v>115840.19276829893</v>
      </c>
      <c r="J118" s="478">
        <f t="shared" si="25"/>
        <v>0</v>
      </c>
      <c r="K118" s="478"/>
      <c r="L118" s="487"/>
      <c r="M118" s="478">
        <f t="shared" si="27"/>
        <v>0</v>
      </c>
      <c r="N118" s="487"/>
      <c r="O118" s="478">
        <f t="shared" si="29"/>
        <v>0</v>
      </c>
      <c r="P118" s="478">
        <f t="shared" si="30"/>
        <v>0</v>
      </c>
    </row>
    <row r="119" spans="2:16" ht="12.5">
      <c r="B119" s="160" t="str">
        <f t="shared" si="31"/>
        <v/>
      </c>
      <c r="C119" s="472">
        <f>IF(D93="","-",+C118+1)</f>
        <v>2031</v>
      </c>
      <c r="D119" s="346">
        <f>IF(F118+SUM(E$99:E118)=D$92,F118,D$92-SUM(E$99:E118))</f>
        <v>774177.61999999988</v>
      </c>
      <c r="E119" s="486">
        <f>IF(+J96&lt;F118,J96,D119)</f>
        <v>34246</v>
      </c>
      <c r="F119" s="485">
        <f t="shared" si="38"/>
        <v>739931.61999999988</v>
      </c>
      <c r="G119" s="485">
        <f t="shared" si="39"/>
        <v>757054.61999999988</v>
      </c>
      <c r="H119" s="488">
        <f t="shared" si="40"/>
        <v>112308.94983114167</v>
      </c>
      <c r="I119" s="542">
        <f t="shared" si="41"/>
        <v>112308.94983114167</v>
      </c>
      <c r="J119" s="478">
        <f t="shared" si="25"/>
        <v>0</v>
      </c>
      <c r="K119" s="478"/>
      <c r="L119" s="487"/>
      <c r="M119" s="478">
        <f t="shared" si="27"/>
        <v>0</v>
      </c>
      <c r="N119" s="487"/>
      <c r="O119" s="478">
        <f t="shared" si="29"/>
        <v>0</v>
      </c>
      <c r="P119" s="478">
        <f t="shared" si="30"/>
        <v>0</v>
      </c>
    </row>
    <row r="120" spans="2:16" ht="12.5">
      <c r="B120" s="160" t="str">
        <f t="shared" si="31"/>
        <v/>
      </c>
      <c r="C120" s="472">
        <f>IF(D93="","-",+C119+1)</f>
        <v>2032</v>
      </c>
      <c r="D120" s="346">
        <f>IF(F119+SUM(E$99:E119)=D$92,F119,D$92-SUM(E$99:E119))</f>
        <v>739931.61999999988</v>
      </c>
      <c r="E120" s="486">
        <f>IF(+J96&lt;F119,J96,D120)</f>
        <v>34246</v>
      </c>
      <c r="F120" s="485">
        <f t="shared" si="38"/>
        <v>705685.61999999988</v>
      </c>
      <c r="G120" s="485">
        <f t="shared" si="39"/>
        <v>722808.61999999988</v>
      </c>
      <c r="H120" s="488">
        <f t="shared" si="40"/>
        <v>108777.7068939844</v>
      </c>
      <c r="I120" s="542">
        <f t="shared" si="41"/>
        <v>108777.7068939844</v>
      </c>
      <c r="J120" s="478">
        <f t="shared" si="25"/>
        <v>0</v>
      </c>
      <c r="K120" s="478"/>
      <c r="L120" s="487"/>
      <c r="M120" s="478">
        <f t="shared" si="27"/>
        <v>0</v>
      </c>
      <c r="N120" s="487"/>
      <c r="O120" s="478">
        <f t="shared" si="29"/>
        <v>0</v>
      </c>
      <c r="P120" s="478">
        <f t="shared" si="30"/>
        <v>0</v>
      </c>
    </row>
    <row r="121" spans="2:16" ht="12.5">
      <c r="B121" s="160" t="str">
        <f t="shared" si="31"/>
        <v/>
      </c>
      <c r="C121" s="472">
        <f>IF(D93="","-",+C120+1)</f>
        <v>2033</v>
      </c>
      <c r="D121" s="346">
        <f>IF(F120+SUM(E$99:E120)=D$92,F120,D$92-SUM(E$99:E120))</f>
        <v>705685.61999999988</v>
      </c>
      <c r="E121" s="486">
        <f>IF(+J96&lt;F120,J96,D121)</f>
        <v>34246</v>
      </c>
      <c r="F121" s="485">
        <f t="shared" si="38"/>
        <v>671439.61999999988</v>
      </c>
      <c r="G121" s="485">
        <f t="shared" si="39"/>
        <v>688562.61999999988</v>
      </c>
      <c r="H121" s="488">
        <f t="shared" si="40"/>
        <v>105246.46395682714</v>
      </c>
      <c r="I121" s="542">
        <f t="shared" si="41"/>
        <v>105246.46395682714</v>
      </c>
      <c r="J121" s="478">
        <f t="shared" si="25"/>
        <v>0</v>
      </c>
      <c r="K121" s="478"/>
      <c r="L121" s="487"/>
      <c r="M121" s="478">
        <f t="shared" si="27"/>
        <v>0</v>
      </c>
      <c r="N121" s="487"/>
      <c r="O121" s="478">
        <f t="shared" si="29"/>
        <v>0</v>
      </c>
      <c r="P121" s="478">
        <f t="shared" si="30"/>
        <v>0</v>
      </c>
    </row>
    <row r="122" spans="2:16" ht="12.5">
      <c r="B122" s="160" t="str">
        <f t="shared" si="31"/>
        <v/>
      </c>
      <c r="C122" s="472">
        <f>IF(D93="","-",+C121+1)</f>
        <v>2034</v>
      </c>
      <c r="D122" s="346">
        <f>IF(F121+SUM(E$99:E121)=D$92,F121,D$92-SUM(E$99:E121))</f>
        <v>671439.61999999988</v>
      </c>
      <c r="E122" s="486">
        <f>IF(+J96&lt;F121,J96,D122)</f>
        <v>34246</v>
      </c>
      <c r="F122" s="485">
        <f t="shared" si="38"/>
        <v>637193.61999999988</v>
      </c>
      <c r="G122" s="485">
        <f t="shared" si="39"/>
        <v>654316.61999999988</v>
      </c>
      <c r="H122" s="488">
        <f t="shared" si="40"/>
        <v>101715.22101966987</v>
      </c>
      <c r="I122" s="542">
        <f t="shared" si="41"/>
        <v>101715.22101966987</v>
      </c>
      <c r="J122" s="478">
        <f t="shared" si="25"/>
        <v>0</v>
      </c>
      <c r="K122" s="478"/>
      <c r="L122" s="487"/>
      <c r="M122" s="478">
        <f t="shared" si="27"/>
        <v>0</v>
      </c>
      <c r="N122" s="487"/>
      <c r="O122" s="478">
        <f t="shared" si="29"/>
        <v>0</v>
      </c>
      <c r="P122" s="478">
        <f t="shared" si="30"/>
        <v>0</v>
      </c>
    </row>
    <row r="123" spans="2:16" ht="12.5">
      <c r="B123" s="160" t="str">
        <f t="shared" si="31"/>
        <v/>
      </c>
      <c r="C123" s="472">
        <f>IF(D93="","-",+C122+1)</f>
        <v>2035</v>
      </c>
      <c r="D123" s="346">
        <f>IF(F122+SUM(E$99:E122)=D$92,F122,D$92-SUM(E$99:E122))</f>
        <v>637193.61999999988</v>
      </c>
      <c r="E123" s="486">
        <f>IF(+J96&lt;F122,J96,D123)</f>
        <v>34246</v>
      </c>
      <c r="F123" s="485">
        <f t="shared" si="38"/>
        <v>602947.61999999988</v>
      </c>
      <c r="G123" s="485">
        <f t="shared" si="39"/>
        <v>620070.61999999988</v>
      </c>
      <c r="H123" s="488">
        <f t="shared" si="40"/>
        <v>98183.978082512593</v>
      </c>
      <c r="I123" s="542">
        <f t="shared" si="41"/>
        <v>98183.978082512593</v>
      </c>
      <c r="J123" s="478">
        <f t="shared" si="25"/>
        <v>0</v>
      </c>
      <c r="K123" s="478"/>
      <c r="L123" s="487"/>
      <c r="M123" s="478">
        <f t="shared" si="27"/>
        <v>0</v>
      </c>
      <c r="N123" s="487"/>
      <c r="O123" s="478">
        <f t="shared" si="29"/>
        <v>0</v>
      </c>
      <c r="P123" s="478">
        <f t="shared" si="30"/>
        <v>0</v>
      </c>
    </row>
    <row r="124" spans="2:16" ht="12.5">
      <c r="B124" s="160" t="str">
        <f t="shared" si="31"/>
        <v/>
      </c>
      <c r="C124" s="472">
        <f>IF(D93="","-",+C123+1)</f>
        <v>2036</v>
      </c>
      <c r="D124" s="346">
        <f>IF(F123+SUM(E$99:E123)=D$92,F123,D$92-SUM(E$99:E123))</f>
        <v>602947.61999999988</v>
      </c>
      <c r="E124" s="486">
        <f>IF(+J96&lt;F123,J96,D124)</f>
        <v>34246</v>
      </c>
      <c r="F124" s="485">
        <f t="shared" si="38"/>
        <v>568701.61999999988</v>
      </c>
      <c r="G124" s="485">
        <f t="shared" si="39"/>
        <v>585824.61999999988</v>
      </c>
      <c r="H124" s="488">
        <f t="shared" si="40"/>
        <v>94652.735145355342</v>
      </c>
      <c r="I124" s="542">
        <f t="shared" si="41"/>
        <v>94652.735145355342</v>
      </c>
      <c r="J124" s="478">
        <f t="shared" si="25"/>
        <v>0</v>
      </c>
      <c r="K124" s="478"/>
      <c r="L124" s="487"/>
      <c r="M124" s="478">
        <f t="shared" si="27"/>
        <v>0</v>
      </c>
      <c r="N124" s="487"/>
      <c r="O124" s="478">
        <f t="shared" si="29"/>
        <v>0</v>
      </c>
      <c r="P124" s="478">
        <f t="shared" si="30"/>
        <v>0</v>
      </c>
    </row>
    <row r="125" spans="2:16" ht="12.5">
      <c r="B125" s="160" t="str">
        <f t="shared" si="31"/>
        <v/>
      </c>
      <c r="C125" s="472">
        <f>IF(D93="","-",+C124+1)</f>
        <v>2037</v>
      </c>
      <c r="D125" s="346">
        <f>IF(F124+SUM(E$99:E124)=D$92,F124,D$92-SUM(E$99:E124))</f>
        <v>568701.61999999988</v>
      </c>
      <c r="E125" s="486">
        <f>IF(+J96&lt;F124,J96,D125)</f>
        <v>34246</v>
      </c>
      <c r="F125" s="485">
        <f t="shared" si="38"/>
        <v>534455.61999999988</v>
      </c>
      <c r="G125" s="485">
        <f t="shared" si="39"/>
        <v>551578.61999999988</v>
      </c>
      <c r="H125" s="488">
        <f t="shared" si="40"/>
        <v>91121.492208198062</v>
      </c>
      <c r="I125" s="542">
        <f t="shared" si="41"/>
        <v>91121.492208198062</v>
      </c>
      <c r="J125" s="478">
        <f t="shared" si="25"/>
        <v>0</v>
      </c>
      <c r="K125" s="478"/>
      <c r="L125" s="487"/>
      <c r="M125" s="478">
        <f t="shared" si="27"/>
        <v>0</v>
      </c>
      <c r="N125" s="487"/>
      <c r="O125" s="478">
        <f t="shared" si="29"/>
        <v>0</v>
      </c>
      <c r="P125" s="478">
        <f t="shared" si="30"/>
        <v>0</v>
      </c>
    </row>
    <row r="126" spans="2:16" ht="12.5">
      <c r="B126" s="160" t="str">
        <f t="shared" si="31"/>
        <v/>
      </c>
      <c r="C126" s="472">
        <f>IF(D93="","-",+C125+1)</f>
        <v>2038</v>
      </c>
      <c r="D126" s="346">
        <f>IF(F125+SUM(E$99:E125)=D$92,F125,D$92-SUM(E$99:E125))</f>
        <v>534455.61999999988</v>
      </c>
      <c r="E126" s="486">
        <f>IF(+J96&lt;F125,J96,D126)</f>
        <v>34246</v>
      </c>
      <c r="F126" s="485">
        <f t="shared" si="38"/>
        <v>500209.61999999988</v>
      </c>
      <c r="G126" s="485">
        <f t="shared" si="39"/>
        <v>517332.61999999988</v>
      </c>
      <c r="H126" s="488">
        <f t="shared" si="40"/>
        <v>87590.249271040811</v>
      </c>
      <c r="I126" s="542">
        <f t="shared" si="41"/>
        <v>87590.249271040811</v>
      </c>
      <c r="J126" s="478">
        <f t="shared" si="25"/>
        <v>0</v>
      </c>
      <c r="K126" s="478"/>
      <c r="L126" s="487"/>
      <c r="M126" s="478">
        <f t="shared" si="27"/>
        <v>0</v>
      </c>
      <c r="N126" s="487"/>
      <c r="O126" s="478">
        <f t="shared" si="29"/>
        <v>0</v>
      </c>
      <c r="P126" s="478">
        <f t="shared" si="30"/>
        <v>0</v>
      </c>
    </row>
    <row r="127" spans="2:16" ht="12.5">
      <c r="B127" s="160" t="str">
        <f t="shared" si="31"/>
        <v/>
      </c>
      <c r="C127" s="472">
        <f>IF(D93="","-",+C126+1)</f>
        <v>2039</v>
      </c>
      <c r="D127" s="346">
        <f>IF(F126+SUM(E$99:E126)=D$92,F126,D$92-SUM(E$99:E126))</f>
        <v>500209.61999999988</v>
      </c>
      <c r="E127" s="486">
        <f>IF(+J96&lt;F126,J96,D127)</f>
        <v>34246</v>
      </c>
      <c r="F127" s="485">
        <f t="shared" si="38"/>
        <v>465963.61999999988</v>
      </c>
      <c r="G127" s="485">
        <f t="shared" si="39"/>
        <v>483086.61999999988</v>
      </c>
      <c r="H127" s="488">
        <f t="shared" si="40"/>
        <v>84059.006333883532</v>
      </c>
      <c r="I127" s="542">
        <f t="shared" si="41"/>
        <v>84059.006333883532</v>
      </c>
      <c r="J127" s="478">
        <f t="shared" si="25"/>
        <v>0</v>
      </c>
      <c r="K127" s="478"/>
      <c r="L127" s="487"/>
      <c r="M127" s="478">
        <f t="shared" si="27"/>
        <v>0</v>
      </c>
      <c r="N127" s="487"/>
      <c r="O127" s="478">
        <f t="shared" si="29"/>
        <v>0</v>
      </c>
      <c r="P127" s="478">
        <f t="shared" si="30"/>
        <v>0</v>
      </c>
    </row>
    <row r="128" spans="2:16" ht="12.5">
      <c r="B128" s="160" t="str">
        <f t="shared" si="31"/>
        <v/>
      </c>
      <c r="C128" s="472">
        <f>IF(D93="","-",+C127+1)</f>
        <v>2040</v>
      </c>
      <c r="D128" s="346">
        <f>IF(F127+SUM(E$99:E127)=D$92,F127,D$92-SUM(E$99:E127))</f>
        <v>465963.61999999988</v>
      </c>
      <c r="E128" s="486">
        <f>IF(+J96&lt;F127,J96,D128)</f>
        <v>34246</v>
      </c>
      <c r="F128" s="485">
        <f t="shared" si="38"/>
        <v>431717.61999999988</v>
      </c>
      <c r="G128" s="485">
        <f t="shared" si="39"/>
        <v>448840.61999999988</v>
      </c>
      <c r="H128" s="488">
        <f t="shared" si="40"/>
        <v>80527.763396726281</v>
      </c>
      <c r="I128" s="542">
        <f t="shared" si="41"/>
        <v>80527.763396726281</v>
      </c>
      <c r="J128" s="478">
        <f t="shared" si="25"/>
        <v>0</v>
      </c>
      <c r="K128" s="478"/>
      <c r="L128" s="487"/>
      <c r="M128" s="478">
        <f t="shared" si="27"/>
        <v>0</v>
      </c>
      <c r="N128" s="487"/>
      <c r="O128" s="478">
        <f t="shared" si="29"/>
        <v>0</v>
      </c>
      <c r="P128" s="478">
        <f t="shared" si="30"/>
        <v>0</v>
      </c>
    </row>
    <row r="129" spans="2:16" ht="12.5">
      <c r="B129" s="160" t="str">
        <f t="shared" si="31"/>
        <v/>
      </c>
      <c r="C129" s="472">
        <f>IF(D93="","-",+C128+1)</f>
        <v>2041</v>
      </c>
      <c r="D129" s="346">
        <f>IF(F128+SUM(E$99:E128)=D$92,F128,D$92-SUM(E$99:E128))</f>
        <v>431717.61999999988</v>
      </c>
      <c r="E129" s="486">
        <f t="shared" ref="E129:E154" si="42">IF(+J$96&lt;F128,J$96,D129)</f>
        <v>34246</v>
      </c>
      <c r="F129" s="485">
        <f t="shared" si="38"/>
        <v>397471.61999999988</v>
      </c>
      <c r="G129" s="485">
        <f t="shared" si="39"/>
        <v>414594.61999999988</v>
      </c>
      <c r="H129" s="488">
        <f t="shared" si="40"/>
        <v>76996.520459569001</v>
      </c>
      <c r="I129" s="542">
        <f t="shared" si="41"/>
        <v>76996.520459569001</v>
      </c>
      <c r="J129" s="478">
        <f t="shared" si="25"/>
        <v>0</v>
      </c>
      <c r="K129" s="478"/>
      <c r="L129" s="487"/>
      <c r="M129" s="478">
        <f t="shared" si="27"/>
        <v>0</v>
      </c>
      <c r="N129" s="487"/>
      <c r="O129" s="478">
        <f t="shared" si="29"/>
        <v>0</v>
      </c>
      <c r="P129" s="478">
        <f t="shared" si="30"/>
        <v>0</v>
      </c>
    </row>
    <row r="130" spans="2:16" ht="12.5">
      <c r="B130" s="160" t="str">
        <f t="shared" si="31"/>
        <v/>
      </c>
      <c r="C130" s="472">
        <f>IF(D93="","-",+C129+1)</f>
        <v>2042</v>
      </c>
      <c r="D130" s="346">
        <f>IF(F129+SUM(E$99:E129)=D$92,F129,D$92-SUM(E$99:E129))</f>
        <v>397471.61999999988</v>
      </c>
      <c r="E130" s="486">
        <f t="shared" si="42"/>
        <v>34246</v>
      </c>
      <c r="F130" s="485">
        <f t="shared" si="38"/>
        <v>363225.61999999988</v>
      </c>
      <c r="G130" s="485">
        <f t="shared" si="39"/>
        <v>380348.61999999988</v>
      </c>
      <c r="H130" s="488">
        <f t="shared" si="40"/>
        <v>73465.277522411736</v>
      </c>
      <c r="I130" s="542">
        <f t="shared" si="41"/>
        <v>73465.277522411736</v>
      </c>
      <c r="J130" s="478">
        <f t="shared" si="25"/>
        <v>0</v>
      </c>
      <c r="K130" s="478"/>
      <c r="L130" s="487"/>
      <c r="M130" s="478">
        <f t="shared" si="27"/>
        <v>0</v>
      </c>
      <c r="N130" s="487"/>
      <c r="O130" s="478">
        <f t="shared" si="29"/>
        <v>0</v>
      </c>
      <c r="P130" s="478">
        <f t="shared" si="30"/>
        <v>0</v>
      </c>
    </row>
    <row r="131" spans="2:16" ht="12.5">
      <c r="B131" s="160" t="str">
        <f t="shared" si="31"/>
        <v/>
      </c>
      <c r="C131" s="472">
        <f>IF(D93="","-",+C130+1)</f>
        <v>2043</v>
      </c>
      <c r="D131" s="346">
        <f>IF(F130+SUM(E$99:E130)=D$92,F130,D$92-SUM(E$99:E130))</f>
        <v>363225.61999999988</v>
      </c>
      <c r="E131" s="486">
        <f t="shared" si="42"/>
        <v>34246</v>
      </c>
      <c r="F131" s="485">
        <f t="shared" ref="F131:F154" si="43">+D131-E131</f>
        <v>328979.61999999988</v>
      </c>
      <c r="G131" s="485">
        <f t="shared" ref="G131:G154" si="44">+(F131+D131)/2</f>
        <v>346102.61999999988</v>
      </c>
      <c r="H131" s="488">
        <f t="shared" ref="H131:H154" si="45">+J$94*G131+E131</f>
        <v>69934.034585254471</v>
      </c>
      <c r="I131" s="542">
        <f t="shared" ref="I131:I154" si="46">+J$95*G131+E131</f>
        <v>69934.034585254471</v>
      </c>
      <c r="J131" s="478">
        <f t="shared" ref="J131:J154" si="47">+I541-H541</f>
        <v>0</v>
      </c>
      <c r="K131" s="478"/>
      <c r="L131" s="487"/>
      <c r="M131" s="478">
        <f t="shared" ref="M131:M154" si="48">IF(L541&lt;&gt;0,+H541-L541,0)</f>
        <v>0</v>
      </c>
      <c r="N131" s="487"/>
      <c r="O131" s="478">
        <f t="shared" ref="O131:O154" si="49">IF(N541&lt;&gt;0,+I541-N541,0)</f>
        <v>0</v>
      </c>
      <c r="P131" s="478">
        <f t="shared" ref="P131:P154" si="50">+O541-M541</f>
        <v>0</v>
      </c>
    </row>
    <row r="132" spans="2:16" ht="12.5">
      <c r="B132" s="160" t="str">
        <f t="shared" ref="B132:B154" si="51">IF(D132=F131,"","IU")</f>
        <v/>
      </c>
      <c r="C132" s="472">
        <f>IF(D93="","-",+C131+1)</f>
        <v>2044</v>
      </c>
      <c r="D132" s="346">
        <f>IF(F131+SUM(E$99:E131)=D$92,F131,D$92-SUM(E$99:E131))</f>
        <v>328979.61999999988</v>
      </c>
      <c r="E132" s="486">
        <f t="shared" si="42"/>
        <v>34246</v>
      </c>
      <c r="F132" s="485">
        <f t="shared" si="43"/>
        <v>294733.61999999988</v>
      </c>
      <c r="G132" s="485">
        <f t="shared" si="44"/>
        <v>311856.61999999988</v>
      </c>
      <c r="H132" s="488">
        <f t="shared" si="45"/>
        <v>66402.791648097205</v>
      </c>
      <c r="I132" s="542">
        <f t="shared" si="46"/>
        <v>66402.791648097205</v>
      </c>
      <c r="J132" s="478">
        <f t="shared" si="47"/>
        <v>0</v>
      </c>
      <c r="K132" s="478"/>
      <c r="L132" s="487"/>
      <c r="M132" s="478">
        <f t="shared" si="48"/>
        <v>0</v>
      </c>
      <c r="N132" s="487"/>
      <c r="O132" s="478">
        <f t="shared" si="49"/>
        <v>0</v>
      </c>
      <c r="P132" s="478">
        <f t="shared" si="50"/>
        <v>0</v>
      </c>
    </row>
    <row r="133" spans="2:16" ht="12.5">
      <c r="B133" s="160" t="str">
        <f t="shared" si="51"/>
        <v/>
      </c>
      <c r="C133" s="472">
        <f>IF(D93="","-",+C132+1)</f>
        <v>2045</v>
      </c>
      <c r="D133" s="346">
        <f>IF(F132+SUM(E$99:E132)=D$92,F132,D$92-SUM(E$99:E132))</f>
        <v>294733.61999999988</v>
      </c>
      <c r="E133" s="486">
        <f t="shared" si="42"/>
        <v>34246</v>
      </c>
      <c r="F133" s="485">
        <f t="shared" si="43"/>
        <v>260487.61999999988</v>
      </c>
      <c r="G133" s="485">
        <f t="shared" si="44"/>
        <v>277610.61999999988</v>
      </c>
      <c r="H133" s="488">
        <f t="shared" si="45"/>
        <v>62871.54871093994</v>
      </c>
      <c r="I133" s="542">
        <f t="shared" si="46"/>
        <v>62871.54871093994</v>
      </c>
      <c r="J133" s="478">
        <f t="shared" si="47"/>
        <v>0</v>
      </c>
      <c r="K133" s="478"/>
      <c r="L133" s="487"/>
      <c r="M133" s="478">
        <f t="shared" si="48"/>
        <v>0</v>
      </c>
      <c r="N133" s="487"/>
      <c r="O133" s="478">
        <f t="shared" si="49"/>
        <v>0</v>
      </c>
      <c r="P133" s="478">
        <f t="shared" si="50"/>
        <v>0</v>
      </c>
    </row>
    <row r="134" spans="2:16" ht="12.5">
      <c r="B134" s="160" t="str">
        <f t="shared" si="51"/>
        <v/>
      </c>
      <c r="C134" s="472">
        <f>IF(D93="","-",+C133+1)</f>
        <v>2046</v>
      </c>
      <c r="D134" s="346">
        <f>IF(F133+SUM(E$99:E133)=D$92,F133,D$92-SUM(E$99:E133))</f>
        <v>260487.61999999988</v>
      </c>
      <c r="E134" s="486">
        <f t="shared" si="42"/>
        <v>34246</v>
      </c>
      <c r="F134" s="485">
        <f t="shared" si="43"/>
        <v>226241.61999999988</v>
      </c>
      <c r="G134" s="485">
        <f t="shared" si="44"/>
        <v>243364.61999999988</v>
      </c>
      <c r="H134" s="488">
        <f t="shared" si="45"/>
        <v>59340.305773782675</v>
      </c>
      <c r="I134" s="542">
        <f t="shared" si="46"/>
        <v>59340.305773782675</v>
      </c>
      <c r="J134" s="478">
        <f t="shared" si="47"/>
        <v>0</v>
      </c>
      <c r="K134" s="478"/>
      <c r="L134" s="487"/>
      <c r="M134" s="478">
        <f t="shared" si="48"/>
        <v>0</v>
      </c>
      <c r="N134" s="487"/>
      <c r="O134" s="478">
        <f t="shared" si="49"/>
        <v>0</v>
      </c>
      <c r="P134" s="478">
        <f t="shared" si="50"/>
        <v>0</v>
      </c>
    </row>
    <row r="135" spans="2:16" ht="12.5">
      <c r="B135" s="160" t="str">
        <f t="shared" si="51"/>
        <v/>
      </c>
      <c r="C135" s="472">
        <f>IF(D93="","-",+C134+1)</f>
        <v>2047</v>
      </c>
      <c r="D135" s="346">
        <f>IF(F134+SUM(E$99:E134)=D$92,F134,D$92-SUM(E$99:E134))</f>
        <v>226241.61999999988</v>
      </c>
      <c r="E135" s="486">
        <f t="shared" si="42"/>
        <v>34246</v>
      </c>
      <c r="F135" s="485">
        <f t="shared" si="43"/>
        <v>191995.61999999988</v>
      </c>
      <c r="G135" s="485">
        <f t="shared" si="44"/>
        <v>209118.61999999988</v>
      </c>
      <c r="H135" s="488">
        <f t="shared" si="45"/>
        <v>55809.06283662541</v>
      </c>
      <c r="I135" s="542">
        <f t="shared" si="46"/>
        <v>55809.06283662541</v>
      </c>
      <c r="J135" s="478">
        <f t="shared" si="47"/>
        <v>0</v>
      </c>
      <c r="K135" s="478"/>
      <c r="L135" s="487"/>
      <c r="M135" s="478">
        <f t="shared" si="48"/>
        <v>0</v>
      </c>
      <c r="N135" s="487"/>
      <c r="O135" s="478">
        <f t="shared" si="49"/>
        <v>0</v>
      </c>
      <c r="P135" s="478">
        <f t="shared" si="50"/>
        <v>0</v>
      </c>
    </row>
    <row r="136" spans="2:16" ht="12.5">
      <c r="B136" s="160" t="str">
        <f t="shared" si="51"/>
        <v/>
      </c>
      <c r="C136" s="472">
        <f>IF(D93="","-",+C135+1)</f>
        <v>2048</v>
      </c>
      <c r="D136" s="346">
        <f>IF(F135+SUM(E$99:E135)=D$92,F135,D$92-SUM(E$99:E135))</f>
        <v>191995.61999999988</v>
      </c>
      <c r="E136" s="486">
        <f t="shared" si="42"/>
        <v>34246</v>
      </c>
      <c r="F136" s="485">
        <f t="shared" si="43"/>
        <v>157749.61999999988</v>
      </c>
      <c r="G136" s="485">
        <f t="shared" si="44"/>
        <v>174872.61999999988</v>
      </c>
      <c r="H136" s="488">
        <f t="shared" si="45"/>
        <v>52277.819899468144</v>
      </c>
      <c r="I136" s="542">
        <f t="shared" si="46"/>
        <v>52277.819899468144</v>
      </c>
      <c r="J136" s="478">
        <f t="shared" si="47"/>
        <v>0</v>
      </c>
      <c r="K136" s="478"/>
      <c r="L136" s="487"/>
      <c r="M136" s="478">
        <f t="shared" si="48"/>
        <v>0</v>
      </c>
      <c r="N136" s="487"/>
      <c r="O136" s="478">
        <f t="shared" si="49"/>
        <v>0</v>
      </c>
      <c r="P136" s="478">
        <f t="shared" si="50"/>
        <v>0</v>
      </c>
    </row>
    <row r="137" spans="2:16" ht="12.5">
      <c r="B137" s="160" t="str">
        <f t="shared" si="51"/>
        <v/>
      </c>
      <c r="C137" s="472">
        <f>IF(D93="","-",+C136+1)</f>
        <v>2049</v>
      </c>
      <c r="D137" s="346">
        <f>IF(F136+SUM(E$99:E136)=D$92,F136,D$92-SUM(E$99:E136))</f>
        <v>157749.61999999988</v>
      </c>
      <c r="E137" s="486">
        <f t="shared" si="42"/>
        <v>34246</v>
      </c>
      <c r="F137" s="485">
        <f t="shared" si="43"/>
        <v>123503.61999999988</v>
      </c>
      <c r="G137" s="485">
        <f t="shared" si="44"/>
        <v>140626.61999999988</v>
      </c>
      <c r="H137" s="488">
        <f t="shared" si="45"/>
        <v>48746.576962310879</v>
      </c>
      <c r="I137" s="542">
        <f t="shared" si="46"/>
        <v>48746.576962310879</v>
      </c>
      <c r="J137" s="478">
        <f t="shared" si="47"/>
        <v>0</v>
      </c>
      <c r="K137" s="478"/>
      <c r="L137" s="487"/>
      <c r="M137" s="478">
        <f t="shared" si="48"/>
        <v>0</v>
      </c>
      <c r="N137" s="487"/>
      <c r="O137" s="478">
        <f t="shared" si="49"/>
        <v>0</v>
      </c>
      <c r="P137" s="478">
        <f t="shared" si="50"/>
        <v>0</v>
      </c>
    </row>
    <row r="138" spans="2:16" ht="12.5">
      <c r="B138" s="160" t="str">
        <f t="shared" si="51"/>
        <v/>
      </c>
      <c r="C138" s="472">
        <f>IF(D93="","-",+C137+1)</f>
        <v>2050</v>
      </c>
      <c r="D138" s="346">
        <f>IF(F137+SUM(E$99:E137)=D$92,F137,D$92-SUM(E$99:E137))</f>
        <v>123503.61999999988</v>
      </c>
      <c r="E138" s="486">
        <f t="shared" si="42"/>
        <v>34246</v>
      </c>
      <c r="F138" s="485">
        <f t="shared" si="43"/>
        <v>89257.619999999879</v>
      </c>
      <c r="G138" s="485">
        <f t="shared" si="44"/>
        <v>106380.61999999988</v>
      </c>
      <c r="H138" s="488">
        <f t="shared" si="45"/>
        <v>45215.334025153614</v>
      </c>
      <c r="I138" s="542">
        <f t="shared" si="46"/>
        <v>45215.334025153614</v>
      </c>
      <c r="J138" s="478">
        <f t="shared" si="47"/>
        <v>0</v>
      </c>
      <c r="K138" s="478"/>
      <c r="L138" s="487"/>
      <c r="M138" s="478">
        <f t="shared" si="48"/>
        <v>0</v>
      </c>
      <c r="N138" s="487"/>
      <c r="O138" s="478">
        <f t="shared" si="49"/>
        <v>0</v>
      </c>
      <c r="P138" s="478">
        <f t="shared" si="50"/>
        <v>0</v>
      </c>
    </row>
    <row r="139" spans="2:16" ht="12.5">
      <c r="B139" s="160" t="str">
        <f t="shared" si="51"/>
        <v/>
      </c>
      <c r="C139" s="472">
        <f>IF(D93="","-",+C138+1)</f>
        <v>2051</v>
      </c>
      <c r="D139" s="346">
        <f>IF(F138+SUM(E$99:E138)=D$92,F138,D$92-SUM(E$99:E138))</f>
        <v>89257.619999999879</v>
      </c>
      <c r="E139" s="486">
        <f t="shared" si="42"/>
        <v>34246</v>
      </c>
      <c r="F139" s="485">
        <f t="shared" si="43"/>
        <v>55011.619999999879</v>
      </c>
      <c r="G139" s="485">
        <f t="shared" si="44"/>
        <v>72134.619999999879</v>
      </c>
      <c r="H139" s="488">
        <f t="shared" si="45"/>
        <v>41684.091087996349</v>
      </c>
      <c r="I139" s="542">
        <f t="shared" si="46"/>
        <v>41684.091087996349</v>
      </c>
      <c r="J139" s="478">
        <f t="shared" si="47"/>
        <v>0</v>
      </c>
      <c r="K139" s="478"/>
      <c r="L139" s="487"/>
      <c r="M139" s="478">
        <f t="shared" si="48"/>
        <v>0</v>
      </c>
      <c r="N139" s="487"/>
      <c r="O139" s="478">
        <f t="shared" si="49"/>
        <v>0</v>
      </c>
      <c r="P139" s="478">
        <f t="shared" si="50"/>
        <v>0</v>
      </c>
    </row>
    <row r="140" spans="2:16" ht="12.5">
      <c r="B140" s="160" t="str">
        <f t="shared" si="51"/>
        <v/>
      </c>
      <c r="C140" s="472">
        <f>IF(D93="","-",+C139+1)</f>
        <v>2052</v>
      </c>
      <c r="D140" s="346">
        <f>IF(F139+SUM(E$99:E139)=D$92,F139,D$92-SUM(E$99:E139))</f>
        <v>55011.619999999879</v>
      </c>
      <c r="E140" s="486">
        <f t="shared" si="42"/>
        <v>34246</v>
      </c>
      <c r="F140" s="485">
        <f t="shared" si="43"/>
        <v>20765.619999999879</v>
      </c>
      <c r="G140" s="485">
        <f t="shared" si="44"/>
        <v>37888.619999999879</v>
      </c>
      <c r="H140" s="488">
        <f t="shared" si="45"/>
        <v>38152.848150839076</v>
      </c>
      <c r="I140" s="542">
        <f t="shared" si="46"/>
        <v>38152.848150839076</v>
      </c>
      <c r="J140" s="478">
        <f t="shared" si="47"/>
        <v>0</v>
      </c>
      <c r="K140" s="478"/>
      <c r="L140" s="487"/>
      <c r="M140" s="478">
        <f t="shared" si="48"/>
        <v>0</v>
      </c>
      <c r="N140" s="487"/>
      <c r="O140" s="478">
        <f t="shared" si="49"/>
        <v>0</v>
      </c>
      <c r="P140" s="478">
        <f t="shared" si="50"/>
        <v>0</v>
      </c>
    </row>
    <row r="141" spans="2:16" ht="12.5">
      <c r="B141" s="160" t="str">
        <f t="shared" si="51"/>
        <v/>
      </c>
      <c r="C141" s="472">
        <f>IF(D93="","-",+C140+1)</f>
        <v>2053</v>
      </c>
      <c r="D141" s="346">
        <f>IF(F140+SUM(E$99:E140)=D$92,F140,D$92-SUM(E$99:E140))</f>
        <v>20765.619999999879</v>
      </c>
      <c r="E141" s="486">
        <f t="shared" si="42"/>
        <v>20765.619999999879</v>
      </c>
      <c r="F141" s="485">
        <f t="shared" si="43"/>
        <v>0</v>
      </c>
      <c r="G141" s="485">
        <f t="shared" si="44"/>
        <v>10382.809999999939</v>
      </c>
      <c r="H141" s="488">
        <f t="shared" si="45"/>
        <v>21836.233341130101</v>
      </c>
      <c r="I141" s="542">
        <f t="shared" si="46"/>
        <v>21836.233341130101</v>
      </c>
      <c r="J141" s="478">
        <f t="shared" si="47"/>
        <v>0</v>
      </c>
      <c r="K141" s="478"/>
      <c r="L141" s="487"/>
      <c r="M141" s="478">
        <f t="shared" si="48"/>
        <v>0</v>
      </c>
      <c r="N141" s="487"/>
      <c r="O141" s="478">
        <f t="shared" si="49"/>
        <v>0</v>
      </c>
      <c r="P141" s="478">
        <f t="shared" si="50"/>
        <v>0</v>
      </c>
    </row>
    <row r="142" spans="2:16" ht="12.5">
      <c r="B142" s="160" t="str">
        <f t="shared" si="51"/>
        <v/>
      </c>
      <c r="C142" s="472">
        <f>IF(D93="","-",+C141+1)</f>
        <v>2054</v>
      </c>
      <c r="D142" s="346">
        <f>IF(F141+SUM(E$99:E141)=D$92,F141,D$92-SUM(E$99:E141))</f>
        <v>0</v>
      </c>
      <c r="E142" s="486">
        <f t="shared" si="42"/>
        <v>0</v>
      </c>
      <c r="F142" s="485">
        <f t="shared" si="43"/>
        <v>0</v>
      </c>
      <c r="G142" s="485">
        <f t="shared" si="44"/>
        <v>0</v>
      </c>
      <c r="H142" s="488">
        <f t="shared" si="45"/>
        <v>0</v>
      </c>
      <c r="I142" s="542">
        <f t="shared" si="46"/>
        <v>0</v>
      </c>
      <c r="J142" s="478">
        <f t="shared" si="47"/>
        <v>0</v>
      </c>
      <c r="K142" s="478"/>
      <c r="L142" s="487"/>
      <c r="M142" s="478">
        <f t="shared" si="48"/>
        <v>0</v>
      </c>
      <c r="N142" s="487"/>
      <c r="O142" s="478">
        <f t="shared" si="49"/>
        <v>0</v>
      </c>
      <c r="P142" s="478">
        <f t="shared" si="50"/>
        <v>0</v>
      </c>
    </row>
    <row r="143" spans="2:16" ht="12.5">
      <c r="B143" s="160" t="str">
        <f t="shared" si="51"/>
        <v/>
      </c>
      <c r="C143" s="472">
        <f>IF(D93="","-",+C142+1)</f>
        <v>2055</v>
      </c>
      <c r="D143" s="346">
        <f>IF(F142+SUM(E$99:E142)=D$92,F142,D$92-SUM(E$99:E142))</f>
        <v>0</v>
      </c>
      <c r="E143" s="486">
        <f t="shared" si="42"/>
        <v>0</v>
      </c>
      <c r="F143" s="485">
        <f t="shared" si="43"/>
        <v>0</v>
      </c>
      <c r="G143" s="485">
        <f t="shared" si="44"/>
        <v>0</v>
      </c>
      <c r="H143" s="488">
        <f t="shared" si="45"/>
        <v>0</v>
      </c>
      <c r="I143" s="542">
        <f t="shared" si="46"/>
        <v>0</v>
      </c>
      <c r="J143" s="478">
        <f t="shared" si="47"/>
        <v>0</v>
      </c>
      <c r="K143" s="478"/>
      <c r="L143" s="487"/>
      <c r="M143" s="478">
        <f t="shared" si="48"/>
        <v>0</v>
      </c>
      <c r="N143" s="487"/>
      <c r="O143" s="478">
        <f t="shared" si="49"/>
        <v>0</v>
      </c>
      <c r="P143" s="478">
        <f t="shared" si="50"/>
        <v>0</v>
      </c>
    </row>
    <row r="144" spans="2:16" ht="12.5">
      <c r="B144" s="160" t="str">
        <f t="shared" si="51"/>
        <v/>
      </c>
      <c r="C144" s="472">
        <f>IF(D93="","-",+C143+1)</f>
        <v>2056</v>
      </c>
      <c r="D144" s="346">
        <f>IF(F143+SUM(E$99:E143)=D$92,F143,D$92-SUM(E$99:E143))</f>
        <v>0</v>
      </c>
      <c r="E144" s="486">
        <f t="shared" si="42"/>
        <v>0</v>
      </c>
      <c r="F144" s="485">
        <f t="shared" si="43"/>
        <v>0</v>
      </c>
      <c r="G144" s="485">
        <f t="shared" si="44"/>
        <v>0</v>
      </c>
      <c r="H144" s="488">
        <f t="shared" si="45"/>
        <v>0</v>
      </c>
      <c r="I144" s="542">
        <f t="shared" si="46"/>
        <v>0</v>
      </c>
      <c r="J144" s="478">
        <f t="shared" si="47"/>
        <v>0</v>
      </c>
      <c r="K144" s="478"/>
      <c r="L144" s="487"/>
      <c r="M144" s="478">
        <f t="shared" si="48"/>
        <v>0</v>
      </c>
      <c r="N144" s="487"/>
      <c r="O144" s="478">
        <f t="shared" si="49"/>
        <v>0</v>
      </c>
      <c r="P144" s="478">
        <f t="shared" si="50"/>
        <v>0</v>
      </c>
    </row>
    <row r="145" spans="2:16" ht="12.5">
      <c r="B145" s="160" t="str">
        <f t="shared" si="51"/>
        <v/>
      </c>
      <c r="C145" s="472">
        <f>IF(D93="","-",+C144+1)</f>
        <v>2057</v>
      </c>
      <c r="D145" s="346">
        <f>IF(F144+SUM(E$99:E144)=D$92,F144,D$92-SUM(E$99:E144))</f>
        <v>0</v>
      </c>
      <c r="E145" s="486">
        <f t="shared" si="42"/>
        <v>0</v>
      </c>
      <c r="F145" s="485">
        <f t="shared" si="43"/>
        <v>0</v>
      </c>
      <c r="G145" s="485">
        <f t="shared" si="44"/>
        <v>0</v>
      </c>
      <c r="H145" s="488">
        <f t="shared" si="45"/>
        <v>0</v>
      </c>
      <c r="I145" s="542">
        <f t="shared" si="46"/>
        <v>0</v>
      </c>
      <c r="J145" s="478">
        <f t="shared" si="47"/>
        <v>0</v>
      </c>
      <c r="K145" s="478"/>
      <c r="L145" s="487"/>
      <c r="M145" s="478">
        <f t="shared" si="48"/>
        <v>0</v>
      </c>
      <c r="N145" s="487"/>
      <c r="O145" s="478">
        <f t="shared" si="49"/>
        <v>0</v>
      </c>
      <c r="P145" s="478">
        <f t="shared" si="50"/>
        <v>0</v>
      </c>
    </row>
    <row r="146" spans="2:16" ht="12.5">
      <c r="B146" s="160" t="str">
        <f t="shared" si="51"/>
        <v/>
      </c>
      <c r="C146" s="472">
        <f>IF(D93="","-",+C145+1)</f>
        <v>2058</v>
      </c>
      <c r="D146" s="346">
        <f>IF(F145+SUM(E$99:E145)=D$92,F145,D$92-SUM(E$99:E145))</f>
        <v>0</v>
      </c>
      <c r="E146" s="486">
        <f t="shared" si="42"/>
        <v>0</v>
      </c>
      <c r="F146" s="485">
        <f t="shared" si="43"/>
        <v>0</v>
      </c>
      <c r="G146" s="485">
        <f t="shared" si="44"/>
        <v>0</v>
      </c>
      <c r="H146" s="488">
        <f t="shared" si="45"/>
        <v>0</v>
      </c>
      <c r="I146" s="542">
        <f t="shared" si="46"/>
        <v>0</v>
      </c>
      <c r="J146" s="478">
        <f t="shared" si="47"/>
        <v>0</v>
      </c>
      <c r="K146" s="478"/>
      <c r="L146" s="487"/>
      <c r="M146" s="478">
        <f t="shared" si="48"/>
        <v>0</v>
      </c>
      <c r="N146" s="487"/>
      <c r="O146" s="478">
        <f t="shared" si="49"/>
        <v>0</v>
      </c>
      <c r="P146" s="478">
        <f t="shared" si="50"/>
        <v>0</v>
      </c>
    </row>
    <row r="147" spans="2:16" ht="12.5">
      <c r="B147" s="160" t="str">
        <f t="shared" si="51"/>
        <v/>
      </c>
      <c r="C147" s="472">
        <f>IF(D93="","-",+C146+1)</f>
        <v>2059</v>
      </c>
      <c r="D147" s="346">
        <f>IF(F146+SUM(E$99:E146)=D$92,F146,D$92-SUM(E$99:E146))</f>
        <v>0</v>
      </c>
      <c r="E147" s="486">
        <f t="shared" si="42"/>
        <v>0</v>
      </c>
      <c r="F147" s="485">
        <f t="shared" si="43"/>
        <v>0</v>
      </c>
      <c r="G147" s="485">
        <f t="shared" si="44"/>
        <v>0</v>
      </c>
      <c r="H147" s="488">
        <f t="shared" si="45"/>
        <v>0</v>
      </c>
      <c r="I147" s="542">
        <f t="shared" si="46"/>
        <v>0</v>
      </c>
      <c r="J147" s="478">
        <f t="shared" si="47"/>
        <v>0</v>
      </c>
      <c r="K147" s="478"/>
      <c r="L147" s="487"/>
      <c r="M147" s="478">
        <f t="shared" si="48"/>
        <v>0</v>
      </c>
      <c r="N147" s="487"/>
      <c r="O147" s="478">
        <f t="shared" si="49"/>
        <v>0</v>
      </c>
      <c r="P147" s="478">
        <f t="shared" si="50"/>
        <v>0</v>
      </c>
    </row>
    <row r="148" spans="2:16" ht="12.5">
      <c r="B148" s="160" t="str">
        <f t="shared" si="51"/>
        <v/>
      </c>
      <c r="C148" s="472">
        <f>IF(D93="","-",+C147+1)</f>
        <v>2060</v>
      </c>
      <c r="D148" s="346">
        <f>IF(F147+SUM(E$99:E147)=D$92,F147,D$92-SUM(E$99:E147))</f>
        <v>0</v>
      </c>
      <c r="E148" s="486">
        <f t="shared" si="42"/>
        <v>0</v>
      </c>
      <c r="F148" s="485">
        <f t="shared" si="43"/>
        <v>0</v>
      </c>
      <c r="G148" s="485">
        <f t="shared" si="44"/>
        <v>0</v>
      </c>
      <c r="H148" s="488">
        <f t="shared" si="45"/>
        <v>0</v>
      </c>
      <c r="I148" s="542">
        <f t="shared" si="46"/>
        <v>0</v>
      </c>
      <c r="J148" s="478">
        <f t="shared" si="47"/>
        <v>0</v>
      </c>
      <c r="K148" s="478"/>
      <c r="L148" s="487"/>
      <c r="M148" s="478">
        <f t="shared" si="48"/>
        <v>0</v>
      </c>
      <c r="N148" s="487"/>
      <c r="O148" s="478">
        <f t="shared" si="49"/>
        <v>0</v>
      </c>
      <c r="P148" s="478">
        <f t="shared" si="50"/>
        <v>0</v>
      </c>
    </row>
    <row r="149" spans="2:16" ht="12.5">
      <c r="B149" s="160" t="str">
        <f t="shared" si="51"/>
        <v/>
      </c>
      <c r="C149" s="472">
        <f>IF(D93="","-",+C148+1)</f>
        <v>2061</v>
      </c>
      <c r="D149" s="346">
        <f>IF(F148+SUM(E$99:E148)=D$92,F148,D$92-SUM(E$99:E148))</f>
        <v>0</v>
      </c>
      <c r="E149" s="486">
        <f t="shared" si="42"/>
        <v>0</v>
      </c>
      <c r="F149" s="485">
        <f t="shared" si="43"/>
        <v>0</v>
      </c>
      <c r="G149" s="485">
        <f t="shared" si="44"/>
        <v>0</v>
      </c>
      <c r="H149" s="488">
        <f t="shared" si="45"/>
        <v>0</v>
      </c>
      <c r="I149" s="542">
        <f t="shared" si="46"/>
        <v>0</v>
      </c>
      <c r="J149" s="478">
        <f t="shared" si="47"/>
        <v>0</v>
      </c>
      <c r="K149" s="478"/>
      <c r="L149" s="487"/>
      <c r="M149" s="478">
        <f t="shared" si="48"/>
        <v>0</v>
      </c>
      <c r="N149" s="487"/>
      <c r="O149" s="478">
        <f t="shared" si="49"/>
        <v>0</v>
      </c>
      <c r="P149" s="478">
        <f t="shared" si="50"/>
        <v>0</v>
      </c>
    </row>
    <row r="150" spans="2:16" ht="12.5">
      <c r="B150" s="160" t="str">
        <f t="shared" si="51"/>
        <v/>
      </c>
      <c r="C150" s="472">
        <f>IF(D93="","-",+C149+1)</f>
        <v>2062</v>
      </c>
      <c r="D150" s="346">
        <f>IF(F149+SUM(E$99:E149)=D$92,F149,D$92-SUM(E$99:E149))</f>
        <v>0</v>
      </c>
      <c r="E150" s="486">
        <f t="shared" si="42"/>
        <v>0</v>
      </c>
      <c r="F150" s="485">
        <f t="shared" si="43"/>
        <v>0</v>
      </c>
      <c r="G150" s="485">
        <f t="shared" si="44"/>
        <v>0</v>
      </c>
      <c r="H150" s="488">
        <f t="shared" si="45"/>
        <v>0</v>
      </c>
      <c r="I150" s="542">
        <f t="shared" si="46"/>
        <v>0</v>
      </c>
      <c r="J150" s="478">
        <f t="shared" si="47"/>
        <v>0</v>
      </c>
      <c r="K150" s="478"/>
      <c r="L150" s="487"/>
      <c r="M150" s="478">
        <f t="shared" si="48"/>
        <v>0</v>
      </c>
      <c r="N150" s="487"/>
      <c r="O150" s="478">
        <f t="shared" si="49"/>
        <v>0</v>
      </c>
      <c r="P150" s="478">
        <f t="shared" si="50"/>
        <v>0</v>
      </c>
    </row>
    <row r="151" spans="2:16" ht="12.5">
      <c r="B151" s="160" t="str">
        <f t="shared" si="51"/>
        <v/>
      </c>
      <c r="C151" s="472">
        <f>IF(D93="","-",+C150+1)</f>
        <v>2063</v>
      </c>
      <c r="D151" s="346">
        <f>IF(F150+SUM(E$99:E150)=D$92,F150,D$92-SUM(E$99:E150))</f>
        <v>0</v>
      </c>
      <c r="E151" s="486">
        <f t="shared" si="42"/>
        <v>0</v>
      </c>
      <c r="F151" s="485">
        <f t="shared" si="43"/>
        <v>0</v>
      </c>
      <c r="G151" s="485">
        <f t="shared" si="44"/>
        <v>0</v>
      </c>
      <c r="H151" s="488">
        <f t="shared" si="45"/>
        <v>0</v>
      </c>
      <c r="I151" s="542">
        <f t="shared" si="46"/>
        <v>0</v>
      </c>
      <c r="J151" s="478">
        <f t="shared" si="47"/>
        <v>0</v>
      </c>
      <c r="K151" s="478"/>
      <c r="L151" s="487"/>
      <c r="M151" s="478">
        <f t="shared" si="48"/>
        <v>0</v>
      </c>
      <c r="N151" s="487"/>
      <c r="O151" s="478">
        <f t="shared" si="49"/>
        <v>0</v>
      </c>
      <c r="P151" s="478">
        <f t="shared" si="50"/>
        <v>0</v>
      </c>
    </row>
    <row r="152" spans="2:16" ht="12.5">
      <c r="B152" s="160" t="str">
        <f t="shared" si="51"/>
        <v/>
      </c>
      <c r="C152" s="472">
        <f>IF(D93="","-",+C151+1)</f>
        <v>2064</v>
      </c>
      <c r="D152" s="346">
        <f>IF(F151+SUM(E$99:E151)=D$92,F151,D$92-SUM(E$99:E151))</f>
        <v>0</v>
      </c>
      <c r="E152" s="486">
        <f t="shared" si="42"/>
        <v>0</v>
      </c>
      <c r="F152" s="485">
        <f t="shared" si="43"/>
        <v>0</v>
      </c>
      <c r="G152" s="485">
        <f t="shared" si="44"/>
        <v>0</v>
      </c>
      <c r="H152" s="488">
        <f t="shared" si="45"/>
        <v>0</v>
      </c>
      <c r="I152" s="542">
        <f t="shared" si="46"/>
        <v>0</v>
      </c>
      <c r="J152" s="478">
        <f t="shared" si="47"/>
        <v>0</v>
      </c>
      <c r="K152" s="478"/>
      <c r="L152" s="487"/>
      <c r="M152" s="478">
        <f t="shared" si="48"/>
        <v>0</v>
      </c>
      <c r="N152" s="487"/>
      <c r="O152" s="478">
        <f t="shared" si="49"/>
        <v>0</v>
      </c>
      <c r="P152" s="478">
        <f t="shared" si="50"/>
        <v>0</v>
      </c>
    </row>
    <row r="153" spans="2:16" ht="12.5">
      <c r="B153" s="160" t="str">
        <f t="shared" si="51"/>
        <v/>
      </c>
      <c r="C153" s="472">
        <f>IF(D93="","-",+C152+1)</f>
        <v>2065</v>
      </c>
      <c r="D153" s="346">
        <f>IF(F152+SUM(E$99:E152)=D$92,F152,D$92-SUM(E$99:E152))</f>
        <v>0</v>
      </c>
      <c r="E153" s="486">
        <f t="shared" si="42"/>
        <v>0</v>
      </c>
      <c r="F153" s="485">
        <f t="shared" si="43"/>
        <v>0</v>
      </c>
      <c r="G153" s="485">
        <f t="shared" si="44"/>
        <v>0</v>
      </c>
      <c r="H153" s="488">
        <f t="shared" si="45"/>
        <v>0</v>
      </c>
      <c r="I153" s="542">
        <f t="shared" si="46"/>
        <v>0</v>
      </c>
      <c r="J153" s="478">
        <f t="shared" si="47"/>
        <v>0</v>
      </c>
      <c r="K153" s="478"/>
      <c r="L153" s="487"/>
      <c r="M153" s="478">
        <f t="shared" si="48"/>
        <v>0</v>
      </c>
      <c r="N153" s="487"/>
      <c r="O153" s="478">
        <f t="shared" si="49"/>
        <v>0</v>
      </c>
      <c r="P153" s="478">
        <f t="shared" si="50"/>
        <v>0</v>
      </c>
    </row>
    <row r="154" spans="2:16" ht="13" thickBot="1">
      <c r="B154" s="160" t="str">
        <f t="shared" si="51"/>
        <v/>
      </c>
      <c r="C154" s="489">
        <f>IF(D93="","-",+C153+1)</f>
        <v>2066</v>
      </c>
      <c r="D154" s="576">
        <f>IF(F153+SUM(E$99:E153)=D$92,F153,D$92-SUM(E$99:E153))</f>
        <v>0</v>
      </c>
      <c r="E154" s="544">
        <f t="shared" si="42"/>
        <v>0</v>
      </c>
      <c r="F154" s="490">
        <f t="shared" si="43"/>
        <v>0</v>
      </c>
      <c r="G154" s="490">
        <f t="shared" si="44"/>
        <v>0</v>
      </c>
      <c r="H154" s="492">
        <f t="shared" si="45"/>
        <v>0</v>
      </c>
      <c r="I154" s="545">
        <f t="shared" si="46"/>
        <v>0</v>
      </c>
      <c r="J154" s="495">
        <f t="shared" si="47"/>
        <v>0</v>
      </c>
      <c r="K154" s="478"/>
      <c r="L154" s="494"/>
      <c r="M154" s="495">
        <f t="shared" si="48"/>
        <v>0</v>
      </c>
      <c r="N154" s="494"/>
      <c r="O154" s="495">
        <f t="shared" si="49"/>
        <v>0</v>
      </c>
      <c r="P154" s="495">
        <f t="shared" si="50"/>
        <v>0</v>
      </c>
    </row>
    <row r="155" spans="2:16" ht="12.5">
      <c r="C155" s="346" t="s">
        <v>77</v>
      </c>
      <c r="D155" s="347"/>
      <c r="E155" s="347">
        <f>SUM(E99:E154)</f>
        <v>1404099.6199999999</v>
      </c>
      <c r="F155" s="347"/>
      <c r="G155" s="347"/>
      <c r="H155" s="347">
        <f>SUM(H99:H154)</f>
        <v>4840706.4420374325</v>
      </c>
      <c r="I155" s="347">
        <f>SUM(I99:I154)</f>
        <v>4840706.4420374325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40" priority="1" stopIfTrue="1" operator="equal">
      <formula>$I$10</formula>
    </cfRule>
  </conditionalFormatting>
  <conditionalFormatting sqref="C99:C154">
    <cfRule type="cellIs" dxfId="39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P162"/>
  <sheetViews>
    <sheetView view="pageBreakPreview" topLeftCell="B1" zoomScale="75" zoomScaleNormal="100" workbookViewId="0">
      <selection activeCell="E9" sqref="E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8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12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365431.30558139534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365431.30558139534</v>
      </c>
      <c r="O6" s="232"/>
      <c r="P6" s="232"/>
    </row>
    <row r="7" spans="1:16" ht="13.5" thickBot="1">
      <c r="C7" s="431" t="s">
        <v>46</v>
      </c>
      <c r="D7" s="432" t="s">
        <v>237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572" t="s">
        <v>236</v>
      </c>
      <c r="E9" s="577" t="s">
        <v>294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3305767.14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2012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8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76878.305581395354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2012</v>
      </c>
      <c r="D17" s="473">
        <v>1132400</v>
      </c>
      <c r="E17" s="474">
        <v>3629.4871794871797</v>
      </c>
      <c r="F17" s="473">
        <v>1128770.5128205128</v>
      </c>
      <c r="G17" s="474">
        <v>160761.94360740471</v>
      </c>
      <c r="H17" s="481">
        <v>160761.94360740471</v>
      </c>
      <c r="I17" s="475">
        <f t="shared" ref="I17:I48" si="0">H17-G17</f>
        <v>0</v>
      </c>
      <c r="J17" s="475"/>
      <c r="K17" s="554">
        <f t="shared" ref="K17:K22" si="1">G17</f>
        <v>160761.94360740471</v>
      </c>
      <c r="L17" s="562">
        <f t="shared" ref="L17:L48" si="2">IF(K17&lt;&gt;0,+G17-K17,0)</f>
        <v>0</v>
      </c>
      <c r="M17" s="554">
        <f t="shared" ref="M17:M22" si="3">H17</f>
        <v>160761.94360740471</v>
      </c>
      <c r="N17" s="559">
        <f t="shared" ref="N17:N48" si="4">IF(M17&lt;&gt;0,+H17-M17,0)</f>
        <v>0</v>
      </c>
      <c r="O17" s="478">
        <f t="shared" ref="O17:O48" si="5">+N17-L17</f>
        <v>0</v>
      </c>
      <c r="P17" s="242"/>
    </row>
    <row r="18" spans="2:16" ht="12.5">
      <c r="B18" s="160" t="str">
        <f t="shared" ref="B18:B49" si="6">IF(D18=F17,"","IU")</f>
        <v>IU</v>
      </c>
      <c r="C18" s="472">
        <f>IF(D11="","-",+C17+1)</f>
        <v>2013</v>
      </c>
      <c r="D18" s="473">
        <v>2746405</v>
      </c>
      <c r="E18" s="480">
        <v>52885</v>
      </c>
      <c r="F18" s="473">
        <v>2693519</v>
      </c>
      <c r="G18" s="480">
        <v>437538</v>
      </c>
      <c r="H18" s="481">
        <v>437538</v>
      </c>
      <c r="I18" s="475">
        <f t="shared" si="0"/>
        <v>0</v>
      </c>
      <c r="J18" s="475"/>
      <c r="K18" s="476">
        <f t="shared" si="1"/>
        <v>437538</v>
      </c>
      <c r="L18" s="550">
        <f t="shared" ref="L18:L23" si="7">IF(K18&lt;&gt;0,+G18-K18,0)</f>
        <v>0</v>
      </c>
      <c r="M18" s="476">
        <f t="shared" si="3"/>
        <v>437538</v>
      </c>
      <c r="N18" s="478">
        <f t="shared" ref="N18:N23" si="8">IF(M18&lt;&gt;0,+H18-M18,0)</f>
        <v>0</v>
      </c>
      <c r="O18" s="478">
        <f t="shared" ref="O18:O23" si="9">+N18-L18</f>
        <v>0</v>
      </c>
      <c r="P18" s="242"/>
    </row>
    <row r="19" spans="2:16" ht="12.5">
      <c r="B19" s="160" t="str">
        <f t="shared" si="6"/>
        <v>IU</v>
      </c>
      <c r="C19" s="472">
        <f>IF(D11="","-",+C18+1)</f>
        <v>2014</v>
      </c>
      <c r="D19" s="473">
        <v>3185619.512820513</v>
      </c>
      <c r="E19" s="480">
        <v>62348.730769230766</v>
      </c>
      <c r="F19" s="473">
        <v>3123270.782051282</v>
      </c>
      <c r="G19" s="480">
        <v>492294.73076923075</v>
      </c>
      <c r="H19" s="481">
        <v>492294.73076923075</v>
      </c>
      <c r="I19" s="475">
        <v>0</v>
      </c>
      <c r="J19" s="475"/>
      <c r="K19" s="476">
        <f t="shared" si="1"/>
        <v>492294.73076923075</v>
      </c>
      <c r="L19" s="550">
        <f t="shared" si="7"/>
        <v>0</v>
      </c>
      <c r="M19" s="476">
        <f t="shared" si="3"/>
        <v>492294.73076923075</v>
      </c>
      <c r="N19" s="478">
        <f t="shared" si="8"/>
        <v>0</v>
      </c>
      <c r="O19" s="478">
        <f t="shared" si="9"/>
        <v>0</v>
      </c>
      <c r="P19" s="242"/>
    </row>
    <row r="20" spans="2:16" ht="12.5">
      <c r="B20" s="160" t="str">
        <f t="shared" si="6"/>
        <v>IU</v>
      </c>
      <c r="C20" s="472">
        <f>IF(D11="","-",+C19+1)</f>
        <v>2015</v>
      </c>
      <c r="D20" s="473">
        <v>3186903.9220512821</v>
      </c>
      <c r="E20" s="480">
        <v>63572.445</v>
      </c>
      <c r="F20" s="473">
        <v>3123331.4770512823</v>
      </c>
      <c r="G20" s="480">
        <v>494191.44500000001</v>
      </c>
      <c r="H20" s="481">
        <v>494191.44500000001</v>
      </c>
      <c r="I20" s="475">
        <v>0</v>
      </c>
      <c r="J20" s="475"/>
      <c r="K20" s="476">
        <f t="shared" si="1"/>
        <v>494191.44500000001</v>
      </c>
      <c r="L20" s="550">
        <f t="shared" si="7"/>
        <v>0</v>
      </c>
      <c r="M20" s="476">
        <f t="shared" si="3"/>
        <v>494191.44500000001</v>
      </c>
      <c r="N20" s="478">
        <f t="shared" si="8"/>
        <v>0</v>
      </c>
      <c r="O20" s="478">
        <f t="shared" si="9"/>
        <v>0</v>
      </c>
      <c r="P20" s="242"/>
    </row>
    <row r="21" spans="2:16" ht="12.5">
      <c r="B21" s="160" t="str">
        <f t="shared" si="6"/>
        <v/>
      </c>
      <c r="C21" s="472">
        <f>IF(D11="","-",+C20+1)</f>
        <v>2016</v>
      </c>
      <c r="D21" s="473">
        <v>3123331.4770512823</v>
      </c>
      <c r="E21" s="480">
        <v>63572.445</v>
      </c>
      <c r="F21" s="473">
        <v>3059759.0320512825</v>
      </c>
      <c r="G21" s="480">
        <v>464889.44500000001</v>
      </c>
      <c r="H21" s="481">
        <v>464889.44500000001</v>
      </c>
      <c r="I21" s="475">
        <f t="shared" si="0"/>
        <v>0</v>
      </c>
      <c r="J21" s="475"/>
      <c r="K21" s="476">
        <f t="shared" si="1"/>
        <v>464889.44500000001</v>
      </c>
      <c r="L21" s="550">
        <f t="shared" si="7"/>
        <v>0</v>
      </c>
      <c r="M21" s="476">
        <f t="shared" si="3"/>
        <v>464889.44500000001</v>
      </c>
      <c r="N21" s="478">
        <f t="shared" si="8"/>
        <v>0</v>
      </c>
      <c r="O21" s="478">
        <f t="shared" si="9"/>
        <v>0</v>
      </c>
      <c r="P21" s="242"/>
    </row>
    <row r="22" spans="2:16" ht="12.5">
      <c r="B22" s="160" t="str">
        <f t="shared" si="6"/>
        <v/>
      </c>
      <c r="C22" s="472">
        <f>IF(D11="","-",+C21+1)</f>
        <v>2017</v>
      </c>
      <c r="D22" s="473">
        <v>3059759.0320512825</v>
      </c>
      <c r="E22" s="480">
        <v>71864.503043478268</v>
      </c>
      <c r="F22" s="473">
        <v>2987894.5290078041</v>
      </c>
      <c r="G22" s="480">
        <v>452105.50304347824</v>
      </c>
      <c r="H22" s="481">
        <v>452105.50304347824</v>
      </c>
      <c r="I22" s="475">
        <f t="shared" si="0"/>
        <v>0</v>
      </c>
      <c r="J22" s="475"/>
      <c r="K22" s="476">
        <f t="shared" si="1"/>
        <v>452105.50304347824</v>
      </c>
      <c r="L22" s="550">
        <f t="shared" si="7"/>
        <v>0</v>
      </c>
      <c r="M22" s="476">
        <f t="shared" si="3"/>
        <v>452105.50304347824</v>
      </c>
      <c r="N22" s="478">
        <f t="shared" si="8"/>
        <v>0</v>
      </c>
      <c r="O22" s="478">
        <f t="shared" si="9"/>
        <v>0</v>
      </c>
      <c r="P22" s="242"/>
    </row>
    <row r="23" spans="2:16" ht="12.5">
      <c r="B23" s="160" t="str">
        <f t="shared" si="6"/>
        <v/>
      </c>
      <c r="C23" s="472">
        <f>IF(D11="","-",+C22+1)</f>
        <v>2018</v>
      </c>
      <c r="D23" s="473">
        <v>2987894.5290078041</v>
      </c>
      <c r="E23" s="480">
        <v>73461.491999999998</v>
      </c>
      <c r="F23" s="473">
        <v>2914433.037007804</v>
      </c>
      <c r="G23" s="480">
        <v>426889.74050815182</v>
      </c>
      <c r="H23" s="481">
        <v>426889.74050815182</v>
      </c>
      <c r="I23" s="475">
        <f t="shared" si="0"/>
        <v>0</v>
      </c>
      <c r="J23" s="475"/>
      <c r="K23" s="476">
        <f>G23</f>
        <v>426889.74050815182</v>
      </c>
      <c r="L23" s="550">
        <f t="shared" si="7"/>
        <v>0</v>
      </c>
      <c r="M23" s="476">
        <f>H23</f>
        <v>426889.74050815182</v>
      </c>
      <c r="N23" s="478">
        <f t="shared" si="8"/>
        <v>0</v>
      </c>
      <c r="O23" s="478">
        <f t="shared" si="9"/>
        <v>0</v>
      </c>
      <c r="P23" s="242"/>
    </row>
    <row r="24" spans="2:16" ht="12.5">
      <c r="B24" s="160" t="str">
        <f t="shared" si="6"/>
        <v/>
      </c>
      <c r="C24" s="472">
        <f>IF(D11="","-",+C23+1)</f>
        <v>2019</v>
      </c>
      <c r="D24" s="473">
        <v>2914433.037007804</v>
      </c>
      <c r="E24" s="480">
        <v>82644.178500000009</v>
      </c>
      <c r="F24" s="473">
        <v>2831788.8585078041</v>
      </c>
      <c r="G24" s="480">
        <v>403446.06827075174</v>
      </c>
      <c r="H24" s="481">
        <v>403446.06827075174</v>
      </c>
      <c r="I24" s="475">
        <f t="shared" si="0"/>
        <v>0</v>
      </c>
      <c r="J24" s="475"/>
      <c r="K24" s="476">
        <f>G24</f>
        <v>403446.06827075174</v>
      </c>
      <c r="L24" s="550">
        <f t="shared" ref="L24" si="10">IF(K24&lt;&gt;0,+G24-K24,0)</f>
        <v>0</v>
      </c>
      <c r="M24" s="476">
        <f>H24</f>
        <v>403446.06827075174</v>
      </c>
      <c r="N24" s="478">
        <f t="shared" ref="N24" si="11">IF(M24&lt;&gt;0,+H24-M24,0)</f>
        <v>0</v>
      </c>
      <c r="O24" s="478">
        <f t="shared" ref="O24" si="12">+N24-L24</f>
        <v>0</v>
      </c>
      <c r="P24" s="242"/>
    </row>
    <row r="25" spans="2:16" ht="12.5">
      <c r="B25" s="160" t="str">
        <f t="shared" si="6"/>
        <v>IU</v>
      </c>
      <c r="C25" s="472">
        <f>IF(D11="","-",+C24+1)</f>
        <v>2020</v>
      </c>
      <c r="D25" s="473">
        <v>2762262.8035792327</v>
      </c>
      <c r="E25" s="480">
        <v>78708.741428571433</v>
      </c>
      <c r="F25" s="473">
        <v>2683554.0621506614</v>
      </c>
      <c r="G25" s="480">
        <v>372795.85926638031</v>
      </c>
      <c r="H25" s="481">
        <v>372795.85926638031</v>
      </c>
      <c r="I25" s="475">
        <f t="shared" si="0"/>
        <v>0</v>
      </c>
      <c r="J25" s="475"/>
      <c r="K25" s="476">
        <f>G25</f>
        <v>372795.85926638031</v>
      </c>
      <c r="L25" s="550">
        <f t="shared" ref="L25" si="13">IF(K25&lt;&gt;0,+G25-K25,0)</f>
        <v>0</v>
      </c>
      <c r="M25" s="476">
        <f>H25</f>
        <v>372795.85926638031</v>
      </c>
      <c r="N25" s="478">
        <f t="shared" si="4"/>
        <v>0</v>
      </c>
      <c r="O25" s="478">
        <f t="shared" si="5"/>
        <v>0</v>
      </c>
      <c r="P25" s="242"/>
    </row>
    <row r="26" spans="2:16" ht="12.5">
      <c r="B26" s="160" t="str">
        <f t="shared" si="6"/>
        <v>IU</v>
      </c>
      <c r="C26" s="472">
        <f>IF(D11="","-",+C25+1)</f>
        <v>2021</v>
      </c>
      <c r="D26" s="485">
        <f>IF(F25+SUM(E$17:E25)=D$10,F25,D$10-SUM(E$17:E25))</f>
        <v>2753080.1170792324</v>
      </c>
      <c r="E26" s="484">
        <f>IF(+I14&lt;F25,I14,D26)</f>
        <v>76878.305581395354</v>
      </c>
      <c r="F26" s="485">
        <f t="shared" ref="F26:F48" si="14">+D26-E26</f>
        <v>2676201.8114978368</v>
      </c>
      <c r="G26" s="486">
        <f t="shared" ref="G26:G49" si="15">ROUND(I$12*F26,0)+E26</f>
        <v>365431.30558139534</v>
      </c>
      <c r="H26" s="455">
        <f t="shared" ref="H26:H49" si="16">ROUND(I$13*F26,0)+E26</f>
        <v>365431.30558139534</v>
      </c>
      <c r="I26" s="475">
        <f t="shared" si="0"/>
        <v>0</v>
      </c>
      <c r="J26" s="475"/>
      <c r="K26" s="487"/>
      <c r="L26" s="478">
        <f t="shared" si="2"/>
        <v>0</v>
      </c>
      <c r="M26" s="487"/>
      <c r="N26" s="478">
        <f t="shared" si="4"/>
        <v>0</v>
      </c>
      <c r="O26" s="478">
        <f t="shared" si="5"/>
        <v>0</v>
      </c>
      <c r="P26" s="242"/>
    </row>
    <row r="27" spans="2:16" ht="12.5">
      <c r="B27" s="160" t="str">
        <f t="shared" si="6"/>
        <v/>
      </c>
      <c r="C27" s="472">
        <f>IF(D11="","-",+C26+1)</f>
        <v>2022</v>
      </c>
      <c r="D27" s="483">
        <f>IF(F26+SUM(E$17:E26)=D$10,F26,D$10-SUM(E$17:E26))</f>
        <v>2676201.8114978368</v>
      </c>
      <c r="E27" s="484">
        <f>IF(+I14&lt;F26,I14,D27)</f>
        <v>76878.305581395354</v>
      </c>
      <c r="F27" s="485">
        <f t="shared" si="14"/>
        <v>2599323.5059164413</v>
      </c>
      <c r="G27" s="486">
        <f t="shared" si="15"/>
        <v>357141.30558139534</v>
      </c>
      <c r="H27" s="455">
        <f t="shared" si="16"/>
        <v>357141.30558139534</v>
      </c>
      <c r="I27" s="475">
        <f t="shared" si="0"/>
        <v>0</v>
      </c>
      <c r="J27" s="475"/>
      <c r="K27" s="487"/>
      <c r="L27" s="478">
        <f t="shared" si="2"/>
        <v>0</v>
      </c>
      <c r="M27" s="487"/>
      <c r="N27" s="478">
        <f t="shared" si="4"/>
        <v>0</v>
      </c>
      <c r="O27" s="478">
        <f t="shared" si="5"/>
        <v>0</v>
      </c>
      <c r="P27" s="242"/>
    </row>
    <row r="28" spans="2:16" ht="12.5">
      <c r="B28" s="160" t="str">
        <f t="shared" si="6"/>
        <v/>
      </c>
      <c r="C28" s="472">
        <f>IF(D11="","-",+C27+1)</f>
        <v>2023</v>
      </c>
      <c r="D28" s="485">
        <f>IF(F27+SUM(E$17:E27)=D$10,F27,D$10-SUM(E$17:E27))</f>
        <v>2599323.5059164413</v>
      </c>
      <c r="E28" s="484">
        <f>IF(+I14&lt;F27,I14,D28)</f>
        <v>76878.305581395354</v>
      </c>
      <c r="F28" s="485">
        <f t="shared" si="14"/>
        <v>2522445.2003350458</v>
      </c>
      <c r="G28" s="486">
        <f t="shared" si="15"/>
        <v>348852.30558139534</v>
      </c>
      <c r="H28" s="455">
        <f t="shared" si="16"/>
        <v>348852.30558139534</v>
      </c>
      <c r="I28" s="475">
        <f t="shared" si="0"/>
        <v>0</v>
      </c>
      <c r="J28" s="475"/>
      <c r="K28" s="487"/>
      <c r="L28" s="478">
        <f t="shared" si="2"/>
        <v>0</v>
      </c>
      <c r="M28" s="487"/>
      <c r="N28" s="478">
        <f t="shared" si="4"/>
        <v>0</v>
      </c>
      <c r="O28" s="478">
        <f t="shared" si="5"/>
        <v>0</v>
      </c>
      <c r="P28" s="242"/>
    </row>
    <row r="29" spans="2:16" ht="12.5">
      <c r="B29" s="160" t="str">
        <f t="shared" si="6"/>
        <v/>
      </c>
      <c r="C29" s="472">
        <f>IF(D11="","-",+C28+1)</f>
        <v>2024</v>
      </c>
      <c r="D29" s="485">
        <f>IF(F28+SUM(E$17:E28)=D$10,F28,D$10-SUM(E$17:E28))</f>
        <v>2522445.2003350458</v>
      </c>
      <c r="E29" s="484">
        <f>IF(+I14&lt;F28,I14,D29)</f>
        <v>76878.305581395354</v>
      </c>
      <c r="F29" s="485">
        <f t="shared" si="14"/>
        <v>2445566.8947536503</v>
      </c>
      <c r="G29" s="486">
        <f t="shared" si="15"/>
        <v>340563.30558139534</v>
      </c>
      <c r="H29" s="455">
        <f t="shared" si="16"/>
        <v>340563.30558139534</v>
      </c>
      <c r="I29" s="475">
        <f t="shared" si="0"/>
        <v>0</v>
      </c>
      <c r="J29" s="475"/>
      <c r="K29" s="487"/>
      <c r="L29" s="478">
        <f t="shared" si="2"/>
        <v>0</v>
      </c>
      <c r="M29" s="487"/>
      <c r="N29" s="478">
        <f t="shared" si="4"/>
        <v>0</v>
      </c>
      <c r="O29" s="478">
        <f t="shared" si="5"/>
        <v>0</v>
      </c>
      <c r="P29" s="242"/>
    </row>
    <row r="30" spans="2:16" ht="12.5">
      <c r="B30" s="160" t="str">
        <f t="shared" si="6"/>
        <v/>
      </c>
      <c r="C30" s="472">
        <f>IF(D11="","-",+C29+1)</f>
        <v>2025</v>
      </c>
      <c r="D30" s="485">
        <f>IF(F29+SUM(E$17:E29)=D$10,F29,D$10-SUM(E$17:E29))</f>
        <v>2445566.8947536503</v>
      </c>
      <c r="E30" s="484">
        <f>IF(+I14&lt;F29,I14,D30)</f>
        <v>76878.305581395354</v>
      </c>
      <c r="F30" s="485">
        <f t="shared" si="14"/>
        <v>2368688.5891722548</v>
      </c>
      <c r="G30" s="486">
        <f t="shared" si="15"/>
        <v>332274.30558139534</v>
      </c>
      <c r="H30" s="455">
        <f t="shared" si="16"/>
        <v>332274.30558139534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2"/>
    </row>
    <row r="31" spans="2:16" ht="12.5">
      <c r="B31" s="160" t="str">
        <f t="shared" si="6"/>
        <v/>
      </c>
      <c r="C31" s="472">
        <f>IF(D11="","-",+C30+1)</f>
        <v>2026</v>
      </c>
      <c r="D31" s="485">
        <f>IF(F30+SUM(E$17:E30)=D$10,F30,D$10-SUM(E$17:E30))</f>
        <v>2368688.5891722548</v>
      </c>
      <c r="E31" s="484">
        <f>IF(+I14&lt;F30,I14,D31)</f>
        <v>76878.305581395354</v>
      </c>
      <c r="F31" s="485">
        <f t="shared" si="14"/>
        <v>2291810.2835908593</v>
      </c>
      <c r="G31" s="486">
        <f t="shared" si="15"/>
        <v>323985.30558139534</v>
      </c>
      <c r="H31" s="455">
        <f t="shared" si="16"/>
        <v>323985.30558139534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2"/>
    </row>
    <row r="32" spans="2:16" ht="12.5">
      <c r="B32" s="160" t="str">
        <f t="shared" si="6"/>
        <v/>
      </c>
      <c r="C32" s="472">
        <f>IF(D11="","-",+C31+1)</f>
        <v>2027</v>
      </c>
      <c r="D32" s="485">
        <f>IF(F31+SUM(E$17:E31)=D$10,F31,D$10-SUM(E$17:E31))</f>
        <v>2291810.2835908593</v>
      </c>
      <c r="E32" s="484">
        <f>IF(+I14&lt;F31,I14,D32)</f>
        <v>76878.305581395354</v>
      </c>
      <c r="F32" s="485">
        <f t="shared" si="14"/>
        <v>2214931.9780094638</v>
      </c>
      <c r="G32" s="486">
        <f t="shared" si="15"/>
        <v>315696.30558139534</v>
      </c>
      <c r="H32" s="455">
        <f t="shared" si="16"/>
        <v>315696.30558139534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2"/>
    </row>
    <row r="33" spans="2:16" ht="12.5">
      <c r="B33" s="160" t="str">
        <f t="shared" si="6"/>
        <v/>
      </c>
      <c r="C33" s="472">
        <f>IF(D11="","-",+C32+1)</f>
        <v>2028</v>
      </c>
      <c r="D33" s="485">
        <f>IF(F32+SUM(E$17:E32)=D$10,F32,D$10-SUM(E$17:E32))</f>
        <v>2214931.9780094638</v>
      </c>
      <c r="E33" s="484">
        <f>IF(+I14&lt;F32,I14,D33)</f>
        <v>76878.305581395354</v>
      </c>
      <c r="F33" s="485">
        <f t="shared" si="14"/>
        <v>2138053.6724280682</v>
      </c>
      <c r="G33" s="486">
        <f t="shared" si="15"/>
        <v>307406.30558139534</v>
      </c>
      <c r="H33" s="455">
        <f t="shared" si="16"/>
        <v>307406.30558139534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2"/>
    </row>
    <row r="34" spans="2:16" ht="12.5">
      <c r="B34" s="160" t="str">
        <f t="shared" si="6"/>
        <v/>
      </c>
      <c r="C34" s="472">
        <f>IF(D11="","-",+C33+1)</f>
        <v>2029</v>
      </c>
      <c r="D34" s="485">
        <f>IF(F33+SUM(E$17:E33)=D$10,F33,D$10-SUM(E$17:E33))</f>
        <v>2138053.6724280682</v>
      </c>
      <c r="E34" s="484">
        <f>IF(+I14&lt;F33,I14,D34)</f>
        <v>76878.305581395354</v>
      </c>
      <c r="F34" s="485">
        <f t="shared" si="14"/>
        <v>2061175.366846673</v>
      </c>
      <c r="G34" s="486">
        <f t="shared" si="15"/>
        <v>299117.30558139534</v>
      </c>
      <c r="H34" s="455">
        <f t="shared" si="16"/>
        <v>299117.30558139534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2"/>
    </row>
    <row r="35" spans="2:16" ht="12.5">
      <c r="B35" s="160" t="str">
        <f t="shared" si="6"/>
        <v/>
      </c>
      <c r="C35" s="472">
        <f>IF(D11="","-",+C34+1)</f>
        <v>2030</v>
      </c>
      <c r="D35" s="485">
        <f>IF(F34+SUM(E$17:E34)=D$10,F34,D$10-SUM(E$17:E34))</f>
        <v>2061175.366846673</v>
      </c>
      <c r="E35" s="484">
        <f>IF(+I14&lt;F34,I14,D35)</f>
        <v>76878.305581395354</v>
      </c>
      <c r="F35" s="485">
        <f t="shared" si="14"/>
        <v>1984297.0612652777</v>
      </c>
      <c r="G35" s="486">
        <f t="shared" si="15"/>
        <v>290828.30558139534</v>
      </c>
      <c r="H35" s="455">
        <f t="shared" si="16"/>
        <v>290828.30558139534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2"/>
    </row>
    <row r="36" spans="2:16" ht="12.5">
      <c r="B36" s="160" t="str">
        <f t="shared" si="6"/>
        <v/>
      </c>
      <c r="C36" s="472">
        <f>IF(D11="","-",+C35+1)</f>
        <v>2031</v>
      </c>
      <c r="D36" s="485">
        <f>IF(F35+SUM(E$17:E35)=D$10,F35,D$10-SUM(E$17:E35))</f>
        <v>1984297.0612652777</v>
      </c>
      <c r="E36" s="484">
        <f>IF(+I14&lt;F35,I14,D36)</f>
        <v>76878.305581395354</v>
      </c>
      <c r="F36" s="485">
        <f t="shared" si="14"/>
        <v>1907418.7556838824</v>
      </c>
      <c r="G36" s="486">
        <f t="shared" si="15"/>
        <v>282539.30558139534</v>
      </c>
      <c r="H36" s="455">
        <f t="shared" si="16"/>
        <v>282539.30558139534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2"/>
    </row>
    <row r="37" spans="2:16" ht="12.5">
      <c r="B37" s="160" t="str">
        <f t="shared" si="6"/>
        <v/>
      </c>
      <c r="C37" s="472">
        <f>IF(D11="","-",+C36+1)</f>
        <v>2032</v>
      </c>
      <c r="D37" s="485">
        <f>IF(F36+SUM(E$17:E36)=D$10,F36,D$10-SUM(E$17:E36))</f>
        <v>1907418.7556838824</v>
      </c>
      <c r="E37" s="484">
        <f>IF(+I14&lt;F36,I14,D37)</f>
        <v>76878.305581395354</v>
      </c>
      <c r="F37" s="485">
        <f t="shared" si="14"/>
        <v>1830540.4501024871</v>
      </c>
      <c r="G37" s="486">
        <f t="shared" si="15"/>
        <v>274250.30558139534</v>
      </c>
      <c r="H37" s="455">
        <f t="shared" si="16"/>
        <v>274250.30558139534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2"/>
    </row>
    <row r="38" spans="2:16" ht="12.5">
      <c r="B38" s="160" t="str">
        <f t="shared" si="6"/>
        <v/>
      </c>
      <c r="C38" s="472">
        <f>IF(D11="","-",+C37+1)</f>
        <v>2033</v>
      </c>
      <c r="D38" s="485">
        <f>IF(F37+SUM(E$17:E37)=D$10,F37,D$10-SUM(E$17:E37))</f>
        <v>1830540.4501024871</v>
      </c>
      <c r="E38" s="484">
        <f>IF(+I14&lt;F37,I14,D38)</f>
        <v>76878.305581395354</v>
      </c>
      <c r="F38" s="485">
        <f t="shared" si="14"/>
        <v>1753662.1445210918</v>
      </c>
      <c r="G38" s="486">
        <f t="shared" si="15"/>
        <v>265961.30558139534</v>
      </c>
      <c r="H38" s="455">
        <f t="shared" si="16"/>
        <v>265961.30558139534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2"/>
    </row>
    <row r="39" spans="2:16" ht="12.5">
      <c r="B39" s="160" t="str">
        <f t="shared" si="6"/>
        <v/>
      </c>
      <c r="C39" s="472">
        <f>IF(D11="","-",+C38+1)</f>
        <v>2034</v>
      </c>
      <c r="D39" s="485">
        <f>IF(F38+SUM(E$17:E38)=D$10,F38,D$10-SUM(E$17:E38))</f>
        <v>1753662.1445210918</v>
      </c>
      <c r="E39" s="484">
        <f>IF(+I14&lt;F38,I14,D39)</f>
        <v>76878.305581395354</v>
      </c>
      <c r="F39" s="485">
        <f t="shared" si="14"/>
        <v>1676783.8389396966</v>
      </c>
      <c r="G39" s="486">
        <f t="shared" si="15"/>
        <v>257672.30558139534</v>
      </c>
      <c r="H39" s="455">
        <f t="shared" si="16"/>
        <v>257672.30558139534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2"/>
    </row>
    <row r="40" spans="2:16" ht="12.5">
      <c r="B40" s="160" t="str">
        <f t="shared" si="6"/>
        <v/>
      </c>
      <c r="C40" s="472">
        <f>IF(D11="","-",+C39+1)</f>
        <v>2035</v>
      </c>
      <c r="D40" s="485">
        <f>IF(F39+SUM(E$17:E39)=D$10,F39,D$10-SUM(E$17:E39))</f>
        <v>1676783.8389396966</v>
      </c>
      <c r="E40" s="484">
        <f>IF(+I14&lt;F39,I14,D40)</f>
        <v>76878.305581395354</v>
      </c>
      <c r="F40" s="485">
        <f t="shared" si="14"/>
        <v>1599905.5333583013</v>
      </c>
      <c r="G40" s="486">
        <f t="shared" si="15"/>
        <v>249382.30558139534</v>
      </c>
      <c r="H40" s="455">
        <f t="shared" si="16"/>
        <v>249382.30558139534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2"/>
    </row>
    <row r="41" spans="2:16" ht="12.5">
      <c r="B41" s="160" t="str">
        <f t="shared" si="6"/>
        <v/>
      </c>
      <c r="C41" s="472">
        <f>IF(D11="","-",+C40+1)</f>
        <v>2036</v>
      </c>
      <c r="D41" s="485">
        <f>IF(F40+SUM(E$17:E40)=D$10,F40,D$10-SUM(E$17:E40))</f>
        <v>1599905.5333583013</v>
      </c>
      <c r="E41" s="484">
        <f>IF(+I14&lt;F40,I14,D41)</f>
        <v>76878.305581395354</v>
      </c>
      <c r="F41" s="485">
        <f t="shared" si="14"/>
        <v>1523027.227776906</v>
      </c>
      <c r="G41" s="486">
        <f t="shared" si="15"/>
        <v>241093.30558139534</v>
      </c>
      <c r="H41" s="455">
        <f t="shared" si="16"/>
        <v>241093.30558139534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2"/>
    </row>
    <row r="42" spans="2:16" ht="12.5">
      <c r="B42" s="160" t="str">
        <f t="shared" si="6"/>
        <v/>
      </c>
      <c r="C42" s="472">
        <f>IF(D11="","-",+C41+1)</f>
        <v>2037</v>
      </c>
      <c r="D42" s="485">
        <f>IF(F41+SUM(E$17:E41)=D$10,F41,D$10-SUM(E$17:E41))</f>
        <v>1523027.227776906</v>
      </c>
      <c r="E42" s="484">
        <f>IF(+I14&lt;F41,I14,D42)</f>
        <v>76878.305581395354</v>
      </c>
      <c r="F42" s="485">
        <f t="shared" si="14"/>
        <v>1446148.9221955107</v>
      </c>
      <c r="G42" s="486">
        <f t="shared" si="15"/>
        <v>232804.30558139534</v>
      </c>
      <c r="H42" s="455">
        <f t="shared" si="16"/>
        <v>232804.30558139534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2"/>
    </row>
    <row r="43" spans="2:16" ht="12.5">
      <c r="B43" s="160" t="str">
        <f t="shared" si="6"/>
        <v/>
      </c>
      <c r="C43" s="472">
        <f>IF(D11="","-",+C42+1)</f>
        <v>2038</v>
      </c>
      <c r="D43" s="485">
        <f>IF(F42+SUM(E$17:E42)=D$10,F42,D$10-SUM(E$17:E42))</f>
        <v>1446148.9221955107</v>
      </c>
      <c r="E43" s="484">
        <f>IF(+I14&lt;F42,I14,D43)</f>
        <v>76878.305581395354</v>
      </c>
      <c r="F43" s="485">
        <f t="shared" si="14"/>
        <v>1369270.6166141154</v>
      </c>
      <c r="G43" s="486">
        <f t="shared" si="15"/>
        <v>224515.30558139534</v>
      </c>
      <c r="H43" s="455">
        <f t="shared" si="16"/>
        <v>224515.30558139534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2"/>
    </row>
    <row r="44" spans="2:16" ht="12.5">
      <c r="B44" s="160" t="str">
        <f t="shared" si="6"/>
        <v/>
      </c>
      <c r="C44" s="472">
        <f>IF(D11="","-",+C43+1)</f>
        <v>2039</v>
      </c>
      <c r="D44" s="485">
        <f>IF(F43+SUM(E$17:E43)=D$10,F43,D$10-SUM(E$17:E43))</f>
        <v>1369270.6166141154</v>
      </c>
      <c r="E44" s="484">
        <f>IF(+I14&lt;F43,I14,D44)</f>
        <v>76878.305581395354</v>
      </c>
      <c r="F44" s="485">
        <f t="shared" si="14"/>
        <v>1292392.3110327201</v>
      </c>
      <c r="G44" s="486">
        <f t="shared" si="15"/>
        <v>216226.30558139534</v>
      </c>
      <c r="H44" s="455">
        <f t="shared" si="16"/>
        <v>216226.30558139534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2"/>
    </row>
    <row r="45" spans="2:16" ht="12.5">
      <c r="B45" s="160" t="str">
        <f t="shared" si="6"/>
        <v/>
      </c>
      <c r="C45" s="472">
        <f>IF(D11="","-",+C44+1)</f>
        <v>2040</v>
      </c>
      <c r="D45" s="485">
        <f>IF(F44+SUM(E$17:E44)=D$10,F44,D$10-SUM(E$17:E44))</f>
        <v>1292392.3110327201</v>
      </c>
      <c r="E45" s="484">
        <f>IF(+I14&lt;F44,I14,D45)</f>
        <v>76878.305581395354</v>
      </c>
      <c r="F45" s="485">
        <f t="shared" si="14"/>
        <v>1215514.0054513249</v>
      </c>
      <c r="G45" s="486">
        <f t="shared" si="15"/>
        <v>207937.30558139534</v>
      </c>
      <c r="H45" s="455">
        <f t="shared" si="16"/>
        <v>207937.30558139534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2"/>
    </row>
    <row r="46" spans="2:16" ht="12.5">
      <c r="B46" s="160" t="str">
        <f t="shared" si="6"/>
        <v/>
      </c>
      <c r="C46" s="472">
        <f>IF(D11="","-",+C45+1)</f>
        <v>2041</v>
      </c>
      <c r="D46" s="485">
        <f>IF(F45+SUM(E$17:E45)=D$10,F45,D$10-SUM(E$17:E45))</f>
        <v>1215514.0054513249</v>
      </c>
      <c r="E46" s="484">
        <f>IF(+I14&lt;F45,I14,D46)</f>
        <v>76878.305581395354</v>
      </c>
      <c r="F46" s="485">
        <f t="shared" si="14"/>
        <v>1138635.6998699296</v>
      </c>
      <c r="G46" s="486">
        <f t="shared" si="15"/>
        <v>199648.30558139534</v>
      </c>
      <c r="H46" s="455">
        <f t="shared" si="16"/>
        <v>199648.30558139534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2"/>
    </row>
    <row r="47" spans="2:16" ht="12.5">
      <c r="B47" s="160" t="str">
        <f t="shared" si="6"/>
        <v/>
      </c>
      <c r="C47" s="472">
        <f>IF(D11="","-",+C46+1)</f>
        <v>2042</v>
      </c>
      <c r="D47" s="485">
        <f>IF(F46+SUM(E$17:E46)=D$10,F46,D$10-SUM(E$17:E46))</f>
        <v>1138635.6998699296</v>
      </c>
      <c r="E47" s="484">
        <f>IF(+I14&lt;F46,I14,D47)</f>
        <v>76878.305581395354</v>
      </c>
      <c r="F47" s="485">
        <f t="shared" si="14"/>
        <v>1061757.3942885343</v>
      </c>
      <c r="G47" s="486">
        <f t="shared" si="15"/>
        <v>191358.30558139534</v>
      </c>
      <c r="H47" s="455">
        <f t="shared" si="16"/>
        <v>191358.30558139534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2"/>
    </row>
    <row r="48" spans="2:16" ht="12.5">
      <c r="B48" s="160" t="str">
        <f t="shared" si="6"/>
        <v/>
      </c>
      <c r="C48" s="472">
        <f>IF(D11="","-",+C47+1)</f>
        <v>2043</v>
      </c>
      <c r="D48" s="485">
        <f>IF(F47+SUM(E$17:E47)=D$10,F47,D$10-SUM(E$17:E47))</f>
        <v>1061757.3942885343</v>
      </c>
      <c r="E48" s="484">
        <f>IF(+I14&lt;F47,I14,D48)</f>
        <v>76878.305581395354</v>
      </c>
      <c r="F48" s="485">
        <f t="shared" si="14"/>
        <v>984879.0887071389</v>
      </c>
      <c r="G48" s="486">
        <f t="shared" si="15"/>
        <v>183069.30558139534</v>
      </c>
      <c r="H48" s="455">
        <f t="shared" si="16"/>
        <v>183069.30558139534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2"/>
    </row>
    <row r="49" spans="2:16" ht="12.5">
      <c r="B49" s="160" t="str">
        <f t="shared" si="6"/>
        <v/>
      </c>
      <c r="C49" s="472">
        <f>IF(D11="","-",+C48+1)</f>
        <v>2044</v>
      </c>
      <c r="D49" s="485">
        <f>IF(F48+SUM(E$17:E48)=D$10,F48,D$10-SUM(E$17:E48))</f>
        <v>984879.0887071389</v>
      </c>
      <c r="E49" s="484">
        <f>IF(+I14&lt;F48,I14,D49)</f>
        <v>76878.305581395354</v>
      </c>
      <c r="F49" s="485">
        <f t="shared" ref="F49:F72" si="17">+D49-E49</f>
        <v>908000.7831257435</v>
      </c>
      <c r="G49" s="486">
        <f t="shared" si="15"/>
        <v>174780.30558139534</v>
      </c>
      <c r="H49" s="455">
        <f t="shared" si="16"/>
        <v>174780.30558139534</v>
      </c>
      <c r="I49" s="475">
        <f t="shared" ref="I49:I72" si="18">H49-G49</f>
        <v>0</v>
      </c>
      <c r="J49" s="475"/>
      <c r="K49" s="487"/>
      <c r="L49" s="478">
        <f t="shared" ref="L49:L72" si="19">IF(K49&lt;&gt;0,+G49-K49,0)</f>
        <v>0</v>
      </c>
      <c r="M49" s="487"/>
      <c r="N49" s="478">
        <f t="shared" ref="N49:N72" si="20">IF(M49&lt;&gt;0,+H49-M49,0)</f>
        <v>0</v>
      </c>
      <c r="O49" s="478">
        <f t="shared" ref="O49:O72" si="21">+N49-L49</f>
        <v>0</v>
      </c>
      <c r="P49" s="242"/>
    </row>
    <row r="50" spans="2:16" ht="12.5">
      <c r="B50" s="160" t="str">
        <f t="shared" ref="B50:B72" si="22">IF(D50=F49,"","IU")</f>
        <v/>
      </c>
      <c r="C50" s="472">
        <f>IF(D11="","-",+C49+1)</f>
        <v>2045</v>
      </c>
      <c r="D50" s="485">
        <f>IF(F49+SUM(E$17:E49)=D$10,F49,D$10-SUM(E$17:E49))</f>
        <v>908000.7831257435</v>
      </c>
      <c r="E50" s="484">
        <f>IF(+I14&lt;F49,I14,D50)</f>
        <v>76878.305581395354</v>
      </c>
      <c r="F50" s="485">
        <f t="shared" si="17"/>
        <v>831122.4775443481</v>
      </c>
      <c r="G50" s="486">
        <f t="shared" ref="G50:G72" si="23">ROUND(I$12*F50,0)+E50</f>
        <v>166491.30558139534</v>
      </c>
      <c r="H50" s="455">
        <f t="shared" ref="H50:H72" si="24">ROUND(I$13*F50,0)+E50</f>
        <v>166491.30558139534</v>
      </c>
      <c r="I50" s="475">
        <f t="shared" si="18"/>
        <v>0</v>
      </c>
      <c r="J50" s="475"/>
      <c r="K50" s="487"/>
      <c r="L50" s="478">
        <f t="shared" si="19"/>
        <v>0</v>
      </c>
      <c r="M50" s="487"/>
      <c r="N50" s="478">
        <f t="shared" si="20"/>
        <v>0</v>
      </c>
      <c r="O50" s="478">
        <f t="shared" si="21"/>
        <v>0</v>
      </c>
      <c r="P50" s="242"/>
    </row>
    <row r="51" spans="2:16" ht="12.5">
      <c r="B51" s="160" t="str">
        <f t="shared" si="22"/>
        <v/>
      </c>
      <c r="C51" s="472">
        <f>IF(D11="","-",+C50+1)</f>
        <v>2046</v>
      </c>
      <c r="D51" s="485">
        <f>IF(F50+SUM(E$17:E50)=D$10,F50,D$10-SUM(E$17:E50))</f>
        <v>831122.4775443481</v>
      </c>
      <c r="E51" s="484">
        <f>IF(+I14&lt;F50,I14,D51)</f>
        <v>76878.305581395354</v>
      </c>
      <c r="F51" s="485">
        <f t="shared" si="17"/>
        <v>754244.17196295271</v>
      </c>
      <c r="G51" s="486">
        <f t="shared" si="23"/>
        <v>158202.30558139534</v>
      </c>
      <c r="H51" s="455">
        <f t="shared" si="24"/>
        <v>158202.30558139534</v>
      </c>
      <c r="I51" s="475">
        <f t="shared" si="18"/>
        <v>0</v>
      </c>
      <c r="J51" s="475"/>
      <c r="K51" s="487"/>
      <c r="L51" s="478">
        <f t="shared" si="19"/>
        <v>0</v>
      </c>
      <c r="M51" s="487"/>
      <c r="N51" s="478">
        <f t="shared" si="20"/>
        <v>0</v>
      </c>
      <c r="O51" s="478">
        <f t="shared" si="21"/>
        <v>0</v>
      </c>
      <c r="P51" s="242"/>
    </row>
    <row r="52" spans="2:16" ht="12.5">
      <c r="B52" s="160" t="str">
        <f t="shared" si="22"/>
        <v/>
      </c>
      <c r="C52" s="472">
        <f>IF(D11="","-",+C51+1)</f>
        <v>2047</v>
      </c>
      <c r="D52" s="485">
        <f>IF(F51+SUM(E$17:E51)=D$10,F51,D$10-SUM(E$17:E51))</f>
        <v>754244.17196295271</v>
      </c>
      <c r="E52" s="484">
        <f>IF(+I14&lt;F51,I14,D52)</f>
        <v>76878.305581395354</v>
      </c>
      <c r="F52" s="485">
        <f t="shared" si="17"/>
        <v>677365.86638155731</v>
      </c>
      <c r="G52" s="486">
        <f t="shared" si="23"/>
        <v>149913.30558139534</v>
      </c>
      <c r="H52" s="455">
        <f t="shared" si="24"/>
        <v>149913.30558139534</v>
      </c>
      <c r="I52" s="475">
        <f t="shared" si="18"/>
        <v>0</v>
      </c>
      <c r="J52" s="475"/>
      <c r="K52" s="487"/>
      <c r="L52" s="478">
        <f t="shared" si="19"/>
        <v>0</v>
      </c>
      <c r="M52" s="487"/>
      <c r="N52" s="478">
        <f t="shared" si="20"/>
        <v>0</v>
      </c>
      <c r="O52" s="478">
        <f t="shared" si="21"/>
        <v>0</v>
      </c>
      <c r="P52" s="242"/>
    </row>
    <row r="53" spans="2:16" ht="12.5">
      <c r="B53" s="160" t="str">
        <f t="shared" si="22"/>
        <v/>
      </c>
      <c r="C53" s="472">
        <f>IF(D11="","-",+C52+1)</f>
        <v>2048</v>
      </c>
      <c r="D53" s="485">
        <f>IF(F52+SUM(E$17:E52)=D$10,F52,D$10-SUM(E$17:E52))</f>
        <v>677365.86638155731</v>
      </c>
      <c r="E53" s="484">
        <f>IF(+I14&lt;F52,I14,D53)</f>
        <v>76878.305581395354</v>
      </c>
      <c r="F53" s="485">
        <f t="shared" si="17"/>
        <v>600487.56080016191</v>
      </c>
      <c r="G53" s="486">
        <f t="shared" si="23"/>
        <v>141624.30558139534</v>
      </c>
      <c r="H53" s="455">
        <f t="shared" si="24"/>
        <v>141624.30558139534</v>
      </c>
      <c r="I53" s="475">
        <f t="shared" si="18"/>
        <v>0</v>
      </c>
      <c r="J53" s="475"/>
      <c r="K53" s="487"/>
      <c r="L53" s="478">
        <f t="shared" si="19"/>
        <v>0</v>
      </c>
      <c r="M53" s="487"/>
      <c r="N53" s="478">
        <f t="shared" si="20"/>
        <v>0</v>
      </c>
      <c r="O53" s="478">
        <f t="shared" si="21"/>
        <v>0</v>
      </c>
      <c r="P53" s="242"/>
    </row>
    <row r="54" spans="2:16" ht="12.5">
      <c r="B54" s="160" t="str">
        <f t="shared" si="22"/>
        <v/>
      </c>
      <c r="C54" s="472">
        <f>IF(D11="","-",+C53+1)</f>
        <v>2049</v>
      </c>
      <c r="D54" s="485">
        <f>IF(F53+SUM(E$17:E53)=D$10,F53,D$10-SUM(E$17:E53))</f>
        <v>600487.56080016191</v>
      </c>
      <c r="E54" s="484">
        <f>IF(+I14&lt;F53,I14,D54)</f>
        <v>76878.305581395354</v>
      </c>
      <c r="F54" s="485">
        <f t="shared" si="17"/>
        <v>523609.25521876657</v>
      </c>
      <c r="G54" s="486">
        <f t="shared" si="23"/>
        <v>133334.30558139534</v>
      </c>
      <c r="H54" s="455">
        <f t="shared" si="24"/>
        <v>133334.30558139534</v>
      </c>
      <c r="I54" s="475">
        <f t="shared" si="18"/>
        <v>0</v>
      </c>
      <c r="J54" s="475"/>
      <c r="K54" s="487"/>
      <c r="L54" s="478">
        <f t="shared" si="19"/>
        <v>0</v>
      </c>
      <c r="M54" s="487"/>
      <c r="N54" s="478">
        <f t="shared" si="20"/>
        <v>0</v>
      </c>
      <c r="O54" s="478">
        <f t="shared" si="21"/>
        <v>0</v>
      </c>
      <c r="P54" s="242"/>
    </row>
    <row r="55" spans="2:16" ht="12.5">
      <c r="B55" s="160" t="str">
        <f t="shared" si="22"/>
        <v/>
      </c>
      <c r="C55" s="472">
        <f>IF(D11="","-",+C54+1)</f>
        <v>2050</v>
      </c>
      <c r="D55" s="485">
        <f>IF(F54+SUM(E$17:E54)=D$10,F54,D$10-SUM(E$17:E54))</f>
        <v>523609.25521876657</v>
      </c>
      <c r="E55" s="484">
        <f>IF(+I14&lt;F54,I14,D55)</f>
        <v>76878.305581395354</v>
      </c>
      <c r="F55" s="485">
        <f t="shared" si="17"/>
        <v>446730.94963737123</v>
      </c>
      <c r="G55" s="486">
        <f t="shared" si="23"/>
        <v>125045.30558139535</v>
      </c>
      <c r="H55" s="455">
        <f t="shared" si="24"/>
        <v>125045.30558139535</v>
      </c>
      <c r="I55" s="475">
        <f t="shared" si="18"/>
        <v>0</v>
      </c>
      <c r="J55" s="475"/>
      <c r="K55" s="487"/>
      <c r="L55" s="478">
        <f t="shared" si="19"/>
        <v>0</v>
      </c>
      <c r="M55" s="487"/>
      <c r="N55" s="478">
        <f t="shared" si="20"/>
        <v>0</v>
      </c>
      <c r="O55" s="478">
        <f t="shared" si="21"/>
        <v>0</v>
      </c>
      <c r="P55" s="242"/>
    </row>
    <row r="56" spans="2:16" ht="12.5">
      <c r="B56" s="160" t="str">
        <f t="shared" si="22"/>
        <v/>
      </c>
      <c r="C56" s="472">
        <f>IF(D11="","-",+C55+1)</f>
        <v>2051</v>
      </c>
      <c r="D56" s="485">
        <f>IF(F55+SUM(E$17:E55)=D$10,F55,D$10-SUM(E$17:E55))</f>
        <v>446730.94963737123</v>
      </c>
      <c r="E56" s="484">
        <f>IF(+I14&lt;F55,I14,D56)</f>
        <v>76878.305581395354</v>
      </c>
      <c r="F56" s="485">
        <f t="shared" si="17"/>
        <v>369852.64405597589</v>
      </c>
      <c r="G56" s="486">
        <f t="shared" si="23"/>
        <v>116756.30558139535</v>
      </c>
      <c r="H56" s="455">
        <f t="shared" si="24"/>
        <v>116756.30558139535</v>
      </c>
      <c r="I56" s="475">
        <f t="shared" si="18"/>
        <v>0</v>
      </c>
      <c r="J56" s="475"/>
      <c r="K56" s="487"/>
      <c r="L56" s="478">
        <f t="shared" si="19"/>
        <v>0</v>
      </c>
      <c r="M56" s="487"/>
      <c r="N56" s="478">
        <f t="shared" si="20"/>
        <v>0</v>
      </c>
      <c r="O56" s="478">
        <f t="shared" si="21"/>
        <v>0</v>
      </c>
      <c r="P56" s="242"/>
    </row>
    <row r="57" spans="2:16" ht="12.5">
      <c r="B57" s="160" t="str">
        <f t="shared" si="22"/>
        <v/>
      </c>
      <c r="C57" s="472">
        <f>IF(D11="","-",+C56+1)</f>
        <v>2052</v>
      </c>
      <c r="D57" s="485">
        <f>IF(F56+SUM(E$17:E56)=D$10,F56,D$10-SUM(E$17:E56))</f>
        <v>369852.64405597589</v>
      </c>
      <c r="E57" s="484">
        <f>IF(+I14&lt;F56,I14,D57)</f>
        <v>76878.305581395354</v>
      </c>
      <c r="F57" s="485">
        <f t="shared" si="17"/>
        <v>292974.33847458055</v>
      </c>
      <c r="G57" s="486">
        <f t="shared" si="23"/>
        <v>108467.30558139535</v>
      </c>
      <c r="H57" s="455">
        <f t="shared" si="24"/>
        <v>108467.30558139535</v>
      </c>
      <c r="I57" s="475">
        <f t="shared" si="18"/>
        <v>0</v>
      </c>
      <c r="J57" s="475"/>
      <c r="K57" s="487"/>
      <c r="L57" s="478">
        <f t="shared" si="19"/>
        <v>0</v>
      </c>
      <c r="M57" s="487"/>
      <c r="N57" s="478">
        <f t="shared" si="20"/>
        <v>0</v>
      </c>
      <c r="O57" s="478">
        <f t="shared" si="21"/>
        <v>0</v>
      </c>
      <c r="P57" s="242"/>
    </row>
    <row r="58" spans="2:16" ht="12.5">
      <c r="B58" s="160" t="str">
        <f t="shared" si="22"/>
        <v/>
      </c>
      <c r="C58" s="472">
        <f>IF(D11="","-",+C57+1)</f>
        <v>2053</v>
      </c>
      <c r="D58" s="485">
        <f>IF(F57+SUM(E$17:E57)=D$10,F57,D$10-SUM(E$17:E57))</f>
        <v>292974.33847458055</v>
      </c>
      <c r="E58" s="484">
        <f>IF(+I14&lt;F57,I14,D58)</f>
        <v>76878.305581395354</v>
      </c>
      <c r="F58" s="485">
        <f t="shared" si="17"/>
        <v>216096.03289318521</v>
      </c>
      <c r="G58" s="486">
        <f t="shared" si="23"/>
        <v>100178.30558139535</v>
      </c>
      <c r="H58" s="455">
        <f t="shared" si="24"/>
        <v>100178.30558139535</v>
      </c>
      <c r="I58" s="475">
        <f t="shared" si="18"/>
        <v>0</v>
      </c>
      <c r="J58" s="475"/>
      <c r="K58" s="487"/>
      <c r="L58" s="478">
        <f t="shared" si="19"/>
        <v>0</v>
      </c>
      <c r="M58" s="487"/>
      <c r="N58" s="478">
        <f t="shared" si="20"/>
        <v>0</v>
      </c>
      <c r="O58" s="478">
        <f t="shared" si="21"/>
        <v>0</v>
      </c>
      <c r="P58" s="242"/>
    </row>
    <row r="59" spans="2:16" ht="12.5">
      <c r="B59" s="160" t="str">
        <f t="shared" si="22"/>
        <v/>
      </c>
      <c r="C59" s="472">
        <f>IF(D11="","-",+C58+1)</f>
        <v>2054</v>
      </c>
      <c r="D59" s="485">
        <f>IF(F58+SUM(E$17:E58)=D$10,F58,D$10-SUM(E$17:E58))</f>
        <v>216096.03289318521</v>
      </c>
      <c r="E59" s="484">
        <f>IF(+I14&lt;F58,I14,D59)</f>
        <v>76878.305581395354</v>
      </c>
      <c r="F59" s="485">
        <f t="shared" si="17"/>
        <v>139217.72731178987</v>
      </c>
      <c r="G59" s="486">
        <f t="shared" si="23"/>
        <v>91889.305581395354</v>
      </c>
      <c r="H59" s="455">
        <f t="shared" si="24"/>
        <v>91889.305581395354</v>
      </c>
      <c r="I59" s="475">
        <f t="shared" si="18"/>
        <v>0</v>
      </c>
      <c r="J59" s="475"/>
      <c r="K59" s="487"/>
      <c r="L59" s="478">
        <f t="shared" si="19"/>
        <v>0</v>
      </c>
      <c r="M59" s="487"/>
      <c r="N59" s="478">
        <f t="shared" si="20"/>
        <v>0</v>
      </c>
      <c r="O59" s="478">
        <f t="shared" si="21"/>
        <v>0</v>
      </c>
      <c r="P59" s="242"/>
    </row>
    <row r="60" spans="2:16" ht="12.5">
      <c r="B60" s="160" t="str">
        <f t="shared" si="22"/>
        <v/>
      </c>
      <c r="C60" s="472">
        <f>IF(D11="","-",+C59+1)</f>
        <v>2055</v>
      </c>
      <c r="D60" s="485">
        <f>IF(F59+SUM(E$17:E59)=D$10,F59,D$10-SUM(E$17:E59))</f>
        <v>139217.72731178987</v>
      </c>
      <c r="E60" s="484">
        <f>IF(+I14&lt;F59,I14,D60)</f>
        <v>76878.305581395354</v>
      </c>
      <c r="F60" s="485">
        <f t="shared" si="17"/>
        <v>62339.421730394519</v>
      </c>
      <c r="G60" s="486">
        <f t="shared" si="23"/>
        <v>83600.305581395354</v>
      </c>
      <c r="H60" s="455">
        <f t="shared" si="24"/>
        <v>83600.305581395354</v>
      </c>
      <c r="I60" s="475">
        <f t="shared" si="18"/>
        <v>0</v>
      </c>
      <c r="J60" s="475"/>
      <c r="K60" s="487"/>
      <c r="L60" s="478">
        <f t="shared" si="19"/>
        <v>0</v>
      </c>
      <c r="M60" s="487"/>
      <c r="N60" s="478">
        <f t="shared" si="20"/>
        <v>0</v>
      </c>
      <c r="O60" s="478">
        <f t="shared" si="21"/>
        <v>0</v>
      </c>
      <c r="P60" s="242"/>
    </row>
    <row r="61" spans="2:16" ht="12.5">
      <c r="B61" s="160" t="str">
        <f t="shared" si="22"/>
        <v/>
      </c>
      <c r="C61" s="472">
        <f>IF(D11="","-",+C60+1)</f>
        <v>2056</v>
      </c>
      <c r="D61" s="485">
        <f>IF(F60+SUM(E$17:E60)=D$10,F60,D$10-SUM(E$17:E60))</f>
        <v>62339.421730394519</v>
      </c>
      <c r="E61" s="484">
        <f>IF(+I14&lt;F60,I14,D61)</f>
        <v>62339.421730394519</v>
      </c>
      <c r="F61" s="485">
        <f t="shared" si="17"/>
        <v>0</v>
      </c>
      <c r="G61" s="488">
        <f t="shared" si="23"/>
        <v>62339.421730394519</v>
      </c>
      <c r="H61" s="455">
        <f t="shared" si="24"/>
        <v>62339.421730394519</v>
      </c>
      <c r="I61" s="475">
        <f t="shared" si="18"/>
        <v>0</v>
      </c>
      <c r="J61" s="475"/>
      <c r="K61" s="487"/>
      <c r="L61" s="478">
        <f t="shared" si="19"/>
        <v>0</v>
      </c>
      <c r="M61" s="487"/>
      <c r="N61" s="478">
        <f t="shared" si="20"/>
        <v>0</v>
      </c>
      <c r="O61" s="478">
        <f t="shared" si="21"/>
        <v>0</v>
      </c>
      <c r="P61" s="242"/>
    </row>
    <row r="62" spans="2:16" ht="12.5">
      <c r="B62" s="160" t="str">
        <f t="shared" si="22"/>
        <v/>
      </c>
      <c r="C62" s="472">
        <f>IF(D11="","-",+C61+1)</f>
        <v>2057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17"/>
        <v>0</v>
      </c>
      <c r="G62" s="488">
        <f t="shared" si="23"/>
        <v>0</v>
      </c>
      <c r="H62" s="455">
        <f t="shared" si="24"/>
        <v>0</v>
      </c>
      <c r="I62" s="475">
        <f t="shared" si="18"/>
        <v>0</v>
      </c>
      <c r="J62" s="475"/>
      <c r="K62" s="487"/>
      <c r="L62" s="478">
        <f t="shared" si="19"/>
        <v>0</v>
      </c>
      <c r="M62" s="487"/>
      <c r="N62" s="478">
        <f t="shared" si="20"/>
        <v>0</v>
      </c>
      <c r="O62" s="478">
        <f t="shared" si="21"/>
        <v>0</v>
      </c>
      <c r="P62" s="242"/>
    </row>
    <row r="63" spans="2:16" ht="12.5">
      <c r="B63" s="160" t="str">
        <f t="shared" si="22"/>
        <v/>
      </c>
      <c r="C63" s="472">
        <f>IF(D11="","-",+C62+1)</f>
        <v>2058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7"/>
        <v>0</v>
      </c>
      <c r="G63" s="488">
        <f t="shared" si="23"/>
        <v>0</v>
      </c>
      <c r="H63" s="455">
        <f t="shared" si="24"/>
        <v>0</v>
      </c>
      <c r="I63" s="475">
        <f t="shared" si="18"/>
        <v>0</v>
      </c>
      <c r="J63" s="475"/>
      <c r="K63" s="487"/>
      <c r="L63" s="478">
        <f t="shared" si="19"/>
        <v>0</v>
      </c>
      <c r="M63" s="487"/>
      <c r="N63" s="478">
        <f t="shared" si="20"/>
        <v>0</v>
      </c>
      <c r="O63" s="478">
        <f t="shared" si="21"/>
        <v>0</v>
      </c>
      <c r="P63" s="242"/>
    </row>
    <row r="64" spans="2:16" ht="12.5">
      <c r="B64" s="160" t="str">
        <f t="shared" si="22"/>
        <v/>
      </c>
      <c r="C64" s="472">
        <f>IF(D11="","-",+C63+1)</f>
        <v>2059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7"/>
        <v>0</v>
      </c>
      <c r="G64" s="488">
        <f t="shared" si="23"/>
        <v>0</v>
      </c>
      <c r="H64" s="455">
        <f t="shared" si="24"/>
        <v>0</v>
      </c>
      <c r="I64" s="475">
        <f t="shared" si="18"/>
        <v>0</v>
      </c>
      <c r="J64" s="475"/>
      <c r="K64" s="487"/>
      <c r="L64" s="478">
        <f t="shared" si="19"/>
        <v>0</v>
      </c>
      <c r="M64" s="487"/>
      <c r="N64" s="478">
        <f t="shared" si="20"/>
        <v>0</v>
      </c>
      <c r="O64" s="478">
        <f t="shared" si="21"/>
        <v>0</v>
      </c>
      <c r="P64" s="242"/>
    </row>
    <row r="65" spans="2:16" ht="12.5">
      <c r="B65" s="160" t="str">
        <f t="shared" si="22"/>
        <v/>
      </c>
      <c r="C65" s="472">
        <f>IF(D11="","-",+C64+1)</f>
        <v>2060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7"/>
        <v>0</v>
      </c>
      <c r="G65" s="488">
        <f t="shared" si="23"/>
        <v>0</v>
      </c>
      <c r="H65" s="455">
        <f t="shared" si="24"/>
        <v>0</v>
      </c>
      <c r="I65" s="475">
        <f t="shared" si="18"/>
        <v>0</v>
      </c>
      <c r="J65" s="475"/>
      <c r="K65" s="487"/>
      <c r="L65" s="478">
        <f t="shared" si="19"/>
        <v>0</v>
      </c>
      <c r="M65" s="487"/>
      <c r="N65" s="478">
        <f t="shared" si="20"/>
        <v>0</v>
      </c>
      <c r="O65" s="478">
        <f t="shared" si="21"/>
        <v>0</v>
      </c>
      <c r="P65" s="242"/>
    </row>
    <row r="66" spans="2:16" ht="12.5">
      <c r="B66" s="160" t="str">
        <f t="shared" si="22"/>
        <v/>
      </c>
      <c r="C66" s="472">
        <f>IF(D11="","-",+C65+1)</f>
        <v>2061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7"/>
        <v>0</v>
      </c>
      <c r="G66" s="488">
        <f t="shared" si="23"/>
        <v>0</v>
      </c>
      <c r="H66" s="455">
        <f t="shared" si="24"/>
        <v>0</v>
      </c>
      <c r="I66" s="475">
        <f t="shared" si="18"/>
        <v>0</v>
      </c>
      <c r="J66" s="475"/>
      <c r="K66" s="487"/>
      <c r="L66" s="478">
        <f t="shared" si="19"/>
        <v>0</v>
      </c>
      <c r="M66" s="487"/>
      <c r="N66" s="478">
        <f t="shared" si="20"/>
        <v>0</v>
      </c>
      <c r="O66" s="478">
        <f t="shared" si="21"/>
        <v>0</v>
      </c>
      <c r="P66" s="242"/>
    </row>
    <row r="67" spans="2:16" ht="12.5">
      <c r="B67" s="160" t="str">
        <f t="shared" si="22"/>
        <v/>
      </c>
      <c r="C67" s="472">
        <f>IF(D11="","-",+C66+1)</f>
        <v>2062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7"/>
        <v>0</v>
      </c>
      <c r="G67" s="488">
        <f t="shared" si="23"/>
        <v>0</v>
      </c>
      <c r="H67" s="455">
        <f t="shared" si="24"/>
        <v>0</v>
      </c>
      <c r="I67" s="475">
        <f t="shared" si="18"/>
        <v>0</v>
      </c>
      <c r="J67" s="475"/>
      <c r="K67" s="487"/>
      <c r="L67" s="478">
        <f t="shared" si="19"/>
        <v>0</v>
      </c>
      <c r="M67" s="487"/>
      <c r="N67" s="478">
        <f t="shared" si="20"/>
        <v>0</v>
      </c>
      <c r="O67" s="478">
        <f t="shared" si="21"/>
        <v>0</v>
      </c>
      <c r="P67" s="242"/>
    </row>
    <row r="68" spans="2:16" ht="12.5">
      <c r="B68" s="160" t="str">
        <f t="shared" si="22"/>
        <v/>
      </c>
      <c r="C68" s="472">
        <f>IF(D11="","-",+C67+1)</f>
        <v>2063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7"/>
        <v>0</v>
      </c>
      <c r="G68" s="488">
        <f t="shared" si="23"/>
        <v>0</v>
      </c>
      <c r="H68" s="455">
        <f t="shared" si="24"/>
        <v>0</v>
      </c>
      <c r="I68" s="475">
        <f t="shared" si="18"/>
        <v>0</v>
      </c>
      <c r="J68" s="475"/>
      <c r="K68" s="487"/>
      <c r="L68" s="478">
        <f t="shared" si="19"/>
        <v>0</v>
      </c>
      <c r="M68" s="487"/>
      <c r="N68" s="478">
        <f t="shared" si="20"/>
        <v>0</v>
      </c>
      <c r="O68" s="478">
        <f t="shared" si="21"/>
        <v>0</v>
      </c>
      <c r="P68" s="242"/>
    </row>
    <row r="69" spans="2:16" ht="12.5">
      <c r="B69" s="160" t="str">
        <f t="shared" si="22"/>
        <v/>
      </c>
      <c r="C69" s="472">
        <f>IF(D11="","-",+C68+1)</f>
        <v>2064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7"/>
        <v>0</v>
      </c>
      <c r="G69" s="488">
        <f t="shared" si="23"/>
        <v>0</v>
      </c>
      <c r="H69" s="455">
        <f t="shared" si="24"/>
        <v>0</v>
      </c>
      <c r="I69" s="475">
        <f t="shared" si="18"/>
        <v>0</v>
      </c>
      <c r="J69" s="475"/>
      <c r="K69" s="487"/>
      <c r="L69" s="478">
        <f t="shared" si="19"/>
        <v>0</v>
      </c>
      <c r="M69" s="487"/>
      <c r="N69" s="478">
        <f t="shared" si="20"/>
        <v>0</v>
      </c>
      <c r="O69" s="478">
        <f t="shared" si="21"/>
        <v>0</v>
      </c>
      <c r="P69" s="242"/>
    </row>
    <row r="70" spans="2:16" ht="12.5">
      <c r="B70" s="160" t="str">
        <f t="shared" si="22"/>
        <v/>
      </c>
      <c r="C70" s="472">
        <f>IF(D11="","-",+C69+1)</f>
        <v>2065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7"/>
        <v>0</v>
      </c>
      <c r="G70" s="488">
        <f t="shared" si="23"/>
        <v>0</v>
      </c>
      <c r="H70" s="455">
        <f t="shared" si="24"/>
        <v>0</v>
      </c>
      <c r="I70" s="475">
        <f t="shared" si="18"/>
        <v>0</v>
      </c>
      <c r="J70" s="475"/>
      <c r="K70" s="487"/>
      <c r="L70" s="478">
        <f t="shared" si="19"/>
        <v>0</v>
      </c>
      <c r="M70" s="487"/>
      <c r="N70" s="478">
        <f t="shared" si="20"/>
        <v>0</v>
      </c>
      <c r="O70" s="478">
        <f t="shared" si="21"/>
        <v>0</v>
      </c>
      <c r="P70" s="242"/>
    </row>
    <row r="71" spans="2:16" ht="12.5">
      <c r="B71" s="160" t="str">
        <f t="shared" si="22"/>
        <v/>
      </c>
      <c r="C71" s="472">
        <f>IF(D11="","-",+C70+1)</f>
        <v>2066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7"/>
        <v>0</v>
      </c>
      <c r="G71" s="488">
        <f t="shared" si="23"/>
        <v>0</v>
      </c>
      <c r="H71" s="455">
        <f t="shared" si="24"/>
        <v>0</v>
      </c>
      <c r="I71" s="475">
        <f t="shared" si="18"/>
        <v>0</v>
      </c>
      <c r="J71" s="475"/>
      <c r="K71" s="487"/>
      <c r="L71" s="478">
        <f t="shared" si="19"/>
        <v>0</v>
      </c>
      <c r="M71" s="487"/>
      <c r="N71" s="478">
        <f t="shared" si="20"/>
        <v>0</v>
      </c>
      <c r="O71" s="478">
        <f t="shared" si="21"/>
        <v>0</v>
      </c>
      <c r="P71" s="242"/>
    </row>
    <row r="72" spans="2:16" ht="13" thickBot="1">
      <c r="B72" s="160" t="str">
        <f t="shared" si="22"/>
        <v/>
      </c>
      <c r="C72" s="489">
        <f>IF(D11="","-",+C71+1)</f>
        <v>2067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7"/>
        <v>0</v>
      </c>
      <c r="G72" s="492">
        <f t="shared" si="23"/>
        <v>0</v>
      </c>
      <c r="H72" s="435">
        <f t="shared" si="24"/>
        <v>0</v>
      </c>
      <c r="I72" s="493">
        <f t="shared" si="18"/>
        <v>0</v>
      </c>
      <c r="J72" s="475"/>
      <c r="K72" s="494"/>
      <c r="L72" s="495">
        <f t="shared" si="19"/>
        <v>0</v>
      </c>
      <c r="M72" s="494"/>
      <c r="N72" s="495">
        <f t="shared" si="20"/>
        <v>0</v>
      </c>
      <c r="O72" s="495">
        <f t="shared" si="21"/>
        <v>0</v>
      </c>
      <c r="P72" s="242"/>
    </row>
    <row r="73" spans="2:16" ht="12.5">
      <c r="C73" s="346" t="s">
        <v>77</v>
      </c>
      <c r="D73" s="347"/>
      <c r="E73" s="347">
        <f>SUM(E17:E72)</f>
        <v>3305767.1400000011</v>
      </c>
      <c r="F73" s="347"/>
      <c r="G73" s="347">
        <f>SUM(G17:G72)</f>
        <v>11625288.852544617</v>
      </c>
      <c r="H73" s="347">
        <f>SUM(H17:H72)</f>
        <v>11625288.852544617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12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403446.06827075174</v>
      </c>
      <c r="N87" s="508">
        <f>IF(J92&lt;D11,0,VLOOKUP(J92,C17:O72,11))</f>
        <v>403446.06827075174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374888.22276719729</v>
      </c>
      <c r="N88" s="512">
        <f>IF(J92&lt;D11,0,VLOOKUP(J92,C99:P154,7))</f>
        <v>374888.22276719729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Canadian River - McAlester City 138 kV Line Conversion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-28557.845503554447</v>
      </c>
      <c r="N89" s="517">
        <f>+N88-N87</f>
        <v>-28557.845503554447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TP2009095-PSO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f>+D10</f>
        <v>3305767.14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v>2012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v>8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80628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470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2012</v>
      </c>
      <c r="D99" s="578">
        <f>IF(D93=C99,0,D92)</f>
        <v>0</v>
      </c>
      <c r="E99" s="579">
        <v>1616</v>
      </c>
      <c r="F99" s="580">
        <v>502209</v>
      </c>
      <c r="G99" s="581">
        <v>251209</v>
      </c>
      <c r="H99" s="582">
        <v>37753</v>
      </c>
      <c r="I99" s="583">
        <v>37753</v>
      </c>
      <c r="J99" s="478">
        <f t="shared" ref="J99:J130" si="25">+I99-H99</f>
        <v>0</v>
      </c>
      <c r="K99" s="574"/>
      <c r="L99" s="567">
        <f t="shared" ref="L99:L104" si="26">H99</f>
        <v>37753</v>
      </c>
      <c r="M99" s="575">
        <f t="shared" ref="M99:M104" si="27">IF(L99&lt;&gt;0,+H99-L99,0)</f>
        <v>0</v>
      </c>
      <c r="N99" s="567">
        <f t="shared" ref="N99:N104" si="28">I99</f>
        <v>37753</v>
      </c>
      <c r="O99" s="348">
        <f t="shared" ref="O99:O104" si="29">IF(N99&lt;&gt;0,+I99-N99,0)</f>
        <v>0</v>
      </c>
      <c r="P99" s="477">
        <f t="shared" ref="P99:P104" si="30">+O99-M99</f>
        <v>0</v>
      </c>
    </row>
    <row r="100" spans="1:16" ht="12.5">
      <c r="B100" s="160" t="str">
        <f t="shared" ref="B100:B131" si="31">IF(D100=F99,"","IU")</f>
        <v>IU</v>
      </c>
      <c r="C100" s="472">
        <f>IF(D93="","-",+C99+1)</f>
        <v>2013</v>
      </c>
      <c r="D100" s="584">
        <v>3240518</v>
      </c>
      <c r="E100" s="585">
        <v>62349</v>
      </c>
      <c r="F100" s="586">
        <v>3178169</v>
      </c>
      <c r="G100" s="586">
        <v>3209343.5</v>
      </c>
      <c r="H100" s="585">
        <v>524300.60020262119</v>
      </c>
      <c r="I100" s="587">
        <v>524300.60020262119</v>
      </c>
      <c r="J100" s="478">
        <v>0</v>
      </c>
      <c r="K100" s="574"/>
      <c r="L100" s="540">
        <f t="shared" si="26"/>
        <v>524300.60020262119</v>
      </c>
      <c r="M100" s="575">
        <f t="shared" si="27"/>
        <v>0</v>
      </c>
      <c r="N100" s="540">
        <f t="shared" si="28"/>
        <v>524300.60020262119</v>
      </c>
      <c r="O100" s="348">
        <f t="shared" si="29"/>
        <v>0</v>
      </c>
      <c r="P100" s="478">
        <f t="shared" si="30"/>
        <v>0</v>
      </c>
    </row>
    <row r="101" spans="1:16" ht="12.5">
      <c r="B101" s="160" t="str">
        <f t="shared" si="31"/>
        <v>IU</v>
      </c>
      <c r="C101" s="472">
        <f>IF(D93="","-",+C100+1)</f>
        <v>2014</v>
      </c>
      <c r="D101" s="584">
        <v>3241802.14</v>
      </c>
      <c r="E101" s="585">
        <v>63572</v>
      </c>
      <c r="F101" s="586">
        <v>3178230.14</v>
      </c>
      <c r="G101" s="586">
        <v>3210016.14</v>
      </c>
      <c r="H101" s="585">
        <v>514887.14751698606</v>
      </c>
      <c r="I101" s="587">
        <v>514887.14751698606</v>
      </c>
      <c r="J101" s="478">
        <v>0</v>
      </c>
      <c r="K101" s="574"/>
      <c r="L101" s="540">
        <f t="shared" si="26"/>
        <v>514887.14751698606</v>
      </c>
      <c r="M101" s="575">
        <f t="shared" si="27"/>
        <v>0</v>
      </c>
      <c r="N101" s="540">
        <f t="shared" si="28"/>
        <v>514887.14751698606</v>
      </c>
      <c r="O101" s="348">
        <f t="shared" si="29"/>
        <v>0</v>
      </c>
      <c r="P101" s="478">
        <f t="shared" si="30"/>
        <v>0</v>
      </c>
    </row>
    <row r="102" spans="1:16" ht="12.5">
      <c r="B102" s="160" t="str">
        <f t="shared" si="31"/>
        <v/>
      </c>
      <c r="C102" s="472">
        <f>IF(D93="","-",+C101+1)</f>
        <v>2015</v>
      </c>
      <c r="D102" s="584">
        <v>3178230.14</v>
      </c>
      <c r="E102" s="585">
        <v>63572</v>
      </c>
      <c r="F102" s="586">
        <v>3114658.14</v>
      </c>
      <c r="G102" s="586">
        <v>3146444.14</v>
      </c>
      <c r="H102" s="585">
        <v>492879.0042454137</v>
      </c>
      <c r="I102" s="587">
        <v>492879.0042454137</v>
      </c>
      <c r="J102" s="478">
        <f t="shared" si="25"/>
        <v>0</v>
      </c>
      <c r="K102" s="478"/>
      <c r="L102" s="540">
        <f t="shared" si="26"/>
        <v>492879.0042454137</v>
      </c>
      <c r="M102" s="575">
        <f t="shared" si="27"/>
        <v>0</v>
      </c>
      <c r="N102" s="540">
        <f t="shared" si="28"/>
        <v>492879.0042454137</v>
      </c>
      <c r="O102" s="348">
        <f t="shared" si="29"/>
        <v>0</v>
      </c>
      <c r="P102" s="478">
        <f t="shared" si="30"/>
        <v>0</v>
      </c>
    </row>
    <row r="103" spans="1:16" ht="12.5">
      <c r="B103" s="160" t="str">
        <f t="shared" si="31"/>
        <v/>
      </c>
      <c r="C103" s="472">
        <f>IF(D93="","-",+C102+1)</f>
        <v>2016</v>
      </c>
      <c r="D103" s="584">
        <v>3114658.14</v>
      </c>
      <c r="E103" s="585">
        <v>71865</v>
      </c>
      <c r="F103" s="586">
        <v>3042793.14</v>
      </c>
      <c r="G103" s="586">
        <v>3078725.64</v>
      </c>
      <c r="H103" s="585">
        <v>468761.221459263</v>
      </c>
      <c r="I103" s="587">
        <v>468761.221459263</v>
      </c>
      <c r="J103" s="478">
        <f t="shared" si="25"/>
        <v>0</v>
      </c>
      <c r="K103" s="478"/>
      <c r="L103" s="540">
        <f t="shared" si="26"/>
        <v>468761.221459263</v>
      </c>
      <c r="M103" s="575">
        <f t="shared" si="27"/>
        <v>0</v>
      </c>
      <c r="N103" s="540">
        <f t="shared" si="28"/>
        <v>468761.221459263</v>
      </c>
      <c r="O103" s="348">
        <f t="shared" si="29"/>
        <v>0</v>
      </c>
      <c r="P103" s="478">
        <f t="shared" si="30"/>
        <v>0</v>
      </c>
    </row>
    <row r="104" spans="1:16" ht="12.5">
      <c r="B104" s="160" t="str">
        <f t="shared" si="31"/>
        <v/>
      </c>
      <c r="C104" s="472">
        <f>IF(D93="","-",+C103+1)</f>
        <v>2017</v>
      </c>
      <c r="D104" s="584">
        <v>3042793.14</v>
      </c>
      <c r="E104" s="585">
        <v>71865</v>
      </c>
      <c r="F104" s="586">
        <v>2970928.14</v>
      </c>
      <c r="G104" s="586">
        <v>3006860.64</v>
      </c>
      <c r="H104" s="585">
        <v>453292.85398579738</v>
      </c>
      <c r="I104" s="587">
        <v>453292.85398579738</v>
      </c>
      <c r="J104" s="478">
        <f t="shared" si="25"/>
        <v>0</v>
      </c>
      <c r="K104" s="478"/>
      <c r="L104" s="540">
        <f t="shared" si="26"/>
        <v>453292.85398579738</v>
      </c>
      <c r="M104" s="575">
        <f t="shared" si="27"/>
        <v>0</v>
      </c>
      <c r="N104" s="540">
        <f t="shared" si="28"/>
        <v>453292.85398579738</v>
      </c>
      <c r="O104" s="348">
        <f t="shared" si="29"/>
        <v>0</v>
      </c>
      <c r="P104" s="478">
        <f t="shared" si="30"/>
        <v>0</v>
      </c>
    </row>
    <row r="105" spans="1:16" ht="12.5">
      <c r="B105" s="160" t="str">
        <f t="shared" si="31"/>
        <v/>
      </c>
      <c r="C105" s="472">
        <f>IF(D93="","-",+C104+1)</f>
        <v>2018</v>
      </c>
      <c r="D105" s="584">
        <v>2970928.14</v>
      </c>
      <c r="E105" s="585">
        <v>76878</v>
      </c>
      <c r="F105" s="586">
        <v>2894050.14</v>
      </c>
      <c r="G105" s="586">
        <v>2932489.14</v>
      </c>
      <c r="H105" s="585">
        <v>378148.93401168124</v>
      </c>
      <c r="I105" s="587">
        <v>378148.93401168124</v>
      </c>
      <c r="J105" s="478">
        <f t="shared" si="25"/>
        <v>0</v>
      </c>
      <c r="K105" s="478"/>
      <c r="L105" s="540">
        <f t="shared" ref="L105" si="32">H105</f>
        <v>378148.93401168124</v>
      </c>
      <c r="M105" s="575">
        <f t="shared" ref="M105" si="33">IF(L105&lt;&gt;0,+H105-L105,0)</f>
        <v>0</v>
      </c>
      <c r="N105" s="540">
        <f t="shared" ref="N105" si="34">I105</f>
        <v>378148.93401168124</v>
      </c>
      <c r="O105" s="348">
        <f t="shared" ref="O105" si="35">IF(N105&lt;&gt;0,+I105-N105,0)</f>
        <v>0</v>
      </c>
      <c r="P105" s="478">
        <f t="shared" ref="P105" si="36">+O105-M105</f>
        <v>0</v>
      </c>
    </row>
    <row r="106" spans="1:16" ht="12.5">
      <c r="B106" s="160" t="str">
        <f t="shared" si="31"/>
        <v/>
      </c>
      <c r="C106" s="472">
        <f>IF(D93="","-",+C105+1)</f>
        <v>2019</v>
      </c>
      <c r="D106" s="346">
        <f>IF(F105+SUM(E$99:E105)=D$92,F105,D$92-SUM(E$99:E105))</f>
        <v>2894050.14</v>
      </c>
      <c r="E106" s="484">
        <f t="shared" ref="E106:E154" si="37">IF(+J$96&lt;F105,J$96,D106)</f>
        <v>80628</v>
      </c>
      <c r="F106" s="485">
        <f t="shared" ref="F106:F154" si="38">+D106-E106</f>
        <v>2813422.14</v>
      </c>
      <c r="G106" s="485">
        <f t="shared" ref="G106:G154" si="39">+(F106+D106)/2</f>
        <v>2853736.14</v>
      </c>
      <c r="H106" s="488">
        <f t="shared" ref="H106:H130" si="40">+J$94*G106+E106</f>
        <v>374888.22276719729</v>
      </c>
      <c r="I106" s="542">
        <f t="shared" ref="I106:I130" si="41">+J$95*G106+E106</f>
        <v>374888.22276719729</v>
      </c>
      <c r="J106" s="478">
        <f t="shared" si="25"/>
        <v>0</v>
      </c>
      <c r="K106" s="478"/>
      <c r="L106" s="487"/>
      <c r="M106" s="478">
        <f t="shared" ref="M106:M130" si="42">IF(L106&lt;&gt;0,+H106-L106,0)</f>
        <v>0</v>
      </c>
      <c r="N106" s="487"/>
      <c r="O106" s="478">
        <f t="shared" ref="O106:O130" si="43">IF(N106&lt;&gt;0,+I106-N106,0)</f>
        <v>0</v>
      </c>
      <c r="P106" s="478">
        <f t="shared" ref="P106:P130" si="44">+O106-M106</f>
        <v>0</v>
      </c>
    </row>
    <row r="107" spans="1:16" ht="12.5">
      <c r="B107" s="160" t="str">
        <f t="shared" si="31"/>
        <v/>
      </c>
      <c r="C107" s="472">
        <f>IF(D93="","-",+C106+1)</f>
        <v>2020</v>
      </c>
      <c r="D107" s="346">
        <f>IF(F106+SUM(E$99:E106)=D$92,F106,D$92-SUM(E$99:E106))</f>
        <v>2813422.14</v>
      </c>
      <c r="E107" s="486">
        <f t="shared" si="37"/>
        <v>80628</v>
      </c>
      <c r="F107" s="485">
        <f t="shared" si="38"/>
        <v>2732794.14</v>
      </c>
      <c r="G107" s="485">
        <f t="shared" si="39"/>
        <v>2773108.14</v>
      </c>
      <c r="H107" s="488">
        <f t="shared" si="40"/>
        <v>366574.34507236828</v>
      </c>
      <c r="I107" s="542">
        <f t="shared" si="41"/>
        <v>366574.34507236828</v>
      </c>
      <c r="J107" s="478">
        <f t="shared" si="25"/>
        <v>0</v>
      </c>
      <c r="K107" s="478"/>
      <c r="L107" s="487"/>
      <c r="M107" s="478">
        <f t="shared" si="42"/>
        <v>0</v>
      </c>
      <c r="N107" s="487"/>
      <c r="O107" s="478">
        <f t="shared" si="43"/>
        <v>0</v>
      </c>
      <c r="P107" s="478">
        <f t="shared" si="44"/>
        <v>0</v>
      </c>
    </row>
    <row r="108" spans="1:16" ht="12.5">
      <c r="B108" s="160" t="str">
        <f t="shared" si="31"/>
        <v/>
      </c>
      <c r="C108" s="472">
        <f>IF(D93="","-",+C107+1)</f>
        <v>2021</v>
      </c>
      <c r="D108" s="346">
        <f>IF(F107+SUM(E$99:E107)=D$92,F107,D$92-SUM(E$99:E107))</f>
        <v>2732794.14</v>
      </c>
      <c r="E108" s="486">
        <f t="shared" si="37"/>
        <v>80628</v>
      </c>
      <c r="F108" s="485">
        <f t="shared" si="38"/>
        <v>2652166.14</v>
      </c>
      <c r="G108" s="485">
        <f t="shared" si="39"/>
        <v>2692480.14</v>
      </c>
      <c r="H108" s="488">
        <f t="shared" si="40"/>
        <v>358260.4673775392</v>
      </c>
      <c r="I108" s="542">
        <f t="shared" si="41"/>
        <v>358260.4673775392</v>
      </c>
      <c r="J108" s="478">
        <f t="shared" si="25"/>
        <v>0</v>
      </c>
      <c r="K108" s="478"/>
      <c r="L108" s="487"/>
      <c r="M108" s="478">
        <f t="shared" si="42"/>
        <v>0</v>
      </c>
      <c r="N108" s="487"/>
      <c r="O108" s="478">
        <f t="shared" si="43"/>
        <v>0</v>
      </c>
      <c r="P108" s="478">
        <f t="shared" si="44"/>
        <v>0</v>
      </c>
    </row>
    <row r="109" spans="1:16" ht="12.5">
      <c r="B109" s="160" t="str">
        <f t="shared" si="31"/>
        <v/>
      </c>
      <c r="C109" s="472">
        <f>IF(D93="","-",+C108+1)</f>
        <v>2022</v>
      </c>
      <c r="D109" s="346">
        <f>IF(F108+SUM(E$99:E108)=D$92,F108,D$92-SUM(E$99:E108))</f>
        <v>2652166.14</v>
      </c>
      <c r="E109" s="486">
        <f t="shared" si="37"/>
        <v>80628</v>
      </c>
      <c r="F109" s="485">
        <f t="shared" si="38"/>
        <v>2571538.14</v>
      </c>
      <c r="G109" s="485">
        <f t="shared" si="39"/>
        <v>2611852.14</v>
      </c>
      <c r="H109" s="488">
        <f t="shared" si="40"/>
        <v>349946.58968271012</v>
      </c>
      <c r="I109" s="542">
        <f t="shared" si="41"/>
        <v>349946.58968271012</v>
      </c>
      <c r="J109" s="478">
        <f t="shared" si="25"/>
        <v>0</v>
      </c>
      <c r="K109" s="478"/>
      <c r="L109" s="487"/>
      <c r="M109" s="478">
        <f t="shared" si="42"/>
        <v>0</v>
      </c>
      <c r="N109" s="487"/>
      <c r="O109" s="478">
        <f t="shared" si="43"/>
        <v>0</v>
      </c>
      <c r="P109" s="478">
        <f t="shared" si="44"/>
        <v>0</v>
      </c>
    </row>
    <row r="110" spans="1:16" ht="12.5">
      <c r="B110" s="160" t="str">
        <f t="shared" si="31"/>
        <v/>
      </c>
      <c r="C110" s="472">
        <f>IF(D93="","-",+C109+1)</f>
        <v>2023</v>
      </c>
      <c r="D110" s="346">
        <f>IF(F109+SUM(E$99:E109)=D$92,F109,D$92-SUM(E$99:E109))</f>
        <v>2571538.14</v>
      </c>
      <c r="E110" s="486">
        <f t="shared" si="37"/>
        <v>80628</v>
      </c>
      <c r="F110" s="485">
        <f t="shared" si="38"/>
        <v>2490910.14</v>
      </c>
      <c r="G110" s="485">
        <f t="shared" si="39"/>
        <v>2531224.14</v>
      </c>
      <c r="H110" s="488">
        <f t="shared" si="40"/>
        <v>341632.71198788111</v>
      </c>
      <c r="I110" s="542">
        <f t="shared" si="41"/>
        <v>341632.71198788111</v>
      </c>
      <c r="J110" s="478">
        <f t="shared" si="25"/>
        <v>0</v>
      </c>
      <c r="K110" s="478"/>
      <c r="L110" s="487"/>
      <c r="M110" s="478">
        <f t="shared" si="42"/>
        <v>0</v>
      </c>
      <c r="N110" s="487"/>
      <c r="O110" s="478">
        <f t="shared" si="43"/>
        <v>0</v>
      </c>
      <c r="P110" s="478">
        <f t="shared" si="44"/>
        <v>0</v>
      </c>
    </row>
    <row r="111" spans="1:16" ht="12.5">
      <c r="B111" s="160" t="str">
        <f t="shared" si="31"/>
        <v/>
      </c>
      <c r="C111" s="472">
        <f>IF(D93="","-",+C110+1)</f>
        <v>2024</v>
      </c>
      <c r="D111" s="346">
        <f>IF(F110+SUM(E$99:E110)=D$92,F110,D$92-SUM(E$99:E110))</f>
        <v>2490910.14</v>
      </c>
      <c r="E111" s="486">
        <f t="shared" si="37"/>
        <v>80628</v>
      </c>
      <c r="F111" s="485">
        <f t="shared" si="38"/>
        <v>2410282.14</v>
      </c>
      <c r="G111" s="485">
        <f t="shared" si="39"/>
        <v>2450596.14</v>
      </c>
      <c r="H111" s="488">
        <f t="shared" si="40"/>
        <v>333318.83429305197</v>
      </c>
      <c r="I111" s="542">
        <f t="shared" si="41"/>
        <v>333318.83429305197</v>
      </c>
      <c r="J111" s="478">
        <f t="shared" si="25"/>
        <v>0</v>
      </c>
      <c r="K111" s="478"/>
      <c r="L111" s="487"/>
      <c r="M111" s="478">
        <f t="shared" si="42"/>
        <v>0</v>
      </c>
      <c r="N111" s="487"/>
      <c r="O111" s="478">
        <f t="shared" si="43"/>
        <v>0</v>
      </c>
      <c r="P111" s="478">
        <f t="shared" si="44"/>
        <v>0</v>
      </c>
    </row>
    <row r="112" spans="1:16" ht="12.5">
      <c r="B112" s="160" t="str">
        <f t="shared" si="31"/>
        <v/>
      </c>
      <c r="C112" s="472">
        <f>IF(D93="","-",+C111+1)</f>
        <v>2025</v>
      </c>
      <c r="D112" s="346">
        <f>IF(F111+SUM(E$99:E111)=D$92,F111,D$92-SUM(E$99:E111))</f>
        <v>2410282.14</v>
      </c>
      <c r="E112" s="486">
        <f t="shared" si="37"/>
        <v>80628</v>
      </c>
      <c r="F112" s="485">
        <f t="shared" si="38"/>
        <v>2329654.14</v>
      </c>
      <c r="G112" s="485">
        <f t="shared" si="39"/>
        <v>2369968.14</v>
      </c>
      <c r="H112" s="488">
        <f t="shared" si="40"/>
        <v>325004.95659822295</v>
      </c>
      <c r="I112" s="542">
        <f t="shared" si="41"/>
        <v>325004.95659822295</v>
      </c>
      <c r="J112" s="478">
        <f t="shared" si="25"/>
        <v>0</v>
      </c>
      <c r="K112" s="478"/>
      <c r="L112" s="487"/>
      <c r="M112" s="478">
        <f t="shared" si="42"/>
        <v>0</v>
      </c>
      <c r="N112" s="487"/>
      <c r="O112" s="478">
        <f t="shared" si="43"/>
        <v>0</v>
      </c>
      <c r="P112" s="478">
        <f t="shared" si="44"/>
        <v>0</v>
      </c>
    </row>
    <row r="113" spans="2:16" ht="12.5">
      <c r="B113" s="160" t="str">
        <f t="shared" si="31"/>
        <v/>
      </c>
      <c r="C113" s="472">
        <f>IF(D93="","-",+C112+1)</f>
        <v>2026</v>
      </c>
      <c r="D113" s="346">
        <f>IF(F112+SUM(E$99:E112)=D$92,F112,D$92-SUM(E$99:E112))</f>
        <v>2329654.14</v>
      </c>
      <c r="E113" s="486">
        <f t="shared" si="37"/>
        <v>80628</v>
      </c>
      <c r="F113" s="485">
        <f t="shared" si="38"/>
        <v>2249026.14</v>
      </c>
      <c r="G113" s="485">
        <f t="shared" si="39"/>
        <v>2289340.14</v>
      </c>
      <c r="H113" s="488">
        <f t="shared" si="40"/>
        <v>316691.07890339388</v>
      </c>
      <c r="I113" s="542">
        <f t="shared" si="41"/>
        <v>316691.07890339388</v>
      </c>
      <c r="J113" s="478">
        <f t="shared" si="25"/>
        <v>0</v>
      </c>
      <c r="K113" s="478"/>
      <c r="L113" s="487"/>
      <c r="M113" s="478">
        <f t="shared" si="42"/>
        <v>0</v>
      </c>
      <c r="N113" s="487"/>
      <c r="O113" s="478">
        <f t="shared" si="43"/>
        <v>0</v>
      </c>
      <c r="P113" s="478">
        <f t="shared" si="44"/>
        <v>0</v>
      </c>
    </row>
    <row r="114" spans="2:16" ht="12.5">
      <c r="B114" s="160" t="str">
        <f t="shared" si="31"/>
        <v/>
      </c>
      <c r="C114" s="472">
        <f>IF(D93="","-",+C113+1)</f>
        <v>2027</v>
      </c>
      <c r="D114" s="346">
        <f>IF(F113+SUM(E$99:E113)=D$92,F113,D$92-SUM(E$99:E113))</f>
        <v>2249026.14</v>
      </c>
      <c r="E114" s="486">
        <f t="shared" si="37"/>
        <v>80628</v>
      </c>
      <c r="F114" s="485">
        <f t="shared" si="38"/>
        <v>2168398.14</v>
      </c>
      <c r="G114" s="485">
        <f t="shared" si="39"/>
        <v>2208712.14</v>
      </c>
      <c r="H114" s="488">
        <f t="shared" si="40"/>
        <v>308377.2012085648</v>
      </c>
      <c r="I114" s="542">
        <f t="shared" si="41"/>
        <v>308377.2012085648</v>
      </c>
      <c r="J114" s="478">
        <f t="shared" si="25"/>
        <v>0</v>
      </c>
      <c r="K114" s="478"/>
      <c r="L114" s="487"/>
      <c r="M114" s="478">
        <f t="shared" si="42"/>
        <v>0</v>
      </c>
      <c r="N114" s="487"/>
      <c r="O114" s="478">
        <f t="shared" si="43"/>
        <v>0</v>
      </c>
      <c r="P114" s="478">
        <f t="shared" si="44"/>
        <v>0</v>
      </c>
    </row>
    <row r="115" spans="2:16" ht="12.5">
      <c r="B115" s="160" t="str">
        <f t="shared" si="31"/>
        <v/>
      </c>
      <c r="C115" s="472">
        <f>IF(D93="","-",+C114+1)</f>
        <v>2028</v>
      </c>
      <c r="D115" s="346">
        <f>IF(F114+SUM(E$99:E114)=D$92,F114,D$92-SUM(E$99:E114))</f>
        <v>2168398.14</v>
      </c>
      <c r="E115" s="486">
        <f t="shared" si="37"/>
        <v>80628</v>
      </c>
      <c r="F115" s="485">
        <f t="shared" si="38"/>
        <v>2087770.1400000001</v>
      </c>
      <c r="G115" s="485">
        <f t="shared" si="39"/>
        <v>2128084.14</v>
      </c>
      <c r="H115" s="488">
        <f t="shared" si="40"/>
        <v>300063.32351373578</v>
      </c>
      <c r="I115" s="542">
        <f t="shared" si="41"/>
        <v>300063.32351373578</v>
      </c>
      <c r="J115" s="478">
        <f t="shared" si="25"/>
        <v>0</v>
      </c>
      <c r="K115" s="478"/>
      <c r="L115" s="487"/>
      <c r="M115" s="478">
        <f t="shared" si="42"/>
        <v>0</v>
      </c>
      <c r="N115" s="487"/>
      <c r="O115" s="478">
        <f t="shared" si="43"/>
        <v>0</v>
      </c>
      <c r="P115" s="478">
        <f t="shared" si="44"/>
        <v>0</v>
      </c>
    </row>
    <row r="116" spans="2:16" ht="12.5">
      <c r="B116" s="160" t="str">
        <f t="shared" si="31"/>
        <v/>
      </c>
      <c r="C116" s="472">
        <f>IF(D93="","-",+C115+1)</f>
        <v>2029</v>
      </c>
      <c r="D116" s="346">
        <f>IF(F115+SUM(E$99:E115)=D$92,F115,D$92-SUM(E$99:E115))</f>
        <v>2087770.1400000001</v>
      </c>
      <c r="E116" s="486">
        <f t="shared" si="37"/>
        <v>80628</v>
      </c>
      <c r="F116" s="485">
        <f t="shared" si="38"/>
        <v>2007142.1400000001</v>
      </c>
      <c r="G116" s="485">
        <f t="shared" si="39"/>
        <v>2047456.1400000001</v>
      </c>
      <c r="H116" s="488">
        <f t="shared" si="40"/>
        <v>291749.44581890671</v>
      </c>
      <c r="I116" s="542">
        <f t="shared" si="41"/>
        <v>291749.44581890671</v>
      </c>
      <c r="J116" s="478">
        <f t="shared" si="25"/>
        <v>0</v>
      </c>
      <c r="K116" s="478"/>
      <c r="L116" s="487"/>
      <c r="M116" s="478">
        <f t="shared" si="42"/>
        <v>0</v>
      </c>
      <c r="N116" s="487"/>
      <c r="O116" s="478">
        <f t="shared" si="43"/>
        <v>0</v>
      </c>
      <c r="P116" s="478">
        <f t="shared" si="44"/>
        <v>0</v>
      </c>
    </row>
    <row r="117" spans="2:16" ht="12.5">
      <c r="B117" s="160" t="str">
        <f t="shared" si="31"/>
        <v/>
      </c>
      <c r="C117" s="472">
        <f>IF(D93="","-",+C116+1)</f>
        <v>2030</v>
      </c>
      <c r="D117" s="346">
        <f>IF(F116+SUM(E$99:E116)=D$92,F116,D$92-SUM(E$99:E116))</f>
        <v>2007142.1400000001</v>
      </c>
      <c r="E117" s="486">
        <f t="shared" si="37"/>
        <v>80628</v>
      </c>
      <c r="F117" s="485">
        <f t="shared" si="38"/>
        <v>1926514.1400000001</v>
      </c>
      <c r="G117" s="485">
        <f t="shared" si="39"/>
        <v>1966828.1400000001</v>
      </c>
      <c r="H117" s="488">
        <f t="shared" si="40"/>
        <v>283435.56812407763</v>
      </c>
      <c r="I117" s="542">
        <f t="shared" si="41"/>
        <v>283435.56812407763</v>
      </c>
      <c r="J117" s="478">
        <f t="shared" si="25"/>
        <v>0</v>
      </c>
      <c r="K117" s="478"/>
      <c r="L117" s="487"/>
      <c r="M117" s="478">
        <f t="shared" si="42"/>
        <v>0</v>
      </c>
      <c r="N117" s="487"/>
      <c r="O117" s="478">
        <f t="shared" si="43"/>
        <v>0</v>
      </c>
      <c r="P117" s="478">
        <f t="shared" si="44"/>
        <v>0</v>
      </c>
    </row>
    <row r="118" spans="2:16" ht="12.5">
      <c r="B118" s="160" t="str">
        <f t="shared" si="31"/>
        <v/>
      </c>
      <c r="C118" s="472">
        <f>IF(D93="","-",+C117+1)</f>
        <v>2031</v>
      </c>
      <c r="D118" s="346">
        <f>IF(F117+SUM(E$99:E117)=D$92,F117,D$92-SUM(E$99:E117))</f>
        <v>1926514.1400000001</v>
      </c>
      <c r="E118" s="486">
        <f t="shared" si="37"/>
        <v>80628</v>
      </c>
      <c r="F118" s="485">
        <f t="shared" si="38"/>
        <v>1845886.1400000001</v>
      </c>
      <c r="G118" s="485">
        <f t="shared" si="39"/>
        <v>1886200.1400000001</v>
      </c>
      <c r="H118" s="488">
        <f t="shared" si="40"/>
        <v>275121.69042924861</v>
      </c>
      <c r="I118" s="542">
        <f t="shared" si="41"/>
        <v>275121.69042924861</v>
      </c>
      <c r="J118" s="478">
        <f t="shared" si="25"/>
        <v>0</v>
      </c>
      <c r="K118" s="478"/>
      <c r="L118" s="487"/>
      <c r="M118" s="478">
        <f t="shared" si="42"/>
        <v>0</v>
      </c>
      <c r="N118" s="487"/>
      <c r="O118" s="478">
        <f t="shared" si="43"/>
        <v>0</v>
      </c>
      <c r="P118" s="478">
        <f t="shared" si="44"/>
        <v>0</v>
      </c>
    </row>
    <row r="119" spans="2:16" ht="12.5">
      <c r="B119" s="160" t="str">
        <f t="shared" si="31"/>
        <v/>
      </c>
      <c r="C119" s="472">
        <f>IF(D93="","-",+C118+1)</f>
        <v>2032</v>
      </c>
      <c r="D119" s="346">
        <f>IF(F118+SUM(E$99:E118)=D$92,F118,D$92-SUM(E$99:E118))</f>
        <v>1845886.1400000001</v>
      </c>
      <c r="E119" s="486">
        <f t="shared" si="37"/>
        <v>80628</v>
      </c>
      <c r="F119" s="485">
        <f t="shared" si="38"/>
        <v>1765258.1400000001</v>
      </c>
      <c r="G119" s="485">
        <f t="shared" si="39"/>
        <v>1805572.1400000001</v>
      </c>
      <c r="H119" s="488">
        <f t="shared" si="40"/>
        <v>266807.81273441948</v>
      </c>
      <c r="I119" s="542">
        <f t="shared" si="41"/>
        <v>266807.81273441948</v>
      </c>
      <c r="J119" s="478">
        <f t="shared" si="25"/>
        <v>0</v>
      </c>
      <c r="K119" s="478"/>
      <c r="L119" s="487"/>
      <c r="M119" s="478">
        <f t="shared" si="42"/>
        <v>0</v>
      </c>
      <c r="N119" s="487"/>
      <c r="O119" s="478">
        <f t="shared" si="43"/>
        <v>0</v>
      </c>
      <c r="P119" s="478">
        <f t="shared" si="44"/>
        <v>0</v>
      </c>
    </row>
    <row r="120" spans="2:16" ht="12.5">
      <c r="B120" s="160" t="str">
        <f t="shared" si="31"/>
        <v/>
      </c>
      <c r="C120" s="472">
        <f>IF(D93="","-",+C119+1)</f>
        <v>2033</v>
      </c>
      <c r="D120" s="346">
        <f>IF(F119+SUM(E$99:E119)=D$92,F119,D$92-SUM(E$99:E119))</f>
        <v>1765258.1400000001</v>
      </c>
      <c r="E120" s="486">
        <f t="shared" si="37"/>
        <v>80628</v>
      </c>
      <c r="F120" s="485">
        <f t="shared" si="38"/>
        <v>1684630.1400000001</v>
      </c>
      <c r="G120" s="485">
        <f t="shared" si="39"/>
        <v>1724944.1400000001</v>
      </c>
      <c r="H120" s="488">
        <f t="shared" si="40"/>
        <v>258493.93503959046</v>
      </c>
      <c r="I120" s="542">
        <f t="shared" si="41"/>
        <v>258493.93503959046</v>
      </c>
      <c r="J120" s="478">
        <f t="shared" si="25"/>
        <v>0</v>
      </c>
      <c r="K120" s="478"/>
      <c r="L120" s="487"/>
      <c r="M120" s="478">
        <f t="shared" si="42"/>
        <v>0</v>
      </c>
      <c r="N120" s="487"/>
      <c r="O120" s="478">
        <f t="shared" si="43"/>
        <v>0</v>
      </c>
      <c r="P120" s="478">
        <f t="shared" si="44"/>
        <v>0</v>
      </c>
    </row>
    <row r="121" spans="2:16" ht="12.5">
      <c r="B121" s="160" t="str">
        <f t="shared" si="31"/>
        <v/>
      </c>
      <c r="C121" s="472">
        <f>IF(D93="","-",+C120+1)</f>
        <v>2034</v>
      </c>
      <c r="D121" s="346">
        <f>IF(F120+SUM(E$99:E120)=D$92,F120,D$92-SUM(E$99:E120))</f>
        <v>1684630.1400000001</v>
      </c>
      <c r="E121" s="486">
        <f t="shared" si="37"/>
        <v>80628</v>
      </c>
      <c r="F121" s="485">
        <f t="shared" si="38"/>
        <v>1604002.1400000001</v>
      </c>
      <c r="G121" s="485">
        <f t="shared" si="39"/>
        <v>1644316.1400000001</v>
      </c>
      <c r="H121" s="488">
        <f t="shared" si="40"/>
        <v>250180.05734476139</v>
      </c>
      <c r="I121" s="542">
        <f t="shared" si="41"/>
        <v>250180.05734476139</v>
      </c>
      <c r="J121" s="478">
        <f t="shared" si="25"/>
        <v>0</v>
      </c>
      <c r="K121" s="478"/>
      <c r="L121" s="487"/>
      <c r="M121" s="478">
        <f t="shared" si="42"/>
        <v>0</v>
      </c>
      <c r="N121" s="487"/>
      <c r="O121" s="478">
        <f t="shared" si="43"/>
        <v>0</v>
      </c>
      <c r="P121" s="478">
        <f t="shared" si="44"/>
        <v>0</v>
      </c>
    </row>
    <row r="122" spans="2:16" ht="12.5">
      <c r="B122" s="160" t="str">
        <f t="shared" si="31"/>
        <v/>
      </c>
      <c r="C122" s="472">
        <f>IF(D93="","-",+C121+1)</f>
        <v>2035</v>
      </c>
      <c r="D122" s="346">
        <f>IF(F121+SUM(E$99:E121)=D$92,F121,D$92-SUM(E$99:E121))</f>
        <v>1604002.1400000001</v>
      </c>
      <c r="E122" s="486">
        <f t="shared" si="37"/>
        <v>80628</v>
      </c>
      <c r="F122" s="485">
        <f t="shared" si="38"/>
        <v>1523374.1400000001</v>
      </c>
      <c r="G122" s="485">
        <f t="shared" si="39"/>
        <v>1563688.1400000001</v>
      </c>
      <c r="H122" s="488">
        <f t="shared" si="40"/>
        <v>241866.17964993234</v>
      </c>
      <c r="I122" s="542">
        <f t="shared" si="41"/>
        <v>241866.17964993234</v>
      </c>
      <c r="J122" s="478">
        <f t="shared" si="25"/>
        <v>0</v>
      </c>
      <c r="K122" s="478"/>
      <c r="L122" s="487"/>
      <c r="M122" s="478">
        <f t="shared" si="42"/>
        <v>0</v>
      </c>
      <c r="N122" s="487"/>
      <c r="O122" s="478">
        <f t="shared" si="43"/>
        <v>0</v>
      </c>
      <c r="P122" s="478">
        <f t="shared" si="44"/>
        <v>0</v>
      </c>
    </row>
    <row r="123" spans="2:16" ht="12.5">
      <c r="B123" s="160" t="str">
        <f t="shared" si="31"/>
        <v/>
      </c>
      <c r="C123" s="472">
        <f>IF(D93="","-",+C122+1)</f>
        <v>2036</v>
      </c>
      <c r="D123" s="346">
        <f>IF(F122+SUM(E$99:E122)=D$92,F122,D$92-SUM(E$99:E122))</f>
        <v>1523374.1400000001</v>
      </c>
      <c r="E123" s="486">
        <f t="shared" si="37"/>
        <v>80628</v>
      </c>
      <c r="F123" s="485">
        <f t="shared" si="38"/>
        <v>1442746.1400000001</v>
      </c>
      <c r="G123" s="485">
        <f t="shared" si="39"/>
        <v>1483060.1400000001</v>
      </c>
      <c r="H123" s="488">
        <f t="shared" si="40"/>
        <v>233552.30195510326</v>
      </c>
      <c r="I123" s="542">
        <f t="shared" si="41"/>
        <v>233552.30195510326</v>
      </c>
      <c r="J123" s="478">
        <f t="shared" si="25"/>
        <v>0</v>
      </c>
      <c r="K123" s="478"/>
      <c r="L123" s="487"/>
      <c r="M123" s="478">
        <f t="shared" si="42"/>
        <v>0</v>
      </c>
      <c r="N123" s="487"/>
      <c r="O123" s="478">
        <f t="shared" si="43"/>
        <v>0</v>
      </c>
      <c r="P123" s="478">
        <f t="shared" si="44"/>
        <v>0</v>
      </c>
    </row>
    <row r="124" spans="2:16" ht="12.5">
      <c r="B124" s="160" t="str">
        <f t="shared" si="31"/>
        <v/>
      </c>
      <c r="C124" s="472">
        <f>IF(D93="","-",+C123+1)</f>
        <v>2037</v>
      </c>
      <c r="D124" s="346">
        <f>IF(F123+SUM(E$99:E123)=D$92,F123,D$92-SUM(E$99:E123))</f>
        <v>1442746.1400000001</v>
      </c>
      <c r="E124" s="486">
        <f t="shared" si="37"/>
        <v>80628</v>
      </c>
      <c r="F124" s="485">
        <f t="shared" si="38"/>
        <v>1362118.1400000001</v>
      </c>
      <c r="G124" s="485">
        <f t="shared" si="39"/>
        <v>1402432.1400000001</v>
      </c>
      <c r="H124" s="488">
        <f t="shared" si="40"/>
        <v>225238.42426027422</v>
      </c>
      <c r="I124" s="542">
        <f t="shared" si="41"/>
        <v>225238.42426027422</v>
      </c>
      <c r="J124" s="478">
        <f t="shared" si="25"/>
        <v>0</v>
      </c>
      <c r="K124" s="478"/>
      <c r="L124" s="487"/>
      <c r="M124" s="478">
        <f t="shared" si="42"/>
        <v>0</v>
      </c>
      <c r="N124" s="487"/>
      <c r="O124" s="478">
        <f t="shared" si="43"/>
        <v>0</v>
      </c>
      <c r="P124" s="478">
        <f t="shared" si="44"/>
        <v>0</v>
      </c>
    </row>
    <row r="125" spans="2:16" ht="12.5">
      <c r="B125" s="160" t="str">
        <f t="shared" si="31"/>
        <v/>
      </c>
      <c r="C125" s="472">
        <f>IF(D93="","-",+C124+1)</f>
        <v>2038</v>
      </c>
      <c r="D125" s="346">
        <f>IF(F124+SUM(E$99:E124)=D$92,F124,D$92-SUM(E$99:E124))</f>
        <v>1362118.1400000001</v>
      </c>
      <c r="E125" s="486">
        <f t="shared" si="37"/>
        <v>80628</v>
      </c>
      <c r="F125" s="485">
        <f t="shared" si="38"/>
        <v>1281490.1400000001</v>
      </c>
      <c r="G125" s="485">
        <f t="shared" si="39"/>
        <v>1321804.1400000001</v>
      </c>
      <c r="H125" s="488">
        <f t="shared" si="40"/>
        <v>216924.54656544514</v>
      </c>
      <c r="I125" s="542">
        <f t="shared" si="41"/>
        <v>216924.54656544514</v>
      </c>
      <c r="J125" s="478">
        <f t="shared" si="25"/>
        <v>0</v>
      </c>
      <c r="K125" s="478"/>
      <c r="L125" s="487"/>
      <c r="M125" s="478">
        <f t="shared" si="42"/>
        <v>0</v>
      </c>
      <c r="N125" s="487"/>
      <c r="O125" s="478">
        <f t="shared" si="43"/>
        <v>0</v>
      </c>
      <c r="P125" s="478">
        <f t="shared" si="44"/>
        <v>0</v>
      </c>
    </row>
    <row r="126" spans="2:16" ht="12.5">
      <c r="B126" s="160" t="str">
        <f t="shared" si="31"/>
        <v/>
      </c>
      <c r="C126" s="472">
        <f>IF(D93="","-",+C125+1)</f>
        <v>2039</v>
      </c>
      <c r="D126" s="346">
        <f>IF(F125+SUM(E$99:E125)=D$92,F125,D$92-SUM(E$99:E125))</f>
        <v>1281490.1400000001</v>
      </c>
      <c r="E126" s="486">
        <f t="shared" si="37"/>
        <v>80628</v>
      </c>
      <c r="F126" s="485">
        <f t="shared" si="38"/>
        <v>1200862.1400000001</v>
      </c>
      <c r="G126" s="485">
        <f t="shared" si="39"/>
        <v>1241176.1400000001</v>
      </c>
      <c r="H126" s="488">
        <f t="shared" si="40"/>
        <v>208610.66887061606</v>
      </c>
      <c r="I126" s="542">
        <f t="shared" si="41"/>
        <v>208610.66887061606</v>
      </c>
      <c r="J126" s="478">
        <f t="shared" si="25"/>
        <v>0</v>
      </c>
      <c r="K126" s="478"/>
      <c r="L126" s="487"/>
      <c r="M126" s="478">
        <f t="shared" si="42"/>
        <v>0</v>
      </c>
      <c r="N126" s="487"/>
      <c r="O126" s="478">
        <f t="shared" si="43"/>
        <v>0</v>
      </c>
      <c r="P126" s="478">
        <f t="shared" si="44"/>
        <v>0</v>
      </c>
    </row>
    <row r="127" spans="2:16" ht="12.5">
      <c r="B127" s="160" t="str">
        <f t="shared" si="31"/>
        <v/>
      </c>
      <c r="C127" s="472">
        <f>IF(D93="","-",+C126+1)</f>
        <v>2040</v>
      </c>
      <c r="D127" s="346">
        <f>IF(F126+SUM(E$99:E126)=D$92,F126,D$92-SUM(E$99:E126))</f>
        <v>1200862.1400000001</v>
      </c>
      <c r="E127" s="486">
        <f t="shared" si="37"/>
        <v>80628</v>
      </c>
      <c r="F127" s="485">
        <f t="shared" si="38"/>
        <v>1120234.1400000001</v>
      </c>
      <c r="G127" s="485">
        <f t="shared" si="39"/>
        <v>1160548.1400000001</v>
      </c>
      <c r="H127" s="488">
        <f t="shared" si="40"/>
        <v>200296.79117578702</v>
      </c>
      <c r="I127" s="542">
        <f t="shared" si="41"/>
        <v>200296.79117578702</v>
      </c>
      <c r="J127" s="478">
        <f t="shared" si="25"/>
        <v>0</v>
      </c>
      <c r="K127" s="478"/>
      <c r="L127" s="487"/>
      <c r="M127" s="478">
        <f t="shared" si="42"/>
        <v>0</v>
      </c>
      <c r="N127" s="487"/>
      <c r="O127" s="478">
        <f t="shared" si="43"/>
        <v>0</v>
      </c>
      <c r="P127" s="478">
        <f t="shared" si="44"/>
        <v>0</v>
      </c>
    </row>
    <row r="128" spans="2:16" ht="12.5">
      <c r="B128" s="160" t="str">
        <f t="shared" si="31"/>
        <v/>
      </c>
      <c r="C128" s="472">
        <f>IF(D93="","-",+C127+1)</f>
        <v>2041</v>
      </c>
      <c r="D128" s="346">
        <f>IF(F127+SUM(E$99:E127)=D$92,F127,D$92-SUM(E$99:E127))</f>
        <v>1120234.1400000001</v>
      </c>
      <c r="E128" s="486">
        <f t="shared" si="37"/>
        <v>80628</v>
      </c>
      <c r="F128" s="485">
        <f t="shared" si="38"/>
        <v>1039606.1400000001</v>
      </c>
      <c r="G128" s="485">
        <f t="shared" si="39"/>
        <v>1079920.1400000001</v>
      </c>
      <c r="H128" s="488">
        <f t="shared" si="40"/>
        <v>191982.91348095797</v>
      </c>
      <c r="I128" s="542">
        <f t="shared" si="41"/>
        <v>191982.91348095797</v>
      </c>
      <c r="J128" s="478">
        <f t="shared" si="25"/>
        <v>0</v>
      </c>
      <c r="K128" s="478"/>
      <c r="L128" s="487"/>
      <c r="M128" s="478">
        <f t="shared" si="42"/>
        <v>0</v>
      </c>
      <c r="N128" s="487"/>
      <c r="O128" s="478">
        <f t="shared" si="43"/>
        <v>0</v>
      </c>
      <c r="P128" s="478">
        <f t="shared" si="44"/>
        <v>0</v>
      </c>
    </row>
    <row r="129" spans="2:16" ht="12.5">
      <c r="B129" s="160" t="str">
        <f t="shared" si="31"/>
        <v/>
      </c>
      <c r="C129" s="472">
        <f>IF(D93="","-",+C128+1)</f>
        <v>2042</v>
      </c>
      <c r="D129" s="346">
        <f>IF(F128+SUM(E$99:E128)=D$92,F128,D$92-SUM(E$99:E128))</f>
        <v>1039606.1400000001</v>
      </c>
      <c r="E129" s="486">
        <f t="shared" si="37"/>
        <v>80628</v>
      </c>
      <c r="F129" s="485">
        <f t="shared" si="38"/>
        <v>958978.14000000013</v>
      </c>
      <c r="G129" s="485">
        <f t="shared" si="39"/>
        <v>999292.14000000013</v>
      </c>
      <c r="H129" s="488">
        <f t="shared" si="40"/>
        <v>183669.03578612889</v>
      </c>
      <c r="I129" s="542">
        <f t="shared" si="41"/>
        <v>183669.03578612889</v>
      </c>
      <c r="J129" s="478">
        <f t="shared" si="25"/>
        <v>0</v>
      </c>
      <c r="K129" s="478"/>
      <c r="L129" s="487"/>
      <c r="M129" s="478">
        <f t="shared" si="42"/>
        <v>0</v>
      </c>
      <c r="N129" s="487"/>
      <c r="O129" s="478">
        <f t="shared" si="43"/>
        <v>0</v>
      </c>
      <c r="P129" s="478">
        <f t="shared" si="44"/>
        <v>0</v>
      </c>
    </row>
    <row r="130" spans="2:16" ht="12.5">
      <c r="B130" s="160" t="str">
        <f t="shared" si="31"/>
        <v/>
      </c>
      <c r="C130" s="472">
        <f>IF(D93="","-",+C129+1)</f>
        <v>2043</v>
      </c>
      <c r="D130" s="346">
        <f>IF(F129+SUM(E$99:E129)=D$92,F129,D$92-SUM(E$99:E129))</f>
        <v>958978.14000000013</v>
      </c>
      <c r="E130" s="486">
        <f t="shared" si="37"/>
        <v>80628</v>
      </c>
      <c r="F130" s="485">
        <f t="shared" si="38"/>
        <v>878350.14000000013</v>
      </c>
      <c r="G130" s="485">
        <f t="shared" si="39"/>
        <v>918664.14000000013</v>
      </c>
      <c r="H130" s="488">
        <f t="shared" si="40"/>
        <v>175355.15809129982</v>
      </c>
      <c r="I130" s="542">
        <f t="shared" si="41"/>
        <v>175355.15809129982</v>
      </c>
      <c r="J130" s="478">
        <f t="shared" si="25"/>
        <v>0</v>
      </c>
      <c r="K130" s="478"/>
      <c r="L130" s="487"/>
      <c r="M130" s="478">
        <f t="shared" si="42"/>
        <v>0</v>
      </c>
      <c r="N130" s="487"/>
      <c r="O130" s="478">
        <f t="shared" si="43"/>
        <v>0</v>
      </c>
      <c r="P130" s="478">
        <f t="shared" si="44"/>
        <v>0</v>
      </c>
    </row>
    <row r="131" spans="2:16" ht="12.5">
      <c r="B131" s="160" t="str">
        <f t="shared" si="31"/>
        <v/>
      </c>
      <c r="C131" s="472">
        <f>IF(D93="","-",+C130+1)</f>
        <v>2044</v>
      </c>
      <c r="D131" s="346">
        <f>IF(F130+SUM(E$99:E130)=D$92,F130,D$92-SUM(E$99:E130))</f>
        <v>878350.14000000013</v>
      </c>
      <c r="E131" s="486">
        <f t="shared" si="37"/>
        <v>80628</v>
      </c>
      <c r="F131" s="485">
        <f t="shared" si="38"/>
        <v>797722.14000000013</v>
      </c>
      <c r="G131" s="485">
        <f t="shared" si="39"/>
        <v>838036.14000000013</v>
      </c>
      <c r="H131" s="488">
        <f t="shared" ref="H131:H154" si="45">+J$94*G131+E131</f>
        <v>167041.28039647077</v>
      </c>
      <c r="I131" s="542">
        <f t="shared" ref="I131:I154" si="46">+J$95*G131+E131</f>
        <v>167041.28039647077</v>
      </c>
      <c r="J131" s="478">
        <f t="shared" ref="J131:J154" si="47">+I541-H541</f>
        <v>0</v>
      </c>
      <c r="K131" s="478"/>
      <c r="L131" s="487"/>
      <c r="M131" s="478">
        <f t="shared" ref="M131:M154" si="48">IF(L541&lt;&gt;0,+H541-L541,0)</f>
        <v>0</v>
      </c>
      <c r="N131" s="487"/>
      <c r="O131" s="478">
        <f t="shared" ref="O131:O154" si="49">IF(N541&lt;&gt;0,+I541-N541,0)</f>
        <v>0</v>
      </c>
      <c r="P131" s="478">
        <f t="shared" ref="P131:P154" si="50">+O541-M541</f>
        <v>0</v>
      </c>
    </row>
    <row r="132" spans="2:16" ht="12.5">
      <c r="B132" s="160" t="str">
        <f t="shared" ref="B132:B154" si="51">IF(D132=F131,"","IU")</f>
        <v/>
      </c>
      <c r="C132" s="472">
        <f>IF(D93="","-",+C131+1)</f>
        <v>2045</v>
      </c>
      <c r="D132" s="346">
        <f>IF(F131+SUM(E$99:E131)=D$92,F131,D$92-SUM(E$99:E131))</f>
        <v>797722.14000000013</v>
      </c>
      <c r="E132" s="486">
        <f t="shared" si="37"/>
        <v>80628</v>
      </c>
      <c r="F132" s="485">
        <f t="shared" si="38"/>
        <v>717094.14000000013</v>
      </c>
      <c r="G132" s="485">
        <f t="shared" si="39"/>
        <v>757408.14000000013</v>
      </c>
      <c r="H132" s="488">
        <f t="shared" si="45"/>
        <v>158727.40270164172</v>
      </c>
      <c r="I132" s="542">
        <f t="shared" si="46"/>
        <v>158727.40270164172</v>
      </c>
      <c r="J132" s="478">
        <f t="shared" si="47"/>
        <v>0</v>
      </c>
      <c r="K132" s="478"/>
      <c r="L132" s="487"/>
      <c r="M132" s="478">
        <f t="shared" si="48"/>
        <v>0</v>
      </c>
      <c r="N132" s="487"/>
      <c r="O132" s="478">
        <f t="shared" si="49"/>
        <v>0</v>
      </c>
      <c r="P132" s="478">
        <f t="shared" si="50"/>
        <v>0</v>
      </c>
    </row>
    <row r="133" spans="2:16" ht="12.5">
      <c r="B133" s="160" t="str">
        <f t="shared" si="51"/>
        <v/>
      </c>
      <c r="C133" s="472">
        <f>IF(D93="","-",+C132+1)</f>
        <v>2046</v>
      </c>
      <c r="D133" s="346">
        <f>IF(F132+SUM(E$99:E132)=D$92,F132,D$92-SUM(E$99:E132))</f>
        <v>717094.14000000013</v>
      </c>
      <c r="E133" s="486">
        <f t="shared" si="37"/>
        <v>80628</v>
      </c>
      <c r="F133" s="485">
        <f t="shared" si="38"/>
        <v>636466.14000000013</v>
      </c>
      <c r="G133" s="485">
        <f t="shared" si="39"/>
        <v>676780.14000000013</v>
      </c>
      <c r="H133" s="488">
        <f t="shared" si="45"/>
        <v>150413.52500681265</v>
      </c>
      <c r="I133" s="542">
        <f t="shared" si="46"/>
        <v>150413.52500681265</v>
      </c>
      <c r="J133" s="478">
        <f t="shared" si="47"/>
        <v>0</v>
      </c>
      <c r="K133" s="478"/>
      <c r="L133" s="487"/>
      <c r="M133" s="478">
        <f t="shared" si="48"/>
        <v>0</v>
      </c>
      <c r="N133" s="487"/>
      <c r="O133" s="478">
        <f t="shared" si="49"/>
        <v>0</v>
      </c>
      <c r="P133" s="478">
        <f t="shared" si="50"/>
        <v>0</v>
      </c>
    </row>
    <row r="134" spans="2:16" ht="12.5">
      <c r="B134" s="160" t="str">
        <f t="shared" si="51"/>
        <v/>
      </c>
      <c r="C134" s="472">
        <f>IF(D93="","-",+C133+1)</f>
        <v>2047</v>
      </c>
      <c r="D134" s="346">
        <f>IF(F133+SUM(E$99:E133)=D$92,F133,D$92-SUM(E$99:E133))</f>
        <v>636466.14000000013</v>
      </c>
      <c r="E134" s="486">
        <f t="shared" si="37"/>
        <v>80628</v>
      </c>
      <c r="F134" s="485">
        <f t="shared" si="38"/>
        <v>555838.14000000013</v>
      </c>
      <c r="G134" s="485">
        <f t="shared" si="39"/>
        <v>596152.14000000013</v>
      </c>
      <c r="H134" s="488">
        <f t="shared" si="45"/>
        <v>142099.6473119836</v>
      </c>
      <c r="I134" s="542">
        <f t="shared" si="46"/>
        <v>142099.6473119836</v>
      </c>
      <c r="J134" s="478">
        <f t="shared" si="47"/>
        <v>0</v>
      </c>
      <c r="K134" s="478"/>
      <c r="L134" s="487"/>
      <c r="M134" s="478">
        <f t="shared" si="48"/>
        <v>0</v>
      </c>
      <c r="N134" s="487"/>
      <c r="O134" s="478">
        <f t="shared" si="49"/>
        <v>0</v>
      </c>
      <c r="P134" s="478">
        <f t="shared" si="50"/>
        <v>0</v>
      </c>
    </row>
    <row r="135" spans="2:16" ht="12.5">
      <c r="B135" s="160" t="str">
        <f t="shared" si="51"/>
        <v/>
      </c>
      <c r="C135" s="472">
        <f>IF(D93="","-",+C134+1)</f>
        <v>2048</v>
      </c>
      <c r="D135" s="346">
        <f>IF(F134+SUM(E$99:E134)=D$92,F134,D$92-SUM(E$99:E134))</f>
        <v>555838.14000000013</v>
      </c>
      <c r="E135" s="486">
        <f t="shared" si="37"/>
        <v>80628</v>
      </c>
      <c r="F135" s="485">
        <f t="shared" si="38"/>
        <v>475210.14000000013</v>
      </c>
      <c r="G135" s="485">
        <f t="shared" si="39"/>
        <v>515524.14000000013</v>
      </c>
      <c r="H135" s="488">
        <f t="shared" si="45"/>
        <v>133785.76961715452</v>
      </c>
      <c r="I135" s="542">
        <f t="shared" si="46"/>
        <v>133785.76961715452</v>
      </c>
      <c r="J135" s="478">
        <f t="shared" si="47"/>
        <v>0</v>
      </c>
      <c r="K135" s="478"/>
      <c r="L135" s="487"/>
      <c r="M135" s="478">
        <f t="shared" si="48"/>
        <v>0</v>
      </c>
      <c r="N135" s="487"/>
      <c r="O135" s="478">
        <f t="shared" si="49"/>
        <v>0</v>
      </c>
      <c r="P135" s="478">
        <f t="shared" si="50"/>
        <v>0</v>
      </c>
    </row>
    <row r="136" spans="2:16" ht="12.5">
      <c r="B136" s="160" t="str">
        <f t="shared" si="51"/>
        <v/>
      </c>
      <c r="C136" s="472">
        <f>IF(D93="","-",+C135+1)</f>
        <v>2049</v>
      </c>
      <c r="D136" s="346">
        <f>IF(F135+SUM(E$99:E135)=D$92,F135,D$92-SUM(E$99:E135))</f>
        <v>475210.14000000013</v>
      </c>
      <c r="E136" s="486">
        <f t="shared" si="37"/>
        <v>80628</v>
      </c>
      <c r="F136" s="485">
        <f t="shared" si="38"/>
        <v>394582.14000000013</v>
      </c>
      <c r="G136" s="485">
        <f t="shared" si="39"/>
        <v>434896.14000000013</v>
      </c>
      <c r="H136" s="488">
        <f t="shared" si="45"/>
        <v>125471.89192232548</v>
      </c>
      <c r="I136" s="542">
        <f t="shared" si="46"/>
        <v>125471.89192232548</v>
      </c>
      <c r="J136" s="478">
        <f t="shared" si="47"/>
        <v>0</v>
      </c>
      <c r="K136" s="478"/>
      <c r="L136" s="487"/>
      <c r="M136" s="478">
        <f t="shared" si="48"/>
        <v>0</v>
      </c>
      <c r="N136" s="487"/>
      <c r="O136" s="478">
        <f t="shared" si="49"/>
        <v>0</v>
      </c>
      <c r="P136" s="478">
        <f t="shared" si="50"/>
        <v>0</v>
      </c>
    </row>
    <row r="137" spans="2:16" ht="12.5">
      <c r="B137" s="160" t="str">
        <f t="shared" si="51"/>
        <v/>
      </c>
      <c r="C137" s="472">
        <f>IF(D93="","-",+C136+1)</f>
        <v>2050</v>
      </c>
      <c r="D137" s="346">
        <f>IF(F136+SUM(E$99:E136)=D$92,F136,D$92-SUM(E$99:E136))</f>
        <v>394582.14000000013</v>
      </c>
      <c r="E137" s="486">
        <f t="shared" si="37"/>
        <v>80628</v>
      </c>
      <c r="F137" s="485">
        <f t="shared" si="38"/>
        <v>313954.14000000013</v>
      </c>
      <c r="G137" s="485">
        <f t="shared" si="39"/>
        <v>354268.14000000013</v>
      </c>
      <c r="H137" s="488">
        <f t="shared" si="45"/>
        <v>117158.0142274964</v>
      </c>
      <c r="I137" s="542">
        <f t="shared" si="46"/>
        <v>117158.0142274964</v>
      </c>
      <c r="J137" s="478">
        <f t="shared" si="47"/>
        <v>0</v>
      </c>
      <c r="K137" s="478"/>
      <c r="L137" s="487"/>
      <c r="M137" s="478">
        <f t="shared" si="48"/>
        <v>0</v>
      </c>
      <c r="N137" s="487"/>
      <c r="O137" s="478">
        <f t="shared" si="49"/>
        <v>0</v>
      </c>
      <c r="P137" s="478">
        <f t="shared" si="50"/>
        <v>0</v>
      </c>
    </row>
    <row r="138" spans="2:16" ht="12.5">
      <c r="B138" s="160" t="str">
        <f t="shared" si="51"/>
        <v/>
      </c>
      <c r="C138" s="472">
        <f>IF(D93="","-",+C137+1)</f>
        <v>2051</v>
      </c>
      <c r="D138" s="346">
        <f>IF(F137+SUM(E$99:E137)=D$92,F137,D$92-SUM(E$99:E137))</f>
        <v>313954.14000000013</v>
      </c>
      <c r="E138" s="486">
        <f t="shared" si="37"/>
        <v>80628</v>
      </c>
      <c r="F138" s="485">
        <f t="shared" si="38"/>
        <v>233326.14000000013</v>
      </c>
      <c r="G138" s="485">
        <f t="shared" si="39"/>
        <v>273640.14000000013</v>
      </c>
      <c r="H138" s="488">
        <f t="shared" si="45"/>
        <v>108844.13653266734</v>
      </c>
      <c r="I138" s="542">
        <f t="shared" si="46"/>
        <v>108844.13653266734</v>
      </c>
      <c r="J138" s="478">
        <f t="shared" si="47"/>
        <v>0</v>
      </c>
      <c r="K138" s="478"/>
      <c r="L138" s="487"/>
      <c r="M138" s="478">
        <f t="shared" si="48"/>
        <v>0</v>
      </c>
      <c r="N138" s="487"/>
      <c r="O138" s="478">
        <f t="shared" si="49"/>
        <v>0</v>
      </c>
      <c r="P138" s="478">
        <f t="shared" si="50"/>
        <v>0</v>
      </c>
    </row>
    <row r="139" spans="2:16" ht="12.5">
      <c r="B139" s="160" t="str">
        <f t="shared" si="51"/>
        <v/>
      </c>
      <c r="C139" s="472">
        <f>IF(D93="","-",+C138+1)</f>
        <v>2052</v>
      </c>
      <c r="D139" s="346">
        <f>IF(F138+SUM(E$99:E138)=D$92,F138,D$92-SUM(E$99:E138))</f>
        <v>233326.14000000013</v>
      </c>
      <c r="E139" s="486">
        <f t="shared" si="37"/>
        <v>80628</v>
      </c>
      <c r="F139" s="485">
        <f t="shared" si="38"/>
        <v>152698.14000000013</v>
      </c>
      <c r="G139" s="485">
        <f t="shared" si="39"/>
        <v>193012.14000000013</v>
      </c>
      <c r="H139" s="488">
        <f t="shared" si="45"/>
        <v>100530.25883783828</v>
      </c>
      <c r="I139" s="542">
        <f t="shared" si="46"/>
        <v>100530.25883783828</v>
      </c>
      <c r="J139" s="478">
        <f t="shared" si="47"/>
        <v>0</v>
      </c>
      <c r="K139" s="478"/>
      <c r="L139" s="487"/>
      <c r="M139" s="478">
        <f t="shared" si="48"/>
        <v>0</v>
      </c>
      <c r="N139" s="487"/>
      <c r="O139" s="478">
        <f t="shared" si="49"/>
        <v>0</v>
      </c>
      <c r="P139" s="478">
        <f t="shared" si="50"/>
        <v>0</v>
      </c>
    </row>
    <row r="140" spans="2:16" ht="12.5">
      <c r="B140" s="160" t="str">
        <f t="shared" si="51"/>
        <v/>
      </c>
      <c r="C140" s="472">
        <f>IF(D93="","-",+C139+1)</f>
        <v>2053</v>
      </c>
      <c r="D140" s="346">
        <f>IF(F139+SUM(E$99:E139)=D$92,F139,D$92-SUM(E$99:E139))</f>
        <v>152698.14000000013</v>
      </c>
      <c r="E140" s="486">
        <f t="shared" si="37"/>
        <v>80628</v>
      </c>
      <c r="F140" s="485">
        <f t="shared" si="38"/>
        <v>72070.14000000013</v>
      </c>
      <c r="G140" s="485">
        <f t="shared" si="39"/>
        <v>112384.14000000013</v>
      </c>
      <c r="H140" s="488">
        <f t="shared" si="45"/>
        <v>92216.381143009217</v>
      </c>
      <c r="I140" s="542">
        <f t="shared" si="46"/>
        <v>92216.381143009217</v>
      </c>
      <c r="J140" s="478">
        <f t="shared" si="47"/>
        <v>0</v>
      </c>
      <c r="K140" s="478"/>
      <c r="L140" s="487"/>
      <c r="M140" s="478">
        <f t="shared" si="48"/>
        <v>0</v>
      </c>
      <c r="N140" s="487"/>
      <c r="O140" s="478">
        <f t="shared" si="49"/>
        <v>0</v>
      </c>
      <c r="P140" s="478">
        <f t="shared" si="50"/>
        <v>0</v>
      </c>
    </row>
    <row r="141" spans="2:16" ht="12.5">
      <c r="B141" s="160" t="str">
        <f t="shared" si="51"/>
        <v/>
      </c>
      <c r="C141" s="472">
        <f>IF(D93="","-",+C140+1)</f>
        <v>2054</v>
      </c>
      <c r="D141" s="346">
        <f>IF(F140+SUM(E$99:E140)=D$92,F140,D$92-SUM(E$99:E140))</f>
        <v>72070.14000000013</v>
      </c>
      <c r="E141" s="486">
        <f t="shared" si="37"/>
        <v>72070.14000000013</v>
      </c>
      <c r="F141" s="485">
        <f t="shared" si="38"/>
        <v>0</v>
      </c>
      <c r="G141" s="485">
        <f t="shared" si="39"/>
        <v>36035.070000000065</v>
      </c>
      <c r="H141" s="488">
        <f t="shared" si="45"/>
        <v>75785.861147797477</v>
      </c>
      <c r="I141" s="542">
        <f t="shared" si="46"/>
        <v>75785.861147797477</v>
      </c>
      <c r="J141" s="478">
        <f t="shared" si="47"/>
        <v>0</v>
      </c>
      <c r="K141" s="478"/>
      <c r="L141" s="487"/>
      <c r="M141" s="478">
        <f t="shared" si="48"/>
        <v>0</v>
      </c>
      <c r="N141" s="487"/>
      <c r="O141" s="478">
        <f t="shared" si="49"/>
        <v>0</v>
      </c>
      <c r="P141" s="478">
        <f t="shared" si="50"/>
        <v>0</v>
      </c>
    </row>
    <row r="142" spans="2:16" ht="12.5">
      <c r="B142" s="160" t="str">
        <f t="shared" si="51"/>
        <v/>
      </c>
      <c r="C142" s="472">
        <f>IF(D93="","-",+C141+1)</f>
        <v>2055</v>
      </c>
      <c r="D142" s="346">
        <f>IF(F141+SUM(E$99:E141)=D$92,F141,D$92-SUM(E$99:E141))</f>
        <v>0</v>
      </c>
      <c r="E142" s="486">
        <f t="shared" si="37"/>
        <v>0</v>
      </c>
      <c r="F142" s="485">
        <f t="shared" si="38"/>
        <v>0</v>
      </c>
      <c r="G142" s="485">
        <f t="shared" si="39"/>
        <v>0</v>
      </c>
      <c r="H142" s="488">
        <f t="shared" si="45"/>
        <v>0</v>
      </c>
      <c r="I142" s="542">
        <f t="shared" si="46"/>
        <v>0</v>
      </c>
      <c r="J142" s="478">
        <f t="shared" si="47"/>
        <v>0</v>
      </c>
      <c r="K142" s="478"/>
      <c r="L142" s="487"/>
      <c r="M142" s="478">
        <f t="shared" si="48"/>
        <v>0</v>
      </c>
      <c r="N142" s="487"/>
      <c r="O142" s="478">
        <f t="shared" si="49"/>
        <v>0</v>
      </c>
      <c r="P142" s="478">
        <f t="shared" si="50"/>
        <v>0</v>
      </c>
    </row>
    <row r="143" spans="2:16" ht="12.5">
      <c r="B143" s="160" t="str">
        <f t="shared" si="51"/>
        <v/>
      </c>
      <c r="C143" s="472">
        <f>IF(D93="","-",+C142+1)</f>
        <v>2056</v>
      </c>
      <c r="D143" s="346">
        <f>IF(F142+SUM(E$99:E142)=D$92,F142,D$92-SUM(E$99:E142))</f>
        <v>0</v>
      </c>
      <c r="E143" s="486">
        <f t="shared" si="37"/>
        <v>0</v>
      </c>
      <c r="F143" s="485">
        <f t="shared" si="38"/>
        <v>0</v>
      </c>
      <c r="G143" s="485">
        <f t="shared" si="39"/>
        <v>0</v>
      </c>
      <c r="H143" s="488">
        <f t="shared" si="45"/>
        <v>0</v>
      </c>
      <c r="I143" s="542">
        <f t="shared" si="46"/>
        <v>0</v>
      </c>
      <c r="J143" s="478">
        <f t="shared" si="47"/>
        <v>0</v>
      </c>
      <c r="K143" s="478"/>
      <c r="L143" s="487"/>
      <c r="M143" s="478">
        <f t="shared" si="48"/>
        <v>0</v>
      </c>
      <c r="N143" s="487"/>
      <c r="O143" s="478">
        <f t="shared" si="49"/>
        <v>0</v>
      </c>
      <c r="P143" s="478">
        <f t="shared" si="50"/>
        <v>0</v>
      </c>
    </row>
    <row r="144" spans="2:16" ht="12.5">
      <c r="B144" s="160" t="str">
        <f t="shared" si="51"/>
        <v/>
      </c>
      <c r="C144" s="472">
        <f>IF(D93="","-",+C143+1)</f>
        <v>2057</v>
      </c>
      <c r="D144" s="346">
        <f>IF(F143+SUM(E$99:E143)=D$92,F143,D$92-SUM(E$99:E143))</f>
        <v>0</v>
      </c>
      <c r="E144" s="486">
        <f t="shared" si="37"/>
        <v>0</v>
      </c>
      <c r="F144" s="485">
        <f t="shared" si="38"/>
        <v>0</v>
      </c>
      <c r="G144" s="485">
        <f t="shared" si="39"/>
        <v>0</v>
      </c>
      <c r="H144" s="488">
        <f t="shared" si="45"/>
        <v>0</v>
      </c>
      <c r="I144" s="542">
        <f t="shared" si="46"/>
        <v>0</v>
      </c>
      <c r="J144" s="478">
        <f t="shared" si="47"/>
        <v>0</v>
      </c>
      <c r="K144" s="478"/>
      <c r="L144" s="487"/>
      <c r="M144" s="478">
        <f t="shared" si="48"/>
        <v>0</v>
      </c>
      <c r="N144" s="487"/>
      <c r="O144" s="478">
        <f t="shared" si="49"/>
        <v>0</v>
      </c>
      <c r="P144" s="478">
        <f t="shared" si="50"/>
        <v>0</v>
      </c>
    </row>
    <row r="145" spans="2:16" ht="12.5">
      <c r="B145" s="160" t="str">
        <f t="shared" si="51"/>
        <v/>
      </c>
      <c r="C145" s="472">
        <f>IF(D93="","-",+C144+1)</f>
        <v>2058</v>
      </c>
      <c r="D145" s="346">
        <f>IF(F144+SUM(E$99:E144)=D$92,F144,D$92-SUM(E$99:E144))</f>
        <v>0</v>
      </c>
      <c r="E145" s="486">
        <f t="shared" si="37"/>
        <v>0</v>
      </c>
      <c r="F145" s="485">
        <f t="shared" si="38"/>
        <v>0</v>
      </c>
      <c r="G145" s="485">
        <f t="shared" si="39"/>
        <v>0</v>
      </c>
      <c r="H145" s="488">
        <f t="shared" si="45"/>
        <v>0</v>
      </c>
      <c r="I145" s="542">
        <f t="shared" si="46"/>
        <v>0</v>
      </c>
      <c r="J145" s="478">
        <f t="shared" si="47"/>
        <v>0</v>
      </c>
      <c r="K145" s="478"/>
      <c r="L145" s="487"/>
      <c r="M145" s="478">
        <f t="shared" si="48"/>
        <v>0</v>
      </c>
      <c r="N145" s="487"/>
      <c r="O145" s="478">
        <f t="shared" si="49"/>
        <v>0</v>
      </c>
      <c r="P145" s="478">
        <f t="shared" si="50"/>
        <v>0</v>
      </c>
    </row>
    <row r="146" spans="2:16" ht="12.5">
      <c r="B146" s="160" t="str">
        <f t="shared" si="51"/>
        <v/>
      </c>
      <c r="C146" s="472">
        <f>IF(D93="","-",+C145+1)</f>
        <v>2059</v>
      </c>
      <c r="D146" s="346">
        <f>IF(F145+SUM(E$99:E145)=D$92,F145,D$92-SUM(E$99:E145))</f>
        <v>0</v>
      </c>
      <c r="E146" s="486">
        <f t="shared" si="37"/>
        <v>0</v>
      </c>
      <c r="F146" s="485">
        <f t="shared" si="38"/>
        <v>0</v>
      </c>
      <c r="G146" s="485">
        <f t="shared" si="39"/>
        <v>0</v>
      </c>
      <c r="H146" s="488">
        <f t="shared" si="45"/>
        <v>0</v>
      </c>
      <c r="I146" s="542">
        <f t="shared" si="46"/>
        <v>0</v>
      </c>
      <c r="J146" s="478">
        <f t="shared" si="47"/>
        <v>0</v>
      </c>
      <c r="K146" s="478"/>
      <c r="L146" s="487"/>
      <c r="M146" s="478">
        <f t="shared" si="48"/>
        <v>0</v>
      </c>
      <c r="N146" s="487"/>
      <c r="O146" s="478">
        <f t="shared" si="49"/>
        <v>0</v>
      </c>
      <c r="P146" s="478">
        <f t="shared" si="50"/>
        <v>0</v>
      </c>
    </row>
    <row r="147" spans="2:16" ht="12.5">
      <c r="B147" s="160" t="str">
        <f t="shared" si="51"/>
        <v/>
      </c>
      <c r="C147" s="472">
        <f>IF(D93="","-",+C146+1)</f>
        <v>2060</v>
      </c>
      <c r="D147" s="346">
        <f>IF(F146+SUM(E$99:E146)=D$92,F146,D$92-SUM(E$99:E146))</f>
        <v>0</v>
      </c>
      <c r="E147" s="486">
        <f t="shared" si="37"/>
        <v>0</v>
      </c>
      <c r="F147" s="485">
        <f t="shared" si="38"/>
        <v>0</v>
      </c>
      <c r="G147" s="485">
        <f t="shared" si="39"/>
        <v>0</v>
      </c>
      <c r="H147" s="488">
        <f t="shared" si="45"/>
        <v>0</v>
      </c>
      <c r="I147" s="542">
        <f t="shared" si="46"/>
        <v>0</v>
      </c>
      <c r="J147" s="478">
        <f t="shared" si="47"/>
        <v>0</v>
      </c>
      <c r="K147" s="478"/>
      <c r="L147" s="487"/>
      <c r="M147" s="478">
        <f t="shared" si="48"/>
        <v>0</v>
      </c>
      <c r="N147" s="487"/>
      <c r="O147" s="478">
        <f t="shared" si="49"/>
        <v>0</v>
      </c>
      <c r="P147" s="478">
        <f t="shared" si="50"/>
        <v>0</v>
      </c>
    </row>
    <row r="148" spans="2:16" ht="12.5">
      <c r="B148" s="160" t="str">
        <f t="shared" si="51"/>
        <v/>
      </c>
      <c r="C148" s="472">
        <f>IF(D93="","-",+C147+1)</f>
        <v>2061</v>
      </c>
      <c r="D148" s="346">
        <f>IF(F147+SUM(E$99:E147)=D$92,F147,D$92-SUM(E$99:E147))</f>
        <v>0</v>
      </c>
      <c r="E148" s="486">
        <f t="shared" si="37"/>
        <v>0</v>
      </c>
      <c r="F148" s="485">
        <f t="shared" si="38"/>
        <v>0</v>
      </c>
      <c r="G148" s="485">
        <f t="shared" si="39"/>
        <v>0</v>
      </c>
      <c r="H148" s="488">
        <f t="shared" si="45"/>
        <v>0</v>
      </c>
      <c r="I148" s="542">
        <f t="shared" si="46"/>
        <v>0</v>
      </c>
      <c r="J148" s="478">
        <f t="shared" si="47"/>
        <v>0</v>
      </c>
      <c r="K148" s="478"/>
      <c r="L148" s="487"/>
      <c r="M148" s="478">
        <f t="shared" si="48"/>
        <v>0</v>
      </c>
      <c r="N148" s="487"/>
      <c r="O148" s="478">
        <f t="shared" si="49"/>
        <v>0</v>
      </c>
      <c r="P148" s="478">
        <f t="shared" si="50"/>
        <v>0</v>
      </c>
    </row>
    <row r="149" spans="2:16" ht="12.5">
      <c r="B149" s="160" t="str">
        <f t="shared" si="51"/>
        <v/>
      </c>
      <c r="C149" s="472">
        <f>IF(D93="","-",+C148+1)</f>
        <v>2062</v>
      </c>
      <c r="D149" s="346">
        <f>IF(F148+SUM(E$99:E148)=D$92,F148,D$92-SUM(E$99:E148))</f>
        <v>0</v>
      </c>
      <c r="E149" s="486">
        <f t="shared" si="37"/>
        <v>0</v>
      </c>
      <c r="F149" s="485">
        <f t="shared" si="38"/>
        <v>0</v>
      </c>
      <c r="G149" s="485">
        <f t="shared" si="39"/>
        <v>0</v>
      </c>
      <c r="H149" s="488">
        <f t="shared" si="45"/>
        <v>0</v>
      </c>
      <c r="I149" s="542">
        <f t="shared" si="46"/>
        <v>0</v>
      </c>
      <c r="J149" s="478">
        <f t="shared" si="47"/>
        <v>0</v>
      </c>
      <c r="K149" s="478"/>
      <c r="L149" s="487"/>
      <c r="M149" s="478">
        <f t="shared" si="48"/>
        <v>0</v>
      </c>
      <c r="N149" s="487"/>
      <c r="O149" s="478">
        <f t="shared" si="49"/>
        <v>0</v>
      </c>
      <c r="P149" s="478">
        <f t="shared" si="50"/>
        <v>0</v>
      </c>
    </row>
    <row r="150" spans="2:16" ht="12.5">
      <c r="B150" s="160" t="str">
        <f t="shared" si="51"/>
        <v/>
      </c>
      <c r="C150" s="472">
        <f>IF(D93="","-",+C149+1)</f>
        <v>2063</v>
      </c>
      <c r="D150" s="346">
        <f>IF(F149+SUM(E$99:E149)=D$92,F149,D$92-SUM(E$99:E149))</f>
        <v>0</v>
      </c>
      <c r="E150" s="486">
        <f t="shared" si="37"/>
        <v>0</v>
      </c>
      <c r="F150" s="485">
        <f t="shared" si="38"/>
        <v>0</v>
      </c>
      <c r="G150" s="485">
        <f t="shared" si="39"/>
        <v>0</v>
      </c>
      <c r="H150" s="488">
        <f t="shared" si="45"/>
        <v>0</v>
      </c>
      <c r="I150" s="542">
        <f t="shared" si="46"/>
        <v>0</v>
      </c>
      <c r="J150" s="478">
        <f t="shared" si="47"/>
        <v>0</v>
      </c>
      <c r="K150" s="478"/>
      <c r="L150" s="487"/>
      <c r="M150" s="478">
        <f t="shared" si="48"/>
        <v>0</v>
      </c>
      <c r="N150" s="487"/>
      <c r="O150" s="478">
        <f t="shared" si="49"/>
        <v>0</v>
      </c>
      <c r="P150" s="478">
        <f t="shared" si="50"/>
        <v>0</v>
      </c>
    </row>
    <row r="151" spans="2:16" ht="12.5">
      <c r="B151" s="160" t="str">
        <f t="shared" si="51"/>
        <v/>
      </c>
      <c r="C151" s="472">
        <f>IF(D93="","-",+C150+1)</f>
        <v>2064</v>
      </c>
      <c r="D151" s="346">
        <f>IF(F150+SUM(E$99:E150)=D$92,F150,D$92-SUM(E$99:E150))</f>
        <v>0</v>
      </c>
      <c r="E151" s="486">
        <f t="shared" si="37"/>
        <v>0</v>
      </c>
      <c r="F151" s="485">
        <f t="shared" si="38"/>
        <v>0</v>
      </c>
      <c r="G151" s="485">
        <f t="shared" si="39"/>
        <v>0</v>
      </c>
      <c r="H151" s="488">
        <f t="shared" si="45"/>
        <v>0</v>
      </c>
      <c r="I151" s="542">
        <f t="shared" si="46"/>
        <v>0</v>
      </c>
      <c r="J151" s="478">
        <f t="shared" si="47"/>
        <v>0</v>
      </c>
      <c r="K151" s="478"/>
      <c r="L151" s="487"/>
      <c r="M151" s="478">
        <f t="shared" si="48"/>
        <v>0</v>
      </c>
      <c r="N151" s="487"/>
      <c r="O151" s="478">
        <f t="shared" si="49"/>
        <v>0</v>
      </c>
      <c r="P151" s="478">
        <f t="shared" si="50"/>
        <v>0</v>
      </c>
    </row>
    <row r="152" spans="2:16" ht="12.5">
      <c r="B152" s="160" t="str">
        <f t="shared" si="51"/>
        <v/>
      </c>
      <c r="C152" s="472">
        <f>IF(D93="","-",+C151+1)</f>
        <v>2065</v>
      </c>
      <c r="D152" s="346">
        <f>IF(F151+SUM(E$99:E151)=D$92,F151,D$92-SUM(E$99:E151))</f>
        <v>0</v>
      </c>
      <c r="E152" s="486">
        <f t="shared" si="37"/>
        <v>0</v>
      </c>
      <c r="F152" s="485">
        <f t="shared" si="38"/>
        <v>0</v>
      </c>
      <c r="G152" s="485">
        <f t="shared" si="39"/>
        <v>0</v>
      </c>
      <c r="H152" s="488">
        <f t="shared" si="45"/>
        <v>0</v>
      </c>
      <c r="I152" s="542">
        <f t="shared" si="46"/>
        <v>0</v>
      </c>
      <c r="J152" s="478">
        <f t="shared" si="47"/>
        <v>0</v>
      </c>
      <c r="K152" s="478"/>
      <c r="L152" s="487"/>
      <c r="M152" s="478">
        <f t="shared" si="48"/>
        <v>0</v>
      </c>
      <c r="N152" s="487"/>
      <c r="O152" s="478">
        <f t="shared" si="49"/>
        <v>0</v>
      </c>
      <c r="P152" s="478">
        <f t="shared" si="50"/>
        <v>0</v>
      </c>
    </row>
    <row r="153" spans="2:16" ht="12.5">
      <c r="B153" s="160" t="str">
        <f t="shared" si="51"/>
        <v/>
      </c>
      <c r="C153" s="472">
        <f>IF(D93="","-",+C152+1)</f>
        <v>2066</v>
      </c>
      <c r="D153" s="346">
        <f>IF(F152+SUM(E$99:E152)=D$92,F152,D$92-SUM(E$99:E152))</f>
        <v>0</v>
      </c>
      <c r="E153" s="486">
        <f t="shared" si="37"/>
        <v>0</v>
      </c>
      <c r="F153" s="485">
        <f t="shared" si="38"/>
        <v>0</v>
      </c>
      <c r="G153" s="485">
        <f t="shared" si="39"/>
        <v>0</v>
      </c>
      <c r="H153" s="488">
        <f t="shared" si="45"/>
        <v>0</v>
      </c>
      <c r="I153" s="542">
        <f t="shared" si="46"/>
        <v>0</v>
      </c>
      <c r="J153" s="478">
        <f t="shared" si="47"/>
        <v>0</v>
      </c>
      <c r="K153" s="478"/>
      <c r="L153" s="487"/>
      <c r="M153" s="478">
        <f t="shared" si="48"/>
        <v>0</v>
      </c>
      <c r="N153" s="487"/>
      <c r="O153" s="478">
        <f t="shared" si="49"/>
        <v>0</v>
      </c>
      <c r="P153" s="478">
        <f t="shared" si="50"/>
        <v>0</v>
      </c>
    </row>
    <row r="154" spans="2:16" ht="13" thickBot="1">
      <c r="B154" s="160" t="str">
        <f t="shared" si="51"/>
        <v/>
      </c>
      <c r="C154" s="489">
        <f>IF(D93="","-",+C153+1)</f>
        <v>2067</v>
      </c>
      <c r="D154" s="543">
        <f>IF(F153+SUM(E$99:E153)=D$92,F153,D$92-SUM(E$99:E153))</f>
        <v>0</v>
      </c>
      <c r="E154" s="544">
        <f t="shared" si="37"/>
        <v>0</v>
      </c>
      <c r="F154" s="490">
        <f t="shared" si="38"/>
        <v>0</v>
      </c>
      <c r="G154" s="490">
        <f t="shared" si="39"/>
        <v>0</v>
      </c>
      <c r="H154" s="492">
        <f t="shared" si="45"/>
        <v>0</v>
      </c>
      <c r="I154" s="545">
        <f t="shared" si="46"/>
        <v>0</v>
      </c>
      <c r="J154" s="495">
        <f t="shared" si="47"/>
        <v>0</v>
      </c>
      <c r="K154" s="478"/>
      <c r="L154" s="494"/>
      <c r="M154" s="495">
        <f t="shared" si="48"/>
        <v>0</v>
      </c>
      <c r="N154" s="494"/>
      <c r="O154" s="495">
        <f t="shared" si="49"/>
        <v>0</v>
      </c>
      <c r="P154" s="495">
        <f t="shared" si="50"/>
        <v>0</v>
      </c>
    </row>
    <row r="155" spans="2:16" ht="12.5">
      <c r="C155" s="346" t="s">
        <v>77</v>
      </c>
      <c r="D155" s="347"/>
      <c r="E155" s="347">
        <f>SUM(E99:E154)</f>
        <v>3305767.14</v>
      </c>
      <c r="F155" s="347"/>
      <c r="G155" s="347"/>
      <c r="H155" s="347">
        <f>SUM(H99:H154)</f>
        <v>11120139.190998172</v>
      </c>
      <c r="I155" s="347">
        <f>SUM(I99:I154)</f>
        <v>11120139.190998172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8:C72">
    <cfRule type="cellIs" dxfId="38" priority="2" stopIfTrue="1" operator="equal">
      <formula>$I$10</formula>
    </cfRule>
  </conditionalFormatting>
  <conditionalFormatting sqref="C99:C154">
    <cfRule type="cellIs" dxfId="37" priority="3" stopIfTrue="1" operator="equal">
      <formula>$J$92</formula>
    </cfRule>
  </conditionalFormatting>
  <conditionalFormatting sqref="C17">
    <cfRule type="cellIs" dxfId="36" priority="1" stopIfTrue="1" operator="equal">
      <formula>$I$10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C00000"/>
  </sheetPr>
  <dimension ref="A1:P162"/>
  <sheetViews>
    <sheetView view="pageBreakPreview" topLeftCell="B1" zoomScale="75" zoomScaleNormal="100" workbookViewId="0">
      <selection activeCell="D27" sqref="D27:H27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13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2413.8837209302328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2413.8837209302328</v>
      </c>
      <c r="O6" s="232"/>
      <c r="P6" s="232"/>
    </row>
    <row r="7" spans="1:16" ht="13.5" thickBot="1">
      <c r="C7" s="431" t="s">
        <v>46</v>
      </c>
      <c r="D7" s="432" t="s">
        <v>259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572" t="s">
        <v>239</v>
      </c>
      <c r="E9" s="577" t="s">
        <v>293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22097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2010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513.88372093023258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9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D11</f>
        <v>2010</v>
      </c>
      <c r="D17" s="473">
        <v>0</v>
      </c>
      <c r="E17" s="479">
        <v>0</v>
      </c>
      <c r="F17" s="479">
        <v>0</v>
      </c>
      <c r="G17" s="479">
        <v>0</v>
      </c>
      <c r="H17" s="588">
        <v>0</v>
      </c>
      <c r="I17" s="475">
        <f t="shared" ref="I17:I48" si="0">H17-G17</f>
        <v>0</v>
      </c>
      <c r="J17" s="348"/>
      <c r="K17" s="476">
        <f t="shared" ref="K17:K22" si="1">G17</f>
        <v>0</v>
      </c>
      <c r="L17" s="589">
        <f t="shared" ref="L17:L48" si="2">IF(K17&lt;&gt;0,+G17-K17,0)</f>
        <v>0</v>
      </c>
      <c r="M17" s="476">
        <f t="shared" ref="M17:M22" si="3">H17</f>
        <v>0</v>
      </c>
      <c r="N17" s="559">
        <f t="shared" ref="N17:N48" si="4">IF(M17&lt;&gt;0,+H17-M17,0)</f>
        <v>0</v>
      </c>
      <c r="O17" s="478">
        <f t="shared" ref="O17:O48" si="5">+N17-L17</f>
        <v>0</v>
      </c>
      <c r="P17" s="242"/>
    </row>
    <row r="18" spans="2:16" ht="12.5">
      <c r="B18" s="160" t="str">
        <f t="shared" ref="B18:B49" si="6">IF(D18=F17,"","IU")</f>
        <v/>
      </c>
      <c r="C18" s="472">
        <f>IF($D$11="","-",+C17+1)</f>
        <v>2011</v>
      </c>
      <c r="D18" s="473">
        <v>0</v>
      </c>
      <c r="E18" s="479">
        <v>0</v>
      </c>
      <c r="F18" s="479">
        <v>0</v>
      </c>
      <c r="G18" s="479">
        <v>0</v>
      </c>
      <c r="H18" s="588">
        <v>0</v>
      </c>
      <c r="I18" s="475">
        <f t="shared" si="0"/>
        <v>0</v>
      </c>
      <c r="J18" s="348"/>
      <c r="K18" s="476">
        <f t="shared" si="1"/>
        <v>0</v>
      </c>
      <c r="L18" s="348">
        <f t="shared" si="2"/>
        <v>0</v>
      </c>
      <c r="M18" s="476">
        <f t="shared" si="3"/>
        <v>0</v>
      </c>
      <c r="N18" s="475">
        <f t="shared" si="4"/>
        <v>0</v>
      </c>
      <c r="O18" s="478">
        <f t="shared" si="5"/>
        <v>0</v>
      </c>
      <c r="P18" s="242"/>
    </row>
    <row r="19" spans="2:16" ht="12.5">
      <c r="B19" s="160" t="str">
        <f t="shared" si="6"/>
        <v>IU</v>
      </c>
      <c r="C19" s="472">
        <f>IF(D11="","-",+C18+1)</f>
        <v>2012</v>
      </c>
      <c r="D19" s="473">
        <v>22097</v>
      </c>
      <c r="E19" s="480">
        <v>212.47115384615381</v>
      </c>
      <c r="F19" s="473">
        <v>21884.528846153848</v>
      </c>
      <c r="G19" s="480">
        <v>3258.944937760969</v>
      </c>
      <c r="H19" s="481">
        <v>3258.944937760969</v>
      </c>
      <c r="I19" s="475">
        <f>H19-G19</f>
        <v>0</v>
      </c>
      <c r="J19" s="348"/>
      <c r="K19" s="476">
        <f t="shared" si="1"/>
        <v>3258.944937760969</v>
      </c>
      <c r="L19" s="348">
        <f t="shared" si="2"/>
        <v>0</v>
      </c>
      <c r="M19" s="476">
        <f t="shared" si="3"/>
        <v>3258.944937760969</v>
      </c>
      <c r="N19" s="475">
        <f t="shared" si="4"/>
        <v>0</v>
      </c>
      <c r="O19" s="478">
        <f t="shared" si="5"/>
        <v>0</v>
      </c>
      <c r="P19" s="242"/>
    </row>
    <row r="20" spans="2:16" ht="12.5">
      <c r="B20" s="160" t="str">
        <f t="shared" si="6"/>
        <v/>
      </c>
      <c r="C20" s="472">
        <f>IF(D11="","-",+C19+1)</f>
        <v>2013</v>
      </c>
      <c r="D20" s="473">
        <v>21884.528846153848</v>
      </c>
      <c r="E20" s="480">
        <v>424.94230769230768</v>
      </c>
      <c r="F20" s="473">
        <v>21459.586538461539</v>
      </c>
      <c r="G20" s="480">
        <v>3489.9423076923076</v>
      </c>
      <c r="H20" s="481">
        <v>3489.9423076923076</v>
      </c>
      <c r="I20" s="475">
        <v>0</v>
      </c>
      <c r="J20" s="475"/>
      <c r="K20" s="476">
        <f t="shared" si="1"/>
        <v>3489.9423076923076</v>
      </c>
      <c r="L20" s="348">
        <f t="shared" ref="L20:L25" si="7">IF(K20&lt;&gt;0,+G20-K20,0)</f>
        <v>0</v>
      </c>
      <c r="M20" s="476">
        <f t="shared" si="3"/>
        <v>3489.9423076923076</v>
      </c>
      <c r="N20" s="475">
        <f t="shared" ref="N20:N25" si="8">IF(M20&lt;&gt;0,+H20-M20,0)</f>
        <v>0</v>
      </c>
      <c r="O20" s="478">
        <f t="shared" ref="O20:O25" si="9">+N20-L20</f>
        <v>0</v>
      </c>
      <c r="P20" s="242"/>
    </row>
    <row r="21" spans="2:16" ht="12.5">
      <c r="B21" s="160" t="str">
        <f t="shared" si="6"/>
        <v/>
      </c>
      <c r="C21" s="472">
        <f>IF(D11="","-",+C20+1)</f>
        <v>2014</v>
      </c>
      <c r="D21" s="473">
        <v>21459.586538461539</v>
      </c>
      <c r="E21" s="480">
        <v>424.94230769230768</v>
      </c>
      <c r="F21" s="473">
        <v>21034.64423076923</v>
      </c>
      <c r="G21" s="480">
        <v>3320.9423076923076</v>
      </c>
      <c r="H21" s="481">
        <v>3320.9423076923076</v>
      </c>
      <c r="I21" s="475">
        <v>0</v>
      </c>
      <c r="J21" s="475"/>
      <c r="K21" s="476">
        <f t="shared" si="1"/>
        <v>3320.9423076923076</v>
      </c>
      <c r="L21" s="348">
        <f t="shared" si="7"/>
        <v>0</v>
      </c>
      <c r="M21" s="476">
        <f t="shared" si="3"/>
        <v>3320.9423076923076</v>
      </c>
      <c r="N21" s="475">
        <f t="shared" si="8"/>
        <v>0</v>
      </c>
      <c r="O21" s="478">
        <f t="shared" si="9"/>
        <v>0</v>
      </c>
      <c r="P21" s="242"/>
    </row>
    <row r="22" spans="2:16" ht="12.5">
      <c r="B22" s="160" t="str">
        <f t="shared" si="6"/>
        <v/>
      </c>
      <c r="C22" s="472">
        <f>IF(D11="","-",+C21+1)</f>
        <v>2015</v>
      </c>
      <c r="D22" s="473">
        <v>21034.64423076923</v>
      </c>
      <c r="E22" s="480">
        <v>424.94230769230768</v>
      </c>
      <c r="F22" s="473">
        <v>20609.701923076922</v>
      </c>
      <c r="G22" s="480">
        <v>3265.9423076923076</v>
      </c>
      <c r="H22" s="481">
        <v>3265.9423076923076</v>
      </c>
      <c r="I22" s="475">
        <v>0</v>
      </c>
      <c r="J22" s="475"/>
      <c r="K22" s="476">
        <f t="shared" si="1"/>
        <v>3265.9423076923076</v>
      </c>
      <c r="L22" s="348">
        <f t="shared" si="7"/>
        <v>0</v>
      </c>
      <c r="M22" s="476">
        <f t="shared" si="3"/>
        <v>3265.9423076923076</v>
      </c>
      <c r="N22" s="475">
        <f t="shared" si="8"/>
        <v>0</v>
      </c>
      <c r="O22" s="478">
        <f t="shared" si="9"/>
        <v>0</v>
      </c>
      <c r="P22" s="242"/>
    </row>
    <row r="23" spans="2:16" ht="12.5">
      <c r="B23" s="160" t="str">
        <f t="shared" si="6"/>
        <v/>
      </c>
      <c r="C23" s="472">
        <f>IF(D11="","-",+C22+1)</f>
        <v>2016</v>
      </c>
      <c r="D23" s="473">
        <v>20609.701923076922</v>
      </c>
      <c r="E23" s="480">
        <v>424.94230769230768</v>
      </c>
      <c r="F23" s="473">
        <v>20184.759615384613</v>
      </c>
      <c r="G23" s="480">
        <v>3071.9423076923076</v>
      </c>
      <c r="H23" s="481">
        <v>3071.9423076923076</v>
      </c>
      <c r="I23" s="475">
        <f t="shared" si="0"/>
        <v>0</v>
      </c>
      <c r="J23" s="475"/>
      <c r="K23" s="476">
        <f>G23</f>
        <v>3071.9423076923076</v>
      </c>
      <c r="L23" s="348">
        <f t="shared" si="7"/>
        <v>0</v>
      </c>
      <c r="M23" s="476">
        <f>H23</f>
        <v>3071.9423076923076</v>
      </c>
      <c r="N23" s="475">
        <f t="shared" si="8"/>
        <v>0</v>
      </c>
      <c r="O23" s="478">
        <f t="shared" si="9"/>
        <v>0</v>
      </c>
      <c r="P23" s="242"/>
    </row>
    <row r="24" spans="2:16" ht="12.5">
      <c r="B24" s="160" t="str">
        <f t="shared" si="6"/>
        <v/>
      </c>
      <c r="C24" s="472">
        <f>IF(D11="","-",+C23+1)</f>
        <v>2017</v>
      </c>
      <c r="D24" s="473">
        <v>20184.759615384613</v>
      </c>
      <c r="E24" s="480">
        <v>480.36956521739131</v>
      </c>
      <c r="F24" s="473">
        <v>19704.390050167221</v>
      </c>
      <c r="G24" s="480">
        <v>2988.3695652173915</v>
      </c>
      <c r="H24" s="481">
        <v>2988.3695652173915</v>
      </c>
      <c r="I24" s="475">
        <f t="shared" si="0"/>
        <v>0</v>
      </c>
      <c r="J24" s="475"/>
      <c r="K24" s="476">
        <f>G24</f>
        <v>2988.3695652173915</v>
      </c>
      <c r="L24" s="348">
        <f t="shared" si="7"/>
        <v>0</v>
      </c>
      <c r="M24" s="476">
        <f>H24</f>
        <v>2988.3695652173915</v>
      </c>
      <c r="N24" s="475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6"/>
        <v/>
      </c>
      <c r="C25" s="472">
        <f>IF(D11="","-",+C24+1)</f>
        <v>2018</v>
      </c>
      <c r="D25" s="473">
        <v>19704.390050167221</v>
      </c>
      <c r="E25" s="480">
        <v>491.04444444444442</v>
      </c>
      <c r="F25" s="473">
        <v>19213.345605722778</v>
      </c>
      <c r="G25" s="480">
        <v>2821.4178428916557</v>
      </c>
      <c r="H25" s="481">
        <v>2821.4178428916557</v>
      </c>
      <c r="I25" s="475">
        <f t="shared" si="0"/>
        <v>0</v>
      </c>
      <c r="J25" s="475"/>
      <c r="K25" s="476">
        <f>G25</f>
        <v>2821.4178428916557</v>
      </c>
      <c r="L25" s="348">
        <f t="shared" si="7"/>
        <v>0</v>
      </c>
      <c r="M25" s="476">
        <f>H25</f>
        <v>2821.4178428916557</v>
      </c>
      <c r="N25" s="475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6"/>
        <v/>
      </c>
      <c r="C26" s="472">
        <f>IF(D11="","-",+C25+1)</f>
        <v>2019</v>
      </c>
      <c r="D26" s="473">
        <v>19213.345605722778</v>
      </c>
      <c r="E26" s="480">
        <v>552.42499999999995</v>
      </c>
      <c r="F26" s="473">
        <v>18660.920605722778</v>
      </c>
      <c r="G26" s="480">
        <v>2666.8814890183439</v>
      </c>
      <c r="H26" s="481">
        <v>2666.8814890183439</v>
      </c>
      <c r="I26" s="475">
        <f t="shared" si="0"/>
        <v>0</v>
      </c>
      <c r="J26" s="475"/>
      <c r="K26" s="476">
        <f>G26</f>
        <v>2666.8814890183439</v>
      </c>
      <c r="L26" s="348">
        <f t="shared" ref="L26" si="10">IF(K26&lt;&gt;0,+G26-K26,0)</f>
        <v>0</v>
      </c>
      <c r="M26" s="476">
        <f>H26</f>
        <v>2666.8814890183439</v>
      </c>
      <c r="N26" s="475">
        <f t="shared" ref="N26" si="11">IF(M26&lt;&gt;0,+H26-M26,0)</f>
        <v>0</v>
      </c>
      <c r="O26" s="478">
        <f t="shared" si="5"/>
        <v>0</v>
      </c>
      <c r="P26" s="242"/>
    </row>
    <row r="27" spans="2:16" ht="12.5">
      <c r="B27" s="160" t="str">
        <f t="shared" si="6"/>
        <v>IU</v>
      </c>
      <c r="C27" s="472">
        <f>IF(D11="","-",+C26+1)</f>
        <v>2020</v>
      </c>
      <c r="D27" s="473">
        <v>18722.301161278334</v>
      </c>
      <c r="E27" s="480">
        <v>526.11904761904759</v>
      </c>
      <c r="F27" s="473">
        <v>18196.182113659288</v>
      </c>
      <c r="G27" s="480">
        <v>2519.8053226007855</v>
      </c>
      <c r="H27" s="481">
        <v>2519.8053226007855</v>
      </c>
      <c r="I27" s="475">
        <f t="shared" si="0"/>
        <v>0</v>
      </c>
      <c r="J27" s="475"/>
      <c r="K27" s="476">
        <f>G27</f>
        <v>2519.8053226007855</v>
      </c>
      <c r="L27" s="348">
        <f t="shared" ref="L27" si="12">IF(K27&lt;&gt;0,+G27-K27,0)</f>
        <v>0</v>
      </c>
      <c r="M27" s="476">
        <f>H27</f>
        <v>2519.8053226007855</v>
      </c>
      <c r="N27" s="478">
        <f t="shared" si="4"/>
        <v>0</v>
      </c>
      <c r="O27" s="478">
        <f t="shared" si="5"/>
        <v>0</v>
      </c>
      <c r="P27" s="242"/>
    </row>
    <row r="28" spans="2:16" ht="12.5">
      <c r="B28" s="160" t="str">
        <f t="shared" si="6"/>
        <v>IU</v>
      </c>
      <c r="C28" s="472">
        <f>IF(D11="","-",+C27+1)</f>
        <v>2021</v>
      </c>
      <c r="D28" s="485">
        <f>IF(F27+SUM(E$17:E27)=D$10,F27,D$10-SUM(E$17:E27))</f>
        <v>18134.801558103733</v>
      </c>
      <c r="E28" s="484">
        <f>IF(+I14&lt;F27,I14,D28)</f>
        <v>513.88372093023258</v>
      </c>
      <c r="F28" s="485">
        <f t="shared" ref="F28:F48" si="13">+D28-E28</f>
        <v>17620.9178371735</v>
      </c>
      <c r="G28" s="486">
        <f t="shared" ref="G28:G49" si="14">ROUND(I$12*F28,0)+E28</f>
        <v>2413.8837209302328</v>
      </c>
      <c r="H28" s="455">
        <f t="shared" ref="H28:H49" si="15">ROUND(I$13*F28,0)+E28</f>
        <v>2413.8837209302328</v>
      </c>
      <c r="I28" s="475">
        <f t="shared" si="0"/>
        <v>0</v>
      </c>
      <c r="J28" s="475"/>
      <c r="K28" s="487"/>
      <c r="L28" s="478">
        <f t="shared" si="2"/>
        <v>0</v>
      </c>
      <c r="M28" s="487"/>
      <c r="N28" s="478">
        <f t="shared" si="4"/>
        <v>0</v>
      </c>
      <c r="O28" s="478">
        <f t="shared" si="5"/>
        <v>0</v>
      </c>
      <c r="P28" s="242"/>
    </row>
    <row r="29" spans="2:16" ht="12.5">
      <c r="B29" s="160" t="str">
        <f t="shared" si="6"/>
        <v/>
      </c>
      <c r="C29" s="472">
        <f>IF(D11="","-",+C28+1)</f>
        <v>2022</v>
      </c>
      <c r="D29" s="485">
        <f>IF(F28+SUM(E$17:E28)=D$10,F28,D$10-SUM(E$17:E28))</f>
        <v>17620.9178371735</v>
      </c>
      <c r="E29" s="484">
        <f>IF(+I14&lt;F28,I14,D29)</f>
        <v>513.88372093023258</v>
      </c>
      <c r="F29" s="485">
        <f t="shared" si="13"/>
        <v>17107.034116243267</v>
      </c>
      <c r="G29" s="486">
        <f t="shared" si="14"/>
        <v>2358.8837209302328</v>
      </c>
      <c r="H29" s="455">
        <f t="shared" si="15"/>
        <v>2358.8837209302328</v>
      </c>
      <c r="I29" s="475">
        <f t="shared" si="0"/>
        <v>0</v>
      </c>
      <c r="J29" s="475"/>
      <c r="K29" s="487"/>
      <c r="L29" s="478">
        <f t="shared" si="2"/>
        <v>0</v>
      </c>
      <c r="M29" s="487"/>
      <c r="N29" s="478">
        <f t="shared" si="4"/>
        <v>0</v>
      </c>
      <c r="O29" s="478">
        <f t="shared" si="5"/>
        <v>0</v>
      </c>
      <c r="P29" s="242"/>
    </row>
    <row r="30" spans="2:16" ht="12.5">
      <c r="B30" s="160" t="str">
        <f t="shared" si="6"/>
        <v/>
      </c>
      <c r="C30" s="472">
        <f>IF(D11="","-",+C29+1)</f>
        <v>2023</v>
      </c>
      <c r="D30" s="485">
        <f>IF(F29+SUM(E$17:E29)=D$10,F29,D$10-SUM(E$17:E29))</f>
        <v>17107.034116243267</v>
      </c>
      <c r="E30" s="484">
        <f>IF(+I14&lt;F29,I14,D30)</f>
        <v>513.88372093023258</v>
      </c>
      <c r="F30" s="485">
        <f t="shared" si="13"/>
        <v>16593.150395313034</v>
      </c>
      <c r="G30" s="486">
        <f t="shared" si="14"/>
        <v>2302.8837209302328</v>
      </c>
      <c r="H30" s="455">
        <f t="shared" si="15"/>
        <v>2302.8837209302328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2"/>
    </row>
    <row r="31" spans="2:16" ht="12.5">
      <c r="B31" s="160" t="str">
        <f t="shared" si="6"/>
        <v/>
      </c>
      <c r="C31" s="472">
        <f>IF(D11="","-",+C30+1)</f>
        <v>2024</v>
      </c>
      <c r="D31" s="485">
        <f>IF(F30+SUM(E$17:E30)=D$10,F30,D$10-SUM(E$17:E30))</f>
        <v>16593.150395313034</v>
      </c>
      <c r="E31" s="484">
        <f>IF(+I14&lt;F30,I14,D31)</f>
        <v>513.88372093023258</v>
      </c>
      <c r="F31" s="485">
        <f t="shared" si="13"/>
        <v>16079.266674382801</v>
      </c>
      <c r="G31" s="486">
        <f t="shared" si="14"/>
        <v>2247.8837209302328</v>
      </c>
      <c r="H31" s="455">
        <f t="shared" si="15"/>
        <v>2247.8837209302328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2"/>
    </row>
    <row r="32" spans="2:16" ht="12.5">
      <c r="B32" s="160" t="str">
        <f t="shared" si="6"/>
        <v/>
      </c>
      <c r="C32" s="472">
        <f>IF(D11="","-",+C31+1)</f>
        <v>2025</v>
      </c>
      <c r="D32" s="485">
        <f>IF(F31+SUM(E$17:E31)=D$10,F31,D$10-SUM(E$17:E31))</f>
        <v>16079.266674382801</v>
      </c>
      <c r="E32" s="484">
        <f>IF(+I14&lt;F31,I14,D32)</f>
        <v>513.88372093023258</v>
      </c>
      <c r="F32" s="485">
        <f t="shared" si="13"/>
        <v>15565.382953452568</v>
      </c>
      <c r="G32" s="486">
        <f t="shared" si="14"/>
        <v>2191.8837209302328</v>
      </c>
      <c r="H32" s="455">
        <f t="shared" si="15"/>
        <v>2191.8837209302328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2"/>
    </row>
    <row r="33" spans="2:16" ht="12.5">
      <c r="B33" s="160" t="str">
        <f t="shared" si="6"/>
        <v/>
      </c>
      <c r="C33" s="472">
        <f>IF(D11="","-",+C32+1)</f>
        <v>2026</v>
      </c>
      <c r="D33" s="485">
        <f>IF(F32+SUM(E$17:E32)=D$10,F32,D$10-SUM(E$17:E32))</f>
        <v>15565.382953452568</v>
      </c>
      <c r="E33" s="484">
        <f>IF(+I14&lt;F32,I14,D33)</f>
        <v>513.88372093023258</v>
      </c>
      <c r="F33" s="485">
        <f t="shared" si="13"/>
        <v>15051.499232522336</v>
      </c>
      <c r="G33" s="486">
        <f t="shared" si="14"/>
        <v>2136.8837209302328</v>
      </c>
      <c r="H33" s="455">
        <f t="shared" si="15"/>
        <v>2136.8837209302328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2"/>
    </row>
    <row r="34" spans="2:16" ht="12.5">
      <c r="B34" s="160" t="str">
        <f t="shared" si="6"/>
        <v/>
      </c>
      <c r="C34" s="472">
        <f>IF(D11="","-",+C33+1)</f>
        <v>2027</v>
      </c>
      <c r="D34" s="485">
        <f>IF(F33+SUM(E$17:E33)=D$10,F33,D$10-SUM(E$17:E33))</f>
        <v>15051.499232522336</v>
      </c>
      <c r="E34" s="484">
        <f>IF(+I14&lt;F33,I14,D34)</f>
        <v>513.88372093023258</v>
      </c>
      <c r="F34" s="485">
        <f t="shared" si="13"/>
        <v>14537.615511592103</v>
      </c>
      <c r="G34" s="486">
        <f t="shared" si="14"/>
        <v>2080.8837209302328</v>
      </c>
      <c r="H34" s="455">
        <f t="shared" si="15"/>
        <v>2080.8837209302328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2"/>
    </row>
    <row r="35" spans="2:16" ht="12.5">
      <c r="B35" s="160" t="str">
        <f t="shared" si="6"/>
        <v/>
      </c>
      <c r="C35" s="472">
        <f>IF(D11="","-",+C34+1)</f>
        <v>2028</v>
      </c>
      <c r="D35" s="485">
        <f>IF(F34+SUM(E$17:E34)=D$10,F34,D$10-SUM(E$17:E34))</f>
        <v>14537.615511592103</v>
      </c>
      <c r="E35" s="484">
        <f>IF(+I14&lt;F34,I14,D35)</f>
        <v>513.88372093023258</v>
      </c>
      <c r="F35" s="485">
        <f t="shared" si="13"/>
        <v>14023.73179066187</v>
      </c>
      <c r="G35" s="486">
        <f t="shared" si="14"/>
        <v>2025.8837209302326</v>
      </c>
      <c r="H35" s="455">
        <f t="shared" si="15"/>
        <v>2025.8837209302326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2"/>
    </row>
    <row r="36" spans="2:16" ht="12.5">
      <c r="B36" s="160" t="str">
        <f t="shared" si="6"/>
        <v/>
      </c>
      <c r="C36" s="472">
        <f>IF(D11="","-",+C35+1)</f>
        <v>2029</v>
      </c>
      <c r="D36" s="485">
        <f>IF(F35+SUM(E$17:E35)=D$10,F35,D$10-SUM(E$17:E35))</f>
        <v>14023.73179066187</v>
      </c>
      <c r="E36" s="484">
        <f>IF(+I14&lt;F35,I14,D36)</f>
        <v>513.88372093023258</v>
      </c>
      <c r="F36" s="485">
        <f t="shared" si="13"/>
        <v>13509.848069731637</v>
      </c>
      <c r="G36" s="486">
        <f t="shared" si="14"/>
        <v>1970.8837209302326</v>
      </c>
      <c r="H36" s="455">
        <f t="shared" si="15"/>
        <v>1970.8837209302326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2"/>
    </row>
    <row r="37" spans="2:16" ht="12.5">
      <c r="B37" s="160" t="str">
        <f t="shared" si="6"/>
        <v/>
      </c>
      <c r="C37" s="472">
        <f>IF(D11="","-",+C36+1)</f>
        <v>2030</v>
      </c>
      <c r="D37" s="485">
        <f>IF(F36+SUM(E$17:E36)=D$10,F36,D$10-SUM(E$17:E36))</f>
        <v>13509.848069731637</v>
      </c>
      <c r="E37" s="484">
        <f>IF(+I14&lt;F36,I14,D37)</f>
        <v>513.88372093023258</v>
      </c>
      <c r="F37" s="485">
        <f t="shared" si="13"/>
        <v>12995.964348801404</v>
      </c>
      <c r="G37" s="486">
        <f t="shared" si="14"/>
        <v>1914.8837209302326</v>
      </c>
      <c r="H37" s="455">
        <f t="shared" si="15"/>
        <v>1914.8837209302326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2"/>
    </row>
    <row r="38" spans="2:16" ht="12.5">
      <c r="B38" s="160" t="str">
        <f t="shared" si="6"/>
        <v/>
      </c>
      <c r="C38" s="472">
        <f>IF(D11="","-",+C37+1)</f>
        <v>2031</v>
      </c>
      <c r="D38" s="485">
        <f>IF(F37+SUM(E$17:E37)=D$10,F37,D$10-SUM(E$17:E37))</f>
        <v>12995.964348801404</v>
      </c>
      <c r="E38" s="484">
        <f>IF(+I14&lt;F37,I14,D38)</f>
        <v>513.88372093023258</v>
      </c>
      <c r="F38" s="485">
        <f t="shared" si="13"/>
        <v>12482.080627871172</v>
      </c>
      <c r="G38" s="486">
        <f t="shared" si="14"/>
        <v>1859.8837209302326</v>
      </c>
      <c r="H38" s="455">
        <f t="shared" si="15"/>
        <v>1859.8837209302326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2"/>
    </row>
    <row r="39" spans="2:16" ht="12.5">
      <c r="B39" s="160" t="str">
        <f t="shared" si="6"/>
        <v/>
      </c>
      <c r="C39" s="472">
        <f>IF(D11="","-",+C38+1)</f>
        <v>2032</v>
      </c>
      <c r="D39" s="485">
        <f>IF(F38+SUM(E$17:E38)=D$10,F38,D$10-SUM(E$17:E38))</f>
        <v>12482.080627871172</v>
      </c>
      <c r="E39" s="484">
        <f>IF(+I14&lt;F38,I14,D39)</f>
        <v>513.88372093023258</v>
      </c>
      <c r="F39" s="485">
        <f t="shared" si="13"/>
        <v>11968.196906940939</v>
      </c>
      <c r="G39" s="486">
        <f t="shared" si="14"/>
        <v>1803.8837209302326</v>
      </c>
      <c r="H39" s="455">
        <f t="shared" si="15"/>
        <v>1803.8837209302326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2"/>
    </row>
    <row r="40" spans="2:16" ht="12.5">
      <c r="B40" s="160" t="str">
        <f t="shared" si="6"/>
        <v/>
      </c>
      <c r="C40" s="472">
        <f>IF(D11="","-",+C39+1)</f>
        <v>2033</v>
      </c>
      <c r="D40" s="485">
        <f>IF(F39+SUM(E$17:E39)=D$10,F39,D$10-SUM(E$17:E39))</f>
        <v>11968.196906940939</v>
      </c>
      <c r="E40" s="484">
        <f>IF(+I14&lt;F39,I14,D40)</f>
        <v>513.88372093023258</v>
      </c>
      <c r="F40" s="485">
        <f t="shared" si="13"/>
        <v>11454.313186010706</v>
      </c>
      <c r="G40" s="486">
        <f t="shared" si="14"/>
        <v>1748.8837209302326</v>
      </c>
      <c r="H40" s="455">
        <f t="shared" si="15"/>
        <v>1748.8837209302326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2"/>
    </row>
    <row r="41" spans="2:16" ht="12.5">
      <c r="B41" s="160" t="str">
        <f t="shared" si="6"/>
        <v/>
      </c>
      <c r="C41" s="472">
        <f>IF(D11="","-",+C40+1)</f>
        <v>2034</v>
      </c>
      <c r="D41" s="485">
        <f>IF(F40+SUM(E$17:E40)=D$10,F40,D$10-SUM(E$17:E40))</f>
        <v>11454.313186010706</v>
      </c>
      <c r="E41" s="484">
        <f>IF(+I14&lt;F40,I14,D41)</f>
        <v>513.88372093023258</v>
      </c>
      <c r="F41" s="485">
        <f t="shared" si="13"/>
        <v>10940.429465080473</v>
      </c>
      <c r="G41" s="486">
        <f t="shared" si="14"/>
        <v>1693.8837209302326</v>
      </c>
      <c r="H41" s="455">
        <f t="shared" si="15"/>
        <v>1693.8837209302326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2"/>
    </row>
    <row r="42" spans="2:16" ht="12.5">
      <c r="B42" s="160" t="str">
        <f t="shared" si="6"/>
        <v/>
      </c>
      <c r="C42" s="472">
        <f>IF(D11="","-",+C41+1)</f>
        <v>2035</v>
      </c>
      <c r="D42" s="485">
        <f>IF(F41+SUM(E$17:E41)=D$10,F41,D$10-SUM(E$17:E41))</f>
        <v>10940.429465080473</v>
      </c>
      <c r="E42" s="484">
        <f>IF(+I14&lt;F41,I14,D42)</f>
        <v>513.88372093023258</v>
      </c>
      <c r="F42" s="485">
        <f t="shared" si="13"/>
        <v>10426.54574415024</v>
      </c>
      <c r="G42" s="486">
        <f t="shared" si="14"/>
        <v>1637.8837209302326</v>
      </c>
      <c r="H42" s="455">
        <f t="shared" si="15"/>
        <v>1637.8837209302326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2"/>
    </row>
    <row r="43" spans="2:16" ht="12.5">
      <c r="B43" s="160" t="str">
        <f t="shared" si="6"/>
        <v/>
      </c>
      <c r="C43" s="472">
        <f>IF(D11="","-",+C42+1)</f>
        <v>2036</v>
      </c>
      <c r="D43" s="485">
        <f>IF(F42+SUM(E$17:E42)=D$10,F42,D$10-SUM(E$17:E42))</f>
        <v>10426.54574415024</v>
      </c>
      <c r="E43" s="484">
        <f>IF(+I14&lt;F42,I14,D43)</f>
        <v>513.88372093023258</v>
      </c>
      <c r="F43" s="485">
        <f t="shared" si="13"/>
        <v>9912.6620232200075</v>
      </c>
      <c r="G43" s="486">
        <f t="shared" si="14"/>
        <v>1582.8837209302326</v>
      </c>
      <c r="H43" s="455">
        <f t="shared" si="15"/>
        <v>1582.8837209302326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2"/>
    </row>
    <row r="44" spans="2:16" ht="12.5">
      <c r="B44" s="160" t="str">
        <f t="shared" si="6"/>
        <v/>
      </c>
      <c r="C44" s="472">
        <f>IF(D11="","-",+C43+1)</f>
        <v>2037</v>
      </c>
      <c r="D44" s="485">
        <f>IF(F43+SUM(E$17:E43)=D$10,F43,D$10-SUM(E$17:E43))</f>
        <v>9912.6620232200075</v>
      </c>
      <c r="E44" s="484">
        <f>IF(+I14&lt;F43,I14,D44)</f>
        <v>513.88372093023258</v>
      </c>
      <c r="F44" s="485">
        <f t="shared" si="13"/>
        <v>9398.7783022897747</v>
      </c>
      <c r="G44" s="486">
        <f t="shared" si="14"/>
        <v>1526.8837209302326</v>
      </c>
      <c r="H44" s="455">
        <f t="shared" si="15"/>
        <v>1526.8837209302326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2"/>
    </row>
    <row r="45" spans="2:16" ht="12.5">
      <c r="B45" s="160" t="str">
        <f t="shared" si="6"/>
        <v/>
      </c>
      <c r="C45" s="472">
        <f>IF(D11="","-",+C44+1)</f>
        <v>2038</v>
      </c>
      <c r="D45" s="485">
        <f>IF(F44+SUM(E$17:E44)=D$10,F44,D$10-SUM(E$17:E44))</f>
        <v>9398.7783022897747</v>
      </c>
      <c r="E45" s="484">
        <f>IF(+I14&lt;F44,I14,D45)</f>
        <v>513.88372093023258</v>
      </c>
      <c r="F45" s="485">
        <f t="shared" si="13"/>
        <v>8884.8945813595419</v>
      </c>
      <c r="G45" s="486">
        <f t="shared" si="14"/>
        <v>1471.8837209302326</v>
      </c>
      <c r="H45" s="455">
        <f t="shared" si="15"/>
        <v>1471.8837209302326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2"/>
    </row>
    <row r="46" spans="2:16" ht="12.5">
      <c r="B46" s="160" t="str">
        <f t="shared" si="6"/>
        <v/>
      </c>
      <c r="C46" s="472">
        <f>IF(D11="","-",+C45+1)</f>
        <v>2039</v>
      </c>
      <c r="D46" s="485">
        <f>IF(F45+SUM(E$17:E45)=D$10,F45,D$10-SUM(E$17:E45))</f>
        <v>8884.8945813595419</v>
      </c>
      <c r="E46" s="484">
        <f>IF(+I14&lt;F45,I14,D46)</f>
        <v>513.88372093023258</v>
      </c>
      <c r="F46" s="485">
        <f t="shared" si="13"/>
        <v>8371.0108604293091</v>
      </c>
      <c r="G46" s="486">
        <f t="shared" si="14"/>
        <v>1416.8837209302326</v>
      </c>
      <c r="H46" s="455">
        <f t="shared" si="15"/>
        <v>1416.8837209302326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2"/>
    </row>
    <row r="47" spans="2:16" ht="12.5">
      <c r="B47" s="160" t="str">
        <f t="shared" si="6"/>
        <v/>
      </c>
      <c r="C47" s="472">
        <f>IF(D11="","-",+C46+1)</f>
        <v>2040</v>
      </c>
      <c r="D47" s="485">
        <f>IF(F46+SUM(E$17:E46)=D$10,F46,D$10-SUM(E$17:E46))</f>
        <v>8371.0108604293091</v>
      </c>
      <c r="E47" s="484">
        <f>IF(+I14&lt;F46,I14,D47)</f>
        <v>513.88372093023258</v>
      </c>
      <c r="F47" s="485">
        <f t="shared" si="13"/>
        <v>7857.1271394990763</v>
      </c>
      <c r="G47" s="486">
        <f t="shared" si="14"/>
        <v>1360.8837209302326</v>
      </c>
      <c r="H47" s="455">
        <f t="shared" si="15"/>
        <v>1360.8837209302326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2"/>
    </row>
    <row r="48" spans="2:16" ht="12.5">
      <c r="B48" s="160" t="str">
        <f t="shared" si="6"/>
        <v/>
      </c>
      <c r="C48" s="472">
        <f>IF(D11="","-",+C47+1)</f>
        <v>2041</v>
      </c>
      <c r="D48" s="485">
        <f>IF(F47+SUM(E$17:E47)=D$10,F47,D$10-SUM(E$17:E47))</f>
        <v>7857.1271394990763</v>
      </c>
      <c r="E48" s="484">
        <f>IF(+I14&lt;F47,I14,D48)</f>
        <v>513.88372093023258</v>
      </c>
      <c r="F48" s="485">
        <f t="shared" si="13"/>
        <v>7343.2434185688435</v>
      </c>
      <c r="G48" s="486">
        <f t="shared" si="14"/>
        <v>1305.8837209302326</v>
      </c>
      <c r="H48" s="455">
        <f t="shared" si="15"/>
        <v>1305.8837209302326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2"/>
    </row>
    <row r="49" spans="2:16" ht="12.5">
      <c r="B49" s="160" t="str">
        <f t="shared" si="6"/>
        <v/>
      </c>
      <c r="C49" s="472">
        <f>IF(D11="","-",+C48+1)</f>
        <v>2042</v>
      </c>
      <c r="D49" s="485">
        <f>IF(F48+SUM(E$17:E48)=D$10,F48,D$10-SUM(E$17:E48))</f>
        <v>7343.2434185688435</v>
      </c>
      <c r="E49" s="484">
        <f>IF(+I14&lt;F48,I14,D49)</f>
        <v>513.88372093023258</v>
      </c>
      <c r="F49" s="485">
        <f t="shared" ref="F49:F72" si="16">+D49-E49</f>
        <v>6829.3596976386107</v>
      </c>
      <c r="G49" s="486">
        <f t="shared" si="14"/>
        <v>1249.8837209302326</v>
      </c>
      <c r="H49" s="455">
        <f t="shared" si="15"/>
        <v>1249.8837209302326</v>
      </c>
      <c r="I49" s="475">
        <f t="shared" ref="I49:I72" si="17">H49-G49</f>
        <v>0</v>
      </c>
      <c r="J49" s="475"/>
      <c r="K49" s="487"/>
      <c r="L49" s="478">
        <f t="shared" ref="L49:L72" si="18">IF(K49&lt;&gt;0,+G49-K49,0)</f>
        <v>0</v>
      </c>
      <c r="M49" s="487"/>
      <c r="N49" s="478">
        <f t="shared" ref="N49:N72" si="19">IF(M49&lt;&gt;0,+H49-M49,0)</f>
        <v>0</v>
      </c>
      <c r="O49" s="478">
        <f t="shared" ref="O49:O72" si="20">+N49-L49</f>
        <v>0</v>
      </c>
      <c r="P49" s="242"/>
    </row>
    <row r="50" spans="2:16" ht="12.5">
      <c r="B50" s="160" t="str">
        <f t="shared" ref="B50:B72" si="21">IF(D50=F49,"","IU")</f>
        <v/>
      </c>
      <c r="C50" s="472">
        <f>IF(D11="","-",+C49+1)</f>
        <v>2043</v>
      </c>
      <c r="D50" s="485">
        <f>IF(F49+SUM(E$17:E49)=D$10,F49,D$10-SUM(E$17:E49))</f>
        <v>6829.3596976386107</v>
      </c>
      <c r="E50" s="484">
        <f>IF(+I14&lt;F49,I14,D50)</f>
        <v>513.88372093023258</v>
      </c>
      <c r="F50" s="485">
        <f t="shared" si="16"/>
        <v>6315.4759767083779</v>
      </c>
      <c r="G50" s="486">
        <f t="shared" ref="G50:G72" si="22">ROUND(I$12*F50,0)+E50</f>
        <v>1194.8837209302326</v>
      </c>
      <c r="H50" s="455">
        <f t="shared" ref="H50:H72" si="23">ROUND(I$13*F50,0)+E50</f>
        <v>1194.8837209302326</v>
      </c>
      <c r="I50" s="475">
        <f t="shared" si="17"/>
        <v>0</v>
      </c>
      <c r="J50" s="475"/>
      <c r="K50" s="487"/>
      <c r="L50" s="478">
        <f t="shared" si="18"/>
        <v>0</v>
      </c>
      <c r="M50" s="487"/>
      <c r="N50" s="478">
        <f t="shared" si="19"/>
        <v>0</v>
      </c>
      <c r="O50" s="478">
        <f t="shared" si="20"/>
        <v>0</v>
      </c>
      <c r="P50" s="242"/>
    </row>
    <row r="51" spans="2:16" ht="12.5">
      <c r="B51" s="160" t="str">
        <f t="shared" si="21"/>
        <v/>
      </c>
      <c r="C51" s="472">
        <f>IF(D11="","-",+C50+1)</f>
        <v>2044</v>
      </c>
      <c r="D51" s="485">
        <f>IF(F50+SUM(E$17:E50)=D$10,F50,D$10-SUM(E$17:E50))</f>
        <v>6315.4759767083779</v>
      </c>
      <c r="E51" s="484">
        <f>IF(+I14&lt;F50,I14,D51)</f>
        <v>513.88372093023258</v>
      </c>
      <c r="F51" s="485">
        <f t="shared" si="16"/>
        <v>5801.592255778145</v>
      </c>
      <c r="G51" s="486">
        <f t="shared" si="22"/>
        <v>1139.8837209302326</v>
      </c>
      <c r="H51" s="455">
        <f t="shared" si="23"/>
        <v>1139.8837209302326</v>
      </c>
      <c r="I51" s="475">
        <f t="shared" si="17"/>
        <v>0</v>
      </c>
      <c r="J51" s="475"/>
      <c r="K51" s="487"/>
      <c r="L51" s="478">
        <f t="shared" si="18"/>
        <v>0</v>
      </c>
      <c r="M51" s="487"/>
      <c r="N51" s="478">
        <f t="shared" si="19"/>
        <v>0</v>
      </c>
      <c r="O51" s="478">
        <f t="shared" si="20"/>
        <v>0</v>
      </c>
      <c r="P51" s="242"/>
    </row>
    <row r="52" spans="2:16" ht="12.5">
      <c r="B52" s="160" t="str">
        <f t="shared" si="21"/>
        <v/>
      </c>
      <c r="C52" s="472">
        <f>IF(D11="","-",+C51+1)</f>
        <v>2045</v>
      </c>
      <c r="D52" s="485">
        <f>IF(F51+SUM(E$17:E51)=D$10,F51,D$10-SUM(E$17:E51))</f>
        <v>5801.592255778145</v>
      </c>
      <c r="E52" s="484">
        <f>IF(+I14&lt;F51,I14,D52)</f>
        <v>513.88372093023258</v>
      </c>
      <c r="F52" s="485">
        <f t="shared" si="16"/>
        <v>5287.7085348479122</v>
      </c>
      <c r="G52" s="486">
        <f t="shared" si="22"/>
        <v>1083.8837209302326</v>
      </c>
      <c r="H52" s="455">
        <f t="shared" si="23"/>
        <v>1083.8837209302326</v>
      </c>
      <c r="I52" s="475">
        <f t="shared" si="17"/>
        <v>0</v>
      </c>
      <c r="J52" s="475"/>
      <c r="K52" s="487"/>
      <c r="L52" s="478">
        <f t="shared" si="18"/>
        <v>0</v>
      </c>
      <c r="M52" s="487"/>
      <c r="N52" s="478">
        <f t="shared" si="19"/>
        <v>0</v>
      </c>
      <c r="O52" s="478">
        <f t="shared" si="20"/>
        <v>0</v>
      </c>
      <c r="P52" s="242"/>
    </row>
    <row r="53" spans="2:16" ht="12.5">
      <c r="B53" s="160" t="str">
        <f t="shared" si="21"/>
        <v/>
      </c>
      <c r="C53" s="472">
        <f>IF(D11="","-",+C52+1)</f>
        <v>2046</v>
      </c>
      <c r="D53" s="485">
        <f>IF(F52+SUM(E$17:E52)=D$10,F52,D$10-SUM(E$17:E52))</f>
        <v>5287.7085348479122</v>
      </c>
      <c r="E53" s="484">
        <f>IF(+I14&lt;F52,I14,D53)</f>
        <v>513.88372093023258</v>
      </c>
      <c r="F53" s="485">
        <f t="shared" si="16"/>
        <v>4773.8248139176794</v>
      </c>
      <c r="G53" s="486">
        <f t="shared" si="22"/>
        <v>1028.8837209302326</v>
      </c>
      <c r="H53" s="455">
        <f t="shared" si="23"/>
        <v>1028.8837209302326</v>
      </c>
      <c r="I53" s="475">
        <f t="shared" si="17"/>
        <v>0</v>
      </c>
      <c r="J53" s="475"/>
      <c r="K53" s="487"/>
      <c r="L53" s="478">
        <f t="shared" si="18"/>
        <v>0</v>
      </c>
      <c r="M53" s="487"/>
      <c r="N53" s="478">
        <f t="shared" si="19"/>
        <v>0</v>
      </c>
      <c r="O53" s="478">
        <f t="shared" si="20"/>
        <v>0</v>
      </c>
      <c r="P53" s="242"/>
    </row>
    <row r="54" spans="2:16" ht="12.5">
      <c r="B54" s="160" t="str">
        <f t="shared" si="21"/>
        <v/>
      </c>
      <c r="C54" s="472">
        <f>IF(D11="","-",+C53+1)</f>
        <v>2047</v>
      </c>
      <c r="D54" s="485">
        <f>IF(F53+SUM(E$17:E53)=D$10,F53,D$10-SUM(E$17:E53))</f>
        <v>4773.8248139176794</v>
      </c>
      <c r="E54" s="484">
        <f>IF(+I14&lt;F53,I14,D54)</f>
        <v>513.88372093023258</v>
      </c>
      <c r="F54" s="485">
        <f t="shared" si="16"/>
        <v>4259.9410929874466</v>
      </c>
      <c r="G54" s="486">
        <f t="shared" si="22"/>
        <v>972.88372093023258</v>
      </c>
      <c r="H54" s="455">
        <f t="shared" si="23"/>
        <v>972.88372093023258</v>
      </c>
      <c r="I54" s="475">
        <f t="shared" si="17"/>
        <v>0</v>
      </c>
      <c r="J54" s="475"/>
      <c r="K54" s="487"/>
      <c r="L54" s="478">
        <f t="shared" si="18"/>
        <v>0</v>
      </c>
      <c r="M54" s="487"/>
      <c r="N54" s="478">
        <f t="shared" si="19"/>
        <v>0</v>
      </c>
      <c r="O54" s="478">
        <f t="shared" si="20"/>
        <v>0</v>
      </c>
      <c r="P54" s="242"/>
    </row>
    <row r="55" spans="2:16" ht="12.5">
      <c r="B55" s="160" t="str">
        <f t="shared" si="21"/>
        <v/>
      </c>
      <c r="C55" s="472">
        <f>IF(D11="","-",+C54+1)</f>
        <v>2048</v>
      </c>
      <c r="D55" s="485">
        <f>IF(F54+SUM(E$17:E54)=D$10,F54,D$10-SUM(E$17:E54))</f>
        <v>4259.9410929874466</v>
      </c>
      <c r="E55" s="484">
        <f>IF(+I14&lt;F54,I14,D55)</f>
        <v>513.88372093023258</v>
      </c>
      <c r="F55" s="485">
        <f t="shared" si="16"/>
        <v>3746.0573720572138</v>
      </c>
      <c r="G55" s="486">
        <f t="shared" si="22"/>
        <v>917.88372093023258</v>
      </c>
      <c r="H55" s="455">
        <f t="shared" si="23"/>
        <v>917.88372093023258</v>
      </c>
      <c r="I55" s="475">
        <f t="shared" si="17"/>
        <v>0</v>
      </c>
      <c r="J55" s="475"/>
      <c r="K55" s="487"/>
      <c r="L55" s="478">
        <f t="shared" si="18"/>
        <v>0</v>
      </c>
      <c r="M55" s="487"/>
      <c r="N55" s="478">
        <f t="shared" si="19"/>
        <v>0</v>
      </c>
      <c r="O55" s="478">
        <f t="shared" si="20"/>
        <v>0</v>
      </c>
      <c r="P55" s="242"/>
    </row>
    <row r="56" spans="2:16" ht="12.5">
      <c r="B56" s="160" t="str">
        <f t="shared" si="21"/>
        <v/>
      </c>
      <c r="C56" s="472">
        <f>IF(D11="","-",+C55+1)</f>
        <v>2049</v>
      </c>
      <c r="D56" s="485">
        <f>IF(F55+SUM(E$17:E55)=D$10,F55,D$10-SUM(E$17:E55))</f>
        <v>3746.0573720572138</v>
      </c>
      <c r="E56" s="484">
        <f>IF(+I14&lt;F55,I14,D56)</f>
        <v>513.88372093023258</v>
      </c>
      <c r="F56" s="485">
        <f t="shared" si="16"/>
        <v>3232.173651126981</v>
      </c>
      <c r="G56" s="486">
        <f t="shared" si="22"/>
        <v>861.88372093023258</v>
      </c>
      <c r="H56" s="455">
        <f t="shared" si="23"/>
        <v>861.88372093023258</v>
      </c>
      <c r="I56" s="475">
        <f t="shared" si="17"/>
        <v>0</v>
      </c>
      <c r="J56" s="475"/>
      <c r="K56" s="487"/>
      <c r="L56" s="478">
        <f t="shared" si="18"/>
        <v>0</v>
      </c>
      <c r="M56" s="487"/>
      <c r="N56" s="478">
        <f t="shared" si="19"/>
        <v>0</v>
      </c>
      <c r="O56" s="478">
        <f t="shared" si="20"/>
        <v>0</v>
      </c>
      <c r="P56" s="242"/>
    </row>
    <row r="57" spans="2:16" ht="12.5">
      <c r="B57" s="160" t="str">
        <f t="shared" si="21"/>
        <v/>
      </c>
      <c r="C57" s="472">
        <f>IF(D11="","-",+C56+1)</f>
        <v>2050</v>
      </c>
      <c r="D57" s="485">
        <f>IF(F56+SUM(E$17:E56)=D$10,F56,D$10-SUM(E$17:E56))</f>
        <v>3232.173651126981</v>
      </c>
      <c r="E57" s="484">
        <f>IF(+I14&lt;F56,I14,D57)</f>
        <v>513.88372093023258</v>
      </c>
      <c r="F57" s="485">
        <f t="shared" si="16"/>
        <v>2718.2899301967482</v>
      </c>
      <c r="G57" s="486">
        <f t="shared" si="22"/>
        <v>806.88372093023258</v>
      </c>
      <c r="H57" s="455">
        <f t="shared" si="23"/>
        <v>806.88372093023258</v>
      </c>
      <c r="I57" s="475">
        <f t="shared" si="17"/>
        <v>0</v>
      </c>
      <c r="J57" s="475"/>
      <c r="K57" s="487"/>
      <c r="L57" s="478">
        <f t="shared" si="18"/>
        <v>0</v>
      </c>
      <c r="M57" s="487"/>
      <c r="N57" s="478">
        <f t="shared" si="19"/>
        <v>0</v>
      </c>
      <c r="O57" s="478">
        <f t="shared" si="20"/>
        <v>0</v>
      </c>
      <c r="P57" s="242"/>
    </row>
    <row r="58" spans="2:16" ht="12.5">
      <c r="B58" s="160" t="str">
        <f t="shared" si="21"/>
        <v/>
      </c>
      <c r="C58" s="472">
        <f>IF(D11="","-",+C57+1)</f>
        <v>2051</v>
      </c>
      <c r="D58" s="485">
        <f>IF(F57+SUM(E$17:E57)=D$10,F57,D$10-SUM(E$17:E57))</f>
        <v>2718.2899301967482</v>
      </c>
      <c r="E58" s="484">
        <f>IF(+I14&lt;F57,I14,D58)</f>
        <v>513.88372093023258</v>
      </c>
      <c r="F58" s="485">
        <f t="shared" si="16"/>
        <v>2204.4062092665154</v>
      </c>
      <c r="G58" s="486">
        <f t="shared" si="22"/>
        <v>751.88372093023258</v>
      </c>
      <c r="H58" s="455">
        <f t="shared" si="23"/>
        <v>751.88372093023258</v>
      </c>
      <c r="I58" s="475">
        <f t="shared" si="17"/>
        <v>0</v>
      </c>
      <c r="J58" s="475"/>
      <c r="K58" s="487"/>
      <c r="L58" s="478">
        <f t="shared" si="18"/>
        <v>0</v>
      </c>
      <c r="M58" s="487"/>
      <c r="N58" s="478">
        <f t="shared" si="19"/>
        <v>0</v>
      </c>
      <c r="O58" s="478">
        <f t="shared" si="20"/>
        <v>0</v>
      </c>
      <c r="P58" s="242"/>
    </row>
    <row r="59" spans="2:16" ht="12.5">
      <c r="B59" s="160" t="str">
        <f t="shared" si="21"/>
        <v/>
      </c>
      <c r="C59" s="472">
        <f>IF(D11="","-",+C58+1)</f>
        <v>2052</v>
      </c>
      <c r="D59" s="485">
        <f>IF(F58+SUM(E$17:E58)=D$10,F58,D$10-SUM(E$17:E58))</f>
        <v>2204.4062092665154</v>
      </c>
      <c r="E59" s="484">
        <f>IF(+I14&lt;F58,I14,D59)</f>
        <v>513.88372093023258</v>
      </c>
      <c r="F59" s="485">
        <f t="shared" si="16"/>
        <v>1690.5224883362828</v>
      </c>
      <c r="G59" s="486">
        <f t="shared" si="22"/>
        <v>695.88372093023258</v>
      </c>
      <c r="H59" s="455">
        <f t="shared" si="23"/>
        <v>695.88372093023258</v>
      </c>
      <c r="I59" s="475">
        <f t="shared" si="17"/>
        <v>0</v>
      </c>
      <c r="J59" s="475"/>
      <c r="K59" s="487"/>
      <c r="L59" s="478">
        <f t="shared" si="18"/>
        <v>0</v>
      </c>
      <c r="M59" s="487"/>
      <c r="N59" s="478">
        <f t="shared" si="19"/>
        <v>0</v>
      </c>
      <c r="O59" s="478">
        <f t="shared" si="20"/>
        <v>0</v>
      </c>
      <c r="P59" s="242"/>
    </row>
    <row r="60" spans="2:16" ht="12.5">
      <c r="B60" s="160" t="str">
        <f t="shared" si="21"/>
        <v/>
      </c>
      <c r="C60" s="472">
        <f>IF(D11="","-",+C59+1)</f>
        <v>2053</v>
      </c>
      <c r="D60" s="485">
        <f>IF(F59+SUM(E$17:E59)=D$10,F59,D$10-SUM(E$17:E59))</f>
        <v>1690.5224883362828</v>
      </c>
      <c r="E60" s="484">
        <f>IF(+I14&lt;F59,I14,D60)</f>
        <v>513.88372093023258</v>
      </c>
      <c r="F60" s="485">
        <f t="shared" si="16"/>
        <v>1176.6387674060502</v>
      </c>
      <c r="G60" s="486">
        <f t="shared" si="22"/>
        <v>640.88372093023258</v>
      </c>
      <c r="H60" s="455">
        <f t="shared" si="23"/>
        <v>640.88372093023258</v>
      </c>
      <c r="I60" s="475">
        <f t="shared" si="17"/>
        <v>0</v>
      </c>
      <c r="J60" s="475"/>
      <c r="K60" s="487"/>
      <c r="L60" s="478">
        <f t="shared" si="18"/>
        <v>0</v>
      </c>
      <c r="M60" s="487"/>
      <c r="N60" s="478">
        <f t="shared" si="19"/>
        <v>0</v>
      </c>
      <c r="O60" s="478">
        <f t="shared" si="20"/>
        <v>0</v>
      </c>
      <c r="P60" s="242"/>
    </row>
    <row r="61" spans="2:16" ht="12.5">
      <c r="B61" s="160" t="str">
        <f t="shared" si="21"/>
        <v/>
      </c>
      <c r="C61" s="472">
        <f>IF(D11="","-",+C60+1)</f>
        <v>2054</v>
      </c>
      <c r="D61" s="485">
        <f>IF(F60+SUM(E$17:E60)=D$10,F60,D$10-SUM(E$17:E60))</f>
        <v>1176.6387674060502</v>
      </c>
      <c r="E61" s="484">
        <f>IF(+I14&lt;F60,I14,D61)</f>
        <v>513.88372093023258</v>
      </c>
      <c r="F61" s="485">
        <f t="shared" si="16"/>
        <v>662.75504647581761</v>
      </c>
      <c r="G61" s="488">
        <f t="shared" si="22"/>
        <v>584.88372093023258</v>
      </c>
      <c r="H61" s="455">
        <f t="shared" si="23"/>
        <v>584.88372093023258</v>
      </c>
      <c r="I61" s="475">
        <f t="shared" si="17"/>
        <v>0</v>
      </c>
      <c r="J61" s="475"/>
      <c r="K61" s="487"/>
      <c r="L61" s="478">
        <f t="shared" si="18"/>
        <v>0</v>
      </c>
      <c r="M61" s="487"/>
      <c r="N61" s="478">
        <f t="shared" si="19"/>
        <v>0</v>
      </c>
      <c r="O61" s="478">
        <f t="shared" si="20"/>
        <v>0</v>
      </c>
      <c r="P61" s="242"/>
    </row>
    <row r="62" spans="2:16" ht="12.5">
      <c r="B62" s="160" t="str">
        <f t="shared" si="21"/>
        <v/>
      </c>
      <c r="C62" s="472">
        <f>IF(D11="","-",+C61+1)</f>
        <v>2055</v>
      </c>
      <c r="D62" s="485">
        <f>IF(F61+SUM(E$17:E61)=D$10,F61,D$10-SUM(E$17:E61))</f>
        <v>662.75504647581761</v>
      </c>
      <c r="E62" s="484">
        <f>IF(+I14&lt;F61,I14,D62)</f>
        <v>513.88372093023258</v>
      </c>
      <c r="F62" s="485">
        <f t="shared" si="16"/>
        <v>148.87132554558502</v>
      </c>
      <c r="G62" s="488">
        <f t="shared" si="22"/>
        <v>529.88372093023258</v>
      </c>
      <c r="H62" s="455">
        <f t="shared" si="23"/>
        <v>529.88372093023258</v>
      </c>
      <c r="I62" s="475">
        <f t="shared" si="17"/>
        <v>0</v>
      </c>
      <c r="J62" s="475"/>
      <c r="K62" s="487"/>
      <c r="L62" s="478">
        <f t="shared" si="18"/>
        <v>0</v>
      </c>
      <c r="M62" s="487"/>
      <c r="N62" s="478">
        <f t="shared" si="19"/>
        <v>0</v>
      </c>
      <c r="O62" s="478">
        <f t="shared" si="20"/>
        <v>0</v>
      </c>
      <c r="P62" s="242"/>
    </row>
    <row r="63" spans="2:16" ht="12.5">
      <c r="B63" s="160" t="str">
        <f t="shared" si="21"/>
        <v/>
      </c>
      <c r="C63" s="472">
        <f>IF(D11="","-",+C62+1)</f>
        <v>2056</v>
      </c>
      <c r="D63" s="485">
        <f>IF(F62+SUM(E$17:E62)=D$10,F62,D$10-SUM(E$17:E62))</f>
        <v>148.87132554558502</v>
      </c>
      <c r="E63" s="484">
        <f>IF(+I14&lt;F62,I14,D63)</f>
        <v>148.87132554558502</v>
      </c>
      <c r="F63" s="485">
        <f t="shared" si="16"/>
        <v>0</v>
      </c>
      <c r="G63" s="488">
        <f t="shared" si="22"/>
        <v>148.87132554558502</v>
      </c>
      <c r="H63" s="455">
        <f t="shared" si="23"/>
        <v>148.87132554558502</v>
      </c>
      <c r="I63" s="475">
        <f t="shared" si="17"/>
        <v>0</v>
      </c>
      <c r="J63" s="475"/>
      <c r="K63" s="487"/>
      <c r="L63" s="478">
        <f t="shared" si="18"/>
        <v>0</v>
      </c>
      <c r="M63" s="487"/>
      <c r="N63" s="478">
        <f t="shared" si="19"/>
        <v>0</v>
      </c>
      <c r="O63" s="478">
        <f t="shared" si="20"/>
        <v>0</v>
      </c>
      <c r="P63" s="242"/>
    </row>
    <row r="64" spans="2:16" ht="12.5">
      <c r="B64" s="160" t="str">
        <f t="shared" si="21"/>
        <v/>
      </c>
      <c r="C64" s="472">
        <f>IF(D11="","-",+C63+1)</f>
        <v>2057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6"/>
        <v>0</v>
      </c>
      <c r="G64" s="488">
        <f t="shared" si="22"/>
        <v>0</v>
      </c>
      <c r="H64" s="455">
        <f t="shared" si="23"/>
        <v>0</v>
      </c>
      <c r="I64" s="475">
        <f t="shared" si="17"/>
        <v>0</v>
      </c>
      <c r="J64" s="475"/>
      <c r="K64" s="487"/>
      <c r="L64" s="478">
        <f t="shared" si="18"/>
        <v>0</v>
      </c>
      <c r="M64" s="487"/>
      <c r="N64" s="478">
        <f t="shared" si="19"/>
        <v>0</v>
      </c>
      <c r="O64" s="478">
        <f t="shared" si="20"/>
        <v>0</v>
      </c>
      <c r="P64" s="242"/>
    </row>
    <row r="65" spans="2:16" ht="12.5">
      <c r="B65" s="160" t="str">
        <f t="shared" si="21"/>
        <v/>
      </c>
      <c r="C65" s="472">
        <f>IF(D11="","-",+C64+1)</f>
        <v>2058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6"/>
        <v>0</v>
      </c>
      <c r="G65" s="488">
        <f t="shared" si="22"/>
        <v>0</v>
      </c>
      <c r="H65" s="455">
        <f t="shared" si="23"/>
        <v>0</v>
      </c>
      <c r="I65" s="475">
        <f t="shared" si="17"/>
        <v>0</v>
      </c>
      <c r="J65" s="475"/>
      <c r="K65" s="487"/>
      <c r="L65" s="478">
        <f t="shared" si="18"/>
        <v>0</v>
      </c>
      <c r="M65" s="487"/>
      <c r="N65" s="478">
        <f t="shared" si="19"/>
        <v>0</v>
      </c>
      <c r="O65" s="478">
        <f t="shared" si="20"/>
        <v>0</v>
      </c>
      <c r="P65" s="242"/>
    </row>
    <row r="66" spans="2:16" ht="12.5">
      <c r="B66" s="160" t="str">
        <f t="shared" si="21"/>
        <v/>
      </c>
      <c r="C66" s="472">
        <f>IF(D11="","-",+C65+1)</f>
        <v>2059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6"/>
        <v>0</v>
      </c>
      <c r="G66" s="488">
        <f t="shared" si="22"/>
        <v>0</v>
      </c>
      <c r="H66" s="455">
        <f t="shared" si="23"/>
        <v>0</v>
      </c>
      <c r="I66" s="475">
        <f t="shared" si="17"/>
        <v>0</v>
      </c>
      <c r="J66" s="475"/>
      <c r="K66" s="487"/>
      <c r="L66" s="478">
        <f t="shared" si="18"/>
        <v>0</v>
      </c>
      <c r="M66" s="487"/>
      <c r="N66" s="478">
        <f t="shared" si="19"/>
        <v>0</v>
      </c>
      <c r="O66" s="478">
        <f t="shared" si="20"/>
        <v>0</v>
      </c>
      <c r="P66" s="242"/>
    </row>
    <row r="67" spans="2:16" ht="12.5">
      <c r="B67" s="160" t="str">
        <f t="shared" si="21"/>
        <v/>
      </c>
      <c r="C67" s="472">
        <f>IF(D11="","-",+C66+1)</f>
        <v>2060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6"/>
        <v>0</v>
      </c>
      <c r="G67" s="488">
        <f t="shared" si="22"/>
        <v>0</v>
      </c>
      <c r="H67" s="455">
        <f t="shared" si="23"/>
        <v>0</v>
      </c>
      <c r="I67" s="475">
        <f t="shared" si="17"/>
        <v>0</v>
      </c>
      <c r="J67" s="475"/>
      <c r="K67" s="487"/>
      <c r="L67" s="478">
        <f t="shared" si="18"/>
        <v>0</v>
      </c>
      <c r="M67" s="487"/>
      <c r="N67" s="478">
        <f t="shared" si="19"/>
        <v>0</v>
      </c>
      <c r="O67" s="478">
        <f t="shared" si="20"/>
        <v>0</v>
      </c>
      <c r="P67" s="242"/>
    </row>
    <row r="68" spans="2:16" ht="12.5">
      <c r="B68" s="160" t="str">
        <f t="shared" si="21"/>
        <v/>
      </c>
      <c r="C68" s="472">
        <f>IF(D11="","-",+C67+1)</f>
        <v>2061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6"/>
        <v>0</v>
      </c>
      <c r="G68" s="488">
        <f t="shared" si="22"/>
        <v>0</v>
      </c>
      <c r="H68" s="455">
        <f t="shared" si="23"/>
        <v>0</v>
      </c>
      <c r="I68" s="475">
        <f t="shared" si="17"/>
        <v>0</v>
      </c>
      <c r="J68" s="475"/>
      <c r="K68" s="487"/>
      <c r="L68" s="478">
        <f t="shared" si="18"/>
        <v>0</v>
      </c>
      <c r="M68" s="487"/>
      <c r="N68" s="478">
        <f t="shared" si="19"/>
        <v>0</v>
      </c>
      <c r="O68" s="478">
        <f t="shared" si="20"/>
        <v>0</v>
      </c>
      <c r="P68" s="242"/>
    </row>
    <row r="69" spans="2:16" ht="12.5">
      <c r="B69" s="160" t="str">
        <f t="shared" si="21"/>
        <v/>
      </c>
      <c r="C69" s="472">
        <f>IF(D11="","-",+C68+1)</f>
        <v>2062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6"/>
        <v>0</v>
      </c>
      <c r="G69" s="488">
        <f t="shared" si="22"/>
        <v>0</v>
      </c>
      <c r="H69" s="455">
        <f t="shared" si="23"/>
        <v>0</v>
      </c>
      <c r="I69" s="475">
        <f t="shared" si="17"/>
        <v>0</v>
      </c>
      <c r="J69" s="475"/>
      <c r="K69" s="487"/>
      <c r="L69" s="478">
        <f t="shared" si="18"/>
        <v>0</v>
      </c>
      <c r="M69" s="487"/>
      <c r="N69" s="478">
        <f t="shared" si="19"/>
        <v>0</v>
      </c>
      <c r="O69" s="478">
        <f t="shared" si="20"/>
        <v>0</v>
      </c>
      <c r="P69" s="242"/>
    </row>
    <row r="70" spans="2:16" ht="12.5">
      <c r="B70" s="160" t="str">
        <f t="shared" si="21"/>
        <v/>
      </c>
      <c r="C70" s="472">
        <f>IF(D11="","-",+C69+1)</f>
        <v>2063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6"/>
        <v>0</v>
      </c>
      <c r="G70" s="488">
        <f t="shared" si="22"/>
        <v>0</v>
      </c>
      <c r="H70" s="455">
        <f t="shared" si="23"/>
        <v>0</v>
      </c>
      <c r="I70" s="475">
        <f t="shared" si="17"/>
        <v>0</v>
      </c>
      <c r="J70" s="475"/>
      <c r="K70" s="487"/>
      <c r="L70" s="478">
        <f t="shared" si="18"/>
        <v>0</v>
      </c>
      <c r="M70" s="487"/>
      <c r="N70" s="478">
        <f t="shared" si="19"/>
        <v>0</v>
      </c>
      <c r="O70" s="478">
        <f t="shared" si="20"/>
        <v>0</v>
      </c>
      <c r="P70" s="242"/>
    </row>
    <row r="71" spans="2:16" ht="12.5">
      <c r="B71" s="160" t="str">
        <f t="shared" si="21"/>
        <v/>
      </c>
      <c r="C71" s="472">
        <f>IF(D11="","-",+C70+1)</f>
        <v>2064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6"/>
        <v>0</v>
      </c>
      <c r="G71" s="488">
        <f t="shared" si="22"/>
        <v>0</v>
      </c>
      <c r="H71" s="455">
        <f t="shared" si="23"/>
        <v>0</v>
      </c>
      <c r="I71" s="475">
        <f t="shared" si="17"/>
        <v>0</v>
      </c>
      <c r="J71" s="475"/>
      <c r="K71" s="487"/>
      <c r="L71" s="478">
        <f t="shared" si="18"/>
        <v>0</v>
      </c>
      <c r="M71" s="487"/>
      <c r="N71" s="478">
        <f t="shared" si="19"/>
        <v>0</v>
      </c>
      <c r="O71" s="478">
        <f t="shared" si="20"/>
        <v>0</v>
      </c>
      <c r="P71" s="242"/>
    </row>
    <row r="72" spans="2:16" ht="13" thickBot="1">
      <c r="B72" s="160" t="str">
        <f t="shared" si="21"/>
        <v/>
      </c>
      <c r="C72" s="489">
        <f>IF(D11="","-",+C71+1)</f>
        <v>2065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6"/>
        <v>0</v>
      </c>
      <c r="G72" s="492">
        <f t="shared" si="22"/>
        <v>0</v>
      </c>
      <c r="H72" s="435">
        <f t="shared" si="23"/>
        <v>0</v>
      </c>
      <c r="I72" s="493">
        <f t="shared" si="17"/>
        <v>0</v>
      </c>
      <c r="J72" s="475"/>
      <c r="K72" s="494"/>
      <c r="L72" s="495">
        <f t="shared" si="18"/>
        <v>0</v>
      </c>
      <c r="M72" s="494"/>
      <c r="N72" s="495">
        <f t="shared" si="19"/>
        <v>0</v>
      </c>
      <c r="O72" s="495">
        <f t="shared" si="20"/>
        <v>0</v>
      </c>
      <c r="P72" s="242"/>
    </row>
    <row r="73" spans="2:16" ht="12.5">
      <c r="C73" s="346" t="s">
        <v>77</v>
      </c>
      <c r="D73" s="347"/>
      <c r="E73" s="347">
        <f>SUM(E17:E72)</f>
        <v>22097</v>
      </c>
      <c r="F73" s="347"/>
      <c r="G73" s="347">
        <f>SUM(G17:G72)</f>
        <v>79067.989946361995</v>
      </c>
      <c r="H73" s="347">
        <f>SUM(H17:H72)</f>
        <v>79067.989946361995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13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2666.8814890183439</v>
      </c>
      <c r="N87" s="508">
        <f>IF(J92&lt;D11,0,VLOOKUP(J92,C17:O72,11))</f>
        <v>2666.8814890183439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2484.3492160371716</v>
      </c>
      <c r="N88" s="512">
        <f>IF(J92&lt;D11,0,VLOOKUP(J92,C99:P154,7))</f>
        <v>2484.3492160371716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CoffeyvilleT to Dearing 138 kv Rebuild - 1.1 mi*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-182.53227298117235</v>
      </c>
      <c r="N89" s="517">
        <f>+N88-N87</f>
        <v>-182.53227298117235</v>
      </c>
      <c r="O89" s="518">
        <f>+O88-O87</f>
        <v>0</v>
      </c>
      <c r="P89" s="232"/>
    </row>
    <row r="90" spans="1:16" ht="13.5" thickBot="1">
      <c r="C90" s="496"/>
      <c r="D90" s="519" t="str">
        <f>D8</f>
        <v>DOES NOT MEET SPP $100,000 MINIMUM INVESTMENT FOR REGIONAL BPU SHARING.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TP2008013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22097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2010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539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590">
        <f>D93</f>
        <v>2010</v>
      </c>
      <c r="D99" s="591">
        <v>0</v>
      </c>
      <c r="E99" s="592">
        <v>0</v>
      </c>
      <c r="F99" s="592">
        <v>0</v>
      </c>
      <c r="G99" s="592">
        <v>0</v>
      </c>
      <c r="H99" s="593">
        <v>0</v>
      </c>
      <c r="I99" s="592">
        <v>0</v>
      </c>
      <c r="J99" s="594">
        <v>0</v>
      </c>
      <c r="K99" s="478"/>
      <c r="L99" s="567">
        <f t="shared" ref="L99:L104" si="24">H99</f>
        <v>0</v>
      </c>
      <c r="M99" s="568">
        <f t="shared" ref="M99:M104" si="25">IF(L99&lt;&gt;0,+H99-L99,0)</f>
        <v>0</v>
      </c>
      <c r="N99" s="567">
        <f t="shared" ref="N99:N104" si="26">I99</f>
        <v>0</v>
      </c>
      <c r="O99" s="477">
        <f t="shared" ref="O99:O104" si="27">IF(N99&lt;&gt;0,+I99-N99,0)</f>
        <v>0</v>
      </c>
      <c r="P99" s="477">
        <f t="shared" ref="P99:P104" si="28">+O99-M99</f>
        <v>0</v>
      </c>
    </row>
    <row r="100" spans="1:16" ht="12.5">
      <c r="C100" s="472">
        <f>IF(D91="","-",+C99+1)</f>
        <v>2011</v>
      </c>
      <c r="D100" s="595">
        <v>0</v>
      </c>
      <c r="E100" s="596">
        <v>0</v>
      </c>
      <c r="F100" s="596">
        <v>0</v>
      </c>
      <c r="G100" s="596">
        <v>0</v>
      </c>
      <c r="H100" s="597">
        <v>0</v>
      </c>
      <c r="I100" s="596">
        <v>0</v>
      </c>
      <c r="J100" s="598">
        <v>0</v>
      </c>
      <c r="K100" s="478"/>
      <c r="L100" s="540">
        <f t="shared" si="24"/>
        <v>0</v>
      </c>
      <c r="M100" s="541">
        <f t="shared" si="25"/>
        <v>0</v>
      </c>
      <c r="N100" s="540">
        <f t="shared" si="26"/>
        <v>0</v>
      </c>
      <c r="O100" s="478">
        <f t="shared" si="27"/>
        <v>0</v>
      </c>
      <c r="P100" s="478">
        <f t="shared" si="28"/>
        <v>0</v>
      </c>
    </row>
    <row r="101" spans="1:16" ht="12.5">
      <c r="C101" s="472">
        <f>IF(D92="","-",+C100+1)</f>
        <v>2012</v>
      </c>
      <c r="D101" s="578">
        <v>22097</v>
      </c>
      <c r="E101" s="579">
        <v>212.5</v>
      </c>
      <c r="F101" s="580">
        <v>21884.5</v>
      </c>
      <c r="G101" s="580">
        <v>21990.75</v>
      </c>
      <c r="H101" s="582">
        <v>3375.9899363381005</v>
      </c>
      <c r="I101" s="583">
        <v>3375.9899363381005</v>
      </c>
      <c r="J101" s="478">
        <v>0</v>
      </c>
      <c r="K101" s="478"/>
      <c r="L101" s="540">
        <f t="shared" si="24"/>
        <v>3375.9899363381005</v>
      </c>
      <c r="M101" s="541">
        <f t="shared" si="25"/>
        <v>0</v>
      </c>
      <c r="N101" s="540">
        <f t="shared" si="26"/>
        <v>3375.9899363381005</v>
      </c>
      <c r="O101" s="478">
        <f t="shared" si="27"/>
        <v>0</v>
      </c>
      <c r="P101" s="478">
        <f t="shared" si="28"/>
        <v>0</v>
      </c>
    </row>
    <row r="102" spans="1:16" ht="12.5">
      <c r="B102" s="160" t="str">
        <f t="shared" ref="B102:B133" si="29">IF(D102=F101,"","IU")</f>
        <v/>
      </c>
      <c r="C102" s="472">
        <f>IF(D93="","-",+C101+1)</f>
        <v>2013</v>
      </c>
      <c r="D102" s="578">
        <v>21884.5</v>
      </c>
      <c r="E102" s="579">
        <v>425</v>
      </c>
      <c r="F102" s="580">
        <v>21459.5</v>
      </c>
      <c r="G102" s="580">
        <v>21672</v>
      </c>
      <c r="H102" s="582">
        <v>3544.458879858515</v>
      </c>
      <c r="I102" s="583">
        <v>3544.458879858515</v>
      </c>
      <c r="J102" s="478">
        <v>0</v>
      </c>
      <c r="K102" s="478"/>
      <c r="L102" s="540">
        <f t="shared" si="24"/>
        <v>3544.458879858515</v>
      </c>
      <c r="M102" s="541">
        <f t="shared" si="25"/>
        <v>0</v>
      </c>
      <c r="N102" s="540">
        <f t="shared" si="26"/>
        <v>3544.458879858515</v>
      </c>
      <c r="O102" s="478">
        <f t="shared" si="27"/>
        <v>0</v>
      </c>
      <c r="P102" s="478">
        <f t="shared" si="28"/>
        <v>0</v>
      </c>
    </row>
    <row r="103" spans="1:16" ht="12.5">
      <c r="B103" s="160" t="str">
        <f t="shared" si="29"/>
        <v/>
      </c>
      <c r="C103" s="472">
        <f>IF(D93="","-",+C102+1)</f>
        <v>2014</v>
      </c>
      <c r="D103" s="578">
        <v>21459.5</v>
      </c>
      <c r="E103" s="579">
        <v>425</v>
      </c>
      <c r="F103" s="580">
        <v>21034.5</v>
      </c>
      <c r="G103" s="580">
        <v>21247</v>
      </c>
      <c r="H103" s="582">
        <v>3412.2413474199548</v>
      </c>
      <c r="I103" s="583">
        <v>3412.2413474199548</v>
      </c>
      <c r="J103" s="478">
        <v>0</v>
      </c>
      <c r="K103" s="478"/>
      <c r="L103" s="540">
        <f t="shared" si="24"/>
        <v>3412.2413474199548</v>
      </c>
      <c r="M103" s="541">
        <f t="shared" si="25"/>
        <v>0</v>
      </c>
      <c r="N103" s="540">
        <f t="shared" si="26"/>
        <v>3412.2413474199548</v>
      </c>
      <c r="O103" s="478">
        <f t="shared" si="27"/>
        <v>0</v>
      </c>
      <c r="P103" s="478">
        <f t="shared" si="28"/>
        <v>0</v>
      </c>
    </row>
    <row r="104" spans="1:16" ht="12.5">
      <c r="B104" s="160" t="str">
        <f t="shared" si="29"/>
        <v/>
      </c>
      <c r="C104" s="472">
        <f>IF(D93="","-",+C103+1)</f>
        <v>2015</v>
      </c>
      <c r="D104" s="578">
        <v>21034.5</v>
      </c>
      <c r="E104" s="579">
        <v>425</v>
      </c>
      <c r="F104" s="580">
        <v>20609.5</v>
      </c>
      <c r="G104" s="580">
        <v>20822</v>
      </c>
      <c r="H104" s="582">
        <v>3265.9944828697971</v>
      </c>
      <c r="I104" s="583">
        <v>3265.9944828697971</v>
      </c>
      <c r="J104" s="478">
        <f t="shared" ref="J104:J132" si="30">+I104-H104</f>
        <v>0</v>
      </c>
      <c r="K104" s="478"/>
      <c r="L104" s="540">
        <f t="shared" si="24"/>
        <v>3265.9944828697971</v>
      </c>
      <c r="M104" s="541">
        <f t="shared" si="25"/>
        <v>0</v>
      </c>
      <c r="N104" s="540">
        <f t="shared" si="26"/>
        <v>3265.9944828697971</v>
      </c>
      <c r="O104" s="478">
        <f t="shared" si="27"/>
        <v>0</v>
      </c>
      <c r="P104" s="478">
        <f t="shared" si="28"/>
        <v>0</v>
      </c>
    </row>
    <row r="105" spans="1:16" ht="12.5">
      <c r="B105" s="160" t="str">
        <f t="shared" si="29"/>
        <v/>
      </c>
      <c r="C105" s="472">
        <f>IF(D93="","-",+C104+1)</f>
        <v>2016</v>
      </c>
      <c r="D105" s="578">
        <v>20609.5</v>
      </c>
      <c r="E105" s="579">
        <v>480</v>
      </c>
      <c r="F105" s="580">
        <v>20129.5</v>
      </c>
      <c r="G105" s="580">
        <v>20369.5</v>
      </c>
      <c r="H105" s="582">
        <v>3105.9493466960757</v>
      </c>
      <c r="I105" s="583">
        <v>3105.9493466960757</v>
      </c>
      <c r="J105" s="478">
        <f t="shared" si="30"/>
        <v>0</v>
      </c>
      <c r="K105" s="478"/>
      <c r="L105" s="540">
        <f>H105</f>
        <v>3105.9493466960757</v>
      </c>
      <c r="M105" s="541">
        <f>IF(L105&lt;&gt;0,+H105-L105,0)</f>
        <v>0</v>
      </c>
      <c r="N105" s="540">
        <f>I105</f>
        <v>3105.9493466960757</v>
      </c>
      <c r="O105" s="478">
        <f>IF(N105&lt;&gt;0,+I105-N105,0)</f>
        <v>0</v>
      </c>
      <c r="P105" s="478">
        <f>+O105-M105</f>
        <v>0</v>
      </c>
    </row>
    <row r="106" spans="1:16" ht="12.5">
      <c r="B106" s="160" t="str">
        <f t="shared" si="29"/>
        <v/>
      </c>
      <c r="C106" s="472">
        <f>IF(D93="","-",+C105+1)</f>
        <v>2017</v>
      </c>
      <c r="D106" s="578">
        <v>20129.5</v>
      </c>
      <c r="E106" s="579">
        <v>480</v>
      </c>
      <c r="F106" s="580">
        <v>19649.5</v>
      </c>
      <c r="G106" s="580">
        <v>19889.5</v>
      </c>
      <c r="H106" s="582">
        <v>3003.0332263920673</v>
      </c>
      <c r="I106" s="583">
        <v>3003.0332263920673</v>
      </c>
      <c r="J106" s="478">
        <f t="shared" si="30"/>
        <v>0</v>
      </c>
      <c r="K106" s="478"/>
      <c r="L106" s="540">
        <f>H106</f>
        <v>3003.0332263920673</v>
      </c>
      <c r="M106" s="541">
        <f>IF(L106&lt;&gt;0,+H106-L106,0)</f>
        <v>0</v>
      </c>
      <c r="N106" s="540">
        <f>I106</f>
        <v>3003.0332263920673</v>
      </c>
      <c r="O106" s="478">
        <f>IF(N106&lt;&gt;0,+I106-N106,0)</f>
        <v>0</v>
      </c>
      <c r="P106" s="478">
        <f>+O106-M106</f>
        <v>0</v>
      </c>
    </row>
    <row r="107" spans="1:16" ht="12.5">
      <c r="B107" s="160" t="str">
        <f t="shared" si="29"/>
        <v/>
      </c>
      <c r="C107" s="472">
        <f>IF(D93="","-",+C106+1)</f>
        <v>2018</v>
      </c>
      <c r="D107" s="578">
        <v>19649.5</v>
      </c>
      <c r="E107" s="579">
        <v>514</v>
      </c>
      <c r="F107" s="580">
        <v>19135.5</v>
      </c>
      <c r="G107" s="580">
        <v>19392.5</v>
      </c>
      <c r="H107" s="582">
        <v>2506.299479691007</v>
      </c>
      <c r="I107" s="583">
        <v>2506.299479691007</v>
      </c>
      <c r="J107" s="478">
        <f t="shared" si="30"/>
        <v>0</v>
      </c>
      <c r="K107" s="478"/>
      <c r="L107" s="540">
        <f>H107</f>
        <v>2506.299479691007</v>
      </c>
      <c r="M107" s="541">
        <f>IF(L107&lt;&gt;0,+H107-L107,0)</f>
        <v>0</v>
      </c>
      <c r="N107" s="540">
        <f>I107</f>
        <v>2506.299479691007</v>
      </c>
      <c r="O107" s="478">
        <f>IF(N107&lt;&gt;0,+I107-N107,0)</f>
        <v>0</v>
      </c>
      <c r="P107" s="478">
        <f>+O107-M107</f>
        <v>0</v>
      </c>
    </row>
    <row r="108" spans="1:16" ht="12.5">
      <c r="B108" s="160" t="str">
        <f t="shared" si="29"/>
        <v/>
      </c>
      <c r="C108" s="472">
        <f>IF(D93="","-",+C107+1)</f>
        <v>2019</v>
      </c>
      <c r="D108" s="346">
        <f>IF(F107+SUM(E$101:E107)=D$92,F107,D$92-SUM(E$101:E107))</f>
        <v>19135.5</v>
      </c>
      <c r="E108" s="484">
        <f>IF(+J96&lt;F107,J96,D108)</f>
        <v>539</v>
      </c>
      <c r="F108" s="485">
        <f t="shared" ref="F108:F133" si="31">+D108-E108</f>
        <v>18596.5</v>
      </c>
      <c r="G108" s="485">
        <f t="shared" ref="G108:G132" si="32">+(F108+D108)/2</f>
        <v>18866</v>
      </c>
      <c r="H108" s="488">
        <f t="shared" ref="H108:H132" si="33">+J$94*G108+E108</f>
        <v>2484.3492160371716</v>
      </c>
      <c r="I108" s="542">
        <f t="shared" ref="I108:I132" si="34">+J$95*G108+E108</f>
        <v>2484.3492160371716</v>
      </c>
      <c r="J108" s="478">
        <f t="shared" si="30"/>
        <v>0</v>
      </c>
      <c r="K108" s="478"/>
      <c r="L108" s="487"/>
      <c r="M108" s="478">
        <f t="shared" ref="M108:M130" si="35">IF(L108&lt;&gt;0,+H110-L108,0)</f>
        <v>0</v>
      </c>
      <c r="N108" s="487"/>
      <c r="O108" s="478">
        <f t="shared" ref="O108:O130" si="36">IF(N108&lt;&gt;0,+I110-N108,0)</f>
        <v>0</v>
      </c>
      <c r="P108" s="478">
        <f t="shared" ref="P108:P130" si="37">+O108-M108</f>
        <v>0</v>
      </c>
    </row>
    <row r="109" spans="1:16" ht="12.5">
      <c r="B109" s="160" t="str">
        <f t="shared" si="29"/>
        <v/>
      </c>
      <c r="C109" s="472">
        <f>IF(D93="","-",+C108+1)</f>
        <v>2020</v>
      </c>
      <c r="D109" s="346">
        <f>IF(F108+SUM(E$101:E108)=D$92,F108,D$92-SUM(E$101:E108))</f>
        <v>18596.5</v>
      </c>
      <c r="E109" s="486">
        <f>IF(+J96&lt;F108,J96,D109)</f>
        <v>539</v>
      </c>
      <c r="F109" s="485">
        <f t="shared" si="31"/>
        <v>18057.5</v>
      </c>
      <c r="G109" s="485">
        <f t="shared" si="32"/>
        <v>18327</v>
      </c>
      <c r="H109" s="488">
        <f t="shared" si="33"/>
        <v>2428.7707559797118</v>
      </c>
      <c r="I109" s="542">
        <f t="shared" si="34"/>
        <v>2428.7707559797118</v>
      </c>
      <c r="J109" s="478">
        <f t="shared" si="30"/>
        <v>0</v>
      </c>
      <c r="K109" s="478"/>
      <c r="L109" s="487"/>
      <c r="M109" s="478">
        <f t="shared" si="35"/>
        <v>0</v>
      </c>
      <c r="N109" s="487"/>
      <c r="O109" s="478">
        <f t="shared" si="36"/>
        <v>0</v>
      </c>
      <c r="P109" s="478">
        <f t="shared" si="37"/>
        <v>0</v>
      </c>
    </row>
    <row r="110" spans="1:16" ht="12.5">
      <c r="B110" s="160" t="str">
        <f t="shared" si="29"/>
        <v/>
      </c>
      <c r="C110" s="472">
        <f>IF(D93="","-",+C109+1)</f>
        <v>2021</v>
      </c>
      <c r="D110" s="346">
        <f>IF(F109+SUM(E$101:E109)=D$92,F109,D$92-SUM(E$101:E109))</f>
        <v>18057.5</v>
      </c>
      <c r="E110" s="486">
        <f>IF(+J96&lt;F109,J96,D110)</f>
        <v>539</v>
      </c>
      <c r="F110" s="485">
        <f t="shared" si="31"/>
        <v>17518.5</v>
      </c>
      <c r="G110" s="485">
        <f t="shared" si="32"/>
        <v>17788</v>
      </c>
      <c r="H110" s="488">
        <f t="shared" si="33"/>
        <v>2373.192295922252</v>
      </c>
      <c r="I110" s="542">
        <f t="shared" si="34"/>
        <v>2373.192295922252</v>
      </c>
      <c r="J110" s="478">
        <f t="shared" si="30"/>
        <v>0</v>
      </c>
      <c r="K110" s="478"/>
      <c r="L110" s="487"/>
      <c r="M110" s="478">
        <f t="shared" si="35"/>
        <v>0</v>
      </c>
      <c r="N110" s="487"/>
      <c r="O110" s="478">
        <f t="shared" si="36"/>
        <v>0</v>
      </c>
      <c r="P110" s="478">
        <f t="shared" si="37"/>
        <v>0</v>
      </c>
    </row>
    <row r="111" spans="1:16" ht="12.5">
      <c r="B111" s="160" t="str">
        <f t="shared" si="29"/>
        <v/>
      </c>
      <c r="C111" s="472">
        <f>IF(D93="","-",+C110+1)</f>
        <v>2022</v>
      </c>
      <c r="D111" s="346">
        <f>IF(F110+SUM(E$101:E110)=D$92,F110,D$92-SUM(E$101:E110))</f>
        <v>17518.5</v>
      </c>
      <c r="E111" s="486">
        <f>IF(+J96&lt;F110,J96,D111)</f>
        <v>539</v>
      </c>
      <c r="F111" s="485">
        <f t="shared" si="31"/>
        <v>16979.5</v>
      </c>
      <c r="G111" s="485">
        <f t="shared" si="32"/>
        <v>17249</v>
      </c>
      <c r="H111" s="488">
        <f t="shared" si="33"/>
        <v>2317.6138358647922</v>
      </c>
      <c r="I111" s="542">
        <f t="shared" si="34"/>
        <v>2317.6138358647922</v>
      </c>
      <c r="J111" s="478">
        <f t="shared" si="30"/>
        <v>0</v>
      </c>
      <c r="K111" s="478"/>
      <c r="L111" s="487"/>
      <c r="M111" s="478">
        <f t="shared" si="35"/>
        <v>0</v>
      </c>
      <c r="N111" s="487"/>
      <c r="O111" s="478">
        <f t="shared" si="36"/>
        <v>0</v>
      </c>
      <c r="P111" s="478">
        <f t="shared" si="37"/>
        <v>0</v>
      </c>
    </row>
    <row r="112" spans="1:16" ht="12.5">
      <c r="B112" s="160" t="str">
        <f t="shared" si="29"/>
        <v/>
      </c>
      <c r="C112" s="472">
        <f>IF(D93="","-",+C111+1)</f>
        <v>2023</v>
      </c>
      <c r="D112" s="346">
        <f>IF(F111+SUM(E$101:E111)=D$92,F111,D$92-SUM(E$101:E111))</f>
        <v>16979.5</v>
      </c>
      <c r="E112" s="486">
        <f>IF(+J96&lt;F111,J96,D112)</f>
        <v>539</v>
      </c>
      <c r="F112" s="485">
        <f t="shared" si="31"/>
        <v>16440.5</v>
      </c>
      <c r="G112" s="485">
        <f t="shared" si="32"/>
        <v>16710</v>
      </c>
      <c r="H112" s="488">
        <f t="shared" si="33"/>
        <v>2262.0353758073325</v>
      </c>
      <c r="I112" s="542">
        <f t="shared" si="34"/>
        <v>2262.0353758073325</v>
      </c>
      <c r="J112" s="478">
        <f t="shared" si="30"/>
        <v>0</v>
      </c>
      <c r="K112" s="478"/>
      <c r="L112" s="487"/>
      <c r="M112" s="478">
        <f t="shared" si="35"/>
        <v>0</v>
      </c>
      <c r="N112" s="487"/>
      <c r="O112" s="478">
        <f t="shared" si="36"/>
        <v>0</v>
      </c>
      <c r="P112" s="478">
        <f t="shared" si="37"/>
        <v>0</v>
      </c>
    </row>
    <row r="113" spans="2:16" ht="12.5">
      <c r="B113" s="160" t="str">
        <f t="shared" si="29"/>
        <v/>
      </c>
      <c r="C113" s="472">
        <f>IF(D93="","-",+C112+1)</f>
        <v>2024</v>
      </c>
      <c r="D113" s="346">
        <f>IF(F112+SUM(E$101:E112)=D$92,F112,D$92-SUM(E$101:E112))</f>
        <v>16440.5</v>
      </c>
      <c r="E113" s="486">
        <f>IF(+J96&lt;F112,J96,D113)</f>
        <v>539</v>
      </c>
      <c r="F113" s="485">
        <f t="shared" si="31"/>
        <v>15901.5</v>
      </c>
      <c r="G113" s="485">
        <f t="shared" si="32"/>
        <v>16171</v>
      </c>
      <c r="H113" s="488">
        <f t="shared" si="33"/>
        <v>2206.4569157498727</v>
      </c>
      <c r="I113" s="542">
        <f t="shared" si="34"/>
        <v>2206.4569157498727</v>
      </c>
      <c r="J113" s="478">
        <f t="shared" si="30"/>
        <v>0</v>
      </c>
      <c r="K113" s="478"/>
      <c r="L113" s="487"/>
      <c r="M113" s="478">
        <f t="shared" si="35"/>
        <v>0</v>
      </c>
      <c r="N113" s="487"/>
      <c r="O113" s="478">
        <f t="shared" si="36"/>
        <v>0</v>
      </c>
      <c r="P113" s="478">
        <f t="shared" si="37"/>
        <v>0</v>
      </c>
    </row>
    <row r="114" spans="2:16" ht="12.5">
      <c r="B114" s="160" t="str">
        <f t="shared" si="29"/>
        <v/>
      </c>
      <c r="C114" s="472">
        <f>IF(D93="","-",+C113+1)</f>
        <v>2025</v>
      </c>
      <c r="D114" s="346">
        <f>IF(F113+SUM(E$101:E113)=D$92,F113,D$92-SUM(E$101:E113))</f>
        <v>15901.5</v>
      </c>
      <c r="E114" s="486">
        <f>IF(+J96&lt;F113,J96,D114)</f>
        <v>539</v>
      </c>
      <c r="F114" s="485">
        <f t="shared" si="31"/>
        <v>15362.5</v>
      </c>
      <c r="G114" s="485">
        <f t="shared" si="32"/>
        <v>15632</v>
      </c>
      <c r="H114" s="488">
        <f t="shared" si="33"/>
        <v>2150.8784556924129</v>
      </c>
      <c r="I114" s="542">
        <f t="shared" si="34"/>
        <v>2150.8784556924129</v>
      </c>
      <c r="J114" s="478">
        <f t="shared" si="30"/>
        <v>0</v>
      </c>
      <c r="K114" s="478"/>
      <c r="L114" s="487"/>
      <c r="M114" s="478">
        <f t="shared" si="35"/>
        <v>0</v>
      </c>
      <c r="N114" s="487"/>
      <c r="O114" s="478">
        <f t="shared" si="36"/>
        <v>0</v>
      </c>
      <c r="P114" s="478">
        <f t="shared" si="37"/>
        <v>0</v>
      </c>
    </row>
    <row r="115" spans="2:16" ht="12.5">
      <c r="B115" s="160" t="str">
        <f t="shared" si="29"/>
        <v/>
      </c>
      <c r="C115" s="472">
        <f>IF(D93="","-",+C114+1)</f>
        <v>2026</v>
      </c>
      <c r="D115" s="346">
        <f>IF(F114+SUM(E$101:E114)=D$92,F114,D$92-SUM(E$101:E114))</f>
        <v>15362.5</v>
      </c>
      <c r="E115" s="486">
        <f>IF(+J96&lt;F114,J96,D115)</f>
        <v>539</v>
      </c>
      <c r="F115" s="485">
        <f t="shared" si="31"/>
        <v>14823.5</v>
      </c>
      <c r="G115" s="485">
        <f t="shared" si="32"/>
        <v>15093</v>
      </c>
      <c r="H115" s="488">
        <f t="shared" si="33"/>
        <v>2095.2999956349531</v>
      </c>
      <c r="I115" s="542">
        <f t="shared" si="34"/>
        <v>2095.2999956349531</v>
      </c>
      <c r="J115" s="478">
        <f t="shared" si="30"/>
        <v>0</v>
      </c>
      <c r="K115" s="478"/>
      <c r="L115" s="487"/>
      <c r="M115" s="478">
        <f t="shared" si="35"/>
        <v>0</v>
      </c>
      <c r="N115" s="487"/>
      <c r="O115" s="478">
        <f t="shared" si="36"/>
        <v>0</v>
      </c>
      <c r="P115" s="478">
        <f t="shared" si="37"/>
        <v>0</v>
      </c>
    </row>
    <row r="116" spans="2:16" ht="12.5">
      <c r="B116" s="160" t="str">
        <f t="shared" si="29"/>
        <v/>
      </c>
      <c r="C116" s="472">
        <f>IF(D93="","-",+C115+1)</f>
        <v>2027</v>
      </c>
      <c r="D116" s="346">
        <f>IF(F115+SUM(E$101:E115)=D$92,F115,D$92-SUM(E$101:E115))</f>
        <v>14823.5</v>
      </c>
      <c r="E116" s="486">
        <f>IF(+J96&lt;F115,J96,D116)</f>
        <v>539</v>
      </c>
      <c r="F116" s="485">
        <f t="shared" si="31"/>
        <v>14284.5</v>
      </c>
      <c r="G116" s="485">
        <f t="shared" si="32"/>
        <v>14554</v>
      </c>
      <c r="H116" s="488">
        <f t="shared" si="33"/>
        <v>2039.7215355774936</v>
      </c>
      <c r="I116" s="542">
        <f t="shared" si="34"/>
        <v>2039.7215355774936</v>
      </c>
      <c r="J116" s="478">
        <f t="shared" si="30"/>
        <v>0</v>
      </c>
      <c r="K116" s="478"/>
      <c r="L116" s="487"/>
      <c r="M116" s="478">
        <f t="shared" si="35"/>
        <v>0</v>
      </c>
      <c r="N116" s="487"/>
      <c r="O116" s="478">
        <f t="shared" si="36"/>
        <v>0</v>
      </c>
      <c r="P116" s="478">
        <f t="shared" si="37"/>
        <v>0</v>
      </c>
    </row>
    <row r="117" spans="2:16" ht="12.5">
      <c r="B117" s="160" t="str">
        <f t="shared" si="29"/>
        <v/>
      </c>
      <c r="C117" s="472">
        <f>IF(D93="","-",+C116+1)</f>
        <v>2028</v>
      </c>
      <c r="D117" s="346">
        <f>IF(F116+SUM(E$101:E116)=D$92,F116,D$92-SUM(E$101:E116))</f>
        <v>14284.5</v>
      </c>
      <c r="E117" s="486">
        <f>IF(+J96&lt;F116,J96,D117)</f>
        <v>539</v>
      </c>
      <c r="F117" s="485">
        <f t="shared" si="31"/>
        <v>13745.5</v>
      </c>
      <c r="G117" s="485">
        <f t="shared" si="32"/>
        <v>14015</v>
      </c>
      <c r="H117" s="488">
        <f t="shared" si="33"/>
        <v>1984.143075520034</v>
      </c>
      <c r="I117" s="542">
        <f t="shared" si="34"/>
        <v>1984.143075520034</v>
      </c>
      <c r="J117" s="478">
        <f t="shared" si="30"/>
        <v>0</v>
      </c>
      <c r="K117" s="478"/>
      <c r="L117" s="487"/>
      <c r="M117" s="478">
        <f t="shared" si="35"/>
        <v>0</v>
      </c>
      <c r="N117" s="487"/>
      <c r="O117" s="478">
        <f t="shared" si="36"/>
        <v>0</v>
      </c>
      <c r="P117" s="478">
        <f t="shared" si="37"/>
        <v>0</v>
      </c>
    </row>
    <row r="118" spans="2:16" ht="12.5">
      <c r="B118" s="160" t="str">
        <f t="shared" si="29"/>
        <v/>
      </c>
      <c r="C118" s="472">
        <f>IF(D93="","-",+C117+1)</f>
        <v>2029</v>
      </c>
      <c r="D118" s="346">
        <f>IF(F117+SUM(E$101:E117)=D$92,F117,D$92-SUM(E$101:E117))</f>
        <v>13745.5</v>
      </c>
      <c r="E118" s="486">
        <f>IF(+J96&lt;F117,J96,D118)</f>
        <v>539</v>
      </c>
      <c r="F118" s="485">
        <f t="shared" si="31"/>
        <v>13206.5</v>
      </c>
      <c r="G118" s="485">
        <f t="shared" si="32"/>
        <v>13476</v>
      </c>
      <c r="H118" s="488">
        <f t="shared" si="33"/>
        <v>1928.5646154625742</v>
      </c>
      <c r="I118" s="542">
        <f t="shared" si="34"/>
        <v>1928.5646154625742</v>
      </c>
      <c r="J118" s="478">
        <f t="shared" si="30"/>
        <v>0</v>
      </c>
      <c r="K118" s="478"/>
      <c r="L118" s="487"/>
      <c r="M118" s="478">
        <f t="shared" si="35"/>
        <v>0</v>
      </c>
      <c r="N118" s="487"/>
      <c r="O118" s="478">
        <f t="shared" si="36"/>
        <v>0</v>
      </c>
      <c r="P118" s="478">
        <f t="shared" si="37"/>
        <v>0</v>
      </c>
    </row>
    <row r="119" spans="2:16" ht="12.5">
      <c r="B119" s="160" t="str">
        <f t="shared" si="29"/>
        <v/>
      </c>
      <c r="C119" s="472">
        <f>IF(D93="","-",+C118+1)</f>
        <v>2030</v>
      </c>
      <c r="D119" s="346">
        <f>IF(F118+SUM(E$101:E118)=D$92,F118,D$92-SUM(E$101:E118))</f>
        <v>13206.5</v>
      </c>
      <c r="E119" s="486">
        <f t="shared" ref="E119:E154" si="38">IF(+J$96&lt;F118,J$96,D119)</f>
        <v>539</v>
      </c>
      <c r="F119" s="485">
        <f t="shared" si="31"/>
        <v>12667.5</v>
      </c>
      <c r="G119" s="485">
        <f t="shared" si="32"/>
        <v>12937</v>
      </c>
      <c r="H119" s="488">
        <f t="shared" si="33"/>
        <v>1872.9861554051145</v>
      </c>
      <c r="I119" s="542">
        <f t="shared" si="34"/>
        <v>1872.9861554051145</v>
      </c>
      <c r="J119" s="478">
        <f t="shared" si="30"/>
        <v>0</v>
      </c>
      <c r="K119" s="478"/>
      <c r="L119" s="487"/>
      <c r="M119" s="478">
        <f t="shared" si="35"/>
        <v>0</v>
      </c>
      <c r="N119" s="487"/>
      <c r="O119" s="478">
        <f t="shared" si="36"/>
        <v>0</v>
      </c>
      <c r="P119" s="478">
        <f t="shared" si="37"/>
        <v>0</v>
      </c>
    </row>
    <row r="120" spans="2:16" ht="12.5">
      <c r="B120" s="160" t="str">
        <f t="shared" si="29"/>
        <v/>
      </c>
      <c r="C120" s="472">
        <f>IF(D93="","-",+C119+1)</f>
        <v>2031</v>
      </c>
      <c r="D120" s="346">
        <f>IF(F119+SUM(E$101:E119)=D$92,F119,D$92-SUM(E$101:E119))</f>
        <v>12667.5</v>
      </c>
      <c r="E120" s="486">
        <f t="shared" si="38"/>
        <v>539</v>
      </c>
      <c r="F120" s="485">
        <f t="shared" si="31"/>
        <v>12128.5</v>
      </c>
      <c r="G120" s="485">
        <f t="shared" si="32"/>
        <v>12398</v>
      </c>
      <c r="H120" s="488">
        <f t="shared" si="33"/>
        <v>1817.4076953476547</v>
      </c>
      <c r="I120" s="542">
        <f t="shared" si="34"/>
        <v>1817.4076953476547</v>
      </c>
      <c r="J120" s="478">
        <f t="shared" si="30"/>
        <v>0</v>
      </c>
      <c r="K120" s="478"/>
      <c r="L120" s="487"/>
      <c r="M120" s="478">
        <f t="shared" si="35"/>
        <v>0</v>
      </c>
      <c r="N120" s="487"/>
      <c r="O120" s="478">
        <f t="shared" si="36"/>
        <v>0</v>
      </c>
      <c r="P120" s="478">
        <f t="shared" si="37"/>
        <v>0</v>
      </c>
    </row>
    <row r="121" spans="2:16" ht="12.5">
      <c r="B121" s="160" t="str">
        <f t="shared" si="29"/>
        <v/>
      </c>
      <c r="C121" s="472">
        <f>IF(D93="","-",+C120+1)</f>
        <v>2032</v>
      </c>
      <c r="D121" s="346">
        <f>IF(F120+SUM(E$101:E120)=D$92,F120,D$92-SUM(E$101:E120))</f>
        <v>12128.5</v>
      </c>
      <c r="E121" s="486">
        <f t="shared" si="38"/>
        <v>539</v>
      </c>
      <c r="F121" s="485">
        <f t="shared" si="31"/>
        <v>11589.5</v>
      </c>
      <c r="G121" s="485">
        <f t="shared" si="32"/>
        <v>11859</v>
      </c>
      <c r="H121" s="488">
        <f t="shared" si="33"/>
        <v>1761.8292352901949</v>
      </c>
      <c r="I121" s="542">
        <f t="shared" si="34"/>
        <v>1761.8292352901949</v>
      </c>
      <c r="J121" s="478">
        <f t="shared" si="30"/>
        <v>0</v>
      </c>
      <c r="K121" s="478"/>
      <c r="L121" s="487"/>
      <c r="M121" s="478">
        <f t="shared" si="35"/>
        <v>0</v>
      </c>
      <c r="N121" s="487"/>
      <c r="O121" s="478">
        <f t="shared" si="36"/>
        <v>0</v>
      </c>
      <c r="P121" s="478">
        <f t="shared" si="37"/>
        <v>0</v>
      </c>
    </row>
    <row r="122" spans="2:16" ht="12.5">
      <c r="B122" s="160" t="str">
        <f t="shared" si="29"/>
        <v/>
      </c>
      <c r="C122" s="472">
        <f>IF(D93="","-",+C121+1)</f>
        <v>2033</v>
      </c>
      <c r="D122" s="346">
        <f>IF(F121+SUM(E$101:E121)=D$92,F121,D$92-SUM(E$101:E121))</f>
        <v>11589.5</v>
      </c>
      <c r="E122" s="486">
        <f t="shared" si="38"/>
        <v>539</v>
      </c>
      <c r="F122" s="485">
        <f t="shared" si="31"/>
        <v>11050.5</v>
      </c>
      <c r="G122" s="485">
        <f t="shared" si="32"/>
        <v>11320</v>
      </c>
      <c r="H122" s="488">
        <f t="shared" si="33"/>
        <v>1706.2507752327351</v>
      </c>
      <c r="I122" s="542">
        <f t="shared" si="34"/>
        <v>1706.2507752327351</v>
      </c>
      <c r="J122" s="478">
        <f t="shared" si="30"/>
        <v>0</v>
      </c>
      <c r="K122" s="478"/>
      <c r="L122" s="487"/>
      <c r="M122" s="478">
        <f t="shared" si="35"/>
        <v>0</v>
      </c>
      <c r="N122" s="487"/>
      <c r="O122" s="478">
        <f t="shared" si="36"/>
        <v>0</v>
      </c>
      <c r="P122" s="478">
        <f t="shared" si="37"/>
        <v>0</v>
      </c>
    </row>
    <row r="123" spans="2:16" ht="12.5">
      <c r="B123" s="160" t="str">
        <f t="shared" si="29"/>
        <v/>
      </c>
      <c r="C123" s="472">
        <f>IF(D93="","-",+C122+1)</f>
        <v>2034</v>
      </c>
      <c r="D123" s="346">
        <f>IF(F122+SUM(E$101:E122)=D$92,F122,D$92-SUM(E$101:E122))</f>
        <v>11050.5</v>
      </c>
      <c r="E123" s="486">
        <f t="shared" si="38"/>
        <v>539</v>
      </c>
      <c r="F123" s="485">
        <f t="shared" si="31"/>
        <v>10511.5</v>
      </c>
      <c r="G123" s="485">
        <f t="shared" si="32"/>
        <v>10781</v>
      </c>
      <c r="H123" s="488">
        <f t="shared" si="33"/>
        <v>1650.6723151752756</v>
      </c>
      <c r="I123" s="542">
        <f t="shared" si="34"/>
        <v>1650.6723151752756</v>
      </c>
      <c r="J123" s="478">
        <f t="shared" si="30"/>
        <v>0</v>
      </c>
      <c r="K123" s="478"/>
      <c r="L123" s="487"/>
      <c r="M123" s="478">
        <f t="shared" si="35"/>
        <v>0</v>
      </c>
      <c r="N123" s="487"/>
      <c r="O123" s="478">
        <f t="shared" si="36"/>
        <v>0</v>
      </c>
      <c r="P123" s="478">
        <f t="shared" si="37"/>
        <v>0</v>
      </c>
    </row>
    <row r="124" spans="2:16" ht="12.5">
      <c r="B124" s="160" t="str">
        <f t="shared" si="29"/>
        <v/>
      </c>
      <c r="C124" s="472">
        <f>IF(D93="","-",+C123+1)</f>
        <v>2035</v>
      </c>
      <c r="D124" s="346">
        <f>IF(F123+SUM(E$101:E123)=D$92,F123,D$92-SUM(E$101:E123))</f>
        <v>10511.5</v>
      </c>
      <c r="E124" s="486">
        <f t="shared" si="38"/>
        <v>539</v>
      </c>
      <c r="F124" s="485">
        <f t="shared" si="31"/>
        <v>9972.5</v>
      </c>
      <c r="G124" s="485">
        <f t="shared" si="32"/>
        <v>10242</v>
      </c>
      <c r="H124" s="488">
        <f t="shared" si="33"/>
        <v>1595.0938551178158</v>
      </c>
      <c r="I124" s="542">
        <f t="shared" si="34"/>
        <v>1595.0938551178158</v>
      </c>
      <c r="J124" s="478">
        <f t="shared" si="30"/>
        <v>0</v>
      </c>
      <c r="K124" s="478"/>
      <c r="L124" s="487"/>
      <c r="M124" s="478">
        <f t="shared" si="35"/>
        <v>0</v>
      </c>
      <c r="N124" s="487"/>
      <c r="O124" s="478">
        <f t="shared" si="36"/>
        <v>0</v>
      </c>
      <c r="P124" s="478">
        <f t="shared" si="37"/>
        <v>0</v>
      </c>
    </row>
    <row r="125" spans="2:16" ht="12.5">
      <c r="B125" s="160" t="str">
        <f t="shared" si="29"/>
        <v/>
      </c>
      <c r="C125" s="472">
        <f>IF(D93="","-",+C124+1)</f>
        <v>2036</v>
      </c>
      <c r="D125" s="346">
        <f>IF(F124+SUM(E$101:E124)=D$92,F124,D$92-SUM(E$101:E124))</f>
        <v>9972.5</v>
      </c>
      <c r="E125" s="486">
        <f t="shared" si="38"/>
        <v>539</v>
      </c>
      <c r="F125" s="485">
        <f t="shared" si="31"/>
        <v>9433.5</v>
      </c>
      <c r="G125" s="485">
        <f t="shared" si="32"/>
        <v>9703</v>
      </c>
      <c r="H125" s="488">
        <f t="shared" si="33"/>
        <v>1539.515395060356</v>
      </c>
      <c r="I125" s="542">
        <f t="shared" si="34"/>
        <v>1539.515395060356</v>
      </c>
      <c r="J125" s="478">
        <f t="shared" si="30"/>
        <v>0</v>
      </c>
      <c r="K125" s="478"/>
      <c r="L125" s="487"/>
      <c r="M125" s="478">
        <f t="shared" si="35"/>
        <v>0</v>
      </c>
      <c r="N125" s="487"/>
      <c r="O125" s="478">
        <f t="shared" si="36"/>
        <v>0</v>
      </c>
      <c r="P125" s="478">
        <f t="shared" si="37"/>
        <v>0</v>
      </c>
    </row>
    <row r="126" spans="2:16" ht="12.5">
      <c r="B126" s="160" t="str">
        <f t="shared" si="29"/>
        <v/>
      </c>
      <c r="C126" s="472">
        <f>IF(D93="","-",+C125+1)</f>
        <v>2037</v>
      </c>
      <c r="D126" s="346">
        <f>IF(F125+SUM(E$101:E125)=D$92,F125,D$92-SUM(E$101:E125))</f>
        <v>9433.5</v>
      </c>
      <c r="E126" s="486">
        <f t="shared" si="38"/>
        <v>539</v>
      </c>
      <c r="F126" s="485">
        <f t="shared" si="31"/>
        <v>8894.5</v>
      </c>
      <c r="G126" s="485">
        <f t="shared" si="32"/>
        <v>9164</v>
      </c>
      <c r="H126" s="488">
        <f t="shared" si="33"/>
        <v>1483.9369350028962</v>
      </c>
      <c r="I126" s="542">
        <f t="shared" si="34"/>
        <v>1483.9369350028962</v>
      </c>
      <c r="J126" s="478">
        <f t="shared" si="30"/>
        <v>0</v>
      </c>
      <c r="K126" s="478"/>
      <c r="L126" s="487"/>
      <c r="M126" s="478">
        <f t="shared" si="35"/>
        <v>0</v>
      </c>
      <c r="N126" s="487"/>
      <c r="O126" s="478">
        <f t="shared" si="36"/>
        <v>0</v>
      </c>
      <c r="P126" s="478">
        <f t="shared" si="37"/>
        <v>0</v>
      </c>
    </row>
    <row r="127" spans="2:16" ht="12.5">
      <c r="B127" s="160" t="str">
        <f t="shared" si="29"/>
        <v/>
      </c>
      <c r="C127" s="472">
        <f>IF(D93="","-",+C126+1)</f>
        <v>2038</v>
      </c>
      <c r="D127" s="346">
        <f>IF(F126+SUM(E$101:E126)=D$92,F126,D$92-SUM(E$101:E126))</f>
        <v>8894.5</v>
      </c>
      <c r="E127" s="486">
        <f t="shared" si="38"/>
        <v>539</v>
      </c>
      <c r="F127" s="485">
        <f t="shared" si="31"/>
        <v>8355.5</v>
      </c>
      <c r="G127" s="485">
        <f t="shared" si="32"/>
        <v>8625</v>
      </c>
      <c r="H127" s="488">
        <f t="shared" si="33"/>
        <v>1428.3584749454365</v>
      </c>
      <c r="I127" s="542">
        <f t="shared" si="34"/>
        <v>1428.3584749454365</v>
      </c>
      <c r="J127" s="478">
        <f t="shared" si="30"/>
        <v>0</v>
      </c>
      <c r="K127" s="478"/>
      <c r="L127" s="487"/>
      <c r="M127" s="478">
        <f t="shared" si="35"/>
        <v>0</v>
      </c>
      <c r="N127" s="487"/>
      <c r="O127" s="478">
        <f t="shared" si="36"/>
        <v>0</v>
      </c>
      <c r="P127" s="478">
        <f t="shared" si="37"/>
        <v>0</v>
      </c>
    </row>
    <row r="128" spans="2:16" ht="12.5">
      <c r="B128" s="160" t="str">
        <f t="shared" si="29"/>
        <v/>
      </c>
      <c r="C128" s="472">
        <f>IF(D93="","-",+C127+1)</f>
        <v>2039</v>
      </c>
      <c r="D128" s="346">
        <f>IF(F127+SUM(E$101:E127)=D$92,F127,D$92-SUM(E$101:E127))</f>
        <v>8355.5</v>
      </c>
      <c r="E128" s="486">
        <f t="shared" si="38"/>
        <v>539</v>
      </c>
      <c r="F128" s="485">
        <f t="shared" si="31"/>
        <v>7816.5</v>
      </c>
      <c r="G128" s="485">
        <f t="shared" si="32"/>
        <v>8086</v>
      </c>
      <c r="H128" s="488">
        <f t="shared" si="33"/>
        <v>1372.7800148879769</v>
      </c>
      <c r="I128" s="542">
        <f t="shared" si="34"/>
        <v>1372.7800148879769</v>
      </c>
      <c r="J128" s="478">
        <f t="shared" si="30"/>
        <v>0</v>
      </c>
      <c r="K128" s="478"/>
      <c r="L128" s="487"/>
      <c r="M128" s="478">
        <f t="shared" si="35"/>
        <v>0</v>
      </c>
      <c r="N128" s="487"/>
      <c r="O128" s="478">
        <f t="shared" si="36"/>
        <v>0</v>
      </c>
      <c r="P128" s="478">
        <f t="shared" si="37"/>
        <v>0</v>
      </c>
    </row>
    <row r="129" spans="2:16" ht="12.5">
      <c r="B129" s="160" t="str">
        <f t="shared" si="29"/>
        <v/>
      </c>
      <c r="C129" s="472">
        <f>IF(D93="","-",+C128+1)</f>
        <v>2040</v>
      </c>
      <c r="D129" s="346">
        <f>IF(F128+SUM(E$101:E128)=D$92,F128,D$92-SUM(E$101:E128))</f>
        <v>7816.5</v>
      </c>
      <c r="E129" s="486">
        <f t="shared" si="38"/>
        <v>539</v>
      </c>
      <c r="F129" s="485">
        <f t="shared" si="31"/>
        <v>7277.5</v>
      </c>
      <c r="G129" s="485">
        <f t="shared" si="32"/>
        <v>7547</v>
      </c>
      <c r="H129" s="488">
        <f t="shared" si="33"/>
        <v>1317.2015548305171</v>
      </c>
      <c r="I129" s="542">
        <f t="shared" si="34"/>
        <v>1317.2015548305171</v>
      </c>
      <c r="J129" s="478">
        <f t="shared" si="30"/>
        <v>0</v>
      </c>
      <c r="K129" s="478"/>
      <c r="L129" s="487"/>
      <c r="M129" s="478">
        <f t="shared" si="35"/>
        <v>0</v>
      </c>
      <c r="N129" s="487"/>
      <c r="O129" s="478">
        <f t="shared" si="36"/>
        <v>0</v>
      </c>
      <c r="P129" s="478">
        <f t="shared" si="37"/>
        <v>0</v>
      </c>
    </row>
    <row r="130" spans="2:16" ht="12.5">
      <c r="B130" s="160" t="str">
        <f t="shared" si="29"/>
        <v/>
      </c>
      <c r="C130" s="472">
        <f>IF(D93="","-",+C129+1)</f>
        <v>2041</v>
      </c>
      <c r="D130" s="346">
        <f>IF(F129+SUM(E$101:E129)=D$92,F129,D$92-SUM(E$101:E129))</f>
        <v>7277.5</v>
      </c>
      <c r="E130" s="486">
        <f t="shared" si="38"/>
        <v>539</v>
      </c>
      <c r="F130" s="485">
        <f t="shared" si="31"/>
        <v>6738.5</v>
      </c>
      <c r="G130" s="485">
        <f t="shared" si="32"/>
        <v>7008</v>
      </c>
      <c r="H130" s="488">
        <f t="shared" si="33"/>
        <v>1261.6230947730573</v>
      </c>
      <c r="I130" s="542">
        <f t="shared" si="34"/>
        <v>1261.6230947730573</v>
      </c>
      <c r="J130" s="478">
        <f t="shared" si="30"/>
        <v>0</v>
      </c>
      <c r="K130" s="478"/>
      <c r="L130" s="487"/>
      <c r="M130" s="478">
        <f t="shared" si="35"/>
        <v>0</v>
      </c>
      <c r="N130" s="487"/>
      <c r="O130" s="478">
        <f t="shared" si="36"/>
        <v>0</v>
      </c>
      <c r="P130" s="478">
        <f t="shared" si="37"/>
        <v>0</v>
      </c>
    </row>
    <row r="131" spans="2:16" ht="12.5">
      <c r="B131" s="160" t="str">
        <f t="shared" si="29"/>
        <v/>
      </c>
      <c r="C131" s="472">
        <f>IF(D93="","-",+C130+1)</f>
        <v>2042</v>
      </c>
      <c r="D131" s="346">
        <f>IF(F130+SUM(E$101:E130)=D$92,F130,D$92-SUM(E$101:E130))</f>
        <v>6738.5</v>
      </c>
      <c r="E131" s="486">
        <f t="shared" si="38"/>
        <v>539</v>
      </c>
      <c r="F131" s="485">
        <f t="shared" si="31"/>
        <v>6199.5</v>
      </c>
      <c r="G131" s="485">
        <f t="shared" si="32"/>
        <v>6469</v>
      </c>
      <c r="H131" s="488">
        <f t="shared" si="33"/>
        <v>1206.0446347155976</v>
      </c>
      <c r="I131" s="542">
        <f t="shared" si="34"/>
        <v>1206.0446347155976</v>
      </c>
      <c r="J131" s="478">
        <f t="shared" si="30"/>
        <v>0</v>
      </c>
      <c r="K131" s="478"/>
      <c r="L131" s="487"/>
      <c r="M131" s="478">
        <f t="shared" ref="M131:M154" si="39">IF(L541&lt;&gt;0,+H541-L541,0)</f>
        <v>0</v>
      </c>
      <c r="N131" s="487"/>
      <c r="O131" s="478">
        <f t="shared" ref="O131:O154" si="40">IF(N541&lt;&gt;0,+I541-N541,0)</f>
        <v>0</v>
      </c>
      <c r="P131" s="478">
        <f t="shared" ref="P131:P154" si="41">+O541-M541</f>
        <v>0</v>
      </c>
    </row>
    <row r="132" spans="2:16" ht="12.5">
      <c r="B132" s="160" t="str">
        <f t="shared" si="29"/>
        <v/>
      </c>
      <c r="C132" s="472">
        <f>IF(D93="","-",+C131+1)</f>
        <v>2043</v>
      </c>
      <c r="D132" s="346">
        <f>IF(F131+SUM(E$101:E131)=D$92,F131,D$92-SUM(E$101:E131))</f>
        <v>6199.5</v>
      </c>
      <c r="E132" s="486">
        <f t="shared" si="38"/>
        <v>539</v>
      </c>
      <c r="F132" s="485">
        <f t="shared" si="31"/>
        <v>5660.5</v>
      </c>
      <c r="G132" s="485">
        <f t="shared" si="32"/>
        <v>5930</v>
      </c>
      <c r="H132" s="488">
        <f t="shared" si="33"/>
        <v>1150.4661746581378</v>
      </c>
      <c r="I132" s="542">
        <f t="shared" si="34"/>
        <v>1150.4661746581378</v>
      </c>
      <c r="J132" s="478">
        <f t="shared" si="30"/>
        <v>0</v>
      </c>
      <c r="K132" s="478"/>
      <c r="L132" s="487"/>
      <c r="M132" s="478">
        <f t="shared" si="39"/>
        <v>0</v>
      </c>
      <c r="N132" s="487"/>
      <c r="O132" s="478">
        <f t="shared" si="40"/>
        <v>0</v>
      </c>
      <c r="P132" s="478">
        <f t="shared" si="41"/>
        <v>0</v>
      </c>
    </row>
    <row r="133" spans="2:16" ht="12.5">
      <c r="B133" s="160" t="str">
        <f t="shared" si="29"/>
        <v/>
      </c>
      <c r="C133" s="472">
        <f>IF(D93="","-",+C132+1)</f>
        <v>2044</v>
      </c>
      <c r="D133" s="346">
        <f>IF(F132+SUM(E$101:E132)=D$92,F132,D$92-SUM(E$101:E132))</f>
        <v>5660.5</v>
      </c>
      <c r="E133" s="486">
        <f t="shared" si="38"/>
        <v>539</v>
      </c>
      <c r="F133" s="485">
        <f t="shared" si="31"/>
        <v>5121.5</v>
      </c>
      <c r="G133" s="485">
        <f t="shared" ref="G133:G154" si="42">+(F133+D133)/2</f>
        <v>5391</v>
      </c>
      <c r="H133" s="488">
        <f t="shared" ref="H133:H154" si="43">+J$94*G133+E133</f>
        <v>1094.887714600678</v>
      </c>
      <c r="I133" s="542">
        <f t="shared" ref="I133:I154" si="44">+J$95*G133+E133</f>
        <v>1094.887714600678</v>
      </c>
      <c r="J133" s="478">
        <f t="shared" ref="J133:J154" si="45">+I541-H541</f>
        <v>0</v>
      </c>
      <c r="K133" s="478"/>
      <c r="L133" s="487"/>
      <c r="M133" s="478">
        <f t="shared" si="39"/>
        <v>0</v>
      </c>
      <c r="N133" s="487"/>
      <c r="O133" s="478">
        <f t="shared" si="40"/>
        <v>0</v>
      </c>
      <c r="P133" s="478">
        <f t="shared" si="41"/>
        <v>0</v>
      </c>
    </row>
    <row r="134" spans="2:16" ht="12.5">
      <c r="B134" s="160" t="str">
        <f t="shared" ref="B134:B154" si="46">IF(D134=F133,"","IU")</f>
        <v/>
      </c>
      <c r="C134" s="472">
        <f>IF(D93="","-",+C133+1)</f>
        <v>2045</v>
      </c>
      <c r="D134" s="346">
        <f>IF(F133+SUM(E$101:E133)=D$92,F133,D$92-SUM(E$101:E133))</f>
        <v>5121.5</v>
      </c>
      <c r="E134" s="486">
        <f t="shared" si="38"/>
        <v>539</v>
      </c>
      <c r="F134" s="485">
        <f t="shared" ref="F134:F154" si="47">+D134-E134</f>
        <v>4582.5</v>
      </c>
      <c r="G134" s="485">
        <f t="shared" si="42"/>
        <v>4852</v>
      </c>
      <c r="H134" s="488">
        <f t="shared" si="43"/>
        <v>1039.3092545432182</v>
      </c>
      <c r="I134" s="542">
        <f t="shared" si="44"/>
        <v>1039.3092545432182</v>
      </c>
      <c r="J134" s="478">
        <f t="shared" si="45"/>
        <v>0</v>
      </c>
      <c r="K134" s="478"/>
      <c r="L134" s="487"/>
      <c r="M134" s="478">
        <f t="shared" si="39"/>
        <v>0</v>
      </c>
      <c r="N134" s="487"/>
      <c r="O134" s="478">
        <f t="shared" si="40"/>
        <v>0</v>
      </c>
      <c r="P134" s="478">
        <f t="shared" si="41"/>
        <v>0</v>
      </c>
    </row>
    <row r="135" spans="2:16" ht="12.5">
      <c r="B135" s="160" t="str">
        <f t="shared" si="46"/>
        <v/>
      </c>
      <c r="C135" s="472">
        <f>IF(D93="","-",+C134+1)</f>
        <v>2046</v>
      </c>
      <c r="D135" s="346">
        <f>IF(F134+SUM(E$101:E134)=D$92,F134,D$92-SUM(E$101:E134))</f>
        <v>4582.5</v>
      </c>
      <c r="E135" s="486">
        <f t="shared" si="38"/>
        <v>539</v>
      </c>
      <c r="F135" s="485">
        <f t="shared" si="47"/>
        <v>4043.5</v>
      </c>
      <c r="G135" s="485">
        <f t="shared" si="42"/>
        <v>4313</v>
      </c>
      <c r="H135" s="488">
        <f t="shared" si="43"/>
        <v>983.73079448575857</v>
      </c>
      <c r="I135" s="542">
        <f t="shared" si="44"/>
        <v>983.73079448575857</v>
      </c>
      <c r="J135" s="478">
        <f t="shared" si="45"/>
        <v>0</v>
      </c>
      <c r="K135" s="478"/>
      <c r="L135" s="487"/>
      <c r="M135" s="478">
        <f t="shared" si="39"/>
        <v>0</v>
      </c>
      <c r="N135" s="487"/>
      <c r="O135" s="478">
        <f t="shared" si="40"/>
        <v>0</v>
      </c>
      <c r="P135" s="478">
        <f t="shared" si="41"/>
        <v>0</v>
      </c>
    </row>
    <row r="136" spans="2:16" ht="12.5">
      <c r="B136" s="160" t="str">
        <f t="shared" si="46"/>
        <v/>
      </c>
      <c r="C136" s="472">
        <f>IF(D93="","-",+C135+1)</f>
        <v>2047</v>
      </c>
      <c r="D136" s="346">
        <f>IF(F135+SUM(E$101:E135)=D$92,F135,D$92-SUM(E$101:E135))</f>
        <v>4043.5</v>
      </c>
      <c r="E136" s="486">
        <f t="shared" si="38"/>
        <v>539</v>
      </c>
      <c r="F136" s="485">
        <f t="shared" si="47"/>
        <v>3504.5</v>
      </c>
      <c r="G136" s="485">
        <f t="shared" si="42"/>
        <v>3774</v>
      </c>
      <c r="H136" s="488">
        <f t="shared" si="43"/>
        <v>928.1523344282989</v>
      </c>
      <c r="I136" s="542">
        <f t="shared" si="44"/>
        <v>928.1523344282989</v>
      </c>
      <c r="J136" s="478">
        <f t="shared" si="45"/>
        <v>0</v>
      </c>
      <c r="K136" s="478"/>
      <c r="L136" s="487"/>
      <c r="M136" s="478">
        <f t="shared" si="39"/>
        <v>0</v>
      </c>
      <c r="N136" s="487"/>
      <c r="O136" s="478">
        <f t="shared" si="40"/>
        <v>0</v>
      </c>
      <c r="P136" s="478">
        <f t="shared" si="41"/>
        <v>0</v>
      </c>
    </row>
    <row r="137" spans="2:16" ht="12.5">
      <c r="B137" s="160" t="str">
        <f t="shared" si="46"/>
        <v/>
      </c>
      <c r="C137" s="472">
        <f>IF(D93="","-",+C136+1)</f>
        <v>2048</v>
      </c>
      <c r="D137" s="346">
        <f>IF(F136+SUM(E$101:E136)=D$92,F136,D$92-SUM(E$101:E136))</f>
        <v>3504.5</v>
      </c>
      <c r="E137" s="486">
        <f t="shared" si="38"/>
        <v>539</v>
      </c>
      <c r="F137" s="485">
        <f t="shared" si="47"/>
        <v>2965.5</v>
      </c>
      <c r="G137" s="485">
        <f t="shared" si="42"/>
        <v>3235</v>
      </c>
      <c r="H137" s="488">
        <f t="shared" si="43"/>
        <v>872.57387437083912</v>
      </c>
      <c r="I137" s="542">
        <f t="shared" si="44"/>
        <v>872.57387437083912</v>
      </c>
      <c r="J137" s="478">
        <f t="shared" si="45"/>
        <v>0</v>
      </c>
      <c r="K137" s="478"/>
      <c r="L137" s="487"/>
      <c r="M137" s="478">
        <f t="shared" si="39"/>
        <v>0</v>
      </c>
      <c r="N137" s="487"/>
      <c r="O137" s="478">
        <f t="shared" si="40"/>
        <v>0</v>
      </c>
      <c r="P137" s="478">
        <f t="shared" si="41"/>
        <v>0</v>
      </c>
    </row>
    <row r="138" spans="2:16" ht="12.5">
      <c r="B138" s="160" t="str">
        <f t="shared" si="46"/>
        <v/>
      </c>
      <c r="C138" s="472">
        <f>IF(D93="","-",+C137+1)</f>
        <v>2049</v>
      </c>
      <c r="D138" s="346">
        <f>IF(F137+SUM(E$101:E137)=D$92,F137,D$92-SUM(E$101:E137))</f>
        <v>2965.5</v>
      </c>
      <c r="E138" s="486">
        <f t="shared" si="38"/>
        <v>539</v>
      </c>
      <c r="F138" s="485">
        <f t="shared" si="47"/>
        <v>2426.5</v>
      </c>
      <c r="G138" s="485">
        <f t="shared" si="42"/>
        <v>2696</v>
      </c>
      <c r="H138" s="488">
        <f t="shared" si="43"/>
        <v>816.99541431337934</v>
      </c>
      <c r="I138" s="542">
        <f t="shared" si="44"/>
        <v>816.99541431337934</v>
      </c>
      <c r="J138" s="478">
        <f t="shared" si="45"/>
        <v>0</v>
      </c>
      <c r="K138" s="478"/>
      <c r="L138" s="487"/>
      <c r="M138" s="478">
        <f t="shared" si="39"/>
        <v>0</v>
      </c>
      <c r="N138" s="487"/>
      <c r="O138" s="478">
        <f t="shared" si="40"/>
        <v>0</v>
      </c>
      <c r="P138" s="478">
        <f t="shared" si="41"/>
        <v>0</v>
      </c>
    </row>
    <row r="139" spans="2:16" ht="12.5">
      <c r="B139" s="160" t="str">
        <f t="shared" si="46"/>
        <v/>
      </c>
      <c r="C139" s="472">
        <f>IF(D93="","-",+C138+1)</f>
        <v>2050</v>
      </c>
      <c r="D139" s="346">
        <f>IF(F138+SUM(E$101:E138)=D$92,F138,D$92-SUM(E$101:E138))</f>
        <v>2426.5</v>
      </c>
      <c r="E139" s="486">
        <f t="shared" si="38"/>
        <v>539</v>
      </c>
      <c r="F139" s="485">
        <f t="shared" si="47"/>
        <v>1887.5</v>
      </c>
      <c r="G139" s="485">
        <f t="shared" si="42"/>
        <v>2157</v>
      </c>
      <c r="H139" s="488">
        <f t="shared" si="43"/>
        <v>761.41695425591956</v>
      </c>
      <c r="I139" s="542">
        <f t="shared" si="44"/>
        <v>761.41695425591956</v>
      </c>
      <c r="J139" s="478">
        <f t="shared" si="45"/>
        <v>0</v>
      </c>
      <c r="K139" s="478"/>
      <c r="L139" s="487"/>
      <c r="M139" s="478">
        <f t="shared" si="39"/>
        <v>0</v>
      </c>
      <c r="N139" s="487"/>
      <c r="O139" s="478">
        <f t="shared" si="40"/>
        <v>0</v>
      </c>
      <c r="P139" s="478">
        <f t="shared" si="41"/>
        <v>0</v>
      </c>
    </row>
    <row r="140" spans="2:16" ht="12.5">
      <c r="B140" s="160" t="str">
        <f t="shared" si="46"/>
        <v/>
      </c>
      <c r="C140" s="472">
        <f>IF(D93="","-",+C139+1)</f>
        <v>2051</v>
      </c>
      <c r="D140" s="346">
        <f>IF(F139+SUM(E$101:E139)=D$92,F139,D$92-SUM(E$101:E139))</f>
        <v>1887.5</v>
      </c>
      <c r="E140" s="486">
        <f t="shared" si="38"/>
        <v>539</v>
      </c>
      <c r="F140" s="485">
        <f t="shared" si="47"/>
        <v>1348.5</v>
      </c>
      <c r="G140" s="485">
        <f t="shared" si="42"/>
        <v>1618</v>
      </c>
      <c r="H140" s="488">
        <f t="shared" si="43"/>
        <v>705.8384941984599</v>
      </c>
      <c r="I140" s="542">
        <f t="shared" si="44"/>
        <v>705.8384941984599</v>
      </c>
      <c r="J140" s="478">
        <f t="shared" si="45"/>
        <v>0</v>
      </c>
      <c r="K140" s="478"/>
      <c r="L140" s="487"/>
      <c r="M140" s="478">
        <f t="shared" si="39"/>
        <v>0</v>
      </c>
      <c r="N140" s="487"/>
      <c r="O140" s="478">
        <f t="shared" si="40"/>
        <v>0</v>
      </c>
      <c r="P140" s="478">
        <f t="shared" si="41"/>
        <v>0</v>
      </c>
    </row>
    <row r="141" spans="2:16" ht="12.5">
      <c r="B141" s="160" t="str">
        <f t="shared" si="46"/>
        <v/>
      </c>
      <c r="C141" s="472">
        <f>IF(D93="","-",+C140+1)</f>
        <v>2052</v>
      </c>
      <c r="D141" s="346">
        <f>IF(F140+SUM(E$101:E140)=D$92,F140,D$92-SUM(E$101:E140))</f>
        <v>1348.5</v>
      </c>
      <c r="E141" s="486">
        <f t="shared" si="38"/>
        <v>539</v>
      </c>
      <c r="F141" s="485">
        <f t="shared" si="47"/>
        <v>809.5</v>
      </c>
      <c r="G141" s="485">
        <f t="shared" si="42"/>
        <v>1079</v>
      </c>
      <c r="H141" s="488">
        <f t="shared" si="43"/>
        <v>650.26003414100012</v>
      </c>
      <c r="I141" s="542">
        <f t="shared" si="44"/>
        <v>650.26003414100012</v>
      </c>
      <c r="J141" s="478">
        <f t="shared" si="45"/>
        <v>0</v>
      </c>
      <c r="K141" s="478"/>
      <c r="L141" s="487"/>
      <c r="M141" s="478">
        <f t="shared" si="39"/>
        <v>0</v>
      </c>
      <c r="N141" s="487"/>
      <c r="O141" s="478">
        <f t="shared" si="40"/>
        <v>0</v>
      </c>
      <c r="P141" s="478">
        <f t="shared" si="41"/>
        <v>0</v>
      </c>
    </row>
    <row r="142" spans="2:16" ht="12.5">
      <c r="B142" s="160" t="str">
        <f t="shared" si="46"/>
        <v/>
      </c>
      <c r="C142" s="472">
        <f>IF(D93="","-",+C141+1)</f>
        <v>2053</v>
      </c>
      <c r="D142" s="346">
        <f>IF(F141+SUM(E$101:E141)=D$92,F141,D$92-SUM(E$101:E141))</f>
        <v>809.5</v>
      </c>
      <c r="E142" s="486">
        <f t="shared" si="38"/>
        <v>539</v>
      </c>
      <c r="F142" s="485">
        <f t="shared" si="47"/>
        <v>270.5</v>
      </c>
      <c r="G142" s="485">
        <f t="shared" si="42"/>
        <v>540</v>
      </c>
      <c r="H142" s="488">
        <f t="shared" si="43"/>
        <v>594.68157408354034</v>
      </c>
      <c r="I142" s="542">
        <f t="shared" si="44"/>
        <v>594.68157408354034</v>
      </c>
      <c r="J142" s="478">
        <f t="shared" si="45"/>
        <v>0</v>
      </c>
      <c r="K142" s="478"/>
      <c r="L142" s="487"/>
      <c r="M142" s="478">
        <f t="shared" si="39"/>
        <v>0</v>
      </c>
      <c r="N142" s="487"/>
      <c r="O142" s="478">
        <f t="shared" si="40"/>
        <v>0</v>
      </c>
      <c r="P142" s="478">
        <f t="shared" si="41"/>
        <v>0</v>
      </c>
    </row>
    <row r="143" spans="2:16" ht="12.5">
      <c r="B143" s="160" t="str">
        <f t="shared" si="46"/>
        <v/>
      </c>
      <c r="C143" s="472">
        <f>IF(D93="","-",+C142+1)</f>
        <v>2054</v>
      </c>
      <c r="D143" s="346">
        <f>IF(F142+SUM(E$101:E142)=D$92,F142,D$92-SUM(E$101:E142))</f>
        <v>270.5</v>
      </c>
      <c r="E143" s="486">
        <f t="shared" si="38"/>
        <v>270.5</v>
      </c>
      <c r="F143" s="485">
        <f t="shared" si="47"/>
        <v>0</v>
      </c>
      <c r="G143" s="485">
        <f t="shared" si="42"/>
        <v>135.25</v>
      </c>
      <c r="H143" s="488">
        <f t="shared" si="43"/>
        <v>284.44617202740523</v>
      </c>
      <c r="I143" s="542">
        <f t="shared" si="44"/>
        <v>284.44617202740523</v>
      </c>
      <c r="J143" s="478">
        <f t="shared" si="45"/>
        <v>0</v>
      </c>
      <c r="K143" s="478"/>
      <c r="L143" s="487"/>
      <c r="M143" s="478">
        <f t="shared" si="39"/>
        <v>0</v>
      </c>
      <c r="N143" s="487"/>
      <c r="O143" s="478">
        <f t="shared" si="40"/>
        <v>0</v>
      </c>
      <c r="P143" s="478">
        <f t="shared" si="41"/>
        <v>0</v>
      </c>
    </row>
    <row r="144" spans="2:16" ht="12.5">
      <c r="B144" s="160" t="str">
        <f t="shared" si="46"/>
        <v/>
      </c>
      <c r="C144" s="472">
        <f>IF(D93="","-",+C143+1)</f>
        <v>2055</v>
      </c>
      <c r="D144" s="346">
        <f>IF(F143+SUM(E$101:E143)=D$92,F143,D$92-SUM(E$101:E143))</f>
        <v>0</v>
      </c>
      <c r="E144" s="486">
        <f t="shared" si="38"/>
        <v>0</v>
      </c>
      <c r="F144" s="485">
        <f t="shared" si="47"/>
        <v>0</v>
      </c>
      <c r="G144" s="485">
        <f t="shared" si="42"/>
        <v>0</v>
      </c>
      <c r="H144" s="488">
        <f t="shared" si="43"/>
        <v>0</v>
      </c>
      <c r="I144" s="542">
        <f t="shared" si="44"/>
        <v>0</v>
      </c>
      <c r="J144" s="478">
        <f t="shared" si="45"/>
        <v>0</v>
      </c>
      <c r="K144" s="478"/>
      <c r="L144" s="487"/>
      <c r="M144" s="478">
        <f t="shared" si="39"/>
        <v>0</v>
      </c>
      <c r="N144" s="487"/>
      <c r="O144" s="478">
        <f t="shared" si="40"/>
        <v>0</v>
      </c>
      <c r="P144" s="478">
        <f t="shared" si="41"/>
        <v>0</v>
      </c>
    </row>
    <row r="145" spans="2:16" ht="12.5">
      <c r="B145" s="160" t="str">
        <f t="shared" si="46"/>
        <v/>
      </c>
      <c r="C145" s="472">
        <f>IF(D93="","-",+C144+1)</f>
        <v>2056</v>
      </c>
      <c r="D145" s="346">
        <f>IF(F144+SUM(E$101:E144)=D$92,F144,D$92-SUM(E$101:E144))</f>
        <v>0</v>
      </c>
      <c r="E145" s="486">
        <f t="shared" si="38"/>
        <v>0</v>
      </c>
      <c r="F145" s="485">
        <f t="shared" si="47"/>
        <v>0</v>
      </c>
      <c r="G145" s="485">
        <f t="shared" si="42"/>
        <v>0</v>
      </c>
      <c r="H145" s="488">
        <f t="shared" si="43"/>
        <v>0</v>
      </c>
      <c r="I145" s="542">
        <f t="shared" si="44"/>
        <v>0</v>
      </c>
      <c r="J145" s="478">
        <f t="shared" si="45"/>
        <v>0</v>
      </c>
      <c r="K145" s="478"/>
      <c r="L145" s="487"/>
      <c r="M145" s="478">
        <f t="shared" si="39"/>
        <v>0</v>
      </c>
      <c r="N145" s="487"/>
      <c r="O145" s="478">
        <f t="shared" si="40"/>
        <v>0</v>
      </c>
      <c r="P145" s="478">
        <f t="shared" si="41"/>
        <v>0</v>
      </c>
    </row>
    <row r="146" spans="2:16" ht="12.5">
      <c r="B146" s="160" t="str">
        <f t="shared" si="46"/>
        <v/>
      </c>
      <c r="C146" s="472">
        <f>IF(D93="","-",+C145+1)</f>
        <v>2057</v>
      </c>
      <c r="D146" s="346">
        <f>IF(F145+SUM(E$101:E145)=D$92,F145,D$92-SUM(E$101:E145))</f>
        <v>0</v>
      </c>
      <c r="E146" s="486">
        <f t="shared" si="38"/>
        <v>0</v>
      </c>
      <c r="F146" s="485">
        <f t="shared" si="47"/>
        <v>0</v>
      </c>
      <c r="G146" s="485">
        <f t="shared" si="42"/>
        <v>0</v>
      </c>
      <c r="H146" s="488">
        <f t="shared" si="43"/>
        <v>0</v>
      </c>
      <c r="I146" s="542">
        <f t="shared" si="44"/>
        <v>0</v>
      </c>
      <c r="J146" s="478">
        <f t="shared" si="45"/>
        <v>0</v>
      </c>
      <c r="K146" s="478"/>
      <c r="L146" s="487"/>
      <c r="M146" s="478">
        <f t="shared" si="39"/>
        <v>0</v>
      </c>
      <c r="N146" s="487"/>
      <c r="O146" s="478">
        <f t="shared" si="40"/>
        <v>0</v>
      </c>
      <c r="P146" s="478">
        <f t="shared" si="41"/>
        <v>0</v>
      </c>
    </row>
    <row r="147" spans="2:16" ht="12.5">
      <c r="B147" s="160" t="str">
        <f t="shared" si="46"/>
        <v/>
      </c>
      <c r="C147" s="472">
        <f>IF(D93="","-",+C146+1)</f>
        <v>2058</v>
      </c>
      <c r="D147" s="346">
        <f>IF(F146+SUM(E$101:E146)=D$92,F146,D$92-SUM(E$101:E146))</f>
        <v>0</v>
      </c>
      <c r="E147" s="486">
        <f t="shared" si="38"/>
        <v>0</v>
      </c>
      <c r="F147" s="485">
        <f t="shared" si="47"/>
        <v>0</v>
      </c>
      <c r="G147" s="485">
        <f t="shared" si="42"/>
        <v>0</v>
      </c>
      <c r="H147" s="488">
        <f t="shared" si="43"/>
        <v>0</v>
      </c>
      <c r="I147" s="542">
        <f t="shared" si="44"/>
        <v>0</v>
      </c>
      <c r="J147" s="478">
        <f t="shared" si="45"/>
        <v>0</v>
      </c>
      <c r="K147" s="478"/>
      <c r="L147" s="487"/>
      <c r="M147" s="478">
        <f t="shared" si="39"/>
        <v>0</v>
      </c>
      <c r="N147" s="487"/>
      <c r="O147" s="478">
        <f t="shared" si="40"/>
        <v>0</v>
      </c>
      <c r="P147" s="478">
        <f t="shared" si="41"/>
        <v>0</v>
      </c>
    </row>
    <row r="148" spans="2:16" ht="12.5">
      <c r="B148" s="160" t="str">
        <f t="shared" si="46"/>
        <v/>
      </c>
      <c r="C148" s="472">
        <f>IF(D93="","-",+C147+1)</f>
        <v>2059</v>
      </c>
      <c r="D148" s="346">
        <f>IF(F147+SUM(E$101:E147)=D$92,F147,D$92-SUM(E$101:E147))</f>
        <v>0</v>
      </c>
      <c r="E148" s="486">
        <f t="shared" si="38"/>
        <v>0</v>
      </c>
      <c r="F148" s="485">
        <f t="shared" si="47"/>
        <v>0</v>
      </c>
      <c r="G148" s="485">
        <f t="shared" si="42"/>
        <v>0</v>
      </c>
      <c r="H148" s="488">
        <f t="shared" si="43"/>
        <v>0</v>
      </c>
      <c r="I148" s="542">
        <f t="shared" si="44"/>
        <v>0</v>
      </c>
      <c r="J148" s="478">
        <f t="shared" si="45"/>
        <v>0</v>
      </c>
      <c r="K148" s="478"/>
      <c r="L148" s="487"/>
      <c r="M148" s="478">
        <f t="shared" si="39"/>
        <v>0</v>
      </c>
      <c r="N148" s="487"/>
      <c r="O148" s="478">
        <f t="shared" si="40"/>
        <v>0</v>
      </c>
      <c r="P148" s="478">
        <f t="shared" si="41"/>
        <v>0</v>
      </c>
    </row>
    <row r="149" spans="2:16" ht="12.5">
      <c r="B149" s="160" t="str">
        <f t="shared" si="46"/>
        <v/>
      </c>
      <c r="C149" s="472">
        <f>IF(D93="","-",+C148+1)</f>
        <v>2060</v>
      </c>
      <c r="D149" s="346">
        <f>IF(F148+SUM(E$101:E148)=D$92,F148,D$92-SUM(E$101:E148))</f>
        <v>0</v>
      </c>
      <c r="E149" s="486">
        <f t="shared" si="38"/>
        <v>0</v>
      </c>
      <c r="F149" s="485">
        <f t="shared" si="47"/>
        <v>0</v>
      </c>
      <c r="G149" s="485">
        <f t="shared" si="42"/>
        <v>0</v>
      </c>
      <c r="H149" s="488">
        <f t="shared" si="43"/>
        <v>0</v>
      </c>
      <c r="I149" s="542">
        <f t="shared" si="44"/>
        <v>0</v>
      </c>
      <c r="J149" s="478">
        <f t="shared" si="45"/>
        <v>0</v>
      </c>
      <c r="K149" s="478"/>
      <c r="L149" s="487"/>
      <c r="M149" s="478">
        <f t="shared" si="39"/>
        <v>0</v>
      </c>
      <c r="N149" s="487"/>
      <c r="O149" s="478">
        <f t="shared" si="40"/>
        <v>0</v>
      </c>
      <c r="P149" s="478">
        <f t="shared" si="41"/>
        <v>0</v>
      </c>
    </row>
    <row r="150" spans="2:16" ht="12.5">
      <c r="B150" s="160" t="str">
        <f t="shared" si="46"/>
        <v/>
      </c>
      <c r="C150" s="472">
        <f>IF(D93="","-",+C149+1)</f>
        <v>2061</v>
      </c>
      <c r="D150" s="346">
        <f>IF(F149+SUM(E$101:E149)=D$92,F149,D$92-SUM(E$101:E149))</f>
        <v>0</v>
      </c>
      <c r="E150" s="486">
        <f t="shared" si="38"/>
        <v>0</v>
      </c>
      <c r="F150" s="485">
        <f t="shared" si="47"/>
        <v>0</v>
      </c>
      <c r="G150" s="485">
        <f t="shared" si="42"/>
        <v>0</v>
      </c>
      <c r="H150" s="488">
        <f t="shared" si="43"/>
        <v>0</v>
      </c>
      <c r="I150" s="542">
        <f t="shared" si="44"/>
        <v>0</v>
      </c>
      <c r="J150" s="478">
        <f t="shared" si="45"/>
        <v>0</v>
      </c>
      <c r="K150" s="478"/>
      <c r="L150" s="487"/>
      <c r="M150" s="478">
        <f t="shared" si="39"/>
        <v>0</v>
      </c>
      <c r="N150" s="487"/>
      <c r="O150" s="478">
        <f t="shared" si="40"/>
        <v>0</v>
      </c>
      <c r="P150" s="478">
        <f t="shared" si="41"/>
        <v>0</v>
      </c>
    </row>
    <row r="151" spans="2:16" ht="12.5">
      <c r="B151" s="160" t="str">
        <f t="shared" si="46"/>
        <v/>
      </c>
      <c r="C151" s="472">
        <f>IF(D93="","-",+C150+1)</f>
        <v>2062</v>
      </c>
      <c r="D151" s="346">
        <f>IF(F150+SUM(E$101:E150)=D$92,F150,D$92-SUM(E$101:E150))</f>
        <v>0</v>
      </c>
      <c r="E151" s="486">
        <f t="shared" si="38"/>
        <v>0</v>
      </c>
      <c r="F151" s="485">
        <f t="shared" si="47"/>
        <v>0</v>
      </c>
      <c r="G151" s="485">
        <f t="shared" si="42"/>
        <v>0</v>
      </c>
      <c r="H151" s="488">
        <f t="shared" si="43"/>
        <v>0</v>
      </c>
      <c r="I151" s="542">
        <f t="shared" si="44"/>
        <v>0</v>
      </c>
      <c r="J151" s="478">
        <f t="shared" si="45"/>
        <v>0</v>
      </c>
      <c r="K151" s="478"/>
      <c r="L151" s="487"/>
      <c r="M151" s="478">
        <f t="shared" si="39"/>
        <v>0</v>
      </c>
      <c r="N151" s="487"/>
      <c r="O151" s="478">
        <f t="shared" si="40"/>
        <v>0</v>
      </c>
      <c r="P151" s="478">
        <f t="shared" si="41"/>
        <v>0</v>
      </c>
    </row>
    <row r="152" spans="2:16" ht="12.5">
      <c r="B152" s="160" t="str">
        <f t="shared" si="46"/>
        <v/>
      </c>
      <c r="C152" s="472">
        <f>IF(D93="","-",+C151+1)</f>
        <v>2063</v>
      </c>
      <c r="D152" s="346">
        <f>IF(F151+SUM(E$101:E151)=D$92,F151,D$92-SUM(E$101:E151))</f>
        <v>0</v>
      </c>
      <c r="E152" s="486">
        <f t="shared" si="38"/>
        <v>0</v>
      </c>
      <c r="F152" s="485">
        <f t="shared" si="47"/>
        <v>0</v>
      </c>
      <c r="G152" s="485">
        <f t="shared" si="42"/>
        <v>0</v>
      </c>
      <c r="H152" s="488">
        <f t="shared" si="43"/>
        <v>0</v>
      </c>
      <c r="I152" s="542">
        <f t="shared" si="44"/>
        <v>0</v>
      </c>
      <c r="J152" s="478">
        <f t="shared" si="45"/>
        <v>0</v>
      </c>
      <c r="K152" s="478"/>
      <c r="L152" s="487"/>
      <c r="M152" s="478">
        <f t="shared" si="39"/>
        <v>0</v>
      </c>
      <c r="N152" s="487"/>
      <c r="O152" s="478">
        <f t="shared" si="40"/>
        <v>0</v>
      </c>
      <c r="P152" s="478">
        <f t="shared" si="41"/>
        <v>0</v>
      </c>
    </row>
    <row r="153" spans="2:16" ht="12.5">
      <c r="B153" s="160" t="str">
        <f t="shared" si="46"/>
        <v/>
      </c>
      <c r="C153" s="472">
        <f>IF(D93="","-",+C152+1)</f>
        <v>2064</v>
      </c>
      <c r="D153" s="346">
        <f>IF(F152+SUM(E$101:E152)=D$92,F152,D$92-SUM(E$101:E152))</f>
        <v>0</v>
      </c>
      <c r="E153" s="486">
        <f t="shared" si="38"/>
        <v>0</v>
      </c>
      <c r="F153" s="485">
        <f t="shared" si="47"/>
        <v>0</v>
      </c>
      <c r="G153" s="485">
        <f t="shared" si="42"/>
        <v>0</v>
      </c>
      <c r="H153" s="488">
        <f t="shared" si="43"/>
        <v>0</v>
      </c>
      <c r="I153" s="542">
        <f t="shared" si="44"/>
        <v>0</v>
      </c>
      <c r="J153" s="478">
        <f t="shared" si="45"/>
        <v>0</v>
      </c>
      <c r="K153" s="478"/>
      <c r="L153" s="487"/>
      <c r="M153" s="478">
        <f t="shared" si="39"/>
        <v>0</v>
      </c>
      <c r="N153" s="487"/>
      <c r="O153" s="478">
        <f t="shared" si="40"/>
        <v>0</v>
      </c>
      <c r="P153" s="478">
        <f t="shared" si="41"/>
        <v>0</v>
      </c>
    </row>
    <row r="154" spans="2:16" ht="13" thickBot="1">
      <c r="B154" s="160" t="str">
        <f t="shared" si="46"/>
        <v/>
      </c>
      <c r="C154" s="489">
        <f>IF(D93="","-",+C153+1)</f>
        <v>2065</v>
      </c>
      <c r="D154" s="543">
        <f>IF(F153+SUM(E$101:E153)=D$92,F153,D$92-SUM(E$101:E153))</f>
        <v>0</v>
      </c>
      <c r="E154" s="544">
        <f t="shared" si="38"/>
        <v>0</v>
      </c>
      <c r="F154" s="490">
        <f t="shared" si="47"/>
        <v>0</v>
      </c>
      <c r="G154" s="490">
        <f t="shared" si="42"/>
        <v>0</v>
      </c>
      <c r="H154" s="492">
        <f t="shared" si="43"/>
        <v>0</v>
      </c>
      <c r="I154" s="545">
        <f t="shared" si="44"/>
        <v>0</v>
      </c>
      <c r="J154" s="495">
        <f t="shared" si="45"/>
        <v>0</v>
      </c>
      <c r="K154" s="478"/>
      <c r="L154" s="494"/>
      <c r="M154" s="495">
        <f t="shared" si="39"/>
        <v>0</v>
      </c>
      <c r="N154" s="494"/>
      <c r="O154" s="495">
        <f t="shared" si="40"/>
        <v>0</v>
      </c>
      <c r="P154" s="495">
        <f t="shared" si="41"/>
        <v>0</v>
      </c>
    </row>
    <row r="155" spans="2:16" ht="12.5">
      <c r="C155" s="346" t="s">
        <v>77</v>
      </c>
      <c r="D155" s="347"/>
      <c r="E155" s="347">
        <f>SUM(E101:E154)</f>
        <v>22097</v>
      </c>
      <c r="F155" s="347"/>
      <c r="G155" s="347"/>
      <c r="H155" s="347">
        <f>SUM(H101:H154)</f>
        <v>76381.451698405421</v>
      </c>
      <c r="I155" s="347">
        <f>SUM(I101:I154)</f>
        <v>76381.451698405421</v>
      </c>
      <c r="J155" s="347">
        <f>SUM(J101:J154)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35" priority="3" stopIfTrue="1" operator="equal">
      <formula>$I$10</formula>
    </cfRule>
  </conditionalFormatting>
  <conditionalFormatting sqref="C102:C152">
    <cfRule type="cellIs" dxfId="34" priority="4" stopIfTrue="1" operator="equal">
      <formula>$J$92</formula>
    </cfRule>
  </conditionalFormatting>
  <conditionalFormatting sqref="C153:C154">
    <cfRule type="cellIs" dxfId="33" priority="2" stopIfTrue="1" operator="equal">
      <formula>$J$92</formula>
    </cfRule>
  </conditionalFormatting>
  <conditionalFormatting sqref="C100:C101">
    <cfRule type="cellIs" dxfId="32" priority="1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P162"/>
  <sheetViews>
    <sheetView view="pageBreakPreview" topLeftCell="B1" zoomScale="75" zoomScaleNormal="100" zoomScaleSheetLayoutView="75" workbookViewId="0">
      <selection activeCell="D24" sqref="D24:H24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14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106280.60465116279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106280.60465116279</v>
      </c>
      <c r="O6" s="232"/>
      <c r="P6" s="232"/>
    </row>
    <row r="7" spans="1:16" ht="13.5" thickBot="1">
      <c r="C7" s="431" t="s">
        <v>46</v>
      </c>
      <c r="D7" s="599" t="s">
        <v>242</v>
      </c>
      <c r="E7" s="600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572" t="s">
        <v>241</v>
      </c>
      <c r="E9" s="577" t="s">
        <v>292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1035552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2013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2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24082.60465116279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0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2013</v>
      </c>
      <c r="D17" s="581">
        <v>5562500</v>
      </c>
      <c r="E17" s="601">
        <v>89142.628205128203</v>
      </c>
      <c r="F17" s="581">
        <v>5473357.371794872</v>
      </c>
      <c r="G17" s="601">
        <v>870775.06277038739</v>
      </c>
      <c r="H17" s="602">
        <v>870775.06277038739</v>
      </c>
      <c r="I17" s="475">
        <v>0</v>
      </c>
      <c r="J17" s="348"/>
      <c r="K17" s="554">
        <f t="shared" ref="K17:K22" si="0">G17</f>
        <v>870775.06277038739</v>
      </c>
      <c r="L17" s="603">
        <f t="shared" ref="L17:L22" si="1">IF(K17&lt;&gt;0,+G17-K17,0)</f>
        <v>0</v>
      </c>
      <c r="M17" s="554">
        <f t="shared" ref="M17:M22" si="2">H17</f>
        <v>870775.06277038739</v>
      </c>
      <c r="N17" s="477">
        <f t="shared" ref="N17:N22" si="3">IF(M17&lt;&gt;0,+H17-M17,0)</f>
        <v>0</v>
      </c>
      <c r="O17" s="475">
        <f t="shared" ref="O17:O22" si="4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2014</v>
      </c>
      <c r="D18" s="586">
        <v>5473357</v>
      </c>
      <c r="E18" s="585">
        <v>19910</v>
      </c>
      <c r="F18" s="586">
        <v>5453447</v>
      </c>
      <c r="G18" s="585">
        <v>770625</v>
      </c>
      <c r="H18" s="587">
        <v>770625</v>
      </c>
      <c r="I18" s="475">
        <f>H18-G18</f>
        <v>0</v>
      </c>
      <c r="J18" s="348"/>
      <c r="K18" s="476">
        <f t="shared" si="0"/>
        <v>770625</v>
      </c>
      <c r="L18" s="603">
        <f t="shared" si="1"/>
        <v>0</v>
      </c>
      <c r="M18" s="476">
        <f t="shared" si="2"/>
        <v>770625</v>
      </c>
      <c r="N18" s="478">
        <f t="shared" si="3"/>
        <v>0</v>
      </c>
      <c r="O18" s="475">
        <f t="shared" si="4"/>
        <v>0</v>
      </c>
      <c r="P18" s="242"/>
    </row>
    <row r="19" spans="2:16" ht="12.5">
      <c r="B19" s="160" t="str">
        <f>IF(D19=F18,"","IU")</f>
        <v/>
      </c>
      <c r="C19" s="472">
        <f>IF(D11="","-",+C18+1)</f>
        <v>2015</v>
      </c>
      <c r="D19" s="586">
        <v>5453447</v>
      </c>
      <c r="E19" s="585">
        <f t="shared" ref="E19:E72" si="5">IF(+$I$14&lt;F18,$I$14,D19)</f>
        <v>24082.60465116279</v>
      </c>
      <c r="F19" s="586">
        <v>5433533</v>
      </c>
      <c r="G19" s="585">
        <v>769045</v>
      </c>
      <c r="H19" s="587">
        <v>769045</v>
      </c>
      <c r="I19" s="475">
        <f t="shared" ref="I19:I72" si="6">H19-G19</f>
        <v>0</v>
      </c>
      <c r="J19" s="348"/>
      <c r="K19" s="476">
        <f t="shared" si="0"/>
        <v>769045</v>
      </c>
      <c r="L19" s="603">
        <f t="shared" si="1"/>
        <v>0</v>
      </c>
      <c r="M19" s="476">
        <f t="shared" si="2"/>
        <v>769045</v>
      </c>
      <c r="N19" s="478">
        <f t="shared" si="3"/>
        <v>0</v>
      </c>
      <c r="O19" s="475">
        <f t="shared" si="4"/>
        <v>0</v>
      </c>
      <c r="P19" s="242"/>
    </row>
    <row r="20" spans="2:16" ht="12.5">
      <c r="B20" s="160" t="str">
        <f t="shared" ref="B20:B72" si="7">IF(D20=F19,"","IU")</f>
        <v>IU</v>
      </c>
      <c r="C20" s="472">
        <f>IF(D11="","-",+C19+1)</f>
        <v>2016</v>
      </c>
      <c r="D20" s="586">
        <v>906584.91025641025</v>
      </c>
      <c r="E20" s="585">
        <v>19914.461538461539</v>
      </c>
      <c r="F20" s="586">
        <v>886670.44871794875</v>
      </c>
      <c r="G20" s="585">
        <v>136209.46153846153</v>
      </c>
      <c r="H20" s="587">
        <v>136209.46153846153</v>
      </c>
      <c r="I20" s="475">
        <f t="shared" si="6"/>
        <v>0</v>
      </c>
      <c r="J20" s="348"/>
      <c r="K20" s="476">
        <f t="shared" si="0"/>
        <v>136209.46153846153</v>
      </c>
      <c r="L20" s="603">
        <f t="shared" si="1"/>
        <v>0</v>
      </c>
      <c r="M20" s="476">
        <f t="shared" si="2"/>
        <v>136209.46153846153</v>
      </c>
      <c r="N20" s="478">
        <f t="shared" si="3"/>
        <v>0</v>
      </c>
      <c r="O20" s="475">
        <f t="shared" si="4"/>
        <v>0</v>
      </c>
      <c r="P20" s="242"/>
    </row>
    <row r="21" spans="2:16" ht="12.5">
      <c r="B21" s="160" t="str">
        <f t="shared" si="7"/>
        <v>IU</v>
      </c>
      <c r="C21" s="472">
        <f>IF(D11="","-",+C20+1)</f>
        <v>2017</v>
      </c>
      <c r="D21" s="586">
        <v>884072.91025641025</v>
      </c>
      <c r="E21" s="585">
        <v>22512</v>
      </c>
      <c r="F21" s="586">
        <v>861560.91025641025</v>
      </c>
      <c r="G21" s="585">
        <v>132155</v>
      </c>
      <c r="H21" s="587">
        <v>132155</v>
      </c>
      <c r="I21" s="475">
        <f t="shared" si="6"/>
        <v>0</v>
      </c>
      <c r="J21" s="348"/>
      <c r="K21" s="476">
        <f t="shared" si="0"/>
        <v>132155</v>
      </c>
      <c r="L21" s="603">
        <f t="shared" si="1"/>
        <v>0</v>
      </c>
      <c r="M21" s="476">
        <f t="shared" si="2"/>
        <v>132155</v>
      </c>
      <c r="N21" s="478">
        <f t="shared" si="3"/>
        <v>0</v>
      </c>
      <c r="O21" s="475">
        <f t="shared" si="4"/>
        <v>0</v>
      </c>
      <c r="P21" s="242"/>
    </row>
    <row r="22" spans="2:16" ht="12.5">
      <c r="B22" s="160" t="str">
        <f t="shared" si="7"/>
        <v>IU</v>
      </c>
      <c r="C22" s="472">
        <f>IF(D11="","-",+C21+1)</f>
        <v>2018</v>
      </c>
      <c r="D22" s="586">
        <v>861060.64358974365</v>
      </c>
      <c r="E22" s="585">
        <v>23012.266666666666</v>
      </c>
      <c r="F22" s="586">
        <v>838048.37692307692</v>
      </c>
      <c r="G22" s="585">
        <v>124754.01488848326</v>
      </c>
      <c r="H22" s="587">
        <v>124754.01488848326</v>
      </c>
      <c r="I22" s="475">
        <f t="shared" si="6"/>
        <v>0</v>
      </c>
      <c r="J22" s="348"/>
      <c r="K22" s="476">
        <f t="shared" si="0"/>
        <v>124754.01488848326</v>
      </c>
      <c r="L22" s="603">
        <f t="shared" si="1"/>
        <v>0</v>
      </c>
      <c r="M22" s="476">
        <f t="shared" si="2"/>
        <v>124754.01488848326</v>
      </c>
      <c r="N22" s="478">
        <f t="shared" si="3"/>
        <v>0</v>
      </c>
      <c r="O22" s="475">
        <f t="shared" si="4"/>
        <v>0</v>
      </c>
      <c r="P22" s="242"/>
    </row>
    <row r="23" spans="2:16" ht="12.5">
      <c r="B23" s="160" t="str">
        <f t="shared" si="7"/>
        <v>IU</v>
      </c>
      <c r="C23" s="472">
        <f>IF(D11="","-",+C22+1)</f>
        <v>2019</v>
      </c>
      <c r="D23" s="586">
        <v>835171.8435897436</v>
      </c>
      <c r="E23" s="585">
        <v>25888.799999999999</v>
      </c>
      <c r="F23" s="586">
        <v>809283.04358974355</v>
      </c>
      <c r="G23" s="585">
        <v>117695.9465116283</v>
      </c>
      <c r="H23" s="587">
        <v>117695.9465116283</v>
      </c>
      <c r="I23" s="475">
        <f t="shared" si="6"/>
        <v>0</v>
      </c>
      <c r="J23" s="475"/>
      <c r="K23" s="476">
        <f t="shared" ref="K23" si="8">G23</f>
        <v>117695.9465116283</v>
      </c>
      <c r="L23" s="603">
        <f t="shared" ref="L23" si="9">IF(K23&lt;&gt;0,+G23-K23,0)</f>
        <v>0</v>
      </c>
      <c r="M23" s="476">
        <f t="shared" ref="M23" si="10">H23</f>
        <v>117695.9465116283</v>
      </c>
      <c r="N23" s="478">
        <f t="shared" ref="N23:N72" si="11">IF(M23&lt;&gt;0,+H23-M23,0)</f>
        <v>0</v>
      </c>
      <c r="O23" s="478">
        <f t="shared" ref="O23:O72" si="12">+N23-L23</f>
        <v>0</v>
      </c>
      <c r="P23" s="242"/>
    </row>
    <row r="24" spans="2:16" ht="12.5">
      <c r="B24" s="160" t="str">
        <f t="shared" si="7"/>
        <v>IU</v>
      </c>
      <c r="C24" s="472">
        <f>IF(D11="","-",+C23+1)</f>
        <v>2020</v>
      </c>
      <c r="D24" s="586">
        <v>815036.1102564102</v>
      </c>
      <c r="E24" s="585">
        <v>24656</v>
      </c>
      <c r="F24" s="586">
        <v>790380.1102564102</v>
      </c>
      <c r="G24" s="585">
        <v>111352.31037205369</v>
      </c>
      <c r="H24" s="587">
        <v>111352.31037205369</v>
      </c>
      <c r="I24" s="475">
        <f t="shared" si="6"/>
        <v>0</v>
      </c>
      <c r="J24" s="475"/>
      <c r="K24" s="476">
        <f t="shared" ref="K24" si="13">G24</f>
        <v>111352.31037205369</v>
      </c>
      <c r="L24" s="603">
        <f t="shared" ref="L24" si="14">IF(K24&lt;&gt;0,+G24-K24,0)</f>
        <v>0</v>
      </c>
      <c r="M24" s="476">
        <f t="shared" ref="M24" si="15">H24</f>
        <v>111352.31037205369</v>
      </c>
      <c r="N24" s="478">
        <f t="shared" si="11"/>
        <v>0</v>
      </c>
      <c r="O24" s="478">
        <f t="shared" si="12"/>
        <v>0</v>
      </c>
      <c r="P24" s="242"/>
    </row>
    <row r="25" spans="2:16" ht="12.5">
      <c r="B25" s="160" t="str">
        <f t="shared" si="7"/>
        <v>IU</v>
      </c>
      <c r="C25" s="472">
        <f>IF(D11="","-",+C24+1)</f>
        <v>2021</v>
      </c>
      <c r="D25" s="485">
        <f>IF(F24+SUM(E$17:E24)=D$10,F24,D$10-SUM(E$17:E24))</f>
        <v>786433.23893858085</v>
      </c>
      <c r="E25" s="484">
        <f t="shared" si="5"/>
        <v>24082.60465116279</v>
      </c>
      <c r="F25" s="485">
        <f t="shared" ref="F25:F72" si="16">+D25-E25</f>
        <v>762350.6342874181</v>
      </c>
      <c r="G25" s="486">
        <f t="shared" ref="G25:G72" si="17">ROUND(I$12*F25,0)+E25</f>
        <v>106280.60465116279</v>
      </c>
      <c r="H25" s="455">
        <f t="shared" ref="H25:H72" si="18">ROUND(I$13*F25,0)+E25</f>
        <v>106280.60465116279</v>
      </c>
      <c r="I25" s="475">
        <f t="shared" si="6"/>
        <v>0</v>
      </c>
      <c r="J25" s="475"/>
      <c r="K25" s="487"/>
      <c r="L25" s="478">
        <f t="shared" ref="L25:L72" si="19">IF(K25&lt;&gt;0,+G25-K25,0)</f>
        <v>0</v>
      </c>
      <c r="M25" s="487"/>
      <c r="N25" s="478">
        <f t="shared" si="11"/>
        <v>0</v>
      </c>
      <c r="O25" s="478">
        <f t="shared" si="12"/>
        <v>0</v>
      </c>
      <c r="P25" s="242"/>
    </row>
    <row r="26" spans="2:16" ht="12.5">
      <c r="B26" s="160" t="str">
        <f t="shared" si="7"/>
        <v/>
      </c>
      <c r="C26" s="472">
        <f>IF(D11="","-",+C25+1)</f>
        <v>2022</v>
      </c>
      <c r="D26" s="485">
        <f>IF(F25+SUM(E$17:E25)=D$10,F25,D$10-SUM(E$17:E25))</f>
        <v>762350.6342874181</v>
      </c>
      <c r="E26" s="484">
        <f t="shared" si="5"/>
        <v>24082.60465116279</v>
      </c>
      <c r="F26" s="485">
        <f t="shared" si="16"/>
        <v>738268.02963625535</v>
      </c>
      <c r="G26" s="486">
        <f t="shared" si="17"/>
        <v>103683.60465116279</v>
      </c>
      <c r="H26" s="455">
        <f t="shared" si="18"/>
        <v>103683.60465116279</v>
      </c>
      <c r="I26" s="475">
        <f t="shared" si="6"/>
        <v>0</v>
      </c>
      <c r="J26" s="475"/>
      <c r="K26" s="487"/>
      <c r="L26" s="478">
        <f t="shared" si="19"/>
        <v>0</v>
      </c>
      <c r="M26" s="487"/>
      <c r="N26" s="478">
        <f t="shared" si="11"/>
        <v>0</v>
      </c>
      <c r="O26" s="478">
        <f t="shared" si="12"/>
        <v>0</v>
      </c>
      <c r="P26" s="242"/>
    </row>
    <row r="27" spans="2:16" ht="12.5">
      <c r="B27" s="160" t="str">
        <f t="shared" si="7"/>
        <v/>
      </c>
      <c r="C27" s="472">
        <f>IF(D11="","-",+C26+1)</f>
        <v>2023</v>
      </c>
      <c r="D27" s="485">
        <f>IF(F26+SUM(E$17:E26)=D$10,F26,D$10-SUM(E$17:E26))</f>
        <v>738268.02963625535</v>
      </c>
      <c r="E27" s="484">
        <f t="shared" si="5"/>
        <v>24082.60465116279</v>
      </c>
      <c r="F27" s="485">
        <f t="shared" si="16"/>
        <v>714185.4249850926</v>
      </c>
      <c r="G27" s="486">
        <f t="shared" si="17"/>
        <v>101087.60465116279</v>
      </c>
      <c r="H27" s="455">
        <f t="shared" si="18"/>
        <v>101087.60465116279</v>
      </c>
      <c r="I27" s="475">
        <f t="shared" si="6"/>
        <v>0</v>
      </c>
      <c r="J27" s="475"/>
      <c r="K27" s="487"/>
      <c r="L27" s="478">
        <f t="shared" si="19"/>
        <v>0</v>
      </c>
      <c r="M27" s="487"/>
      <c r="N27" s="478">
        <f t="shared" si="11"/>
        <v>0</v>
      </c>
      <c r="O27" s="478">
        <f t="shared" si="12"/>
        <v>0</v>
      </c>
      <c r="P27" s="242"/>
    </row>
    <row r="28" spans="2:16" ht="12.5">
      <c r="B28" s="160" t="str">
        <f t="shared" si="7"/>
        <v/>
      </c>
      <c r="C28" s="472">
        <f>IF(D11="","-",+C27+1)</f>
        <v>2024</v>
      </c>
      <c r="D28" s="485">
        <f>IF(F27+SUM(E$17:E27)=D$10,F27,D$10-SUM(E$17:E27))</f>
        <v>714185.4249850926</v>
      </c>
      <c r="E28" s="484">
        <f t="shared" si="5"/>
        <v>24082.60465116279</v>
      </c>
      <c r="F28" s="485">
        <f t="shared" si="16"/>
        <v>690102.82033392985</v>
      </c>
      <c r="G28" s="486">
        <f t="shared" si="17"/>
        <v>98490.604651162794</v>
      </c>
      <c r="H28" s="455">
        <f t="shared" si="18"/>
        <v>98490.604651162794</v>
      </c>
      <c r="I28" s="475">
        <f t="shared" si="6"/>
        <v>0</v>
      </c>
      <c r="J28" s="475"/>
      <c r="K28" s="487"/>
      <c r="L28" s="478">
        <f t="shared" si="19"/>
        <v>0</v>
      </c>
      <c r="M28" s="487"/>
      <c r="N28" s="478">
        <f t="shared" si="11"/>
        <v>0</v>
      </c>
      <c r="O28" s="478">
        <f t="shared" si="12"/>
        <v>0</v>
      </c>
      <c r="P28" s="242"/>
    </row>
    <row r="29" spans="2:16" ht="12.5">
      <c r="B29" s="160" t="str">
        <f t="shared" si="7"/>
        <v/>
      </c>
      <c r="C29" s="472">
        <f>IF(D11="","-",+C28+1)</f>
        <v>2025</v>
      </c>
      <c r="D29" s="485">
        <f>IF(F28+SUM(E$17:E28)=D$10,F28,D$10-SUM(E$17:E28))</f>
        <v>690102.82033392985</v>
      </c>
      <c r="E29" s="484">
        <f t="shared" si="5"/>
        <v>24082.60465116279</v>
      </c>
      <c r="F29" s="485">
        <f t="shared" si="16"/>
        <v>666020.2156827671</v>
      </c>
      <c r="G29" s="486">
        <f t="shared" si="17"/>
        <v>95893.604651162794</v>
      </c>
      <c r="H29" s="455">
        <f t="shared" si="18"/>
        <v>95893.604651162794</v>
      </c>
      <c r="I29" s="475">
        <f t="shared" si="6"/>
        <v>0</v>
      </c>
      <c r="J29" s="475"/>
      <c r="K29" s="487"/>
      <c r="L29" s="478">
        <f t="shared" si="19"/>
        <v>0</v>
      </c>
      <c r="M29" s="487"/>
      <c r="N29" s="478">
        <f t="shared" si="11"/>
        <v>0</v>
      </c>
      <c r="O29" s="478">
        <f t="shared" si="12"/>
        <v>0</v>
      </c>
      <c r="P29" s="242"/>
    </row>
    <row r="30" spans="2:16" ht="12.5">
      <c r="B30" s="160" t="str">
        <f t="shared" si="7"/>
        <v/>
      </c>
      <c r="C30" s="472">
        <f>IF(D11="","-",+C29+1)</f>
        <v>2026</v>
      </c>
      <c r="D30" s="485">
        <f>IF(F29+SUM(E$17:E29)=D$10,F29,D$10-SUM(E$17:E29))</f>
        <v>666020.2156827671</v>
      </c>
      <c r="E30" s="484">
        <f t="shared" si="5"/>
        <v>24082.60465116279</v>
      </c>
      <c r="F30" s="485">
        <f t="shared" si="16"/>
        <v>641937.61103160435</v>
      </c>
      <c r="G30" s="486">
        <f t="shared" si="17"/>
        <v>93297.604651162794</v>
      </c>
      <c r="H30" s="455">
        <f t="shared" si="18"/>
        <v>93297.604651162794</v>
      </c>
      <c r="I30" s="475">
        <f t="shared" si="6"/>
        <v>0</v>
      </c>
      <c r="J30" s="475"/>
      <c r="K30" s="487"/>
      <c r="L30" s="478">
        <f t="shared" si="19"/>
        <v>0</v>
      </c>
      <c r="M30" s="487"/>
      <c r="N30" s="478">
        <f t="shared" si="11"/>
        <v>0</v>
      </c>
      <c r="O30" s="478">
        <f t="shared" si="12"/>
        <v>0</v>
      </c>
      <c r="P30" s="242"/>
    </row>
    <row r="31" spans="2:16" ht="12.5">
      <c r="B31" s="160" t="str">
        <f t="shared" si="7"/>
        <v/>
      </c>
      <c r="C31" s="472">
        <f>IF(D11="","-",+C30+1)</f>
        <v>2027</v>
      </c>
      <c r="D31" s="485">
        <f>IF(F30+SUM(E$17:E30)=D$10,F30,D$10-SUM(E$17:E30))</f>
        <v>641937.61103160435</v>
      </c>
      <c r="E31" s="484">
        <f t="shared" si="5"/>
        <v>24082.60465116279</v>
      </c>
      <c r="F31" s="485">
        <f t="shared" si="16"/>
        <v>617855.0063804416</v>
      </c>
      <c r="G31" s="486">
        <f t="shared" si="17"/>
        <v>90700.604651162794</v>
      </c>
      <c r="H31" s="455">
        <f t="shared" si="18"/>
        <v>90700.604651162794</v>
      </c>
      <c r="I31" s="475">
        <f t="shared" si="6"/>
        <v>0</v>
      </c>
      <c r="J31" s="475"/>
      <c r="K31" s="487"/>
      <c r="L31" s="478">
        <f t="shared" si="19"/>
        <v>0</v>
      </c>
      <c r="M31" s="487"/>
      <c r="N31" s="478">
        <f t="shared" si="11"/>
        <v>0</v>
      </c>
      <c r="O31" s="478">
        <f t="shared" si="12"/>
        <v>0</v>
      </c>
      <c r="P31" s="242"/>
    </row>
    <row r="32" spans="2:16" ht="12.5">
      <c r="B32" s="160" t="str">
        <f t="shared" si="7"/>
        <v/>
      </c>
      <c r="C32" s="472">
        <f>IF(D11="","-",+C31+1)</f>
        <v>2028</v>
      </c>
      <c r="D32" s="485">
        <f>IF(F31+SUM(E$17:E31)=D$10,F31,D$10-SUM(E$17:E31))</f>
        <v>617855.0063804416</v>
      </c>
      <c r="E32" s="484">
        <f t="shared" si="5"/>
        <v>24082.60465116279</v>
      </c>
      <c r="F32" s="485">
        <f t="shared" si="16"/>
        <v>593772.40172927885</v>
      </c>
      <c r="G32" s="486">
        <f t="shared" si="17"/>
        <v>88104.604651162794</v>
      </c>
      <c r="H32" s="455">
        <f t="shared" si="18"/>
        <v>88104.604651162794</v>
      </c>
      <c r="I32" s="475">
        <f t="shared" si="6"/>
        <v>0</v>
      </c>
      <c r="J32" s="475"/>
      <c r="K32" s="487"/>
      <c r="L32" s="478">
        <f t="shared" si="19"/>
        <v>0</v>
      </c>
      <c r="M32" s="487"/>
      <c r="N32" s="478">
        <f t="shared" si="11"/>
        <v>0</v>
      </c>
      <c r="O32" s="478">
        <f t="shared" si="12"/>
        <v>0</v>
      </c>
      <c r="P32" s="242"/>
    </row>
    <row r="33" spans="2:16" ht="12.5">
      <c r="B33" s="160" t="str">
        <f t="shared" si="7"/>
        <v/>
      </c>
      <c r="C33" s="472">
        <f>IF(D11="","-",+C32+1)</f>
        <v>2029</v>
      </c>
      <c r="D33" s="485">
        <f>IF(F32+SUM(E$17:E32)=D$10,F32,D$10-SUM(E$17:E32))</f>
        <v>593772.40172927885</v>
      </c>
      <c r="E33" s="484">
        <f t="shared" si="5"/>
        <v>24082.60465116279</v>
      </c>
      <c r="F33" s="485">
        <f t="shared" si="16"/>
        <v>569689.7970781161</v>
      </c>
      <c r="G33" s="486">
        <f t="shared" si="17"/>
        <v>85507.604651162794</v>
      </c>
      <c r="H33" s="455">
        <f t="shared" si="18"/>
        <v>85507.604651162794</v>
      </c>
      <c r="I33" s="475">
        <f t="shared" si="6"/>
        <v>0</v>
      </c>
      <c r="J33" s="475"/>
      <c r="K33" s="487"/>
      <c r="L33" s="478">
        <f t="shared" si="19"/>
        <v>0</v>
      </c>
      <c r="M33" s="487"/>
      <c r="N33" s="478">
        <f t="shared" si="11"/>
        <v>0</v>
      </c>
      <c r="O33" s="478">
        <f t="shared" si="12"/>
        <v>0</v>
      </c>
      <c r="P33" s="242"/>
    </row>
    <row r="34" spans="2:16" ht="12.5">
      <c r="B34" s="160" t="str">
        <f t="shared" si="7"/>
        <v/>
      </c>
      <c r="C34" s="472">
        <f>IF(D11="","-",+C33+1)</f>
        <v>2030</v>
      </c>
      <c r="D34" s="485">
        <f>IF(F33+SUM(E$17:E33)=D$10,F33,D$10-SUM(E$17:E33))</f>
        <v>569689.7970781161</v>
      </c>
      <c r="E34" s="484">
        <f t="shared" si="5"/>
        <v>24082.60465116279</v>
      </c>
      <c r="F34" s="485">
        <f t="shared" si="16"/>
        <v>545607.19242695335</v>
      </c>
      <c r="G34" s="486">
        <f t="shared" si="17"/>
        <v>82910.604651162794</v>
      </c>
      <c r="H34" s="455">
        <f t="shared" si="18"/>
        <v>82910.604651162794</v>
      </c>
      <c r="I34" s="475">
        <f t="shared" si="6"/>
        <v>0</v>
      </c>
      <c r="J34" s="475"/>
      <c r="K34" s="487"/>
      <c r="L34" s="478">
        <f t="shared" si="19"/>
        <v>0</v>
      </c>
      <c r="M34" s="487"/>
      <c r="N34" s="478">
        <f t="shared" si="11"/>
        <v>0</v>
      </c>
      <c r="O34" s="478">
        <f t="shared" si="12"/>
        <v>0</v>
      </c>
      <c r="P34" s="242"/>
    </row>
    <row r="35" spans="2:16" ht="12.5">
      <c r="B35" s="160" t="str">
        <f t="shared" si="7"/>
        <v/>
      </c>
      <c r="C35" s="472">
        <f>IF(D11="","-",+C34+1)</f>
        <v>2031</v>
      </c>
      <c r="D35" s="485">
        <f>IF(F34+SUM(E$17:E34)=D$10,F34,D$10-SUM(E$17:E34))</f>
        <v>545607.19242695335</v>
      </c>
      <c r="E35" s="484">
        <f t="shared" si="5"/>
        <v>24082.60465116279</v>
      </c>
      <c r="F35" s="485">
        <f t="shared" si="16"/>
        <v>521524.58777579054</v>
      </c>
      <c r="G35" s="486">
        <f t="shared" si="17"/>
        <v>80314.604651162794</v>
      </c>
      <c r="H35" s="455">
        <f t="shared" si="18"/>
        <v>80314.604651162794</v>
      </c>
      <c r="I35" s="475">
        <f t="shared" si="6"/>
        <v>0</v>
      </c>
      <c r="J35" s="475"/>
      <c r="K35" s="487"/>
      <c r="L35" s="478">
        <f t="shared" si="19"/>
        <v>0</v>
      </c>
      <c r="M35" s="487"/>
      <c r="N35" s="478">
        <f t="shared" si="11"/>
        <v>0</v>
      </c>
      <c r="O35" s="478">
        <f t="shared" si="12"/>
        <v>0</v>
      </c>
      <c r="P35" s="242"/>
    </row>
    <row r="36" spans="2:16" ht="12.5">
      <c r="B36" s="160" t="str">
        <f t="shared" si="7"/>
        <v/>
      </c>
      <c r="C36" s="472">
        <f>IF(D11="","-",+C35+1)</f>
        <v>2032</v>
      </c>
      <c r="D36" s="485">
        <f>IF(F35+SUM(E$17:E35)=D$10,F35,D$10-SUM(E$17:E35))</f>
        <v>521524.58777579054</v>
      </c>
      <c r="E36" s="484">
        <f t="shared" si="5"/>
        <v>24082.60465116279</v>
      </c>
      <c r="F36" s="485">
        <f t="shared" si="16"/>
        <v>497441.98312462773</v>
      </c>
      <c r="G36" s="486">
        <f t="shared" si="17"/>
        <v>77717.604651162794</v>
      </c>
      <c r="H36" s="455">
        <f t="shared" si="18"/>
        <v>77717.604651162794</v>
      </c>
      <c r="I36" s="475">
        <f t="shared" si="6"/>
        <v>0</v>
      </c>
      <c r="J36" s="475"/>
      <c r="K36" s="487"/>
      <c r="L36" s="478">
        <f t="shared" si="19"/>
        <v>0</v>
      </c>
      <c r="M36" s="487"/>
      <c r="N36" s="478">
        <f t="shared" si="11"/>
        <v>0</v>
      </c>
      <c r="O36" s="478">
        <f t="shared" si="12"/>
        <v>0</v>
      </c>
      <c r="P36" s="242"/>
    </row>
    <row r="37" spans="2:16" ht="12.5">
      <c r="B37" s="160" t="str">
        <f t="shared" si="7"/>
        <v/>
      </c>
      <c r="C37" s="472">
        <f>IF(D11="","-",+C36+1)</f>
        <v>2033</v>
      </c>
      <c r="D37" s="485">
        <f>IF(F36+SUM(E$17:E36)=D$10,F36,D$10-SUM(E$17:E36))</f>
        <v>497441.98312462773</v>
      </c>
      <c r="E37" s="484">
        <f t="shared" si="5"/>
        <v>24082.60465116279</v>
      </c>
      <c r="F37" s="485">
        <f t="shared" si="16"/>
        <v>473359.37847346492</v>
      </c>
      <c r="G37" s="486">
        <f t="shared" si="17"/>
        <v>75120.604651162794</v>
      </c>
      <c r="H37" s="455">
        <f t="shared" si="18"/>
        <v>75120.604651162794</v>
      </c>
      <c r="I37" s="475">
        <f t="shared" si="6"/>
        <v>0</v>
      </c>
      <c r="J37" s="475"/>
      <c r="K37" s="487"/>
      <c r="L37" s="478">
        <f t="shared" si="19"/>
        <v>0</v>
      </c>
      <c r="M37" s="487"/>
      <c r="N37" s="478">
        <f t="shared" si="11"/>
        <v>0</v>
      </c>
      <c r="O37" s="478">
        <f t="shared" si="12"/>
        <v>0</v>
      </c>
      <c r="P37" s="242"/>
    </row>
    <row r="38" spans="2:16" ht="12.5">
      <c r="B38" s="160" t="str">
        <f t="shared" si="7"/>
        <v/>
      </c>
      <c r="C38" s="472">
        <f>IF(D11="","-",+C37+1)</f>
        <v>2034</v>
      </c>
      <c r="D38" s="485">
        <f>IF(F37+SUM(E$17:E37)=D$10,F37,D$10-SUM(E$17:E37))</f>
        <v>473359.37847346492</v>
      </c>
      <c r="E38" s="484">
        <f t="shared" si="5"/>
        <v>24082.60465116279</v>
      </c>
      <c r="F38" s="485">
        <f t="shared" si="16"/>
        <v>449276.77382230212</v>
      </c>
      <c r="G38" s="486">
        <f t="shared" si="17"/>
        <v>72524.604651162794</v>
      </c>
      <c r="H38" s="455">
        <f t="shared" si="18"/>
        <v>72524.604651162794</v>
      </c>
      <c r="I38" s="475">
        <f t="shared" si="6"/>
        <v>0</v>
      </c>
      <c r="J38" s="475"/>
      <c r="K38" s="487"/>
      <c r="L38" s="478">
        <f t="shared" si="19"/>
        <v>0</v>
      </c>
      <c r="M38" s="487"/>
      <c r="N38" s="478">
        <f t="shared" si="11"/>
        <v>0</v>
      </c>
      <c r="O38" s="478">
        <f t="shared" si="12"/>
        <v>0</v>
      </c>
      <c r="P38" s="242"/>
    </row>
    <row r="39" spans="2:16" ht="12.5">
      <c r="B39" s="160" t="str">
        <f t="shared" si="7"/>
        <v/>
      </c>
      <c r="C39" s="472">
        <f>IF(D11="","-",+C38+1)</f>
        <v>2035</v>
      </c>
      <c r="D39" s="485">
        <f>IF(F38+SUM(E$17:E38)=D$10,F38,D$10-SUM(E$17:E38))</f>
        <v>449276.77382230212</v>
      </c>
      <c r="E39" s="484">
        <f t="shared" si="5"/>
        <v>24082.60465116279</v>
      </c>
      <c r="F39" s="485">
        <f t="shared" si="16"/>
        <v>425194.16917113931</v>
      </c>
      <c r="G39" s="486">
        <f t="shared" si="17"/>
        <v>69927.604651162794</v>
      </c>
      <c r="H39" s="455">
        <f t="shared" si="18"/>
        <v>69927.604651162794</v>
      </c>
      <c r="I39" s="475">
        <f t="shared" si="6"/>
        <v>0</v>
      </c>
      <c r="J39" s="475"/>
      <c r="K39" s="487"/>
      <c r="L39" s="478">
        <f t="shared" si="19"/>
        <v>0</v>
      </c>
      <c r="M39" s="487"/>
      <c r="N39" s="478">
        <f t="shared" si="11"/>
        <v>0</v>
      </c>
      <c r="O39" s="478">
        <f t="shared" si="12"/>
        <v>0</v>
      </c>
      <c r="P39" s="242"/>
    </row>
    <row r="40" spans="2:16" ht="12.5">
      <c r="B40" s="160" t="str">
        <f t="shared" si="7"/>
        <v/>
      </c>
      <c r="C40" s="472">
        <f>IF(D11="","-",+C39+1)</f>
        <v>2036</v>
      </c>
      <c r="D40" s="485">
        <f>IF(F39+SUM(E$17:E39)=D$10,F39,D$10-SUM(E$17:E39))</f>
        <v>425194.16917113931</v>
      </c>
      <c r="E40" s="484">
        <f t="shared" si="5"/>
        <v>24082.60465116279</v>
      </c>
      <c r="F40" s="485">
        <f t="shared" si="16"/>
        <v>401111.5645199765</v>
      </c>
      <c r="G40" s="486">
        <f t="shared" si="17"/>
        <v>67331.604651162794</v>
      </c>
      <c r="H40" s="455">
        <f t="shared" si="18"/>
        <v>67331.604651162794</v>
      </c>
      <c r="I40" s="475">
        <f t="shared" si="6"/>
        <v>0</v>
      </c>
      <c r="J40" s="475"/>
      <c r="K40" s="487"/>
      <c r="L40" s="478">
        <f t="shared" si="19"/>
        <v>0</v>
      </c>
      <c r="M40" s="487"/>
      <c r="N40" s="478">
        <f t="shared" si="11"/>
        <v>0</v>
      </c>
      <c r="O40" s="478">
        <f t="shared" si="12"/>
        <v>0</v>
      </c>
      <c r="P40" s="242"/>
    </row>
    <row r="41" spans="2:16" ht="12.5">
      <c r="B41" s="160" t="str">
        <f t="shared" si="7"/>
        <v/>
      </c>
      <c r="C41" s="472">
        <f>IF(D11="","-",+C40+1)</f>
        <v>2037</v>
      </c>
      <c r="D41" s="485">
        <f>IF(F40+SUM(E$17:E40)=D$10,F40,D$10-SUM(E$17:E40))</f>
        <v>401111.5645199765</v>
      </c>
      <c r="E41" s="484">
        <f t="shared" si="5"/>
        <v>24082.60465116279</v>
      </c>
      <c r="F41" s="485">
        <f t="shared" si="16"/>
        <v>377028.95986881369</v>
      </c>
      <c r="G41" s="486">
        <f t="shared" si="17"/>
        <v>64734.604651162794</v>
      </c>
      <c r="H41" s="455">
        <f t="shared" si="18"/>
        <v>64734.604651162794</v>
      </c>
      <c r="I41" s="475">
        <f t="shared" si="6"/>
        <v>0</v>
      </c>
      <c r="J41" s="475"/>
      <c r="K41" s="487"/>
      <c r="L41" s="478">
        <f t="shared" si="19"/>
        <v>0</v>
      </c>
      <c r="M41" s="487"/>
      <c r="N41" s="478">
        <f t="shared" si="11"/>
        <v>0</v>
      </c>
      <c r="O41" s="478">
        <f t="shared" si="12"/>
        <v>0</v>
      </c>
      <c r="P41" s="242"/>
    </row>
    <row r="42" spans="2:16" ht="12.5">
      <c r="B42" s="160" t="str">
        <f t="shared" si="7"/>
        <v/>
      </c>
      <c r="C42" s="472">
        <f>IF(D11="","-",+C41+1)</f>
        <v>2038</v>
      </c>
      <c r="D42" s="485">
        <f>IF(F41+SUM(E$17:E41)=D$10,F41,D$10-SUM(E$17:E41))</f>
        <v>377028.95986881369</v>
      </c>
      <c r="E42" s="484">
        <f t="shared" si="5"/>
        <v>24082.60465116279</v>
      </c>
      <c r="F42" s="485">
        <f t="shared" si="16"/>
        <v>352946.35521765088</v>
      </c>
      <c r="G42" s="486">
        <f t="shared" si="17"/>
        <v>62137.604651162794</v>
      </c>
      <c r="H42" s="455">
        <f t="shared" si="18"/>
        <v>62137.604651162794</v>
      </c>
      <c r="I42" s="475">
        <f t="shared" si="6"/>
        <v>0</v>
      </c>
      <c r="J42" s="475"/>
      <c r="K42" s="487"/>
      <c r="L42" s="478">
        <f t="shared" si="19"/>
        <v>0</v>
      </c>
      <c r="M42" s="487"/>
      <c r="N42" s="478">
        <f t="shared" si="11"/>
        <v>0</v>
      </c>
      <c r="O42" s="478">
        <f t="shared" si="12"/>
        <v>0</v>
      </c>
      <c r="P42" s="242"/>
    </row>
    <row r="43" spans="2:16" ht="12.5">
      <c r="B43" s="160" t="str">
        <f t="shared" si="7"/>
        <v/>
      </c>
      <c r="C43" s="472">
        <f>IF(D11="","-",+C42+1)</f>
        <v>2039</v>
      </c>
      <c r="D43" s="485">
        <f>IF(F42+SUM(E$17:E42)=D$10,F42,D$10-SUM(E$17:E42))</f>
        <v>352946.35521765088</v>
      </c>
      <c r="E43" s="484">
        <f t="shared" si="5"/>
        <v>24082.60465116279</v>
      </c>
      <c r="F43" s="485">
        <f t="shared" si="16"/>
        <v>328863.75056648807</v>
      </c>
      <c r="G43" s="486">
        <f t="shared" si="17"/>
        <v>59541.604651162794</v>
      </c>
      <c r="H43" s="455">
        <f t="shared" si="18"/>
        <v>59541.604651162794</v>
      </c>
      <c r="I43" s="475">
        <f t="shared" si="6"/>
        <v>0</v>
      </c>
      <c r="J43" s="475"/>
      <c r="K43" s="487"/>
      <c r="L43" s="478">
        <f t="shared" si="19"/>
        <v>0</v>
      </c>
      <c r="M43" s="487"/>
      <c r="N43" s="478">
        <f t="shared" si="11"/>
        <v>0</v>
      </c>
      <c r="O43" s="478">
        <f t="shared" si="12"/>
        <v>0</v>
      </c>
      <c r="P43" s="242"/>
    </row>
    <row r="44" spans="2:16" ht="12.5">
      <c r="B44" s="160" t="str">
        <f t="shared" si="7"/>
        <v/>
      </c>
      <c r="C44" s="472">
        <f>IF(D11="","-",+C43+1)</f>
        <v>2040</v>
      </c>
      <c r="D44" s="485">
        <f>IF(F43+SUM(E$17:E43)=D$10,F43,D$10-SUM(E$17:E43))</f>
        <v>328863.75056648807</v>
      </c>
      <c r="E44" s="484">
        <f t="shared" si="5"/>
        <v>24082.60465116279</v>
      </c>
      <c r="F44" s="485">
        <f t="shared" si="16"/>
        <v>304781.14591532527</v>
      </c>
      <c r="G44" s="486">
        <f t="shared" si="17"/>
        <v>56944.604651162794</v>
      </c>
      <c r="H44" s="455">
        <f t="shared" si="18"/>
        <v>56944.604651162794</v>
      </c>
      <c r="I44" s="475">
        <f t="shared" si="6"/>
        <v>0</v>
      </c>
      <c r="J44" s="475"/>
      <c r="K44" s="487"/>
      <c r="L44" s="478">
        <f t="shared" si="19"/>
        <v>0</v>
      </c>
      <c r="M44" s="487"/>
      <c r="N44" s="478">
        <f t="shared" si="11"/>
        <v>0</v>
      </c>
      <c r="O44" s="478">
        <f t="shared" si="12"/>
        <v>0</v>
      </c>
      <c r="P44" s="242"/>
    </row>
    <row r="45" spans="2:16" ht="12.5">
      <c r="B45" s="160" t="str">
        <f t="shared" si="7"/>
        <v/>
      </c>
      <c r="C45" s="472">
        <f>IF(D11="","-",+C44+1)</f>
        <v>2041</v>
      </c>
      <c r="D45" s="485">
        <f>IF(F44+SUM(E$17:E44)=D$10,F44,D$10-SUM(E$17:E44))</f>
        <v>304781.14591532527</v>
      </c>
      <c r="E45" s="484">
        <f t="shared" si="5"/>
        <v>24082.60465116279</v>
      </c>
      <c r="F45" s="485">
        <f t="shared" si="16"/>
        <v>280698.54126416246</v>
      </c>
      <c r="G45" s="486">
        <f t="shared" si="17"/>
        <v>54347.604651162794</v>
      </c>
      <c r="H45" s="455">
        <f t="shared" si="18"/>
        <v>54347.604651162794</v>
      </c>
      <c r="I45" s="475">
        <f t="shared" si="6"/>
        <v>0</v>
      </c>
      <c r="J45" s="475"/>
      <c r="K45" s="487"/>
      <c r="L45" s="478">
        <f t="shared" si="19"/>
        <v>0</v>
      </c>
      <c r="M45" s="487"/>
      <c r="N45" s="478">
        <f t="shared" si="11"/>
        <v>0</v>
      </c>
      <c r="O45" s="478">
        <f t="shared" si="12"/>
        <v>0</v>
      </c>
      <c r="P45" s="242"/>
    </row>
    <row r="46" spans="2:16" ht="12.5">
      <c r="B46" s="160" t="str">
        <f t="shared" si="7"/>
        <v/>
      </c>
      <c r="C46" s="472">
        <f>IF(D11="","-",+C45+1)</f>
        <v>2042</v>
      </c>
      <c r="D46" s="485">
        <f>IF(F45+SUM(E$17:E45)=D$10,F45,D$10-SUM(E$17:E45))</f>
        <v>280698.54126416246</v>
      </c>
      <c r="E46" s="484">
        <f t="shared" si="5"/>
        <v>24082.60465116279</v>
      </c>
      <c r="F46" s="485">
        <f t="shared" si="16"/>
        <v>256615.93661299968</v>
      </c>
      <c r="G46" s="486">
        <f t="shared" si="17"/>
        <v>51751.604651162794</v>
      </c>
      <c r="H46" s="455">
        <f t="shared" si="18"/>
        <v>51751.604651162794</v>
      </c>
      <c r="I46" s="475">
        <f t="shared" si="6"/>
        <v>0</v>
      </c>
      <c r="J46" s="475"/>
      <c r="K46" s="487"/>
      <c r="L46" s="478">
        <f t="shared" si="19"/>
        <v>0</v>
      </c>
      <c r="M46" s="487"/>
      <c r="N46" s="478">
        <f t="shared" si="11"/>
        <v>0</v>
      </c>
      <c r="O46" s="478">
        <f t="shared" si="12"/>
        <v>0</v>
      </c>
      <c r="P46" s="242"/>
    </row>
    <row r="47" spans="2:16" ht="12.5">
      <c r="B47" s="160" t="str">
        <f t="shared" si="7"/>
        <v/>
      </c>
      <c r="C47" s="472">
        <f>IF(D11="","-",+C46+1)</f>
        <v>2043</v>
      </c>
      <c r="D47" s="485">
        <f>IF(F46+SUM(E$17:E46)=D$10,F46,D$10-SUM(E$17:E46))</f>
        <v>256615.93661299968</v>
      </c>
      <c r="E47" s="484">
        <f t="shared" si="5"/>
        <v>24082.60465116279</v>
      </c>
      <c r="F47" s="485">
        <f t="shared" si="16"/>
        <v>232533.3319618369</v>
      </c>
      <c r="G47" s="486">
        <f t="shared" si="17"/>
        <v>49154.604651162794</v>
      </c>
      <c r="H47" s="455">
        <f t="shared" si="18"/>
        <v>49154.604651162794</v>
      </c>
      <c r="I47" s="475">
        <f t="shared" si="6"/>
        <v>0</v>
      </c>
      <c r="J47" s="475"/>
      <c r="K47" s="487"/>
      <c r="L47" s="478">
        <f t="shared" si="19"/>
        <v>0</v>
      </c>
      <c r="M47" s="487"/>
      <c r="N47" s="478">
        <f t="shared" si="11"/>
        <v>0</v>
      </c>
      <c r="O47" s="478">
        <f t="shared" si="12"/>
        <v>0</v>
      </c>
      <c r="P47" s="242"/>
    </row>
    <row r="48" spans="2:16" ht="12.5">
      <c r="B48" s="160" t="str">
        <f t="shared" si="7"/>
        <v/>
      </c>
      <c r="C48" s="472">
        <f>IF(D11="","-",+C47+1)</f>
        <v>2044</v>
      </c>
      <c r="D48" s="485">
        <f>IF(F47+SUM(E$17:E47)=D$10,F47,D$10-SUM(E$17:E47))</f>
        <v>232533.3319618369</v>
      </c>
      <c r="E48" s="484">
        <f t="shared" si="5"/>
        <v>24082.60465116279</v>
      </c>
      <c r="F48" s="485">
        <f t="shared" si="16"/>
        <v>208450.72731067412</v>
      </c>
      <c r="G48" s="486">
        <f t="shared" si="17"/>
        <v>46558.604651162794</v>
      </c>
      <c r="H48" s="455">
        <f t="shared" si="18"/>
        <v>46558.604651162794</v>
      </c>
      <c r="I48" s="475">
        <f t="shared" si="6"/>
        <v>0</v>
      </c>
      <c r="J48" s="475"/>
      <c r="K48" s="487"/>
      <c r="L48" s="478">
        <f t="shared" si="19"/>
        <v>0</v>
      </c>
      <c r="M48" s="487"/>
      <c r="N48" s="478">
        <f t="shared" si="11"/>
        <v>0</v>
      </c>
      <c r="O48" s="478">
        <f t="shared" si="12"/>
        <v>0</v>
      </c>
      <c r="P48" s="242"/>
    </row>
    <row r="49" spans="2:16" ht="12.5">
      <c r="B49" s="160" t="str">
        <f t="shared" si="7"/>
        <v/>
      </c>
      <c r="C49" s="472">
        <f>IF(D11="","-",+C48+1)</f>
        <v>2045</v>
      </c>
      <c r="D49" s="485">
        <f>IF(F48+SUM(E$17:E48)=D$10,F48,D$10-SUM(E$17:E48))</f>
        <v>208450.72731067412</v>
      </c>
      <c r="E49" s="484">
        <f t="shared" si="5"/>
        <v>24082.60465116279</v>
      </c>
      <c r="F49" s="485">
        <f t="shared" si="16"/>
        <v>184368.12265951134</v>
      </c>
      <c r="G49" s="486">
        <f t="shared" si="17"/>
        <v>43961.604651162794</v>
      </c>
      <c r="H49" s="455">
        <f t="shared" si="18"/>
        <v>43961.604651162794</v>
      </c>
      <c r="I49" s="475">
        <f t="shared" si="6"/>
        <v>0</v>
      </c>
      <c r="J49" s="475"/>
      <c r="K49" s="487"/>
      <c r="L49" s="478">
        <f t="shared" si="19"/>
        <v>0</v>
      </c>
      <c r="M49" s="487"/>
      <c r="N49" s="478">
        <f t="shared" si="11"/>
        <v>0</v>
      </c>
      <c r="O49" s="478">
        <f t="shared" si="12"/>
        <v>0</v>
      </c>
      <c r="P49" s="242"/>
    </row>
    <row r="50" spans="2:16" ht="12.5">
      <c r="B50" s="160" t="str">
        <f t="shared" si="7"/>
        <v/>
      </c>
      <c r="C50" s="472">
        <f>IF(D11="","-",+C49+1)</f>
        <v>2046</v>
      </c>
      <c r="D50" s="485">
        <f>IF(F49+SUM(E$17:E49)=D$10,F49,D$10-SUM(E$17:E49))</f>
        <v>184368.12265951134</v>
      </c>
      <c r="E50" s="484">
        <f t="shared" si="5"/>
        <v>24082.60465116279</v>
      </c>
      <c r="F50" s="485">
        <f t="shared" si="16"/>
        <v>160285.51800834856</v>
      </c>
      <c r="G50" s="486">
        <f t="shared" si="17"/>
        <v>41364.604651162794</v>
      </c>
      <c r="H50" s="455">
        <f t="shared" si="18"/>
        <v>41364.604651162794</v>
      </c>
      <c r="I50" s="475">
        <f t="shared" si="6"/>
        <v>0</v>
      </c>
      <c r="J50" s="475"/>
      <c r="K50" s="487"/>
      <c r="L50" s="478">
        <f t="shared" si="19"/>
        <v>0</v>
      </c>
      <c r="M50" s="487"/>
      <c r="N50" s="478">
        <f t="shared" si="11"/>
        <v>0</v>
      </c>
      <c r="O50" s="478">
        <f t="shared" si="12"/>
        <v>0</v>
      </c>
      <c r="P50" s="242"/>
    </row>
    <row r="51" spans="2:16" ht="12.5">
      <c r="B51" s="160" t="str">
        <f t="shared" si="7"/>
        <v/>
      </c>
      <c r="C51" s="472">
        <f>IF(D11="","-",+C50+1)</f>
        <v>2047</v>
      </c>
      <c r="D51" s="485">
        <f>IF(F50+SUM(E$17:E50)=D$10,F50,D$10-SUM(E$17:E50))</f>
        <v>160285.51800834856</v>
      </c>
      <c r="E51" s="484">
        <f t="shared" si="5"/>
        <v>24082.60465116279</v>
      </c>
      <c r="F51" s="485">
        <f t="shared" si="16"/>
        <v>136202.91335718578</v>
      </c>
      <c r="G51" s="486">
        <f t="shared" si="17"/>
        <v>38768.604651162794</v>
      </c>
      <c r="H51" s="455">
        <f t="shared" si="18"/>
        <v>38768.604651162794</v>
      </c>
      <c r="I51" s="475">
        <f t="shared" si="6"/>
        <v>0</v>
      </c>
      <c r="J51" s="475"/>
      <c r="K51" s="487"/>
      <c r="L51" s="478">
        <f t="shared" si="19"/>
        <v>0</v>
      </c>
      <c r="M51" s="487"/>
      <c r="N51" s="478">
        <f t="shared" si="11"/>
        <v>0</v>
      </c>
      <c r="O51" s="478">
        <f t="shared" si="12"/>
        <v>0</v>
      </c>
      <c r="P51" s="242"/>
    </row>
    <row r="52" spans="2:16" ht="12.5">
      <c r="B52" s="160" t="str">
        <f t="shared" si="7"/>
        <v/>
      </c>
      <c r="C52" s="472">
        <f>IF(D11="","-",+C51+1)</f>
        <v>2048</v>
      </c>
      <c r="D52" s="485">
        <f>IF(F51+SUM(E$17:E51)=D$10,F51,D$10-SUM(E$17:E51))</f>
        <v>136202.91335718578</v>
      </c>
      <c r="E52" s="484">
        <f t="shared" si="5"/>
        <v>24082.60465116279</v>
      </c>
      <c r="F52" s="485">
        <f t="shared" si="16"/>
        <v>112120.30870602299</v>
      </c>
      <c r="G52" s="486">
        <f t="shared" si="17"/>
        <v>36171.604651162794</v>
      </c>
      <c r="H52" s="455">
        <f t="shared" si="18"/>
        <v>36171.604651162794</v>
      </c>
      <c r="I52" s="475">
        <f t="shared" si="6"/>
        <v>0</v>
      </c>
      <c r="J52" s="475"/>
      <c r="K52" s="487"/>
      <c r="L52" s="478">
        <f t="shared" si="19"/>
        <v>0</v>
      </c>
      <c r="M52" s="487"/>
      <c r="N52" s="478">
        <f t="shared" si="11"/>
        <v>0</v>
      </c>
      <c r="O52" s="478">
        <f t="shared" si="12"/>
        <v>0</v>
      </c>
      <c r="P52" s="242"/>
    </row>
    <row r="53" spans="2:16" ht="12.5">
      <c r="B53" s="160" t="str">
        <f t="shared" si="7"/>
        <v/>
      </c>
      <c r="C53" s="472">
        <f>IF(D11="","-",+C52+1)</f>
        <v>2049</v>
      </c>
      <c r="D53" s="485">
        <f>IF(F52+SUM(E$17:E52)=D$10,F52,D$10-SUM(E$17:E52))</f>
        <v>112120.30870602299</v>
      </c>
      <c r="E53" s="484">
        <f t="shared" si="5"/>
        <v>24082.60465116279</v>
      </c>
      <c r="F53" s="485">
        <f t="shared" si="16"/>
        <v>88037.704054860194</v>
      </c>
      <c r="G53" s="486">
        <f t="shared" si="17"/>
        <v>33574.604651162794</v>
      </c>
      <c r="H53" s="455">
        <f t="shared" si="18"/>
        <v>33574.604651162794</v>
      </c>
      <c r="I53" s="475">
        <f t="shared" si="6"/>
        <v>0</v>
      </c>
      <c r="J53" s="475"/>
      <c r="K53" s="487"/>
      <c r="L53" s="478">
        <f t="shared" si="19"/>
        <v>0</v>
      </c>
      <c r="M53" s="487"/>
      <c r="N53" s="478">
        <f t="shared" si="11"/>
        <v>0</v>
      </c>
      <c r="O53" s="478">
        <f t="shared" si="12"/>
        <v>0</v>
      </c>
      <c r="P53" s="242"/>
    </row>
    <row r="54" spans="2:16" ht="12.5">
      <c r="B54" s="160" t="str">
        <f t="shared" si="7"/>
        <v/>
      </c>
      <c r="C54" s="472">
        <f>IF(D11="","-",+C53+1)</f>
        <v>2050</v>
      </c>
      <c r="D54" s="485">
        <f>IF(F53+SUM(E$17:E53)=D$10,F53,D$10-SUM(E$17:E53))</f>
        <v>88037.704054860194</v>
      </c>
      <c r="E54" s="484">
        <f t="shared" si="5"/>
        <v>24082.60465116279</v>
      </c>
      <c r="F54" s="485">
        <f t="shared" si="16"/>
        <v>63955.099403697401</v>
      </c>
      <c r="G54" s="486">
        <f t="shared" si="17"/>
        <v>30978.60465116279</v>
      </c>
      <c r="H54" s="455">
        <f t="shared" si="18"/>
        <v>30978.60465116279</v>
      </c>
      <c r="I54" s="475">
        <f t="shared" si="6"/>
        <v>0</v>
      </c>
      <c r="J54" s="475"/>
      <c r="K54" s="487"/>
      <c r="L54" s="478">
        <f t="shared" si="19"/>
        <v>0</v>
      </c>
      <c r="M54" s="487"/>
      <c r="N54" s="478">
        <f t="shared" si="11"/>
        <v>0</v>
      </c>
      <c r="O54" s="478">
        <f t="shared" si="12"/>
        <v>0</v>
      </c>
      <c r="P54" s="242"/>
    </row>
    <row r="55" spans="2:16" ht="12.5">
      <c r="B55" s="160" t="str">
        <f t="shared" si="7"/>
        <v/>
      </c>
      <c r="C55" s="472">
        <f>IF(D11="","-",+C54+1)</f>
        <v>2051</v>
      </c>
      <c r="D55" s="485">
        <f>IF(F54+SUM(E$17:E54)=D$10,F54,D$10-SUM(E$17:E54))</f>
        <v>63955.099403697401</v>
      </c>
      <c r="E55" s="484">
        <f t="shared" si="5"/>
        <v>24082.60465116279</v>
      </c>
      <c r="F55" s="485">
        <f t="shared" si="16"/>
        <v>39872.494752534607</v>
      </c>
      <c r="G55" s="486">
        <f t="shared" si="17"/>
        <v>28381.60465116279</v>
      </c>
      <c r="H55" s="455">
        <f t="shared" si="18"/>
        <v>28381.60465116279</v>
      </c>
      <c r="I55" s="475">
        <f t="shared" si="6"/>
        <v>0</v>
      </c>
      <c r="J55" s="475"/>
      <c r="K55" s="487"/>
      <c r="L55" s="478">
        <f t="shared" si="19"/>
        <v>0</v>
      </c>
      <c r="M55" s="487"/>
      <c r="N55" s="478">
        <f t="shared" si="11"/>
        <v>0</v>
      </c>
      <c r="O55" s="478">
        <f t="shared" si="12"/>
        <v>0</v>
      </c>
      <c r="P55" s="242"/>
    </row>
    <row r="56" spans="2:16" ht="12.5">
      <c r="B56" s="160" t="str">
        <f t="shared" si="7"/>
        <v/>
      </c>
      <c r="C56" s="472">
        <f>IF(D11="","-",+C55+1)</f>
        <v>2052</v>
      </c>
      <c r="D56" s="485">
        <f>IF(F55+SUM(E$17:E55)=D$10,F55,D$10-SUM(E$17:E55))</f>
        <v>39872.494752534607</v>
      </c>
      <c r="E56" s="484">
        <f t="shared" si="5"/>
        <v>24082.60465116279</v>
      </c>
      <c r="F56" s="485">
        <f t="shared" si="16"/>
        <v>15789.890101371817</v>
      </c>
      <c r="G56" s="486">
        <f t="shared" si="17"/>
        <v>25784.60465116279</v>
      </c>
      <c r="H56" s="455">
        <f t="shared" si="18"/>
        <v>25784.60465116279</v>
      </c>
      <c r="I56" s="475">
        <f t="shared" si="6"/>
        <v>0</v>
      </c>
      <c r="J56" s="475"/>
      <c r="K56" s="487"/>
      <c r="L56" s="478">
        <f t="shared" si="19"/>
        <v>0</v>
      </c>
      <c r="M56" s="487"/>
      <c r="N56" s="478">
        <f t="shared" si="11"/>
        <v>0</v>
      </c>
      <c r="O56" s="478">
        <f t="shared" si="12"/>
        <v>0</v>
      </c>
      <c r="P56" s="242"/>
    </row>
    <row r="57" spans="2:16" ht="12.5">
      <c r="B57" s="160" t="str">
        <f t="shared" si="7"/>
        <v/>
      </c>
      <c r="C57" s="472">
        <f>IF(D11="","-",+C56+1)</f>
        <v>2053</v>
      </c>
      <c r="D57" s="485">
        <f>IF(F56+SUM(E$17:E56)=D$10,F56,D$10-SUM(E$17:E56))</f>
        <v>15789.890101371817</v>
      </c>
      <c r="E57" s="484">
        <f t="shared" si="5"/>
        <v>15789.890101371817</v>
      </c>
      <c r="F57" s="485">
        <f t="shared" si="16"/>
        <v>0</v>
      </c>
      <c r="G57" s="486">
        <f t="shared" si="17"/>
        <v>15789.890101371817</v>
      </c>
      <c r="H57" s="455">
        <f t="shared" si="18"/>
        <v>15789.890101371817</v>
      </c>
      <c r="I57" s="475">
        <f t="shared" si="6"/>
        <v>0</v>
      </c>
      <c r="J57" s="475"/>
      <c r="K57" s="487"/>
      <c r="L57" s="478">
        <f t="shared" si="19"/>
        <v>0</v>
      </c>
      <c r="M57" s="487"/>
      <c r="N57" s="478">
        <f t="shared" si="11"/>
        <v>0</v>
      </c>
      <c r="O57" s="478">
        <f t="shared" si="12"/>
        <v>0</v>
      </c>
      <c r="P57" s="242"/>
    </row>
    <row r="58" spans="2:16" ht="12.5">
      <c r="B58" s="160" t="str">
        <f t="shared" si="7"/>
        <v/>
      </c>
      <c r="C58" s="472">
        <f>IF(D11="","-",+C57+1)</f>
        <v>2054</v>
      </c>
      <c r="D58" s="485">
        <f>IF(F57+SUM(E$17:E57)=D$10,F57,D$10-SUM(E$17:E57))</f>
        <v>0</v>
      </c>
      <c r="E58" s="484">
        <f t="shared" si="5"/>
        <v>0</v>
      </c>
      <c r="F58" s="485">
        <f t="shared" si="16"/>
        <v>0</v>
      </c>
      <c r="G58" s="486">
        <f t="shared" si="17"/>
        <v>0</v>
      </c>
      <c r="H58" s="455">
        <f t="shared" si="18"/>
        <v>0</v>
      </c>
      <c r="I58" s="475">
        <f t="shared" si="6"/>
        <v>0</v>
      </c>
      <c r="J58" s="475"/>
      <c r="K58" s="487"/>
      <c r="L58" s="478">
        <f t="shared" si="19"/>
        <v>0</v>
      </c>
      <c r="M58" s="487"/>
      <c r="N58" s="478">
        <f t="shared" si="11"/>
        <v>0</v>
      </c>
      <c r="O58" s="478">
        <f t="shared" si="12"/>
        <v>0</v>
      </c>
      <c r="P58" s="242"/>
    </row>
    <row r="59" spans="2:16" ht="12.5">
      <c r="B59" s="160" t="str">
        <f t="shared" si="7"/>
        <v/>
      </c>
      <c r="C59" s="472">
        <f>IF(D11="","-",+C58+1)</f>
        <v>2055</v>
      </c>
      <c r="D59" s="485">
        <f>IF(F58+SUM(E$17:E58)=D$10,F58,D$10-SUM(E$17:E58))</f>
        <v>0</v>
      </c>
      <c r="E59" s="484">
        <f t="shared" si="5"/>
        <v>0</v>
      </c>
      <c r="F59" s="485">
        <f t="shared" si="16"/>
        <v>0</v>
      </c>
      <c r="G59" s="486">
        <f t="shared" si="17"/>
        <v>0</v>
      </c>
      <c r="H59" s="455">
        <f t="shared" si="18"/>
        <v>0</v>
      </c>
      <c r="I59" s="475">
        <f t="shared" si="6"/>
        <v>0</v>
      </c>
      <c r="J59" s="475"/>
      <c r="K59" s="487"/>
      <c r="L59" s="478">
        <f t="shared" si="19"/>
        <v>0</v>
      </c>
      <c r="M59" s="487"/>
      <c r="N59" s="478">
        <f t="shared" si="11"/>
        <v>0</v>
      </c>
      <c r="O59" s="478">
        <f t="shared" si="12"/>
        <v>0</v>
      </c>
      <c r="P59" s="242"/>
    </row>
    <row r="60" spans="2:16" ht="12.5">
      <c r="B60" s="160" t="str">
        <f t="shared" si="7"/>
        <v/>
      </c>
      <c r="C60" s="472">
        <f>IF(D11="","-",+C59+1)</f>
        <v>2056</v>
      </c>
      <c r="D60" s="485">
        <f>IF(F59+SUM(E$17:E59)=D$10,F59,D$10-SUM(E$17:E59))</f>
        <v>0</v>
      </c>
      <c r="E60" s="484">
        <f t="shared" si="5"/>
        <v>0</v>
      </c>
      <c r="F60" s="485">
        <f t="shared" si="16"/>
        <v>0</v>
      </c>
      <c r="G60" s="486">
        <f t="shared" si="17"/>
        <v>0</v>
      </c>
      <c r="H60" s="455">
        <f t="shared" si="18"/>
        <v>0</v>
      </c>
      <c r="I60" s="475">
        <f t="shared" si="6"/>
        <v>0</v>
      </c>
      <c r="J60" s="475"/>
      <c r="K60" s="487"/>
      <c r="L60" s="478">
        <f t="shared" si="19"/>
        <v>0</v>
      </c>
      <c r="M60" s="487"/>
      <c r="N60" s="478">
        <f t="shared" si="11"/>
        <v>0</v>
      </c>
      <c r="O60" s="478">
        <f t="shared" si="12"/>
        <v>0</v>
      </c>
      <c r="P60" s="242"/>
    </row>
    <row r="61" spans="2:16" ht="12.5">
      <c r="B61" s="160" t="str">
        <f t="shared" si="7"/>
        <v/>
      </c>
      <c r="C61" s="472">
        <f>IF(D11="","-",+C60+1)</f>
        <v>2057</v>
      </c>
      <c r="D61" s="485">
        <f>IF(F60+SUM(E$17:E60)=D$10,F60,D$10-SUM(E$17:E60))</f>
        <v>0</v>
      </c>
      <c r="E61" s="484">
        <f t="shared" si="5"/>
        <v>0</v>
      </c>
      <c r="F61" s="485">
        <f t="shared" si="16"/>
        <v>0</v>
      </c>
      <c r="G61" s="486">
        <f t="shared" si="17"/>
        <v>0</v>
      </c>
      <c r="H61" s="455">
        <f t="shared" si="18"/>
        <v>0</v>
      </c>
      <c r="I61" s="475">
        <f t="shared" si="6"/>
        <v>0</v>
      </c>
      <c r="J61" s="475"/>
      <c r="K61" s="487"/>
      <c r="L61" s="478">
        <f t="shared" si="19"/>
        <v>0</v>
      </c>
      <c r="M61" s="487"/>
      <c r="N61" s="478">
        <f t="shared" si="11"/>
        <v>0</v>
      </c>
      <c r="O61" s="478">
        <f t="shared" si="12"/>
        <v>0</v>
      </c>
      <c r="P61" s="242"/>
    </row>
    <row r="62" spans="2:16" ht="12.5">
      <c r="B62" s="160" t="str">
        <f t="shared" si="7"/>
        <v/>
      </c>
      <c r="C62" s="472">
        <f>IF(D11="","-",+C61+1)</f>
        <v>2058</v>
      </c>
      <c r="D62" s="485">
        <f>IF(F61+SUM(E$17:E61)=D$10,F61,D$10-SUM(E$17:E61))</f>
        <v>0</v>
      </c>
      <c r="E62" s="484">
        <f t="shared" si="5"/>
        <v>0</v>
      </c>
      <c r="F62" s="485">
        <f t="shared" si="16"/>
        <v>0</v>
      </c>
      <c r="G62" s="486">
        <f t="shared" si="17"/>
        <v>0</v>
      </c>
      <c r="H62" s="455">
        <f t="shared" si="18"/>
        <v>0</v>
      </c>
      <c r="I62" s="475">
        <f t="shared" si="6"/>
        <v>0</v>
      </c>
      <c r="J62" s="475"/>
      <c r="K62" s="487"/>
      <c r="L62" s="478">
        <f t="shared" si="19"/>
        <v>0</v>
      </c>
      <c r="M62" s="487"/>
      <c r="N62" s="478">
        <f t="shared" si="11"/>
        <v>0</v>
      </c>
      <c r="O62" s="478">
        <f t="shared" si="12"/>
        <v>0</v>
      </c>
      <c r="P62" s="242"/>
    </row>
    <row r="63" spans="2:16" ht="12.5">
      <c r="B63" s="160" t="str">
        <f t="shared" si="7"/>
        <v/>
      </c>
      <c r="C63" s="472">
        <f>IF(D11="","-",+C62+1)</f>
        <v>2059</v>
      </c>
      <c r="D63" s="485">
        <f>IF(F62+SUM(E$17:E62)=D$10,F62,D$10-SUM(E$17:E62))</f>
        <v>0</v>
      </c>
      <c r="E63" s="484">
        <f t="shared" si="5"/>
        <v>0</v>
      </c>
      <c r="F63" s="485">
        <f t="shared" si="16"/>
        <v>0</v>
      </c>
      <c r="G63" s="486">
        <f t="shared" si="17"/>
        <v>0</v>
      </c>
      <c r="H63" s="455">
        <f t="shared" si="18"/>
        <v>0</v>
      </c>
      <c r="I63" s="475">
        <f t="shared" si="6"/>
        <v>0</v>
      </c>
      <c r="J63" s="475"/>
      <c r="K63" s="487"/>
      <c r="L63" s="478">
        <f t="shared" si="19"/>
        <v>0</v>
      </c>
      <c r="M63" s="487"/>
      <c r="N63" s="478">
        <f t="shared" si="11"/>
        <v>0</v>
      </c>
      <c r="O63" s="478">
        <f t="shared" si="12"/>
        <v>0</v>
      </c>
      <c r="P63" s="242"/>
    </row>
    <row r="64" spans="2:16" ht="12.5">
      <c r="B64" s="160" t="str">
        <f t="shared" si="7"/>
        <v/>
      </c>
      <c r="C64" s="472">
        <f>IF(D11="","-",+C63+1)</f>
        <v>2060</v>
      </c>
      <c r="D64" s="485">
        <f>IF(F63+SUM(E$17:E63)=D$10,F63,D$10-SUM(E$17:E63))</f>
        <v>0</v>
      </c>
      <c r="E64" s="484">
        <f t="shared" si="5"/>
        <v>0</v>
      </c>
      <c r="F64" s="485">
        <f t="shared" si="16"/>
        <v>0</v>
      </c>
      <c r="G64" s="486">
        <f t="shared" si="17"/>
        <v>0</v>
      </c>
      <c r="H64" s="455">
        <f t="shared" si="18"/>
        <v>0</v>
      </c>
      <c r="I64" s="475">
        <f t="shared" si="6"/>
        <v>0</v>
      </c>
      <c r="J64" s="475"/>
      <c r="K64" s="487"/>
      <c r="L64" s="478">
        <f t="shared" si="19"/>
        <v>0</v>
      </c>
      <c r="M64" s="487"/>
      <c r="N64" s="478">
        <f t="shared" si="11"/>
        <v>0</v>
      </c>
      <c r="O64" s="478">
        <f t="shared" si="12"/>
        <v>0</v>
      </c>
      <c r="P64" s="242"/>
    </row>
    <row r="65" spans="2:16" ht="12.5">
      <c r="B65" s="160" t="str">
        <f t="shared" si="7"/>
        <v/>
      </c>
      <c r="C65" s="472">
        <f>IF(D11="","-",+C64+1)</f>
        <v>2061</v>
      </c>
      <c r="D65" s="485">
        <f>IF(F64+SUM(E$17:E64)=D$10,F64,D$10-SUM(E$17:E64))</f>
        <v>0</v>
      </c>
      <c r="E65" s="484">
        <f t="shared" si="5"/>
        <v>0</v>
      </c>
      <c r="F65" s="485">
        <f t="shared" si="16"/>
        <v>0</v>
      </c>
      <c r="G65" s="486">
        <f t="shared" si="17"/>
        <v>0</v>
      </c>
      <c r="H65" s="455">
        <f t="shared" si="18"/>
        <v>0</v>
      </c>
      <c r="I65" s="475">
        <f t="shared" si="6"/>
        <v>0</v>
      </c>
      <c r="J65" s="475"/>
      <c r="K65" s="487"/>
      <c r="L65" s="478">
        <f t="shared" si="19"/>
        <v>0</v>
      </c>
      <c r="M65" s="487"/>
      <c r="N65" s="478">
        <f t="shared" si="11"/>
        <v>0</v>
      </c>
      <c r="O65" s="478">
        <f t="shared" si="12"/>
        <v>0</v>
      </c>
      <c r="P65" s="242"/>
    </row>
    <row r="66" spans="2:16" ht="12.5">
      <c r="B66" s="160" t="str">
        <f t="shared" si="7"/>
        <v/>
      </c>
      <c r="C66" s="472">
        <f>IF(D11="","-",+C65+1)</f>
        <v>2062</v>
      </c>
      <c r="D66" s="485">
        <f>IF(F65+SUM(E$17:E65)=D$10,F65,D$10-SUM(E$17:E65))</f>
        <v>0</v>
      </c>
      <c r="E66" s="484">
        <f t="shared" si="5"/>
        <v>0</v>
      </c>
      <c r="F66" s="485">
        <f t="shared" si="16"/>
        <v>0</v>
      </c>
      <c r="G66" s="486">
        <f t="shared" si="17"/>
        <v>0</v>
      </c>
      <c r="H66" s="455">
        <f t="shared" si="18"/>
        <v>0</v>
      </c>
      <c r="I66" s="475">
        <f t="shared" si="6"/>
        <v>0</v>
      </c>
      <c r="J66" s="475"/>
      <c r="K66" s="487"/>
      <c r="L66" s="478">
        <f t="shared" si="19"/>
        <v>0</v>
      </c>
      <c r="M66" s="487"/>
      <c r="N66" s="478">
        <f t="shared" si="11"/>
        <v>0</v>
      </c>
      <c r="O66" s="478">
        <f t="shared" si="12"/>
        <v>0</v>
      </c>
      <c r="P66" s="242"/>
    </row>
    <row r="67" spans="2:16" ht="12.5">
      <c r="B67" s="160" t="str">
        <f t="shared" si="7"/>
        <v/>
      </c>
      <c r="C67" s="472">
        <f>IF(D11="","-",+C66+1)</f>
        <v>2063</v>
      </c>
      <c r="D67" s="485">
        <f>IF(F66+SUM(E$17:E66)=D$10,F66,D$10-SUM(E$17:E66))</f>
        <v>0</v>
      </c>
      <c r="E67" s="484">
        <f t="shared" si="5"/>
        <v>0</v>
      </c>
      <c r="F67" s="485">
        <f t="shared" si="16"/>
        <v>0</v>
      </c>
      <c r="G67" s="486">
        <f t="shared" si="17"/>
        <v>0</v>
      </c>
      <c r="H67" s="455">
        <f t="shared" si="18"/>
        <v>0</v>
      </c>
      <c r="I67" s="475">
        <f t="shared" si="6"/>
        <v>0</v>
      </c>
      <c r="J67" s="475"/>
      <c r="K67" s="487"/>
      <c r="L67" s="478">
        <f t="shared" si="19"/>
        <v>0</v>
      </c>
      <c r="M67" s="487"/>
      <c r="N67" s="478">
        <f t="shared" si="11"/>
        <v>0</v>
      </c>
      <c r="O67" s="478">
        <f t="shared" si="12"/>
        <v>0</v>
      </c>
      <c r="P67" s="242"/>
    </row>
    <row r="68" spans="2:16" ht="12.5">
      <c r="B68" s="160" t="str">
        <f t="shared" si="7"/>
        <v/>
      </c>
      <c r="C68" s="472">
        <f>IF(D11="","-",+C67+1)</f>
        <v>2064</v>
      </c>
      <c r="D68" s="485">
        <f>IF(F67+SUM(E$17:E67)=D$10,F67,D$10-SUM(E$17:E67))</f>
        <v>0</v>
      </c>
      <c r="E68" s="484">
        <f t="shared" si="5"/>
        <v>0</v>
      </c>
      <c r="F68" s="485">
        <f t="shared" si="16"/>
        <v>0</v>
      </c>
      <c r="G68" s="486">
        <f t="shared" si="17"/>
        <v>0</v>
      </c>
      <c r="H68" s="455">
        <f t="shared" si="18"/>
        <v>0</v>
      </c>
      <c r="I68" s="475">
        <f t="shared" si="6"/>
        <v>0</v>
      </c>
      <c r="J68" s="475"/>
      <c r="K68" s="487"/>
      <c r="L68" s="478">
        <f t="shared" si="19"/>
        <v>0</v>
      </c>
      <c r="M68" s="487"/>
      <c r="N68" s="478">
        <f t="shared" si="11"/>
        <v>0</v>
      </c>
      <c r="O68" s="478">
        <f t="shared" si="12"/>
        <v>0</v>
      </c>
      <c r="P68" s="242"/>
    </row>
    <row r="69" spans="2:16" ht="12.5">
      <c r="B69" s="160" t="str">
        <f t="shared" si="7"/>
        <v/>
      </c>
      <c r="C69" s="472">
        <f>IF(D11="","-",+C68+1)</f>
        <v>2065</v>
      </c>
      <c r="D69" s="485">
        <f>IF(F68+SUM(E$17:E68)=D$10,F68,D$10-SUM(E$17:E68))</f>
        <v>0</v>
      </c>
      <c r="E69" s="484">
        <f t="shared" si="5"/>
        <v>0</v>
      </c>
      <c r="F69" s="485">
        <f t="shared" si="16"/>
        <v>0</v>
      </c>
      <c r="G69" s="486">
        <f t="shared" si="17"/>
        <v>0</v>
      </c>
      <c r="H69" s="455">
        <f t="shared" si="18"/>
        <v>0</v>
      </c>
      <c r="I69" s="475">
        <f t="shared" si="6"/>
        <v>0</v>
      </c>
      <c r="J69" s="475"/>
      <c r="K69" s="487"/>
      <c r="L69" s="478">
        <f t="shared" si="19"/>
        <v>0</v>
      </c>
      <c r="M69" s="487"/>
      <c r="N69" s="478">
        <f t="shared" si="11"/>
        <v>0</v>
      </c>
      <c r="O69" s="478">
        <f t="shared" si="12"/>
        <v>0</v>
      </c>
      <c r="P69" s="242"/>
    </row>
    <row r="70" spans="2:16" ht="12.5">
      <c r="B70" s="160" t="str">
        <f t="shared" si="7"/>
        <v/>
      </c>
      <c r="C70" s="472">
        <f>IF(D11="","-",+C69+1)</f>
        <v>2066</v>
      </c>
      <c r="D70" s="485">
        <f>IF(F69+SUM(E$17:E69)=D$10,F69,D$10-SUM(E$17:E69))</f>
        <v>0</v>
      </c>
      <c r="E70" s="484">
        <f t="shared" si="5"/>
        <v>0</v>
      </c>
      <c r="F70" s="485">
        <f t="shared" si="16"/>
        <v>0</v>
      </c>
      <c r="G70" s="486">
        <f t="shared" si="17"/>
        <v>0</v>
      </c>
      <c r="H70" s="455">
        <f t="shared" si="18"/>
        <v>0</v>
      </c>
      <c r="I70" s="475">
        <f t="shared" si="6"/>
        <v>0</v>
      </c>
      <c r="J70" s="475"/>
      <c r="K70" s="487"/>
      <c r="L70" s="478">
        <f t="shared" si="19"/>
        <v>0</v>
      </c>
      <c r="M70" s="487"/>
      <c r="N70" s="478">
        <f t="shared" si="11"/>
        <v>0</v>
      </c>
      <c r="O70" s="478">
        <f t="shared" si="12"/>
        <v>0</v>
      </c>
      <c r="P70" s="242"/>
    </row>
    <row r="71" spans="2:16" ht="12.5">
      <c r="B71" s="160" t="str">
        <f t="shared" si="7"/>
        <v/>
      </c>
      <c r="C71" s="472">
        <f>IF(D11="","-",+C70+1)</f>
        <v>2067</v>
      </c>
      <c r="D71" s="485">
        <f>IF(F70+SUM(E$17:E70)=D$10,F70,D$10-SUM(E$17:E70))</f>
        <v>0</v>
      </c>
      <c r="E71" s="484">
        <f t="shared" si="5"/>
        <v>0</v>
      </c>
      <c r="F71" s="485">
        <f t="shared" si="16"/>
        <v>0</v>
      </c>
      <c r="G71" s="486">
        <f t="shared" si="17"/>
        <v>0</v>
      </c>
      <c r="H71" s="455">
        <f t="shared" si="18"/>
        <v>0</v>
      </c>
      <c r="I71" s="475">
        <f t="shared" si="6"/>
        <v>0</v>
      </c>
      <c r="J71" s="475"/>
      <c r="K71" s="487"/>
      <c r="L71" s="478">
        <f t="shared" si="19"/>
        <v>0</v>
      </c>
      <c r="M71" s="487"/>
      <c r="N71" s="478">
        <f t="shared" si="11"/>
        <v>0</v>
      </c>
      <c r="O71" s="478">
        <f t="shared" si="12"/>
        <v>0</v>
      </c>
      <c r="P71" s="242"/>
    </row>
    <row r="72" spans="2:16" ht="13" thickBot="1">
      <c r="B72" s="160" t="str">
        <f t="shared" si="7"/>
        <v/>
      </c>
      <c r="C72" s="489">
        <f>IF(D11="","-",+C71+1)</f>
        <v>2068</v>
      </c>
      <c r="D72" s="485">
        <f>IF(F71+SUM(E$17:E71)=D$10,F71,D$10-SUM(E$17:E71))</f>
        <v>0</v>
      </c>
      <c r="E72" s="484">
        <f t="shared" si="5"/>
        <v>0</v>
      </c>
      <c r="F72" s="485">
        <f t="shared" si="16"/>
        <v>0</v>
      </c>
      <c r="G72" s="486">
        <f t="shared" si="17"/>
        <v>0</v>
      </c>
      <c r="H72" s="455">
        <f t="shared" si="18"/>
        <v>0</v>
      </c>
      <c r="I72" s="475">
        <f t="shared" si="6"/>
        <v>0</v>
      </c>
      <c r="J72" s="475"/>
      <c r="K72" s="494"/>
      <c r="L72" s="495">
        <f t="shared" si="19"/>
        <v>0</v>
      </c>
      <c r="M72" s="494"/>
      <c r="N72" s="495">
        <f t="shared" si="11"/>
        <v>0</v>
      </c>
      <c r="O72" s="495">
        <f t="shared" si="12"/>
        <v>0</v>
      </c>
      <c r="P72" s="242"/>
    </row>
    <row r="73" spans="2:16" ht="12.5">
      <c r="C73" s="346" t="s">
        <v>77</v>
      </c>
      <c r="D73" s="347"/>
      <c r="E73" s="347">
        <f>SUM(E17:E72)</f>
        <v>1035551.9999999997</v>
      </c>
      <c r="F73" s="347"/>
      <c r="G73" s="347">
        <f>SUM(G17:G72)</f>
        <v>5161452.0350195887</v>
      </c>
      <c r="H73" s="347">
        <f>SUM(H17:H72)</f>
        <v>5161452.0350195887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14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117695.9465116283</v>
      </c>
      <c r="N87" s="508">
        <f>IF(J92&lt;D11,0,VLOOKUP(J92,C17:O72,11))</f>
        <v>117695.9465116283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117790.85676358812</v>
      </c>
      <c r="N88" s="512">
        <f>IF(J92&lt;D11,0,VLOOKUP(J92,C99:P154,7))</f>
        <v>117790.85676358812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Ashdown West - Craig Junction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94.910251959823654</v>
      </c>
      <c r="N89" s="517">
        <f>+N88-N87</f>
        <v>94.910251959823654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TP2009092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f>+D10</f>
        <v>1035552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604" t="s">
        <v>271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+D12</f>
        <v>2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25257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 t="str">
        <f>IF(D93= "","-",D93)</f>
        <v>2013</v>
      </c>
      <c r="D99" s="584">
        <v>0</v>
      </c>
      <c r="E99" s="585">
        <v>16595</v>
      </c>
      <c r="F99" s="586">
        <v>1018741</v>
      </c>
      <c r="G99" s="605">
        <v>509371</v>
      </c>
      <c r="H99" s="606">
        <v>89910</v>
      </c>
      <c r="I99" s="607">
        <v>89910</v>
      </c>
      <c r="J99" s="478">
        <v>0</v>
      </c>
      <c r="K99" s="478"/>
      <c r="L99" s="476">
        <f t="shared" ref="L99:L104" si="20">H99</f>
        <v>89910</v>
      </c>
      <c r="M99" s="348">
        <f t="shared" ref="M99:M104" si="21">IF(L99&lt;&gt;0,+H99-L99,0)</f>
        <v>0</v>
      </c>
      <c r="N99" s="476">
        <f t="shared" ref="N99:N104" si="22">I99</f>
        <v>89910</v>
      </c>
      <c r="O99" s="475">
        <f t="shared" ref="O99:O104" si="23">IF(N99&lt;&gt;0,+I99-N99,0)</f>
        <v>0</v>
      </c>
      <c r="P99" s="478">
        <f t="shared" ref="P99:P104" si="24">+O99-M99</f>
        <v>0</v>
      </c>
    </row>
    <row r="100" spans="1:16" ht="12.5">
      <c r="B100" s="160" t="str">
        <f>IF(D100=F99,"","IU")</f>
        <v>IU</v>
      </c>
      <c r="C100" s="472">
        <f>IF(D93="","-",+C99+1)</f>
        <v>2014</v>
      </c>
      <c r="D100" s="584">
        <v>1018957</v>
      </c>
      <c r="E100" s="585">
        <v>19914</v>
      </c>
      <c r="F100" s="586">
        <v>999043</v>
      </c>
      <c r="G100" s="586">
        <v>1009000</v>
      </c>
      <c r="H100" s="585">
        <v>161775</v>
      </c>
      <c r="I100" s="587">
        <v>161775</v>
      </c>
      <c r="J100" s="478">
        <f>+I100-H100</f>
        <v>0</v>
      </c>
      <c r="K100" s="478"/>
      <c r="L100" s="476">
        <f t="shared" si="20"/>
        <v>161775</v>
      </c>
      <c r="M100" s="348">
        <f t="shared" si="21"/>
        <v>0</v>
      </c>
      <c r="N100" s="476">
        <f t="shared" si="22"/>
        <v>161775</v>
      </c>
      <c r="O100" s="475">
        <f t="shared" si="23"/>
        <v>0</v>
      </c>
      <c r="P100" s="478">
        <f t="shared" si="24"/>
        <v>0</v>
      </c>
    </row>
    <row r="101" spans="1:16" ht="12.5">
      <c r="B101" s="160" t="str">
        <f t="shared" ref="B101:B154" si="25">IF(D101=F100,"","IU")</f>
        <v/>
      </c>
      <c r="C101" s="472">
        <f>IF(D93="","-",+C100+1)</f>
        <v>2015</v>
      </c>
      <c r="D101" s="584">
        <v>999043</v>
      </c>
      <c r="E101" s="585">
        <v>19914</v>
      </c>
      <c r="F101" s="586">
        <v>979129</v>
      </c>
      <c r="G101" s="586">
        <v>989086</v>
      </c>
      <c r="H101" s="585">
        <v>154866.83205665913</v>
      </c>
      <c r="I101" s="587">
        <v>154866.83205665913</v>
      </c>
      <c r="J101" s="478">
        <f>+I101-H101</f>
        <v>0</v>
      </c>
      <c r="K101" s="478"/>
      <c r="L101" s="476">
        <f t="shared" si="20"/>
        <v>154866.83205665913</v>
      </c>
      <c r="M101" s="348">
        <f t="shared" si="21"/>
        <v>0</v>
      </c>
      <c r="N101" s="476">
        <f t="shared" si="22"/>
        <v>154866.83205665913</v>
      </c>
      <c r="O101" s="475">
        <f t="shared" si="23"/>
        <v>0</v>
      </c>
      <c r="P101" s="478">
        <f t="shared" si="24"/>
        <v>0</v>
      </c>
    </row>
    <row r="102" spans="1:16" ht="12.5">
      <c r="B102" s="160" t="str">
        <f t="shared" si="25"/>
        <v/>
      </c>
      <c r="C102" s="472">
        <f>IF(D93="","-",+C101+1)</f>
        <v>2016</v>
      </c>
      <c r="D102" s="584">
        <v>979129</v>
      </c>
      <c r="E102" s="585">
        <v>22512</v>
      </c>
      <c r="F102" s="586">
        <v>956617</v>
      </c>
      <c r="G102" s="586">
        <v>967873</v>
      </c>
      <c r="H102" s="585">
        <v>147286.07261026395</v>
      </c>
      <c r="I102" s="587">
        <v>147286.07261026395</v>
      </c>
      <c r="J102" s="478">
        <f t="shared" ref="J102:J154" si="26">+I102-H102</f>
        <v>0</v>
      </c>
      <c r="K102" s="478"/>
      <c r="L102" s="476">
        <f t="shared" si="20"/>
        <v>147286.07261026395</v>
      </c>
      <c r="M102" s="348">
        <f t="shared" si="21"/>
        <v>0</v>
      </c>
      <c r="N102" s="476">
        <f t="shared" si="22"/>
        <v>147286.07261026395</v>
      </c>
      <c r="O102" s="475">
        <f t="shared" si="23"/>
        <v>0</v>
      </c>
      <c r="P102" s="478">
        <f t="shared" si="24"/>
        <v>0</v>
      </c>
    </row>
    <row r="103" spans="1:16" ht="12.5">
      <c r="B103" s="160" t="str">
        <f t="shared" si="25"/>
        <v/>
      </c>
      <c r="C103" s="472">
        <f>IF(D93="","-",+C102+1)</f>
        <v>2017</v>
      </c>
      <c r="D103" s="584">
        <v>956617</v>
      </c>
      <c r="E103" s="585">
        <v>22512</v>
      </c>
      <c r="F103" s="586">
        <v>934105</v>
      </c>
      <c r="G103" s="586">
        <v>945361</v>
      </c>
      <c r="H103" s="585">
        <v>142433.42657860837</v>
      </c>
      <c r="I103" s="587">
        <v>142433.42657860837</v>
      </c>
      <c r="J103" s="478">
        <f t="shared" si="26"/>
        <v>0</v>
      </c>
      <c r="K103" s="478"/>
      <c r="L103" s="476">
        <f t="shared" si="20"/>
        <v>142433.42657860837</v>
      </c>
      <c r="M103" s="348">
        <f t="shared" si="21"/>
        <v>0</v>
      </c>
      <c r="N103" s="476">
        <f t="shared" si="22"/>
        <v>142433.42657860837</v>
      </c>
      <c r="O103" s="475">
        <f t="shared" si="23"/>
        <v>0</v>
      </c>
      <c r="P103" s="478">
        <f t="shared" si="24"/>
        <v>0</v>
      </c>
    </row>
    <row r="104" spans="1:16" ht="12.5">
      <c r="B104" s="160" t="str">
        <f t="shared" si="25"/>
        <v/>
      </c>
      <c r="C104" s="472">
        <f>IF(D93="","-",+C103+1)</f>
        <v>2018</v>
      </c>
      <c r="D104" s="584">
        <v>934105</v>
      </c>
      <c r="E104" s="585">
        <v>24083</v>
      </c>
      <c r="F104" s="586">
        <v>910022</v>
      </c>
      <c r="G104" s="586">
        <v>922063.5</v>
      </c>
      <c r="H104" s="585">
        <v>118811.71632291189</v>
      </c>
      <c r="I104" s="587">
        <v>118811.71632291189</v>
      </c>
      <c r="J104" s="478">
        <f t="shared" si="26"/>
        <v>0</v>
      </c>
      <c r="K104" s="478"/>
      <c r="L104" s="476">
        <f t="shared" si="20"/>
        <v>118811.71632291189</v>
      </c>
      <c r="M104" s="348">
        <f t="shared" si="21"/>
        <v>0</v>
      </c>
      <c r="N104" s="476">
        <f t="shared" si="22"/>
        <v>118811.71632291189</v>
      </c>
      <c r="O104" s="475">
        <f t="shared" si="23"/>
        <v>0</v>
      </c>
      <c r="P104" s="478">
        <f t="shared" si="24"/>
        <v>0</v>
      </c>
    </row>
    <row r="105" spans="1:16" ht="12.5">
      <c r="B105" s="160" t="str">
        <f t="shared" si="25"/>
        <v/>
      </c>
      <c r="C105" s="472">
        <f>IF(D93="","-",+C104+1)</f>
        <v>2019</v>
      </c>
      <c r="D105" s="346">
        <f>IF(F104+SUM(E$99:E104)=D$92,F104,D$92-SUM(E$99:E104))</f>
        <v>910022</v>
      </c>
      <c r="E105" s="484">
        <f t="shared" ref="E105:E154" si="27">IF(+J$96&lt;F104,J$96,D105)</f>
        <v>25257</v>
      </c>
      <c r="F105" s="485">
        <f t="shared" ref="F105:F154" si="28">+D105-E105</f>
        <v>884765</v>
      </c>
      <c r="G105" s="485">
        <f t="shared" ref="G105:G154" si="29">+(F105+D105)/2</f>
        <v>897393.5</v>
      </c>
      <c r="H105" s="488">
        <f t="shared" ref="H105:H154" si="30">+J$94*G105+E105</f>
        <v>117790.85676358812</v>
      </c>
      <c r="I105" s="542">
        <f t="shared" ref="I105:I154" si="31">+J$95*G105+E105</f>
        <v>117790.85676358812</v>
      </c>
      <c r="J105" s="478">
        <f t="shared" si="26"/>
        <v>0</v>
      </c>
      <c r="K105" s="478"/>
      <c r="L105" s="487"/>
      <c r="M105" s="478">
        <f t="shared" ref="M105:M130" si="32">IF(L105&lt;&gt;0,+H105-L105,0)</f>
        <v>0</v>
      </c>
      <c r="N105" s="487"/>
      <c r="O105" s="478">
        <f t="shared" ref="O105:O130" si="33">IF(N105&lt;&gt;0,+I105-N105,0)</f>
        <v>0</v>
      </c>
      <c r="P105" s="478">
        <f t="shared" ref="P105:P130" si="34">+O105-M105</f>
        <v>0</v>
      </c>
    </row>
    <row r="106" spans="1:16" ht="12.5">
      <c r="B106" s="160" t="str">
        <f t="shared" si="25"/>
        <v/>
      </c>
      <c r="C106" s="472">
        <f>IF(D93="","-",+C105+1)</f>
        <v>2020</v>
      </c>
      <c r="D106" s="346">
        <f>IF(F105+SUM(E$99:E105)=D$92,F105,D$92-SUM(E$99:E105))</f>
        <v>884765</v>
      </c>
      <c r="E106" s="484">
        <f t="shared" si="27"/>
        <v>25257</v>
      </c>
      <c r="F106" s="485">
        <f t="shared" si="28"/>
        <v>859508</v>
      </c>
      <c r="G106" s="485">
        <f t="shared" si="29"/>
        <v>872136.5</v>
      </c>
      <c r="H106" s="488">
        <f t="shared" si="30"/>
        <v>115186.50580686964</v>
      </c>
      <c r="I106" s="542">
        <f t="shared" si="31"/>
        <v>115186.50580686964</v>
      </c>
      <c r="J106" s="478">
        <f t="shared" si="26"/>
        <v>0</v>
      </c>
      <c r="K106" s="478"/>
      <c r="L106" s="487"/>
      <c r="M106" s="478">
        <f t="shared" si="32"/>
        <v>0</v>
      </c>
      <c r="N106" s="487"/>
      <c r="O106" s="478">
        <f t="shared" si="33"/>
        <v>0</v>
      </c>
      <c r="P106" s="478">
        <f t="shared" si="34"/>
        <v>0</v>
      </c>
    </row>
    <row r="107" spans="1:16" ht="12.5">
      <c r="B107" s="160" t="str">
        <f t="shared" si="25"/>
        <v/>
      </c>
      <c r="C107" s="472">
        <f>IF(D93="","-",+C106+1)</f>
        <v>2021</v>
      </c>
      <c r="D107" s="346">
        <f>IF(F106+SUM(E$99:E106)=D$92,F106,D$92-SUM(E$99:E106))</f>
        <v>859508</v>
      </c>
      <c r="E107" s="484">
        <f t="shared" si="27"/>
        <v>25257</v>
      </c>
      <c r="F107" s="485">
        <f t="shared" si="28"/>
        <v>834251</v>
      </c>
      <c r="G107" s="485">
        <f t="shared" si="29"/>
        <v>846879.5</v>
      </c>
      <c r="H107" s="488">
        <f t="shared" si="30"/>
        <v>112582.15485015117</v>
      </c>
      <c r="I107" s="542">
        <f t="shared" si="31"/>
        <v>112582.15485015117</v>
      </c>
      <c r="J107" s="478">
        <f t="shared" si="26"/>
        <v>0</v>
      </c>
      <c r="K107" s="478"/>
      <c r="L107" s="487"/>
      <c r="M107" s="478">
        <f t="shared" si="32"/>
        <v>0</v>
      </c>
      <c r="N107" s="487"/>
      <c r="O107" s="478">
        <f t="shared" si="33"/>
        <v>0</v>
      </c>
      <c r="P107" s="478">
        <f t="shared" si="34"/>
        <v>0</v>
      </c>
    </row>
    <row r="108" spans="1:16" ht="12.5">
      <c r="B108" s="160" t="str">
        <f t="shared" si="25"/>
        <v/>
      </c>
      <c r="C108" s="472">
        <f>IF(D93="","-",+C107+1)</f>
        <v>2022</v>
      </c>
      <c r="D108" s="346">
        <f>IF(F107+SUM(E$99:E107)=D$92,F107,D$92-SUM(E$99:E107))</f>
        <v>834251</v>
      </c>
      <c r="E108" s="484">
        <f t="shared" si="27"/>
        <v>25257</v>
      </c>
      <c r="F108" s="485">
        <f t="shared" si="28"/>
        <v>808994</v>
      </c>
      <c r="G108" s="485">
        <f t="shared" si="29"/>
        <v>821622.5</v>
      </c>
      <c r="H108" s="488">
        <f t="shared" si="30"/>
        <v>109977.80389343269</v>
      </c>
      <c r="I108" s="542">
        <f t="shared" si="31"/>
        <v>109977.80389343269</v>
      </c>
      <c r="J108" s="478">
        <f t="shared" si="26"/>
        <v>0</v>
      </c>
      <c r="K108" s="478"/>
      <c r="L108" s="487"/>
      <c r="M108" s="478">
        <f t="shared" si="32"/>
        <v>0</v>
      </c>
      <c r="N108" s="487"/>
      <c r="O108" s="478">
        <f t="shared" si="33"/>
        <v>0</v>
      </c>
      <c r="P108" s="478">
        <f t="shared" si="34"/>
        <v>0</v>
      </c>
    </row>
    <row r="109" spans="1:16" ht="12.5">
      <c r="B109" s="160" t="str">
        <f t="shared" si="25"/>
        <v/>
      </c>
      <c r="C109" s="472">
        <f>IF(D93="","-",+C108+1)</f>
        <v>2023</v>
      </c>
      <c r="D109" s="346">
        <f>IF(F108+SUM(E$99:E108)=D$92,F108,D$92-SUM(E$99:E108))</f>
        <v>808994</v>
      </c>
      <c r="E109" s="484">
        <f t="shared" si="27"/>
        <v>25257</v>
      </c>
      <c r="F109" s="485">
        <f t="shared" si="28"/>
        <v>783737</v>
      </c>
      <c r="G109" s="485">
        <f t="shared" si="29"/>
        <v>796365.5</v>
      </c>
      <c r="H109" s="488">
        <f t="shared" si="30"/>
        <v>107373.45293671421</v>
      </c>
      <c r="I109" s="542">
        <f t="shared" si="31"/>
        <v>107373.45293671421</v>
      </c>
      <c r="J109" s="478">
        <f t="shared" si="26"/>
        <v>0</v>
      </c>
      <c r="K109" s="478"/>
      <c r="L109" s="487"/>
      <c r="M109" s="478">
        <f t="shared" si="32"/>
        <v>0</v>
      </c>
      <c r="N109" s="487"/>
      <c r="O109" s="478">
        <f t="shared" si="33"/>
        <v>0</v>
      </c>
      <c r="P109" s="478">
        <f t="shared" si="34"/>
        <v>0</v>
      </c>
    </row>
    <row r="110" spans="1:16" ht="12.5">
      <c r="B110" s="160" t="str">
        <f t="shared" si="25"/>
        <v/>
      </c>
      <c r="C110" s="472">
        <f>IF(D93="","-",+C109+1)</f>
        <v>2024</v>
      </c>
      <c r="D110" s="346">
        <f>IF(F109+SUM(E$99:E109)=D$92,F109,D$92-SUM(E$99:E109))</f>
        <v>783737</v>
      </c>
      <c r="E110" s="484">
        <f t="shared" si="27"/>
        <v>25257</v>
      </c>
      <c r="F110" s="485">
        <f t="shared" si="28"/>
        <v>758480</v>
      </c>
      <c r="G110" s="485">
        <f t="shared" si="29"/>
        <v>771108.5</v>
      </c>
      <c r="H110" s="488">
        <f t="shared" si="30"/>
        <v>104769.10197999573</v>
      </c>
      <c r="I110" s="542">
        <f t="shared" si="31"/>
        <v>104769.10197999573</v>
      </c>
      <c r="J110" s="478">
        <f t="shared" si="26"/>
        <v>0</v>
      </c>
      <c r="K110" s="478"/>
      <c r="L110" s="487"/>
      <c r="M110" s="478">
        <f t="shared" si="32"/>
        <v>0</v>
      </c>
      <c r="N110" s="487"/>
      <c r="O110" s="478">
        <f t="shared" si="33"/>
        <v>0</v>
      </c>
      <c r="P110" s="478">
        <f t="shared" si="34"/>
        <v>0</v>
      </c>
    </row>
    <row r="111" spans="1:16" ht="12.5">
      <c r="B111" s="160" t="str">
        <f t="shared" si="25"/>
        <v/>
      </c>
      <c r="C111" s="472">
        <f>IF(D93="","-",+C110+1)</f>
        <v>2025</v>
      </c>
      <c r="D111" s="346">
        <f>IF(F110+SUM(E$99:E110)=D$92,F110,D$92-SUM(E$99:E110))</f>
        <v>758480</v>
      </c>
      <c r="E111" s="484">
        <f t="shared" si="27"/>
        <v>25257</v>
      </c>
      <c r="F111" s="485">
        <f t="shared" si="28"/>
        <v>733223</v>
      </c>
      <c r="G111" s="485">
        <f t="shared" si="29"/>
        <v>745851.5</v>
      </c>
      <c r="H111" s="488">
        <f t="shared" si="30"/>
        <v>102164.75102327725</v>
      </c>
      <c r="I111" s="542">
        <f t="shared" si="31"/>
        <v>102164.75102327725</v>
      </c>
      <c r="J111" s="478">
        <f t="shared" si="26"/>
        <v>0</v>
      </c>
      <c r="K111" s="478"/>
      <c r="L111" s="487"/>
      <c r="M111" s="478">
        <f t="shared" si="32"/>
        <v>0</v>
      </c>
      <c r="N111" s="487"/>
      <c r="O111" s="478">
        <f t="shared" si="33"/>
        <v>0</v>
      </c>
      <c r="P111" s="478">
        <f t="shared" si="34"/>
        <v>0</v>
      </c>
    </row>
    <row r="112" spans="1:16" ht="12.5">
      <c r="B112" s="160" t="str">
        <f t="shared" si="25"/>
        <v/>
      </c>
      <c r="C112" s="472">
        <f>IF(D93="","-",+C111+1)</f>
        <v>2026</v>
      </c>
      <c r="D112" s="346">
        <f>IF(F111+SUM(E$99:E111)=D$92,F111,D$92-SUM(E$99:E111))</f>
        <v>733223</v>
      </c>
      <c r="E112" s="484">
        <f t="shared" si="27"/>
        <v>25257</v>
      </c>
      <c r="F112" s="485">
        <f t="shared" si="28"/>
        <v>707966</v>
      </c>
      <c r="G112" s="485">
        <f t="shared" si="29"/>
        <v>720594.5</v>
      </c>
      <c r="H112" s="488">
        <f t="shared" si="30"/>
        <v>99560.400066558766</v>
      </c>
      <c r="I112" s="542">
        <f t="shared" si="31"/>
        <v>99560.400066558766</v>
      </c>
      <c r="J112" s="478">
        <f t="shared" si="26"/>
        <v>0</v>
      </c>
      <c r="K112" s="478"/>
      <c r="L112" s="487"/>
      <c r="M112" s="478">
        <f t="shared" si="32"/>
        <v>0</v>
      </c>
      <c r="N112" s="487"/>
      <c r="O112" s="478">
        <f t="shared" si="33"/>
        <v>0</v>
      </c>
      <c r="P112" s="478">
        <f t="shared" si="34"/>
        <v>0</v>
      </c>
    </row>
    <row r="113" spans="2:16" ht="12.5">
      <c r="B113" s="160" t="str">
        <f t="shared" si="25"/>
        <v/>
      </c>
      <c r="C113" s="472">
        <f>IF(D93="","-",+C112+1)</f>
        <v>2027</v>
      </c>
      <c r="D113" s="346">
        <f>IF(F112+SUM(E$99:E112)=D$92,F112,D$92-SUM(E$99:E112))</f>
        <v>707966</v>
      </c>
      <c r="E113" s="484">
        <f t="shared" si="27"/>
        <v>25257</v>
      </c>
      <c r="F113" s="485">
        <f t="shared" si="28"/>
        <v>682709</v>
      </c>
      <c r="G113" s="485">
        <f t="shared" si="29"/>
        <v>695337.5</v>
      </c>
      <c r="H113" s="488">
        <f t="shared" si="30"/>
        <v>96956.049109840285</v>
      </c>
      <c r="I113" s="542">
        <f t="shared" si="31"/>
        <v>96956.049109840285</v>
      </c>
      <c r="J113" s="478">
        <f t="shared" si="26"/>
        <v>0</v>
      </c>
      <c r="K113" s="478"/>
      <c r="L113" s="487"/>
      <c r="M113" s="478">
        <f t="shared" si="32"/>
        <v>0</v>
      </c>
      <c r="N113" s="487"/>
      <c r="O113" s="478">
        <f t="shared" si="33"/>
        <v>0</v>
      </c>
      <c r="P113" s="478">
        <f t="shared" si="34"/>
        <v>0</v>
      </c>
    </row>
    <row r="114" spans="2:16" ht="12.5">
      <c r="B114" s="160" t="str">
        <f t="shared" si="25"/>
        <v/>
      </c>
      <c r="C114" s="472">
        <f>IF(D93="","-",+C113+1)</f>
        <v>2028</v>
      </c>
      <c r="D114" s="346">
        <f>IF(F113+SUM(E$99:E113)=D$92,F113,D$92-SUM(E$99:E113))</f>
        <v>682709</v>
      </c>
      <c r="E114" s="484">
        <f t="shared" si="27"/>
        <v>25257</v>
      </c>
      <c r="F114" s="485">
        <f t="shared" si="28"/>
        <v>657452</v>
      </c>
      <c r="G114" s="485">
        <f t="shared" si="29"/>
        <v>670080.5</v>
      </c>
      <c r="H114" s="488">
        <f t="shared" si="30"/>
        <v>94351.698153121804</v>
      </c>
      <c r="I114" s="542">
        <f t="shared" si="31"/>
        <v>94351.698153121804</v>
      </c>
      <c r="J114" s="478">
        <f t="shared" si="26"/>
        <v>0</v>
      </c>
      <c r="K114" s="478"/>
      <c r="L114" s="487"/>
      <c r="M114" s="478">
        <f t="shared" si="32"/>
        <v>0</v>
      </c>
      <c r="N114" s="487"/>
      <c r="O114" s="478">
        <f t="shared" si="33"/>
        <v>0</v>
      </c>
      <c r="P114" s="478">
        <f t="shared" si="34"/>
        <v>0</v>
      </c>
    </row>
    <row r="115" spans="2:16" ht="12.5">
      <c r="B115" s="160" t="str">
        <f t="shared" si="25"/>
        <v/>
      </c>
      <c r="C115" s="472">
        <f>IF(D93="","-",+C114+1)</f>
        <v>2029</v>
      </c>
      <c r="D115" s="346">
        <f>IF(F114+SUM(E$99:E114)=D$92,F114,D$92-SUM(E$99:E114))</f>
        <v>657452</v>
      </c>
      <c r="E115" s="484">
        <f t="shared" si="27"/>
        <v>25257</v>
      </c>
      <c r="F115" s="485">
        <f t="shared" si="28"/>
        <v>632195</v>
      </c>
      <c r="G115" s="485">
        <f t="shared" si="29"/>
        <v>644823.5</v>
      </c>
      <c r="H115" s="488">
        <f t="shared" si="30"/>
        <v>91747.347196403323</v>
      </c>
      <c r="I115" s="542">
        <f t="shared" si="31"/>
        <v>91747.347196403323</v>
      </c>
      <c r="J115" s="478">
        <f t="shared" si="26"/>
        <v>0</v>
      </c>
      <c r="K115" s="478"/>
      <c r="L115" s="487"/>
      <c r="M115" s="478">
        <f t="shared" si="32"/>
        <v>0</v>
      </c>
      <c r="N115" s="487"/>
      <c r="O115" s="478">
        <f t="shared" si="33"/>
        <v>0</v>
      </c>
      <c r="P115" s="478">
        <f t="shared" si="34"/>
        <v>0</v>
      </c>
    </row>
    <row r="116" spans="2:16" ht="12.5">
      <c r="B116" s="160" t="str">
        <f t="shared" si="25"/>
        <v/>
      </c>
      <c r="C116" s="472">
        <f>IF(D93="","-",+C115+1)</f>
        <v>2030</v>
      </c>
      <c r="D116" s="346">
        <f>IF(F115+SUM(E$99:E115)=D$92,F115,D$92-SUM(E$99:E115))</f>
        <v>632195</v>
      </c>
      <c r="E116" s="484">
        <f t="shared" si="27"/>
        <v>25257</v>
      </c>
      <c r="F116" s="485">
        <f t="shared" si="28"/>
        <v>606938</v>
      </c>
      <c r="G116" s="485">
        <f t="shared" si="29"/>
        <v>619566.5</v>
      </c>
      <c r="H116" s="488">
        <f t="shared" si="30"/>
        <v>89142.996239684842</v>
      </c>
      <c r="I116" s="542">
        <f t="shared" si="31"/>
        <v>89142.996239684842</v>
      </c>
      <c r="J116" s="478">
        <f t="shared" si="26"/>
        <v>0</v>
      </c>
      <c r="K116" s="478"/>
      <c r="L116" s="487"/>
      <c r="M116" s="478">
        <f t="shared" si="32"/>
        <v>0</v>
      </c>
      <c r="N116" s="487"/>
      <c r="O116" s="478">
        <f t="shared" si="33"/>
        <v>0</v>
      </c>
      <c r="P116" s="478">
        <f t="shared" si="34"/>
        <v>0</v>
      </c>
    </row>
    <row r="117" spans="2:16" ht="12.5">
      <c r="B117" s="160" t="str">
        <f t="shared" si="25"/>
        <v/>
      </c>
      <c r="C117" s="472">
        <f>IF(D93="","-",+C116+1)</f>
        <v>2031</v>
      </c>
      <c r="D117" s="346">
        <f>IF(F116+SUM(E$99:E116)=D$92,F116,D$92-SUM(E$99:E116))</f>
        <v>606938</v>
      </c>
      <c r="E117" s="484">
        <f t="shared" si="27"/>
        <v>25257</v>
      </c>
      <c r="F117" s="485">
        <f t="shared" si="28"/>
        <v>581681</v>
      </c>
      <c r="G117" s="485">
        <f t="shared" si="29"/>
        <v>594309.5</v>
      </c>
      <c r="H117" s="488">
        <f t="shared" si="30"/>
        <v>86538.645282966361</v>
      </c>
      <c r="I117" s="542">
        <f t="shared" si="31"/>
        <v>86538.645282966361</v>
      </c>
      <c r="J117" s="478">
        <f t="shared" si="26"/>
        <v>0</v>
      </c>
      <c r="K117" s="478"/>
      <c r="L117" s="487"/>
      <c r="M117" s="478">
        <f t="shared" si="32"/>
        <v>0</v>
      </c>
      <c r="N117" s="487"/>
      <c r="O117" s="478">
        <f t="shared" si="33"/>
        <v>0</v>
      </c>
      <c r="P117" s="478">
        <f t="shared" si="34"/>
        <v>0</v>
      </c>
    </row>
    <row r="118" spans="2:16" ht="12.5">
      <c r="B118" s="160" t="str">
        <f t="shared" si="25"/>
        <v/>
      </c>
      <c r="C118" s="472">
        <f>IF(D93="","-",+C117+1)</f>
        <v>2032</v>
      </c>
      <c r="D118" s="346">
        <f>IF(F117+SUM(E$99:E117)=D$92,F117,D$92-SUM(E$99:E117))</f>
        <v>581681</v>
      </c>
      <c r="E118" s="484">
        <f t="shared" si="27"/>
        <v>25257</v>
      </c>
      <c r="F118" s="485">
        <f t="shared" si="28"/>
        <v>556424</v>
      </c>
      <c r="G118" s="485">
        <f t="shared" si="29"/>
        <v>569052.5</v>
      </c>
      <c r="H118" s="488">
        <f t="shared" si="30"/>
        <v>83934.29432624788</v>
      </c>
      <c r="I118" s="542">
        <f t="shared" si="31"/>
        <v>83934.29432624788</v>
      </c>
      <c r="J118" s="478">
        <f t="shared" si="26"/>
        <v>0</v>
      </c>
      <c r="K118" s="478"/>
      <c r="L118" s="487"/>
      <c r="M118" s="478">
        <f t="shared" si="32"/>
        <v>0</v>
      </c>
      <c r="N118" s="487"/>
      <c r="O118" s="478">
        <f t="shared" si="33"/>
        <v>0</v>
      </c>
      <c r="P118" s="478">
        <f t="shared" si="34"/>
        <v>0</v>
      </c>
    </row>
    <row r="119" spans="2:16" ht="12.5">
      <c r="B119" s="160" t="str">
        <f t="shared" si="25"/>
        <v/>
      </c>
      <c r="C119" s="472">
        <f>IF(D93="","-",+C118+1)</f>
        <v>2033</v>
      </c>
      <c r="D119" s="346">
        <f>IF(F118+SUM(E$99:E118)=D$92,F118,D$92-SUM(E$99:E118))</f>
        <v>556424</v>
      </c>
      <c r="E119" s="484">
        <f t="shared" si="27"/>
        <v>25257</v>
      </c>
      <c r="F119" s="485">
        <f t="shared" si="28"/>
        <v>531167</v>
      </c>
      <c r="G119" s="485">
        <f t="shared" si="29"/>
        <v>543795.5</v>
      </c>
      <c r="H119" s="488">
        <f t="shared" si="30"/>
        <v>81329.943369529414</v>
      </c>
      <c r="I119" s="542">
        <f t="shared" si="31"/>
        <v>81329.943369529414</v>
      </c>
      <c r="J119" s="478">
        <f t="shared" si="26"/>
        <v>0</v>
      </c>
      <c r="K119" s="478"/>
      <c r="L119" s="487"/>
      <c r="M119" s="478">
        <f t="shared" si="32"/>
        <v>0</v>
      </c>
      <c r="N119" s="487"/>
      <c r="O119" s="478">
        <f t="shared" si="33"/>
        <v>0</v>
      </c>
      <c r="P119" s="478">
        <f t="shared" si="34"/>
        <v>0</v>
      </c>
    </row>
    <row r="120" spans="2:16" ht="12.5">
      <c r="B120" s="160" t="str">
        <f t="shared" si="25"/>
        <v/>
      </c>
      <c r="C120" s="472">
        <f>IF(D93="","-",+C119+1)</f>
        <v>2034</v>
      </c>
      <c r="D120" s="346">
        <f>IF(F119+SUM(E$99:E119)=D$92,F119,D$92-SUM(E$99:E119))</f>
        <v>531167</v>
      </c>
      <c r="E120" s="484">
        <f t="shared" si="27"/>
        <v>25257</v>
      </c>
      <c r="F120" s="485">
        <f t="shared" si="28"/>
        <v>505910</v>
      </c>
      <c r="G120" s="485">
        <f t="shared" si="29"/>
        <v>518538.5</v>
      </c>
      <c r="H120" s="488">
        <f t="shared" si="30"/>
        <v>78725.592412810918</v>
      </c>
      <c r="I120" s="542">
        <f t="shared" si="31"/>
        <v>78725.592412810918</v>
      </c>
      <c r="J120" s="478">
        <f t="shared" si="26"/>
        <v>0</v>
      </c>
      <c r="K120" s="478"/>
      <c r="L120" s="487"/>
      <c r="M120" s="478">
        <f t="shared" si="32"/>
        <v>0</v>
      </c>
      <c r="N120" s="487"/>
      <c r="O120" s="478">
        <f t="shared" si="33"/>
        <v>0</v>
      </c>
      <c r="P120" s="478">
        <f t="shared" si="34"/>
        <v>0</v>
      </c>
    </row>
    <row r="121" spans="2:16" ht="12.5">
      <c r="B121" s="160" t="str">
        <f t="shared" si="25"/>
        <v/>
      </c>
      <c r="C121" s="472">
        <f>IF(D93="","-",+C120+1)</f>
        <v>2035</v>
      </c>
      <c r="D121" s="346">
        <f>IF(F120+SUM(E$99:E120)=D$92,F120,D$92-SUM(E$99:E120))</f>
        <v>505910</v>
      </c>
      <c r="E121" s="484">
        <f t="shared" si="27"/>
        <v>25257</v>
      </c>
      <c r="F121" s="485">
        <f t="shared" si="28"/>
        <v>480653</v>
      </c>
      <c r="G121" s="485">
        <f t="shared" si="29"/>
        <v>493281.5</v>
      </c>
      <c r="H121" s="488">
        <f t="shared" si="30"/>
        <v>76121.241456092452</v>
      </c>
      <c r="I121" s="542">
        <f t="shared" si="31"/>
        <v>76121.241456092452</v>
      </c>
      <c r="J121" s="478">
        <f t="shared" si="26"/>
        <v>0</v>
      </c>
      <c r="K121" s="478"/>
      <c r="L121" s="487"/>
      <c r="M121" s="478">
        <f t="shared" si="32"/>
        <v>0</v>
      </c>
      <c r="N121" s="487"/>
      <c r="O121" s="478">
        <f t="shared" si="33"/>
        <v>0</v>
      </c>
      <c r="P121" s="478">
        <f t="shared" si="34"/>
        <v>0</v>
      </c>
    </row>
    <row r="122" spans="2:16" ht="12.5">
      <c r="B122" s="160" t="str">
        <f t="shared" si="25"/>
        <v/>
      </c>
      <c r="C122" s="472">
        <f>IF(D93="","-",+C121+1)</f>
        <v>2036</v>
      </c>
      <c r="D122" s="346">
        <f>IF(F121+SUM(E$99:E121)=D$92,F121,D$92-SUM(E$99:E121))</f>
        <v>480653</v>
      </c>
      <c r="E122" s="484">
        <f t="shared" si="27"/>
        <v>25257</v>
      </c>
      <c r="F122" s="485">
        <f t="shared" si="28"/>
        <v>455396</v>
      </c>
      <c r="G122" s="485">
        <f t="shared" si="29"/>
        <v>468024.5</v>
      </c>
      <c r="H122" s="488">
        <f t="shared" si="30"/>
        <v>73516.890499373956</v>
      </c>
      <c r="I122" s="542">
        <f t="shared" si="31"/>
        <v>73516.890499373956</v>
      </c>
      <c r="J122" s="478">
        <f t="shared" si="26"/>
        <v>0</v>
      </c>
      <c r="K122" s="478"/>
      <c r="L122" s="487"/>
      <c r="M122" s="478">
        <f t="shared" si="32"/>
        <v>0</v>
      </c>
      <c r="N122" s="487"/>
      <c r="O122" s="478">
        <f t="shared" si="33"/>
        <v>0</v>
      </c>
      <c r="P122" s="478">
        <f t="shared" si="34"/>
        <v>0</v>
      </c>
    </row>
    <row r="123" spans="2:16" ht="12.5">
      <c r="B123" s="160" t="str">
        <f t="shared" si="25"/>
        <v/>
      </c>
      <c r="C123" s="472">
        <f>IF(D93="","-",+C122+1)</f>
        <v>2037</v>
      </c>
      <c r="D123" s="346">
        <f>IF(F122+SUM(E$99:E122)=D$92,F122,D$92-SUM(E$99:E122))</f>
        <v>455396</v>
      </c>
      <c r="E123" s="484">
        <f t="shared" si="27"/>
        <v>25257</v>
      </c>
      <c r="F123" s="485">
        <f t="shared" si="28"/>
        <v>430139</v>
      </c>
      <c r="G123" s="485">
        <f t="shared" si="29"/>
        <v>442767.5</v>
      </c>
      <c r="H123" s="488">
        <f t="shared" si="30"/>
        <v>70912.53954265549</v>
      </c>
      <c r="I123" s="542">
        <f t="shared" si="31"/>
        <v>70912.53954265549</v>
      </c>
      <c r="J123" s="478">
        <f t="shared" si="26"/>
        <v>0</v>
      </c>
      <c r="K123" s="478"/>
      <c r="L123" s="487"/>
      <c r="M123" s="478">
        <f t="shared" si="32"/>
        <v>0</v>
      </c>
      <c r="N123" s="487"/>
      <c r="O123" s="478">
        <f t="shared" si="33"/>
        <v>0</v>
      </c>
      <c r="P123" s="478">
        <f t="shared" si="34"/>
        <v>0</v>
      </c>
    </row>
    <row r="124" spans="2:16" ht="12.5">
      <c r="B124" s="160" t="str">
        <f t="shared" si="25"/>
        <v/>
      </c>
      <c r="C124" s="472">
        <f>IF(D93="","-",+C123+1)</f>
        <v>2038</v>
      </c>
      <c r="D124" s="346">
        <f>IF(F123+SUM(E$99:E123)=D$92,F123,D$92-SUM(E$99:E123))</f>
        <v>430139</v>
      </c>
      <c r="E124" s="484">
        <f t="shared" si="27"/>
        <v>25257</v>
      </c>
      <c r="F124" s="485">
        <f t="shared" si="28"/>
        <v>404882</v>
      </c>
      <c r="G124" s="485">
        <f t="shared" si="29"/>
        <v>417510.5</v>
      </c>
      <c r="H124" s="488">
        <f t="shared" si="30"/>
        <v>68308.188585936994</v>
      </c>
      <c r="I124" s="542">
        <f t="shared" si="31"/>
        <v>68308.188585936994</v>
      </c>
      <c r="J124" s="478">
        <f t="shared" si="26"/>
        <v>0</v>
      </c>
      <c r="K124" s="478"/>
      <c r="L124" s="487"/>
      <c r="M124" s="478">
        <f t="shared" si="32"/>
        <v>0</v>
      </c>
      <c r="N124" s="487"/>
      <c r="O124" s="478">
        <f t="shared" si="33"/>
        <v>0</v>
      </c>
      <c r="P124" s="478">
        <f t="shared" si="34"/>
        <v>0</v>
      </c>
    </row>
    <row r="125" spans="2:16" ht="12.5">
      <c r="B125" s="160" t="str">
        <f t="shared" si="25"/>
        <v/>
      </c>
      <c r="C125" s="472">
        <f>IF(D93="","-",+C124+1)</f>
        <v>2039</v>
      </c>
      <c r="D125" s="346">
        <f>IF(F124+SUM(E$99:E124)=D$92,F124,D$92-SUM(E$99:E124))</f>
        <v>404882</v>
      </c>
      <c r="E125" s="484">
        <f t="shared" si="27"/>
        <v>25257</v>
      </c>
      <c r="F125" s="485">
        <f t="shared" si="28"/>
        <v>379625</v>
      </c>
      <c r="G125" s="485">
        <f t="shared" si="29"/>
        <v>392253.5</v>
      </c>
      <c r="H125" s="488">
        <f t="shared" si="30"/>
        <v>65703.837629218528</v>
      </c>
      <c r="I125" s="542">
        <f t="shared" si="31"/>
        <v>65703.837629218528</v>
      </c>
      <c r="J125" s="478">
        <f t="shared" si="26"/>
        <v>0</v>
      </c>
      <c r="K125" s="478"/>
      <c r="L125" s="487"/>
      <c r="M125" s="478">
        <f t="shared" si="32"/>
        <v>0</v>
      </c>
      <c r="N125" s="487"/>
      <c r="O125" s="478">
        <f t="shared" si="33"/>
        <v>0</v>
      </c>
      <c r="P125" s="478">
        <f t="shared" si="34"/>
        <v>0</v>
      </c>
    </row>
    <row r="126" spans="2:16" ht="12.5">
      <c r="B126" s="160" t="str">
        <f t="shared" si="25"/>
        <v/>
      </c>
      <c r="C126" s="472">
        <f>IF(D93="","-",+C125+1)</f>
        <v>2040</v>
      </c>
      <c r="D126" s="346">
        <f>IF(F125+SUM(E$99:E125)=D$92,F125,D$92-SUM(E$99:E125))</f>
        <v>379625</v>
      </c>
      <c r="E126" s="484">
        <f t="shared" si="27"/>
        <v>25257</v>
      </c>
      <c r="F126" s="485">
        <f t="shared" si="28"/>
        <v>354368</v>
      </c>
      <c r="G126" s="485">
        <f t="shared" si="29"/>
        <v>366996.5</v>
      </c>
      <c r="H126" s="488">
        <f t="shared" si="30"/>
        <v>63099.486672500047</v>
      </c>
      <c r="I126" s="542">
        <f t="shared" si="31"/>
        <v>63099.486672500047</v>
      </c>
      <c r="J126" s="478">
        <f t="shared" si="26"/>
        <v>0</v>
      </c>
      <c r="K126" s="478"/>
      <c r="L126" s="487"/>
      <c r="M126" s="478">
        <f t="shared" si="32"/>
        <v>0</v>
      </c>
      <c r="N126" s="487"/>
      <c r="O126" s="478">
        <f t="shared" si="33"/>
        <v>0</v>
      </c>
      <c r="P126" s="478">
        <f t="shared" si="34"/>
        <v>0</v>
      </c>
    </row>
    <row r="127" spans="2:16" ht="12.5">
      <c r="B127" s="160" t="str">
        <f t="shared" si="25"/>
        <v/>
      </c>
      <c r="C127" s="472">
        <f>IF(D93="","-",+C126+1)</f>
        <v>2041</v>
      </c>
      <c r="D127" s="346">
        <f>IF(F126+SUM(E$99:E126)=D$92,F126,D$92-SUM(E$99:E126))</f>
        <v>354368</v>
      </c>
      <c r="E127" s="484">
        <f t="shared" si="27"/>
        <v>25257</v>
      </c>
      <c r="F127" s="485">
        <f t="shared" si="28"/>
        <v>329111</v>
      </c>
      <c r="G127" s="485">
        <f t="shared" si="29"/>
        <v>341739.5</v>
      </c>
      <c r="H127" s="488">
        <f t="shared" si="30"/>
        <v>60495.135715781566</v>
      </c>
      <c r="I127" s="542">
        <f t="shared" si="31"/>
        <v>60495.135715781566</v>
      </c>
      <c r="J127" s="478">
        <f t="shared" si="26"/>
        <v>0</v>
      </c>
      <c r="K127" s="478"/>
      <c r="L127" s="487"/>
      <c r="M127" s="478">
        <f t="shared" si="32"/>
        <v>0</v>
      </c>
      <c r="N127" s="487"/>
      <c r="O127" s="478">
        <f t="shared" si="33"/>
        <v>0</v>
      </c>
      <c r="P127" s="478">
        <f t="shared" si="34"/>
        <v>0</v>
      </c>
    </row>
    <row r="128" spans="2:16" ht="12.5">
      <c r="B128" s="160" t="str">
        <f t="shared" si="25"/>
        <v/>
      </c>
      <c r="C128" s="472">
        <f>IF(D93="","-",+C127+1)</f>
        <v>2042</v>
      </c>
      <c r="D128" s="346">
        <f>IF(F127+SUM(E$99:E127)=D$92,F127,D$92-SUM(E$99:E127))</f>
        <v>329111</v>
      </c>
      <c r="E128" s="484">
        <f t="shared" si="27"/>
        <v>25257</v>
      </c>
      <c r="F128" s="485">
        <f t="shared" si="28"/>
        <v>303854</v>
      </c>
      <c r="G128" s="485">
        <f t="shared" si="29"/>
        <v>316482.5</v>
      </c>
      <c r="H128" s="488">
        <f t="shared" si="30"/>
        <v>57890.784759063084</v>
      </c>
      <c r="I128" s="542">
        <f t="shared" si="31"/>
        <v>57890.784759063084</v>
      </c>
      <c r="J128" s="478">
        <f t="shared" si="26"/>
        <v>0</v>
      </c>
      <c r="K128" s="478"/>
      <c r="L128" s="487"/>
      <c r="M128" s="478">
        <f t="shared" si="32"/>
        <v>0</v>
      </c>
      <c r="N128" s="487"/>
      <c r="O128" s="478">
        <f t="shared" si="33"/>
        <v>0</v>
      </c>
      <c r="P128" s="478">
        <f t="shared" si="34"/>
        <v>0</v>
      </c>
    </row>
    <row r="129" spans="2:16" ht="12.5">
      <c r="B129" s="160" t="str">
        <f t="shared" si="25"/>
        <v/>
      </c>
      <c r="C129" s="472">
        <f>IF(D93="","-",+C128+1)</f>
        <v>2043</v>
      </c>
      <c r="D129" s="346">
        <f>IF(F128+SUM(E$99:E128)=D$92,F128,D$92-SUM(E$99:E128))</f>
        <v>303854</v>
      </c>
      <c r="E129" s="484">
        <f t="shared" si="27"/>
        <v>25257</v>
      </c>
      <c r="F129" s="485">
        <f t="shared" si="28"/>
        <v>278597</v>
      </c>
      <c r="G129" s="485">
        <f t="shared" si="29"/>
        <v>291225.5</v>
      </c>
      <c r="H129" s="488">
        <f t="shared" si="30"/>
        <v>55286.433802344603</v>
      </c>
      <c r="I129" s="542">
        <f t="shared" si="31"/>
        <v>55286.433802344603</v>
      </c>
      <c r="J129" s="478">
        <f t="shared" si="26"/>
        <v>0</v>
      </c>
      <c r="K129" s="478"/>
      <c r="L129" s="487"/>
      <c r="M129" s="478">
        <f t="shared" si="32"/>
        <v>0</v>
      </c>
      <c r="N129" s="487"/>
      <c r="O129" s="478">
        <f t="shared" si="33"/>
        <v>0</v>
      </c>
      <c r="P129" s="478">
        <f t="shared" si="34"/>
        <v>0</v>
      </c>
    </row>
    <row r="130" spans="2:16" ht="12.5">
      <c r="B130" s="160" t="str">
        <f t="shared" si="25"/>
        <v/>
      </c>
      <c r="C130" s="472">
        <f>IF(D93="","-",+C129+1)</f>
        <v>2044</v>
      </c>
      <c r="D130" s="346">
        <f>IF(F129+SUM(E$99:E129)=D$92,F129,D$92-SUM(E$99:E129))</f>
        <v>278597</v>
      </c>
      <c r="E130" s="484">
        <f t="shared" si="27"/>
        <v>25257</v>
      </c>
      <c r="F130" s="485">
        <f t="shared" si="28"/>
        <v>253340</v>
      </c>
      <c r="G130" s="485">
        <f t="shared" si="29"/>
        <v>265968.5</v>
      </c>
      <c r="H130" s="488">
        <f t="shared" si="30"/>
        <v>52682.082845626122</v>
      </c>
      <c r="I130" s="542">
        <f t="shared" si="31"/>
        <v>52682.082845626122</v>
      </c>
      <c r="J130" s="478">
        <f t="shared" si="26"/>
        <v>0</v>
      </c>
      <c r="K130" s="478"/>
      <c r="L130" s="487"/>
      <c r="M130" s="478">
        <f t="shared" si="32"/>
        <v>0</v>
      </c>
      <c r="N130" s="487"/>
      <c r="O130" s="478">
        <f t="shared" si="33"/>
        <v>0</v>
      </c>
      <c r="P130" s="478">
        <f t="shared" si="34"/>
        <v>0</v>
      </c>
    </row>
    <row r="131" spans="2:16" ht="12.5">
      <c r="B131" s="160" t="str">
        <f t="shared" si="25"/>
        <v/>
      </c>
      <c r="C131" s="472">
        <f>IF(D93="","-",+C130+1)</f>
        <v>2045</v>
      </c>
      <c r="D131" s="346">
        <f>IF(F130+SUM(E$99:E130)=D$92,F130,D$92-SUM(E$99:E130))</f>
        <v>253340</v>
      </c>
      <c r="E131" s="484">
        <f t="shared" si="27"/>
        <v>25257</v>
      </c>
      <c r="F131" s="485">
        <f t="shared" si="28"/>
        <v>228083</v>
      </c>
      <c r="G131" s="485">
        <f t="shared" si="29"/>
        <v>240711.5</v>
      </c>
      <c r="H131" s="488">
        <f t="shared" si="30"/>
        <v>50077.731888907641</v>
      </c>
      <c r="I131" s="542">
        <f t="shared" si="31"/>
        <v>50077.731888907641</v>
      </c>
      <c r="J131" s="478">
        <f t="shared" si="26"/>
        <v>0</v>
      </c>
      <c r="K131" s="478"/>
      <c r="L131" s="487"/>
      <c r="M131" s="478">
        <f t="shared" ref="M131:M154" si="35">IF(L541&lt;&gt;0,+H541-L541,0)</f>
        <v>0</v>
      </c>
      <c r="N131" s="487"/>
      <c r="O131" s="478">
        <f t="shared" ref="O131:O154" si="36">IF(N541&lt;&gt;0,+I541-N541,0)</f>
        <v>0</v>
      </c>
      <c r="P131" s="478">
        <f t="shared" ref="P131:P154" si="37">+O541-M541</f>
        <v>0</v>
      </c>
    </row>
    <row r="132" spans="2:16" ht="12.5">
      <c r="B132" s="160" t="str">
        <f t="shared" si="25"/>
        <v/>
      </c>
      <c r="C132" s="472">
        <f>IF(D93="","-",+C131+1)</f>
        <v>2046</v>
      </c>
      <c r="D132" s="346">
        <f>IF(F131+SUM(E$99:E131)=D$92,F131,D$92-SUM(E$99:E131))</f>
        <v>228083</v>
      </c>
      <c r="E132" s="484">
        <f t="shared" si="27"/>
        <v>25257</v>
      </c>
      <c r="F132" s="485">
        <f t="shared" si="28"/>
        <v>202826</v>
      </c>
      <c r="G132" s="485">
        <f t="shared" si="29"/>
        <v>215454.5</v>
      </c>
      <c r="H132" s="488">
        <f t="shared" si="30"/>
        <v>47473.38093218916</v>
      </c>
      <c r="I132" s="542">
        <f t="shared" si="31"/>
        <v>47473.38093218916</v>
      </c>
      <c r="J132" s="478">
        <f t="shared" si="26"/>
        <v>0</v>
      </c>
      <c r="K132" s="478"/>
      <c r="L132" s="487"/>
      <c r="M132" s="478">
        <f t="shared" si="35"/>
        <v>0</v>
      </c>
      <c r="N132" s="487"/>
      <c r="O132" s="478">
        <f t="shared" si="36"/>
        <v>0</v>
      </c>
      <c r="P132" s="478">
        <f t="shared" si="37"/>
        <v>0</v>
      </c>
    </row>
    <row r="133" spans="2:16" ht="12.5">
      <c r="B133" s="160" t="str">
        <f t="shared" si="25"/>
        <v/>
      </c>
      <c r="C133" s="472">
        <f>IF(D93="","-",+C132+1)</f>
        <v>2047</v>
      </c>
      <c r="D133" s="346">
        <f>IF(F132+SUM(E$99:E132)=D$92,F132,D$92-SUM(E$99:E132))</f>
        <v>202826</v>
      </c>
      <c r="E133" s="484">
        <f t="shared" si="27"/>
        <v>25257</v>
      </c>
      <c r="F133" s="485">
        <f t="shared" si="28"/>
        <v>177569</v>
      </c>
      <c r="G133" s="485">
        <f t="shared" si="29"/>
        <v>190197.5</v>
      </c>
      <c r="H133" s="488">
        <f t="shared" si="30"/>
        <v>44869.029975470687</v>
      </c>
      <c r="I133" s="542">
        <f t="shared" si="31"/>
        <v>44869.029975470687</v>
      </c>
      <c r="J133" s="478">
        <f t="shared" si="26"/>
        <v>0</v>
      </c>
      <c r="K133" s="478"/>
      <c r="L133" s="487"/>
      <c r="M133" s="478">
        <f t="shared" si="35"/>
        <v>0</v>
      </c>
      <c r="N133" s="487"/>
      <c r="O133" s="478">
        <f t="shared" si="36"/>
        <v>0</v>
      </c>
      <c r="P133" s="478">
        <f t="shared" si="37"/>
        <v>0</v>
      </c>
    </row>
    <row r="134" spans="2:16" ht="12.5">
      <c r="B134" s="160" t="str">
        <f t="shared" si="25"/>
        <v/>
      </c>
      <c r="C134" s="472">
        <f>IF(D93="","-",+C133+1)</f>
        <v>2048</v>
      </c>
      <c r="D134" s="346">
        <f>IF(F133+SUM(E$99:E133)=D$92,F133,D$92-SUM(E$99:E133))</f>
        <v>177569</v>
      </c>
      <c r="E134" s="484">
        <f t="shared" si="27"/>
        <v>25257</v>
      </c>
      <c r="F134" s="485">
        <f t="shared" si="28"/>
        <v>152312</v>
      </c>
      <c r="G134" s="485">
        <f t="shared" si="29"/>
        <v>164940.5</v>
      </c>
      <c r="H134" s="488">
        <f t="shared" si="30"/>
        <v>42264.679018752206</v>
      </c>
      <c r="I134" s="542">
        <f t="shared" si="31"/>
        <v>42264.679018752206</v>
      </c>
      <c r="J134" s="478">
        <f t="shared" si="26"/>
        <v>0</v>
      </c>
      <c r="K134" s="478"/>
      <c r="L134" s="487"/>
      <c r="M134" s="478">
        <f t="shared" si="35"/>
        <v>0</v>
      </c>
      <c r="N134" s="487"/>
      <c r="O134" s="478">
        <f t="shared" si="36"/>
        <v>0</v>
      </c>
      <c r="P134" s="478">
        <f t="shared" si="37"/>
        <v>0</v>
      </c>
    </row>
    <row r="135" spans="2:16" ht="12.5">
      <c r="B135" s="160" t="str">
        <f t="shared" si="25"/>
        <v/>
      </c>
      <c r="C135" s="472">
        <f>IF(D93="","-",+C134+1)</f>
        <v>2049</v>
      </c>
      <c r="D135" s="346">
        <f>IF(F134+SUM(E$99:E134)=D$92,F134,D$92-SUM(E$99:E134))</f>
        <v>152312</v>
      </c>
      <c r="E135" s="484">
        <f t="shared" si="27"/>
        <v>25257</v>
      </c>
      <c r="F135" s="485">
        <f t="shared" si="28"/>
        <v>127055</v>
      </c>
      <c r="G135" s="485">
        <f t="shared" si="29"/>
        <v>139683.5</v>
      </c>
      <c r="H135" s="488">
        <f t="shared" si="30"/>
        <v>39660.328062033725</v>
      </c>
      <c r="I135" s="542">
        <f t="shared" si="31"/>
        <v>39660.328062033725</v>
      </c>
      <c r="J135" s="478">
        <f t="shared" si="26"/>
        <v>0</v>
      </c>
      <c r="K135" s="478"/>
      <c r="L135" s="487"/>
      <c r="M135" s="478">
        <f t="shared" si="35"/>
        <v>0</v>
      </c>
      <c r="N135" s="487"/>
      <c r="O135" s="478">
        <f t="shared" si="36"/>
        <v>0</v>
      </c>
      <c r="P135" s="478">
        <f t="shared" si="37"/>
        <v>0</v>
      </c>
    </row>
    <row r="136" spans="2:16" ht="12.5">
      <c r="B136" s="160" t="str">
        <f t="shared" si="25"/>
        <v/>
      </c>
      <c r="C136" s="472">
        <f>IF(D93="","-",+C135+1)</f>
        <v>2050</v>
      </c>
      <c r="D136" s="346">
        <f>IF(F135+SUM(E$99:E135)=D$92,F135,D$92-SUM(E$99:E135))</f>
        <v>127055</v>
      </c>
      <c r="E136" s="484">
        <f t="shared" si="27"/>
        <v>25257</v>
      </c>
      <c r="F136" s="485">
        <f t="shared" si="28"/>
        <v>101798</v>
      </c>
      <c r="G136" s="485">
        <f t="shared" si="29"/>
        <v>114426.5</v>
      </c>
      <c r="H136" s="488">
        <f t="shared" si="30"/>
        <v>37055.977105315244</v>
      </c>
      <c r="I136" s="542">
        <f t="shared" si="31"/>
        <v>37055.977105315244</v>
      </c>
      <c r="J136" s="478">
        <f t="shared" si="26"/>
        <v>0</v>
      </c>
      <c r="K136" s="478"/>
      <c r="L136" s="487"/>
      <c r="M136" s="478">
        <f t="shared" si="35"/>
        <v>0</v>
      </c>
      <c r="N136" s="487"/>
      <c r="O136" s="478">
        <f t="shared" si="36"/>
        <v>0</v>
      </c>
      <c r="P136" s="478">
        <f t="shared" si="37"/>
        <v>0</v>
      </c>
    </row>
    <row r="137" spans="2:16" ht="12.5">
      <c r="B137" s="160" t="str">
        <f t="shared" si="25"/>
        <v/>
      </c>
      <c r="C137" s="472">
        <f>IF(D93="","-",+C136+1)</f>
        <v>2051</v>
      </c>
      <c r="D137" s="346">
        <f>IF(F136+SUM(E$99:E136)=D$92,F136,D$92-SUM(E$99:E136))</f>
        <v>101798</v>
      </c>
      <c r="E137" s="484">
        <f t="shared" si="27"/>
        <v>25257</v>
      </c>
      <c r="F137" s="485">
        <f t="shared" si="28"/>
        <v>76541</v>
      </c>
      <c r="G137" s="485">
        <f t="shared" si="29"/>
        <v>89169.5</v>
      </c>
      <c r="H137" s="488">
        <f t="shared" si="30"/>
        <v>34451.62614859677</v>
      </c>
      <c r="I137" s="542">
        <f t="shared" si="31"/>
        <v>34451.62614859677</v>
      </c>
      <c r="J137" s="478">
        <f t="shared" si="26"/>
        <v>0</v>
      </c>
      <c r="K137" s="478"/>
      <c r="L137" s="487"/>
      <c r="M137" s="478">
        <f t="shared" si="35"/>
        <v>0</v>
      </c>
      <c r="N137" s="487"/>
      <c r="O137" s="478">
        <f t="shared" si="36"/>
        <v>0</v>
      </c>
      <c r="P137" s="478">
        <f t="shared" si="37"/>
        <v>0</v>
      </c>
    </row>
    <row r="138" spans="2:16" ht="12.5">
      <c r="B138" s="160" t="str">
        <f t="shared" si="25"/>
        <v/>
      </c>
      <c r="C138" s="472">
        <f>IF(D93="","-",+C137+1)</f>
        <v>2052</v>
      </c>
      <c r="D138" s="346">
        <f>IF(F137+SUM(E$99:E137)=D$92,F137,D$92-SUM(E$99:E137))</f>
        <v>76541</v>
      </c>
      <c r="E138" s="484">
        <f t="shared" si="27"/>
        <v>25257</v>
      </c>
      <c r="F138" s="485">
        <f t="shared" si="28"/>
        <v>51284</v>
      </c>
      <c r="G138" s="485">
        <f t="shared" si="29"/>
        <v>63912.5</v>
      </c>
      <c r="H138" s="488">
        <f t="shared" si="30"/>
        <v>31847.275191878285</v>
      </c>
      <c r="I138" s="542">
        <f t="shared" si="31"/>
        <v>31847.275191878285</v>
      </c>
      <c r="J138" s="478">
        <f t="shared" si="26"/>
        <v>0</v>
      </c>
      <c r="K138" s="478"/>
      <c r="L138" s="487"/>
      <c r="M138" s="478">
        <f t="shared" si="35"/>
        <v>0</v>
      </c>
      <c r="N138" s="487"/>
      <c r="O138" s="478">
        <f t="shared" si="36"/>
        <v>0</v>
      </c>
      <c r="P138" s="478">
        <f t="shared" si="37"/>
        <v>0</v>
      </c>
    </row>
    <row r="139" spans="2:16" ht="12.5">
      <c r="B139" s="160" t="str">
        <f t="shared" si="25"/>
        <v/>
      </c>
      <c r="C139" s="472">
        <f>IF(D93="","-",+C138+1)</f>
        <v>2053</v>
      </c>
      <c r="D139" s="346">
        <f>IF(F138+SUM(E$99:E138)=D$92,F138,D$92-SUM(E$99:E138))</f>
        <v>51284</v>
      </c>
      <c r="E139" s="484">
        <f t="shared" si="27"/>
        <v>25257</v>
      </c>
      <c r="F139" s="485">
        <f t="shared" si="28"/>
        <v>26027</v>
      </c>
      <c r="G139" s="485">
        <f t="shared" si="29"/>
        <v>38655.5</v>
      </c>
      <c r="H139" s="488">
        <f t="shared" si="30"/>
        <v>29242.924235159804</v>
      </c>
      <c r="I139" s="542">
        <f t="shared" si="31"/>
        <v>29242.924235159804</v>
      </c>
      <c r="J139" s="478">
        <f t="shared" si="26"/>
        <v>0</v>
      </c>
      <c r="K139" s="478"/>
      <c r="L139" s="487"/>
      <c r="M139" s="478">
        <f t="shared" si="35"/>
        <v>0</v>
      </c>
      <c r="N139" s="487"/>
      <c r="O139" s="478">
        <f t="shared" si="36"/>
        <v>0</v>
      </c>
      <c r="P139" s="478">
        <f t="shared" si="37"/>
        <v>0</v>
      </c>
    </row>
    <row r="140" spans="2:16" ht="12.5">
      <c r="B140" s="160" t="str">
        <f t="shared" si="25"/>
        <v/>
      </c>
      <c r="C140" s="472">
        <f>IF(D93="","-",+C139+1)</f>
        <v>2054</v>
      </c>
      <c r="D140" s="346">
        <f>IF(F139+SUM(E$99:E139)=D$92,F139,D$92-SUM(E$99:E139))</f>
        <v>26027</v>
      </c>
      <c r="E140" s="484">
        <f t="shared" si="27"/>
        <v>25257</v>
      </c>
      <c r="F140" s="485">
        <f t="shared" si="28"/>
        <v>770</v>
      </c>
      <c r="G140" s="485">
        <f t="shared" si="29"/>
        <v>13398.5</v>
      </c>
      <c r="H140" s="488">
        <f t="shared" si="30"/>
        <v>26638.573278441327</v>
      </c>
      <c r="I140" s="542">
        <f t="shared" si="31"/>
        <v>26638.573278441327</v>
      </c>
      <c r="J140" s="478">
        <f t="shared" si="26"/>
        <v>0</v>
      </c>
      <c r="K140" s="478"/>
      <c r="L140" s="487"/>
      <c r="M140" s="478">
        <f t="shared" si="35"/>
        <v>0</v>
      </c>
      <c r="N140" s="487"/>
      <c r="O140" s="478">
        <f t="shared" si="36"/>
        <v>0</v>
      </c>
      <c r="P140" s="478">
        <f t="shared" si="37"/>
        <v>0</v>
      </c>
    </row>
    <row r="141" spans="2:16" ht="12.5">
      <c r="B141" s="160" t="str">
        <f t="shared" si="25"/>
        <v/>
      </c>
      <c r="C141" s="472">
        <f>IF(D93="","-",+C140+1)</f>
        <v>2055</v>
      </c>
      <c r="D141" s="346">
        <f>IF(F140+SUM(E$99:E140)=D$92,F140,D$92-SUM(E$99:E140))</f>
        <v>770</v>
      </c>
      <c r="E141" s="484">
        <f t="shared" si="27"/>
        <v>770</v>
      </c>
      <c r="F141" s="485">
        <f t="shared" si="28"/>
        <v>0</v>
      </c>
      <c r="G141" s="485">
        <f t="shared" si="29"/>
        <v>385</v>
      </c>
      <c r="H141" s="488">
        <f t="shared" si="30"/>
        <v>809.69890004104263</v>
      </c>
      <c r="I141" s="542">
        <f t="shared" si="31"/>
        <v>809.69890004104263</v>
      </c>
      <c r="J141" s="478">
        <f t="shared" si="26"/>
        <v>0</v>
      </c>
      <c r="K141" s="478"/>
      <c r="L141" s="487"/>
      <c r="M141" s="478">
        <f t="shared" si="35"/>
        <v>0</v>
      </c>
      <c r="N141" s="487"/>
      <c r="O141" s="478">
        <f t="shared" si="36"/>
        <v>0</v>
      </c>
      <c r="P141" s="478">
        <f t="shared" si="37"/>
        <v>0</v>
      </c>
    </row>
    <row r="142" spans="2:16" ht="12.5">
      <c r="B142" s="160" t="str">
        <f t="shared" si="25"/>
        <v/>
      </c>
      <c r="C142" s="472">
        <f>IF(D93="","-",+C141+1)</f>
        <v>2056</v>
      </c>
      <c r="D142" s="346">
        <f>IF(F141+SUM(E$99:E141)=D$92,F141,D$92-SUM(E$99:E141))</f>
        <v>0</v>
      </c>
      <c r="E142" s="484">
        <f t="shared" si="27"/>
        <v>0</v>
      </c>
      <c r="F142" s="485">
        <f t="shared" si="28"/>
        <v>0</v>
      </c>
      <c r="G142" s="485">
        <f t="shared" si="29"/>
        <v>0</v>
      </c>
      <c r="H142" s="488">
        <f t="shared" si="30"/>
        <v>0</v>
      </c>
      <c r="I142" s="542">
        <f t="shared" si="31"/>
        <v>0</v>
      </c>
      <c r="J142" s="478">
        <f t="shared" si="26"/>
        <v>0</v>
      </c>
      <c r="K142" s="478"/>
      <c r="L142" s="487"/>
      <c r="M142" s="478">
        <f t="shared" si="35"/>
        <v>0</v>
      </c>
      <c r="N142" s="487"/>
      <c r="O142" s="478">
        <f t="shared" si="36"/>
        <v>0</v>
      </c>
      <c r="P142" s="478">
        <f t="shared" si="37"/>
        <v>0</v>
      </c>
    </row>
    <row r="143" spans="2:16" ht="12.5">
      <c r="B143" s="160" t="str">
        <f t="shared" si="25"/>
        <v/>
      </c>
      <c r="C143" s="472">
        <f>IF(D93="","-",+C142+1)</f>
        <v>2057</v>
      </c>
      <c r="D143" s="346">
        <f>IF(F142+SUM(E$99:E142)=D$92,F142,D$92-SUM(E$99:E142))</f>
        <v>0</v>
      </c>
      <c r="E143" s="484">
        <f t="shared" si="27"/>
        <v>0</v>
      </c>
      <c r="F143" s="485">
        <f t="shared" si="28"/>
        <v>0</v>
      </c>
      <c r="G143" s="485">
        <f t="shared" si="29"/>
        <v>0</v>
      </c>
      <c r="H143" s="488">
        <f t="shared" si="30"/>
        <v>0</v>
      </c>
      <c r="I143" s="542">
        <f t="shared" si="31"/>
        <v>0</v>
      </c>
      <c r="J143" s="478">
        <f t="shared" si="26"/>
        <v>0</v>
      </c>
      <c r="K143" s="478"/>
      <c r="L143" s="487"/>
      <c r="M143" s="478">
        <f t="shared" si="35"/>
        <v>0</v>
      </c>
      <c r="N143" s="487"/>
      <c r="O143" s="478">
        <f t="shared" si="36"/>
        <v>0</v>
      </c>
      <c r="P143" s="478">
        <f t="shared" si="37"/>
        <v>0</v>
      </c>
    </row>
    <row r="144" spans="2:16" ht="12.5">
      <c r="B144" s="160" t="str">
        <f t="shared" si="25"/>
        <v/>
      </c>
      <c r="C144" s="472">
        <f>IF(D93="","-",+C143+1)</f>
        <v>2058</v>
      </c>
      <c r="D144" s="346">
        <f>IF(F143+SUM(E$99:E143)=D$92,F143,D$92-SUM(E$99:E143))</f>
        <v>0</v>
      </c>
      <c r="E144" s="484">
        <f t="shared" si="27"/>
        <v>0</v>
      </c>
      <c r="F144" s="485">
        <f t="shared" si="28"/>
        <v>0</v>
      </c>
      <c r="G144" s="485">
        <f t="shared" si="29"/>
        <v>0</v>
      </c>
      <c r="H144" s="488">
        <f t="shared" si="30"/>
        <v>0</v>
      </c>
      <c r="I144" s="542">
        <f t="shared" si="31"/>
        <v>0</v>
      </c>
      <c r="J144" s="478">
        <f t="shared" si="26"/>
        <v>0</v>
      </c>
      <c r="K144" s="478"/>
      <c r="L144" s="487"/>
      <c r="M144" s="478">
        <f t="shared" si="35"/>
        <v>0</v>
      </c>
      <c r="N144" s="487"/>
      <c r="O144" s="478">
        <f t="shared" si="36"/>
        <v>0</v>
      </c>
      <c r="P144" s="478">
        <f t="shared" si="37"/>
        <v>0</v>
      </c>
    </row>
    <row r="145" spans="2:16" ht="12.5">
      <c r="B145" s="160" t="str">
        <f t="shared" si="25"/>
        <v/>
      </c>
      <c r="C145" s="472">
        <f>IF(D93="","-",+C144+1)</f>
        <v>2059</v>
      </c>
      <c r="D145" s="346">
        <f>IF(F144+SUM(E$99:E144)=D$92,F144,D$92-SUM(E$99:E144))</f>
        <v>0</v>
      </c>
      <c r="E145" s="484">
        <f t="shared" si="27"/>
        <v>0</v>
      </c>
      <c r="F145" s="485">
        <f t="shared" si="28"/>
        <v>0</v>
      </c>
      <c r="G145" s="485">
        <f t="shared" si="29"/>
        <v>0</v>
      </c>
      <c r="H145" s="488">
        <f t="shared" si="30"/>
        <v>0</v>
      </c>
      <c r="I145" s="542">
        <f t="shared" si="31"/>
        <v>0</v>
      </c>
      <c r="J145" s="478">
        <f t="shared" si="26"/>
        <v>0</v>
      </c>
      <c r="K145" s="478"/>
      <c r="L145" s="487"/>
      <c r="M145" s="478">
        <f t="shared" si="35"/>
        <v>0</v>
      </c>
      <c r="N145" s="487"/>
      <c r="O145" s="478">
        <f t="shared" si="36"/>
        <v>0</v>
      </c>
      <c r="P145" s="478">
        <f t="shared" si="37"/>
        <v>0</v>
      </c>
    </row>
    <row r="146" spans="2:16" ht="12.5">
      <c r="B146" s="160" t="str">
        <f t="shared" si="25"/>
        <v/>
      </c>
      <c r="C146" s="472">
        <f>IF(D93="","-",+C145+1)</f>
        <v>2060</v>
      </c>
      <c r="D146" s="346">
        <f>IF(F145+SUM(E$99:E145)=D$92,F145,D$92-SUM(E$99:E145))</f>
        <v>0</v>
      </c>
      <c r="E146" s="484">
        <f t="shared" si="27"/>
        <v>0</v>
      </c>
      <c r="F146" s="485">
        <f t="shared" si="28"/>
        <v>0</v>
      </c>
      <c r="G146" s="485">
        <f t="shared" si="29"/>
        <v>0</v>
      </c>
      <c r="H146" s="488">
        <f t="shared" si="30"/>
        <v>0</v>
      </c>
      <c r="I146" s="542">
        <f t="shared" si="31"/>
        <v>0</v>
      </c>
      <c r="J146" s="478">
        <f t="shared" si="26"/>
        <v>0</v>
      </c>
      <c r="K146" s="478"/>
      <c r="L146" s="487"/>
      <c r="M146" s="478">
        <f t="shared" si="35"/>
        <v>0</v>
      </c>
      <c r="N146" s="487"/>
      <c r="O146" s="478">
        <f t="shared" si="36"/>
        <v>0</v>
      </c>
      <c r="P146" s="478">
        <f t="shared" si="37"/>
        <v>0</v>
      </c>
    </row>
    <row r="147" spans="2:16" ht="12.5">
      <c r="B147" s="160" t="str">
        <f t="shared" si="25"/>
        <v/>
      </c>
      <c r="C147" s="472">
        <f>IF(D93="","-",+C146+1)</f>
        <v>2061</v>
      </c>
      <c r="D147" s="346">
        <f>IF(F146+SUM(E$99:E146)=D$92,F146,D$92-SUM(E$99:E146))</f>
        <v>0</v>
      </c>
      <c r="E147" s="484">
        <f t="shared" si="27"/>
        <v>0</v>
      </c>
      <c r="F147" s="485">
        <f t="shared" si="28"/>
        <v>0</v>
      </c>
      <c r="G147" s="485">
        <f t="shared" si="29"/>
        <v>0</v>
      </c>
      <c r="H147" s="488">
        <f t="shared" si="30"/>
        <v>0</v>
      </c>
      <c r="I147" s="542">
        <f t="shared" si="31"/>
        <v>0</v>
      </c>
      <c r="J147" s="478">
        <f t="shared" si="26"/>
        <v>0</v>
      </c>
      <c r="K147" s="478"/>
      <c r="L147" s="487"/>
      <c r="M147" s="478">
        <f t="shared" si="35"/>
        <v>0</v>
      </c>
      <c r="N147" s="487"/>
      <c r="O147" s="478">
        <f t="shared" si="36"/>
        <v>0</v>
      </c>
      <c r="P147" s="478">
        <f t="shared" si="37"/>
        <v>0</v>
      </c>
    </row>
    <row r="148" spans="2:16" ht="12.5">
      <c r="B148" s="160" t="str">
        <f t="shared" si="25"/>
        <v/>
      </c>
      <c r="C148" s="472">
        <f>IF(D93="","-",+C147+1)</f>
        <v>2062</v>
      </c>
      <c r="D148" s="346">
        <f>IF(F147+SUM(E$99:E147)=D$92,F147,D$92-SUM(E$99:E147))</f>
        <v>0</v>
      </c>
      <c r="E148" s="484">
        <f t="shared" si="27"/>
        <v>0</v>
      </c>
      <c r="F148" s="485">
        <f t="shared" si="28"/>
        <v>0</v>
      </c>
      <c r="G148" s="485">
        <f t="shared" si="29"/>
        <v>0</v>
      </c>
      <c r="H148" s="488">
        <f t="shared" si="30"/>
        <v>0</v>
      </c>
      <c r="I148" s="542">
        <f t="shared" si="31"/>
        <v>0</v>
      </c>
      <c r="J148" s="478">
        <f t="shared" si="26"/>
        <v>0</v>
      </c>
      <c r="K148" s="478"/>
      <c r="L148" s="487"/>
      <c r="M148" s="478">
        <f t="shared" si="35"/>
        <v>0</v>
      </c>
      <c r="N148" s="487"/>
      <c r="O148" s="478">
        <f t="shared" si="36"/>
        <v>0</v>
      </c>
      <c r="P148" s="478">
        <f t="shared" si="37"/>
        <v>0</v>
      </c>
    </row>
    <row r="149" spans="2:16" ht="12.5">
      <c r="B149" s="160" t="str">
        <f t="shared" si="25"/>
        <v/>
      </c>
      <c r="C149" s="472">
        <f>IF(D93="","-",+C148+1)</f>
        <v>2063</v>
      </c>
      <c r="D149" s="346">
        <f>IF(F148+SUM(E$99:E148)=D$92,F148,D$92-SUM(E$99:E148))</f>
        <v>0</v>
      </c>
      <c r="E149" s="484">
        <f t="shared" si="27"/>
        <v>0</v>
      </c>
      <c r="F149" s="485">
        <f t="shared" si="28"/>
        <v>0</v>
      </c>
      <c r="G149" s="485">
        <f t="shared" si="29"/>
        <v>0</v>
      </c>
      <c r="H149" s="488">
        <f t="shared" si="30"/>
        <v>0</v>
      </c>
      <c r="I149" s="542">
        <f t="shared" si="31"/>
        <v>0</v>
      </c>
      <c r="J149" s="478">
        <f t="shared" si="26"/>
        <v>0</v>
      </c>
      <c r="K149" s="478"/>
      <c r="L149" s="487"/>
      <c r="M149" s="478">
        <f t="shared" si="35"/>
        <v>0</v>
      </c>
      <c r="N149" s="487"/>
      <c r="O149" s="478">
        <f t="shared" si="36"/>
        <v>0</v>
      </c>
      <c r="P149" s="478">
        <f t="shared" si="37"/>
        <v>0</v>
      </c>
    </row>
    <row r="150" spans="2:16" ht="12.5">
      <c r="B150" s="160" t="str">
        <f t="shared" si="25"/>
        <v/>
      </c>
      <c r="C150" s="472">
        <f>IF(D93="","-",+C149+1)</f>
        <v>2064</v>
      </c>
      <c r="D150" s="346">
        <f>IF(F149+SUM(E$99:E149)=D$92,F149,D$92-SUM(E$99:E149))</f>
        <v>0</v>
      </c>
      <c r="E150" s="484">
        <f t="shared" si="27"/>
        <v>0</v>
      </c>
      <c r="F150" s="485">
        <f t="shared" si="28"/>
        <v>0</v>
      </c>
      <c r="G150" s="485">
        <f t="shared" si="29"/>
        <v>0</v>
      </c>
      <c r="H150" s="488">
        <f t="shared" si="30"/>
        <v>0</v>
      </c>
      <c r="I150" s="542">
        <f t="shared" si="31"/>
        <v>0</v>
      </c>
      <c r="J150" s="478">
        <f t="shared" si="26"/>
        <v>0</v>
      </c>
      <c r="K150" s="478"/>
      <c r="L150" s="487"/>
      <c r="M150" s="478">
        <f t="shared" si="35"/>
        <v>0</v>
      </c>
      <c r="N150" s="487"/>
      <c r="O150" s="478">
        <f t="shared" si="36"/>
        <v>0</v>
      </c>
      <c r="P150" s="478">
        <f t="shared" si="37"/>
        <v>0</v>
      </c>
    </row>
    <row r="151" spans="2:16" ht="12.5">
      <c r="B151" s="160" t="str">
        <f t="shared" si="25"/>
        <v/>
      </c>
      <c r="C151" s="472">
        <f>IF(D93="","-",+C150+1)</f>
        <v>2065</v>
      </c>
      <c r="D151" s="346">
        <f>IF(F150+SUM(E$99:E150)=D$92,F150,D$92-SUM(E$99:E150))</f>
        <v>0</v>
      </c>
      <c r="E151" s="484">
        <f t="shared" si="27"/>
        <v>0</v>
      </c>
      <c r="F151" s="485">
        <f t="shared" si="28"/>
        <v>0</v>
      </c>
      <c r="G151" s="485">
        <f t="shared" si="29"/>
        <v>0</v>
      </c>
      <c r="H151" s="488">
        <f t="shared" si="30"/>
        <v>0</v>
      </c>
      <c r="I151" s="542">
        <f t="shared" si="31"/>
        <v>0</v>
      </c>
      <c r="J151" s="478">
        <f t="shared" si="26"/>
        <v>0</v>
      </c>
      <c r="K151" s="478"/>
      <c r="L151" s="487"/>
      <c r="M151" s="478">
        <f t="shared" si="35"/>
        <v>0</v>
      </c>
      <c r="N151" s="487"/>
      <c r="O151" s="478">
        <f t="shared" si="36"/>
        <v>0</v>
      </c>
      <c r="P151" s="478">
        <f t="shared" si="37"/>
        <v>0</v>
      </c>
    </row>
    <row r="152" spans="2:16" ht="12.5">
      <c r="B152" s="160" t="str">
        <f t="shared" si="25"/>
        <v/>
      </c>
      <c r="C152" s="472">
        <f>IF(D93="","-",+C151+1)</f>
        <v>2066</v>
      </c>
      <c r="D152" s="346">
        <f>IF(F151+SUM(E$99:E151)=D$92,F151,D$92-SUM(E$99:E151))</f>
        <v>0</v>
      </c>
      <c r="E152" s="484">
        <f t="shared" si="27"/>
        <v>0</v>
      </c>
      <c r="F152" s="485">
        <f t="shared" si="28"/>
        <v>0</v>
      </c>
      <c r="G152" s="485">
        <f t="shared" si="29"/>
        <v>0</v>
      </c>
      <c r="H152" s="488">
        <f t="shared" si="30"/>
        <v>0</v>
      </c>
      <c r="I152" s="542">
        <f t="shared" si="31"/>
        <v>0</v>
      </c>
      <c r="J152" s="478">
        <f t="shared" si="26"/>
        <v>0</v>
      </c>
      <c r="K152" s="478"/>
      <c r="L152" s="487"/>
      <c r="M152" s="478">
        <f t="shared" si="35"/>
        <v>0</v>
      </c>
      <c r="N152" s="487"/>
      <c r="O152" s="478">
        <f t="shared" si="36"/>
        <v>0</v>
      </c>
      <c r="P152" s="478">
        <f t="shared" si="37"/>
        <v>0</v>
      </c>
    </row>
    <row r="153" spans="2:16" ht="12.5">
      <c r="B153" s="160" t="str">
        <f t="shared" si="25"/>
        <v/>
      </c>
      <c r="C153" s="472">
        <f>IF(D93="","-",+C152+1)</f>
        <v>2067</v>
      </c>
      <c r="D153" s="346">
        <f>IF(F152+SUM(E$99:E152)=D$92,F152,D$92-SUM(E$99:E152))</f>
        <v>0</v>
      </c>
      <c r="E153" s="484">
        <f t="shared" si="27"/>
        <v>0</v>
      </c>
      <c r="F153" s="485">
        <f t="shared" si="28"/>
        <v>0</v>
      </c>
      <c r="G153" s="485">
        <f t="shared" si="29"/>
        <v>0</v>
      </c>
      <c r="H153" s="488">
        <f t="shared" si="30"/>
        <v>0</v>
      </c>
      <c r="I153" s="542">
        <f t="shared" si="31"/>
        <v>0</v>
      </c>
      <c r="J153" s="478">
        <f t="shared" si="26"/>
        <v>0</v>
      </c>
      <c r="K153" s="478"/>
      <c r="L153" s="487"/>
      <c r="M153" s="478">
        <f t="shared" si="35"/>
        <v>0</v>
      </c>
      <c r="N153" s="487"/>
      <c r="O153" s="478">
        <f t="shared" si="36"/>
        <v>0</v>
      </c>
      <c r="P153" s="478">
        <f t="shared" si="37"/>
        <v>0</v>
      </c>
    </row>
    <row r="154" spans="2:16" ht="13" thickBot="1">
      <c r="B154" s="160" t="str">
        <f t="shared" si="25"/>
        <v/>
      </c>
      <c r="C154" s="489">
        <f>IF(D93="","-",+C153+1)</f>
        <v>2068</v>
      </c>
      <c r="D154" s="346">
        <f>IF(F153+SUM(E$99:E153)=D$92,F153,D$92-SUM(E$99:E153))</f>
        <v>0</v>
      </c>
      <c r="E154" s="484">
        <f t="shared" si="27"/>
        <v>0</v>
      </c>
      <c r="F154" s="485">
        <f t="shared" si="28"/>
        <v>0</v>
      </c>
      <c r="G154" s="485">
        <f t="shared" si="29"/>
        <v>0</v>
      </c>
      <c r="H154" s="488">
        <f t="shared" si="30"/>
        <v>0</v>
      </c>
      <c r="I154" s="542">
        <f t="shared" si="31"/>
        <v>0</v>
      </c>
      <c r="J154" s="478">
        <f t="shared" si="26"/>
        <v>0</v>
      </c>
      <c r="K154" s="478"/>
      <c r="L154" s="494"/>
      <c r="M154" s="495">
        <f t="shared" si="35"/>
        <v>0</v>
      </c>
      <c r="N154" s="494"/>
      <c r="O154" s="495">
        <f t="shared" si="36"/>
        <v>0</v>
      </c>
      <c r="P154" s="495">
        <f t="shared" si="37"/>
        <v>0</v>
      </c>
    </row>
    <row r="155" spans="2:16" ht="12.5">
      <c r="C155" s="346" t="s">
        <v>77</v>
      </c>
      <c r="D155" s="347"/>
      <c r="E155" s="347">
        <f>SUM(E99:E154)</f>
        <v>1035552</v>
      </c>
      <c r="F155" s="347"/>
      <c r="G155" s="347"/>
      <c r="H155" s="347">
        <f>SUM(H99:H154)</f>
        <v>3415622.4872250147</v>
      </c>
      <c r="I155" s="347">
        <f>SUM(I99:I154)</f>
        <v>3415622.4872250147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31" priority="1" stopIfTrue="1" operator="equal">
      <formula>$I$10</formula>
    </cfRule>
  </conditionalFormatting>
  <conditionalFormatting sqref="C99:C154">
    <cfRule type="cellIs" dxfId="3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P162"/>
  <sheetViews>
    <sheetView view="pageBreakPreview" zoomScale="80" zoomScaleNormal="100" zoomScaleSheetLayoutView="80" workbookViewId="0">
      <selection activeCell="D23" sqref="D23:H23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15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253094.17604651162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253094.17604651162</v>
      </c>
      <c r="O6" s="232"/>
      <c r="P6" s="232"/>
    </row>
    <row r="7" spans="1:16" ht="13.5" thickBot="1">
      <c r="C7" s="431" t="s">
        <v>46</v>
      </c>
      <c r="D7" s="599" t="s">
        <v>253</v>
      </c>
      <c r="E7" s="600"/>
      <c r="F7" s="600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572" t="s">
        <v>252</v>
      </c>
      <c r="E9" s="577" t="s">
        <v>261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2246628.5699999998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2014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2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52247.176046511624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2014</v>
      </c>
      <c r="D17" s="584">
        <v>2295000</v>
      </c>
      <c r="E17" s="608">
        <v>36778.846153846156</v>
      </c>
      <c r="F17" s="584">
        <v>2258221.153846154</v>
      </c>
      <c r="G17" s="608">
        <v>347642.78736560291</v>
      </c>
      <c r="H17" s="587">
        <v>347642.78736560291</v>
      </c>
      <c r="I17" s="475">
        <v>0</v>
      </c>
      <c r="J17" s="475"/>
      <c r="K17" s="476">
        <f t="shared" ref="K17:K22" si="0">G17</f>
        <v>347642.78736560291</v>
      </c>
      <c r="L17" s="603">
        <f t="shared" ref="L17:L22" si="1">IF(K17&lt;&gt;0,+G17-K17,0)</f>
        <v>0</v>
      </c>
      <c r="M17" s="476">
        <f t="shared" ref="M17:M22" si="2">H17</f>
        <v>347642.78736560291</v>
      </c>
      <c r="N17" s="478">
        <f>IF(M17&lt;&gt;0,+H17-M17,0)</f>
        <v>0</v>
      </c>
      <c r="O17" s="475">
        <f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2015</v>
      </c>
      <c r="D18" s="584">
        <v>2258221.153846154</v>
      </c>
      <c r="E18" s="585">
        <v>43204.395576923074</v>
      </c>
      <c r="F18" s="584">
        <v>2215016.7582692308</v>
      </c>
      <c r="G18" s="585">
        <v>348592.42580485216</v>
      </c>
      <c r="H18" s="587">
        <v>348592.42580485216</v>
      </c>
      <c r="I18" s="475">
        <v>0</v>
      </c>
      <c r="J18" s="475"/>
      <c r="K18" s="476">
        <f t="shared" si="0"/>
        <v>348592.42580485216</v>
      </c>
      <c r="L18" s="603">
        <f t="shared" si="1"/>
        <v>0</v>
      </c>
      <c r="M18" s="476">
        <f t="shared" si="2"/>
        <v>348592.42580485216</v>
      </c>
      <c r="N18" s="478">
        <f>IF(M18&lt;&gt;0,+H18-M18,0)</f>
        <v>0</v>
      </c>
      <c r="O18" s="475">
        <f>+N18-L18</f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2016</v>
      </c>
      <c r="D19" s="584">
        <v>2166645.3282692307</v>
      </c>
      <c r="E19" s="585">
        <v>43204.395576923074</v>
      </c>
      <c r="F19" s="584">
        <v>2123440.9326923075</v>
      </c>
      <c r="G19" s="585">
        <v>321714.3955769231</v>
      </c>
      <c r="H19" s="587">
        <v>321714.3955769231</v>
      </c>
      <c r="I19" s="475">
        <f>H19-G19</f>
        <v>0</v>
      </c>
      <c r="J19" s="475"/>
      <c r="K19" s="476">
        <f t="shared" si="0"/>
        <v>321714.3955769231</v>
      </c>
      <c r="L19" s="603">
        <f t="shared" si="1"/>
        <v>0</v>
      </c>
      <c r="M19" s="476">
        <f t="shared" si="2"/>
        <v>321714.3955769231</v>
      </c>
      <c r="N19" s="478">
        <f>IF(M19&lt;&gt;0,+H19-M19,0)</f>
        <v>0</v>
      </c>
      <c r="O19" s="475">
        <f>+N19-L19</f>
        <v>0</v>
      </c>
      <c r="P19" s="242"/>
    </row>
    <row r="20" spans="2:16" ht="12.5">
      <c r="B20" s="160" t="str">
        <f t="shared" ref="B20:B72" si="3">IF(D20=F19,"","IU")</f>
        <v/>
      </c>
      <c r="C20" s="472">
        <f>IF(D11="","-",+C19+1)</f>
        <v>2017</v>
      </c>
      <c r="D20" s="584">
        <v>2123440.9326923075</v>
      </c>
      <c r="E20" s="585">
        <v>48839.751521739126</v>
      </c>
      <c r="F20" s="584">
        <v>2074601.1811705683</v>
      </c>
      <c r="G20" s="585">
        <v>312854.75152173912</v>
      </c>
      <c r="H20" s="587">
        <v>312854.75152173912</v>
      </c>
      <c r="I20" s="475">
        <f t="shared" ref="I20:I72" si="4">H20-G20</f>
        <v>0</v>
      </c>
      <c r="J20" s="475"/>
      <c r="K20" s="476">
        <f t="shared" si="0"/>
        <v>312854.75152173912</v>
      </c>
      <c r="L20" s="603">
        <f t="shared" si="1"/>
        <v>0</v>
      </c>
      <c r="M20" s="476">
        <f t="shared" si="2"/>
        <v>312854.75152173912</v>
      </c>
      <c r="N20" s="478">
        <f>IF(M20&lt;&gt;0,+H20-M20,0)</f>
        <v>0</v>
      </c>
      <c r="O20" s="475">
        <f>+N20-L20</f>
        <v>0</v>
      </c>
      <c r="P20" s="242"/>
    </row>
    <row r="21" spans="2:16" ht="12.5">
      <c r="B21" s="160" t="str">
        <f t="shared" si="3"/>
        <v/>
      </c>
      <c r="C21" s="472">
        <f>IF(D11="","-",+C20+1)</f>
        <v>2018</v>
      </c>
      <c r="D21" s="584">
        <v>2074601.1811705683</v>
      </c>
      <c r="E21" s="585">
        <v>49925.079333333328</v>
      </c>
      <c r="F21" s="584">
        <v>2024676.101837235</v>
      </c>
      <c r="G21" s="585">
        <v>295387.63187355472</v>
      </c>
      <c r="H21" s="587">
        <v>295387.63187355472</v>
      </c>
      <c r="I21" s="475">
        <f t="shared" si="4"/>
        <v>0</v>
      </c>
      <c r="J21" s="475"/>
      <c r="K21" s="476">
        <f t="shared" si="0"/>
        <v>295387.63187355472</v>
      </c>
      <c r="L21" s="603">
        <f t="shared" si="1"/>
        <v>0</v>
      </c>
      <c r="M21" s="476">
        <f t="shared" si="2"/>
        <v>295387.63187355472</v>
      </c>
      <c r="N21" s="478">
        <f>IF(M21&lt;&gt;0,+H21-M21,0)</f>
        <v>0</v>
      </c>
      <c r="O21" s="475">
        <f>+N21-L21</f>
        <v>0</v>
      </c>
      <c r="P21" s="242"/>
    </row>
    <row r="22" spans="2:16" ht="12.5">
      <c r="B22" s="160" t="str">
        <f t="shared" si="3"/>
        <v/>
      </c>
      <c r="C22" s="472">
        <f>IF(D11="","-",+C21+1)</f>
        <v>2019</v>
      </c>
      <c r="D22" s="584">
        <v>2024676.101837235</v>
      </c>
      <c r="E22" s="585">
        <v>56165.714249999997</v>
      </c>
      <c r="F22" s="584">
        <v>1968510.3875872351</v>
      </c>
      <c r="G22" s="585">
        <v>279098.59002601594</v>
      </c>
      <c r="H22" s="587">
        <v>279098.59002601594</v>
      </c>
      <c r="I22" s="475">
        <f t="shared" si="4"/>
        <v>0</v>
      </c>
      <c r="J22" s="475"/>
      <c r="K22" s="476">
        <f t="shared" si="0"/>
        <v>279098.59002601594</v>
      </c>
      <c r="L22" s="603">
        <f t="shared" si="1"/>
        <v>0</v>
      </c>
      <c r="M22" s="476">
        <f t="shared" si="2"/>
        <v>279098.59002601594</v>
      </c>
      <c r="N22" s="478">
        <f t="shared" ref="N22:N72" si="5">IF(M22&lt;&gt;0,+H22-M22,0)</f>
        <v>0</v>
      </c>
      <c r="O22" s="478">
        <f t="shared" ref="O22:O72" si="6">+N22-L22</f>
        <v>0</v>
      </c>
      <c r="P22" s="242"/>
    </row>
    <row r="23" spans="2:16" ht="12.5">
      <c r="B23" s="160" t="str">
        <f t="shared" si="3"/>
        <v>IU</v>
      </c>
      <c r="C23" s="472">
        <f>IF(D11="","-",+C22+1)</f>
        <v>2020</v>
      </c>
      <c r="D23" s="584">
        <v>1974751.0225039017</v>
      </c>
      <c r="E23" s="585">
        <v>53491.156428571427</v>
      </c>
      <c r="F23" s="584">
        <v>1921259.8660753304</v>
      </c>
      <c r="G23" s="585">
        <v>263885.04985844565</v>
      </c>
      <c r="H23" s="587">
        <v>263885.04985844565</v>
      </c>
      <c r="I23" s="475">
        <f t="shared" si="4"/>
        <v>0</v>
      </c>
      <c r="J23" s="475"/>
      <c r="K23" s="476">
        <f t="shared" ref="K23" si="7">G23</f>
        <v>263885.04985844565</v>
      </c>
      <c r="L23" s="603">
        <f t="shared" ref="L23" si="8">IF(K23&lt;&gt;0,+G23-K23,0)</f>
        <v>0</v>
      </c>
      <c r="M23" s="476">
        <f t="shared" ref="M23" si="9">H23</f>
        <v>263885.04985844565</v>
      </c>
      <c r="N23" s="478">
        <f t="shared" si="5"/>
        <v>0</v>
      </c>
      <c r="O23" s="478">
        <f t="shared" si="6"/>
        <v>0</v>
      </c>
      <c r="P23" s="242"/>
    </row>
    <row r="24" spans="2:16" ht="12.5">
      <c r="B24" s="160" t="str">
        <f t="shared" si="3"/>
        <v>IU</v>
      </c>
      <c r="C24" s="472">
        <f>IF(D11="","-",+C23+1)</f>
        <v>2021</v>
      </c>
      <c r="D24" s="485">
        <f>IF(F23+SUM(E$17:E23)=D$10,F23,D$10-SUM(E$17:E23))</f>
        <v>1915019.2311586635</v>
      </c>
      <c r="E24" s="484">
        <f t="shared" ref="E24:E72" si="10">IF(+$I$14&lt;F23,$I$14,D24)</f>
        <v>52247.176046511624</v>
      </c>
      <c r="F24" s="485">
        <f t="shared" ref="F24:F72" si="11">+D24-E24</f>
        <v>1862772.0551121519</v>
      </c>
      <c r="G24" s="486">
        <f t="shared" ref="G24:G72" si="12">ROUND(I$12*F24,0)+E24</f>
        <v>253094.17604651162</v>
      </c>
      <c r="H24" s="455">
        <f t="shared" ref="H24:H72" si="13">ROUND(I$13*F24,0)+E24</f>
        <v>253094.17604651162</v>
      </c>
      <c r="I24" s="475">
        <f t="shared" si="4"/>
        <v>0</v>
      </c>
      <c r="J24" s="475"/>
      <c r="K24" s="487"/>
      <c r="L24" s="478">
        <f t="shared" ref="L24:L72" si="14">IF(K24&lt;&gt;0,+G24-K24,0)</f>
        <v>0</v>
      </c>
      <c r="M24" s="487"/>
      <c r="N24" s="478">
        <f t="shared" si="5"/>
        <v>0</v>
      </c>
      <c r="O24" s="478">
        <f t="shared" si="6"/>
        <v>0</v>
      </c>
      <c r="P24" s="242"/>
    </row>
    <row r="25" spans="2:16" ht="12.5">
      <c r="B25" s="160" t="str">
        <f t="shared" si="3"/>
        <v/>
      </c>
      <c r="C25" s="472">
        <f>IF(D11="","-",+C24+1)</f>
        <v>2022</v>
      </c>
      <c r="D25" s="485">
        <f>IF(F24+SUM(E$17:E24)=D$10,F24,D$10-SUM(E$17:E24))</f>
        <v>1862772.0551121519</v>
      </c>
      <c r="E25" s="484">
        <f t="shared" si="10"/>
        <v>52247.176046511624</v>
      </c>
      <c r="F25" s="485">
        <f t="shared" si="11"/>
        <v>1810524.8790656403</v>
      </c>
      <c r="G25" s="486">
        <f t="shared" si="12"/>
        <v>247461.17604651162</v>
      </c>
      <c r="H25" s="455">
        <f t="shared" si="13"/>
        <v>247461.17604651162</v>
      </c>
      <c r="I25" s="475">
        <f t="shared" si="4"/>
        <v>0</v>
      </c>
      <c r="J25" s="475"/>
      <c r="K25" s="487"/>
      <c r="L25" s="478">
        <f t="shared" si="14"/>
        <v>0</v>
      </c>
      <c r="M25" s="487"/>
      <c r="N25" s="478">
        <f t="shared" si="5"/>
        <v>0</v>
      </c>
      <c r="O25" s="478">
        <f t="shared" si="6"/>
        <v>0</v>
      </c>
      <c r="P25" s="242"/>
    </row>
    <row r="26" spans="2:16" ht="12.5">
      <c r="B26" s="160" t="str">
        <f t="shared" si="3"/>
        <v/>
      </c>
      <c r="C26" s="472">
        <f>IF(D11="","-",+C25+1)</f>
        <v>2023</v>
      </c>
      <c r="D26" s="485">
        <f>IF(F25+SUM(E$17:E25)=D$10,F25,D$10-SUM(E$17:E25))</f>
        <v>1810524.8790656403</v>
      </c>
      <c r="E26" s="484">
        <f t="shared" si="10"/>
        <v>52247.176046511624</v>
      </c>
      <c r="F26" s="485">
        <f t="shared" si="11"/>
        <v>1758277.7030191286</v>
      </c>
      <c r="G26" s="486">
        <f t="shared" si="12"/>
        <v>241827.17604651162</v>
      </c>
      <c r="H26" s="455">
        <f t="shared" si="13"/>
        <v>241827.17604651162</v>
      </c>
      <c r="I26" s="475">
        <f t="shared" si="4"/>
        <v>0</v>
      </c>
      <c r="J26" s="475"/>
      <c r="K26" s="487"/>
      <c r="L26" s="478">
        <f t="shared" si="14"/>
        <v>0</v>
      </c>
      <c r="M26" s="487"/>
      <c r="N26" s="478">
        <f t="shared" si="5"/>
        <v>0</v>
      </c>
      <c r="O26" s="478">
        <f t="shared" si="6"/>
        <v>0</v>
      </c>
      <c r="P26" s="242"/>
    </row>
    <row r="27" spans="2:16" ht="12.5">
      <c r="B27" s="160" t="str">
        <f t="shared" si="3"/>
        <v/>
      </c>
      <c r="C27" s="472">
        <f>IF(D11="","-",+C26+1)</f>
        <v>2024</v>
      </c>
      <c r="D27" s="485">
        <f>IF(F26+SUM(E$17:E26)=D$10,F26,D$10-SUM(E$17:E26))</f>
        <v>1758277.7030191286</v>
      </c>
      <c r="E27" s="484">
        <f t="shared" si="10"/>
        <v>52247.176046511624</v>
      </c>
      <c r="F27" s="485">
        <f t="shared" si="11"/>
        <v>1706030.526972617</v>
      </c>
      <c r="G27" s="486">
        <f t="shared" si="12"/>
        <v>236194.17604651162</v>
      </c>
      <c r="H27" s="455">
        <f t="shared" si="13"/>
        <v>236194.17604651162</v>
      </c>
      <c r="I27" s="475">
        <f t="shared" si="4"/>
        <v>0</v>
      </c>
      <c r="J27" s="475"/>
      <c r="K27" s="487"/>
      <c r="L27" s="478">
        <f t="shared" si="14"/>
        <v>0</v>
      </c>
      <c r="M27" s="487"/>
      <c r="N27" s="478">
        <f t="shared" si="5"/>
        <v>0</v>
      </c>
      <c r="O27" s="478">
        <f t="shared" si="6"/>
        <v>0</v>
      </c>
      <c r="P27" s="242"/>
    </row>
    <row r="28" spans="2:16" ht="12.5">
      <c r="B28" s="160" t="str">
        <f t="shared" si="3"/>
        <v/>
      </c>
      <c r="C28" s="472">
        <f>IF(D11="","-",+C27+1)</f>
        <v>2025</v>
      </c>
      <c r="D28" s="485">
        <f>IF(F27+SUM(E$17:E27)=D$10,F27,D$10-SUM(E$17:E27))</f>
        <v>1706030.526972617</v>
      </c>
      <c r="E28" s="484">
        <f t="shared" si="10"/>
        <v>52247.176046511624</v>
      </c>
      <c r="F28" s="485">
        <f t="shared" si="11"/>
        <v>1653783.3509261054</v>
      </c>
      <c r="G28" s="486">
        <f t="shared" si="12"/>
        <v>230561.17604651162</v>
      </c>
      <c r="H28" s="455">
        <f t="shared" si="13"/>
        <v>230561.17604651162</v>
      </c>
      <c r="I28" s="475">
        <f t="shared" si="4"/>
        <v>0</v>
      </c>
      <c r="J28" s="475"/>
      <c r="K28" s="487"/>
      <c r="L28" s="478">
        <f t="shared" si="14"/>
        <v>0</v>
      </c>
      <c r="M28" s="487"/>
      <c r="N28" s="478">
        <f t="shared" si="5"/>
        <v>0</v>
      </c>
      <c r="O28" s="478">
        <f t="shared" si="6"/>
        <v>0</v>
      </c>
      <c r="P28" s="242"/>
    </row>
    <row r="29" spans="2:16" ht="12.5">
      <c r="B29" s="160" t="str">
        <f t="shared" si="3"/>
        <v/>
      </c>
      <c r="C29" s="472">
        <f>IF(D11="","-",+C28+1)</f>
        <v>2026</v>
      </c>
      <c r="D29" s="485">
        <f>IF(F28+SUM(E$17:E28)=D$10,F28,D$10-SUM(E$17:E28))</f>
        <v>1653783.3509261054</v>
      </c>
      <c r="E29" s="484">
        <f t="shared" si="10"/>
        <v>52247.176046511624</v>
      </c>
      <c r="F29" s="485">
        <f t="shared" si="11"/>
        <v>1601536.1748795938</v>
      </c>
      <c r="G29" s="486">
        <f t="shared" si="12"/>
        <v>224927.17604651162</v>
      </c>
      <c r="H29" s="455">
        <f t="shared" si="13"/>
        <v>224927.17604651162</v>
      </c>
      <c r="I29" s="475">
        <f t="shared" si="4"/>
        <v>0</v>
      </c>
      <c r="J29" s="475"/>
      <c r="K29" s="487"/>
      <c r="L29" s="478">
        <f t="shared" si="14"/>
        <v>0</v>
      </c>
      <c r="M29" s="487"/>
      <c r="N29" s="478">
        <f t="shared" si="5"/>
        <v>0</v>
      </c>
      <c r="O29" s="478">
        <f t="shared" si="6"/>
        <v>0</v>
      </c>
      <c r="P29" s="242"/>
    </row>
    <row r="30" spans="2:16" ht="12.5">
      <c r="B30" s="160" t="str">
        <f t="shared" si="3"/>
        <v/>
      </c>
      <c r="C30" s="472">
        <f>IF(D11="","-",+C29+1)</f>
        <v>2027</v>
      </c>
      <c r="D30" s="485">
        <f>IF(F29+SUM(E$17:E29)=D$10,F29,D$10-SUM(E$17:E29))</f>
        <v>1601536.1748795938</v>
      </c>
      <c r="E30" s="484">
        <f t="shared" si="10"/>
        <v>52247.176046511624</v>
      </c>
      <c r="F30" s="485">
        <f t="shared" si="11"/>
        <v>1549288.9988330822</v>
      </c>
      <c r="G30" s="486">
        <f t="shared" si="12"/>
        <v>219294.17604651162</v>
      </c>
      <c r="H30" s="455">
        <f t="shared" si="13"/>
        <v>219294.17604651162</v>
      </c>
      <c r="I30" s="475">
        <f t="shared" si="4"/>
        <v>0</v>
      </c>
      <c r="J30" s="475"/>
      <c r="K30" s="487"/>
      <c r="L30" s="478">
        <f t="shared" si="14"/>
        <v>0</v>
      </c>
      <c r="M30" s="487"/>
      <c r="N30" s="478">
        <f t="shared" si="5"/>
        <v>0</v>
      </c>
      <c r="O30" s="478">
        <f t="shared" si="6"/>
        <v>0</v>
      </c>
      <c r="P30" s="242"/>
    </row>
    <row r="31" spans="2:16" ht="12.5">
      <c r="B31" s="160" t="str">
        <f t="shared" si="3"/>
        <v/>
      </c>
      <c r="C31" s="472">
        <f>IF(D11="","-",+C30+1)</f>
        <v>2028</v>
      </c>
      <c r="D31" s="485">
        <f>IF(F30+SUM(E$17:E30)=D$10,F30,D$10-SUM(E$17:E30))</f>
        <v>1549288.9988330822</v>
      </c>
      <c r="E31" s="484">
        <f t="shared" si="10"/>
        <v>52247.176046511624</v>
      </c>
      <c r="F31" s="485">
        <f t="shared" si="11"/>
        <v>1497041.8227865705</v>
      </c>
      <c r="G31" s="486">
        <f t="shared" si="12"/>
        <v>213661.17604651162</v>
      </c>
      <c r="H31" s="455">
        <f t="shared" si="13"/>
        <v>213661.17604651162</v>
      </c>
      <c r="I31" s="475">
        <f t="shared" si="4"/>
        <v>0</v>
      </c>
      <c r="J31" s="475"/>
      <c r="K31" s="487"/>
      <c r="L31" s="478">
        <f t="shared" si="14"/>
        <v>0</v>
      </c>
      <c r="M31" s="487"/>
      <c r="N31" s="478">
        <f t="shared" si="5"/>
        <v>0</v>
      </c>
      <c r="O31" s="478">
        <f t="shared" si="6"/>
        <v>0</v>
      </c>
      <c r="P31" s="242"/>
    </row>
    <row r="32" spans="2:16" ht="12.5">
      <c r="B32" s="160" t="str">
        <f t="shared" si="3"/>
        <v/>
      </c>
      <c r="C32" s="472">
        <f>IF(D11="","-",+C31+1)</f>
        <v>2029</v>
      </c>
      <c r="D32" s="485">
        <f>IF(F31+SUM(E$17:E31)=D$10,F31,D$10-SUM(E$17:E31))</f>
        <v>1497041.8227865705</v>
      </c>
      <c r="E32" s="484">
        <f t="shared" si="10"/>
        <v>52247.176046511624</v>
      </c>
      <c r="F32" s="485">
        <f t="shared" si="11"/>
        <v>1444794.6467400589</v>
      </c>
      <c r="G32" s="486">
        <f t="shared" si="12"/>
        <v>208027.17604651162</v>
      </c>
      <c r="H32" s="455">
        <f t="shared" si="13"/>
        <v>208027.17604651162</v>
      </c>
      <c r="I32" s="475">
        <f t="shared" si="4"/>
        <v>0</v>
      </c>
      <c r="J32" s="475"/>
      <c r="K32" s="487"/>
      <c r="L32" s="478">
        <f t="shared" si="14"/>
        <v>0</v>
      </c>
      <c r="M32" s="487"/>
      <c r="N32" s="478">
        <f t="shared" si="5"/>
        <v>0</v>
      </c>
      <c r="O32" s="478">
        <f t="shared" si="6"/>
        <v>0</v>
      </c>
      <c r="P32" s="242"/>
    </row>
    <row r="33" spans="2:16" ht="12.5">
      <c r="B33" s="160" t="str">
        <f t="shared" si="3"/>
        <v/>
      </c>
      <c r="C33" s="472">
        <f>IF(D11="","-",+C32+1)</f>
        <v>2030</v>
      </c>
      <c r="D33" s="485">
        <f>IF(F32+SUM(E$17:E32)=D$10,F32,D$10-SUM(E$17:E32))</f>
        <v>1444794.6467400589</v>
      </c>
      <c r="E33" s="484">
        <f t="shared" si="10"/>
        <v>52247.176046511624</v>
      </c>
      <c r="F33" s="485">
        <f t="shared" si="11"/>
        <v>1392547.4706935473</v>
      </c>
      <c r="G33" s="486">
        <f t="shared" si="12"/>
        <v>202394.17604651162</v>
      </c>
      <c r="H33" s="455">
        <f t="shared" si="13"/>
        <v>202394.17604651162</v>
      </c>
      <c r="I33" s="475">
        <f t="shared" si="4"/>
        <v>0</v>
      </c>
      <c r="J33" s="475"/>
      <c r="K33" s="487"/>
      <c r="L33" s="478">
        <f t="shared" si="14"/>
        <v>0</v>
      </c>
      <c r="M33" s="487"/>
      <c r="N33" s="478">
        <f t="shared" si="5"/>
        <v>0</v>
      </c>
      <c r="O33" s="478">
        <f t="shared" si="6"/>
        <v>0</v>
      </c>
      <c r="P33" s="242"/>
    </row>
    <row r="34" spans="2:16" ht="12.5">
      <c r="B34" s="160" t="str">
        <f t="shared" si="3"/>
        <v/>
      </c>
      <c r="C34" s="472">
        <f>IF(D11="","-",+C33+1)</f>
        <v>2031</v>
      </c>
      <c r="D34" s="485">
        <f>IF(F33+SUM(E$17:E33)=D$10,F33,D$10-SUM(E$17:E33))</f>
        <v>1392547.4706935473</v>
      </c>
      <c r="E34" s="484">
        <f t="shared" si="10"/>
        <v>52247.176046511624</v>
      </c>
      <c r="F34" s="485">
        <f t="shared" si="11"/>
        <v>1340300.2946470357</v>
      </c>
      <c r="G34" s="486">
        <f t="shared" si="12"/>
        <v>196760.17604651162</v>
      </c>
      <c r="H34" s="455">
        <f t="shared" si="13"/>
        <v>196760.17604651162</v>
      </c>
      <c r="I34" s="475">
        <f t="shared" si="4"/>
        <v>0</v>
      </c>
      <c r="J34" s="475"/>
      <c r="K34" s="487"/>
      <c r="L34" s="478">
        <f t="shared" si="14"/>
        <v>0</v>
      </c>
      <c r="M34" s="487"/>
      <c r="N34" s="478">
        <f t="shared" si="5"/>
        <v>0</v>
      </c>
      <c r="O34" s="478">
        <f t="shared" si="6"/>
        <v>0</v>
      </c>
      <c r="P34" s="242"/>
    </row>
    <row r="35" spans="2:16" ht="12.5">
      <c r="B35" s="160" t="str">
        <f t="shared" si="3"/>
        <v/>
      </c>
      <c r="C35" s="472">
        <f>IF(D11="","-",+C34+1)</f>
        <v>2032</v>
      </c>
      <c r="D35" s="485">
        <f>IF(F34+SUM(E$17:E34)=D$10,F34,D$10-SUM(E$17:E34))</f>
        <v>1340300.2946470357</v>
      </c>
      <c r="E35" s="484">
        <f t="shared" si="10"/>
        <v>52247.176046511624</v>
      </c>
      <c r="F35" s="485">
        <f t="shared" si="11"/>
        <v>1288053.118600524</v>
      </c>
      <c r="G35" s="486">
        <f t="shared" si="12"/>
        <v>191127.17604651162</v>
      </c>
      <c r="H35" s="455">
        <f t="shared" si="13"/>
        <v>191127.17604651162</v>
      </c>
      <c r="I35" s="475">
        <f t="shared" si="4"/>
        <v>0</v>
      </c>
      <c r="J35" s="475"/>
      <c r="K35" s="487"/>
      <c r="L35" s="478">
        <f t="shared" si="14"/>
        <v>0</v>
      </c>
      <c r="M35" s="487"/>
      <c r="N35" s="478">
        <f t="shared" si="5"/>
        <v>0</v>
      </c>
      <c r="O35" s="478">
        <f t="shared" si="6"/>
        <v>0</v>
      </c>
      <c r="P35" s="242"/>
    </row>
    <row r="36" spans="2:16" ht="12.5">
      <c r="B36" s="160" t="str">
        <f t="shared" si="3"/>
        <v/>
      </c>
      <c r="C36" s="472">
        <f>IF(D11="","-",+C35+1)</f>
        <v>2033</v>
      </c>
      <c r="D36" s="485">
        <f>IF(F35+SUM(E$17:E35)=D$10,F35,D$10-SUM(E$17:E35))</f>
        <v>1288053.118600524</v>
      </c>
      <c r="E36" s="484">
        <f t="shared" si="10"/>
        <v>52247.176046511624</v>
      </c>
      <c r="F36" s="485">
        <f t="shared" si="11"/>
        <v>1235805.9425540124</v>
      </c>
      <c r="G36" s="486">
        <f t="shared" si="12"/>
        <v>185494.17604651162</v>
      </c>
      <c r="H36" s="455">
        <f t="shared" si="13"/>
        <v>185494.17604651162</v>
      </c>
      <c r="I36" s="475">
        <f t="shared" si="4"/>
        <v>0</v>
      </c>
      <c r="J36" s="475"/>
      <c r="K36" s="487"/>
      <c r="L36" s="478">
        <f t="shared" si="14"/>
        <v>0</v>
      </c>
      <c r="M36" s="487"/>
      <c r="N36" s="478">
        <f t="shared" si="5"/>
        <v>0</v>
      </c>
      <c r="O36" s="478">
        <f t="shared" si="6"/>
        <v>0</v>
      </c>
      <c r="P36" s="242"/>
    </row>
    <row r="37" spans="2:16" ht="12.5">
      <c r="B37" s="160" t="str">
        <f t="shared" si="3"/>
        <v/>
      </c>
      <c r="C37" s="472">
        <f>IF(D11="","-",+C36+1)</f>
        <v>2034</v>
      </c>
      <c r="D37" s="485">
        <f>IF(F36+SUM(E$17:E36)=D$10,F36,D$10-SUM(E$17:E36))</f>
        <v>1235805.9425540124</v>
      </c>
      <c r="E37" s="484">
        <f t="shared" si="10"/>
        <v>52247.176046511624</v>
      </c>
      <c r="F37" s="485">
        <f t="shared" si="11"/>
        <v>1183558.7665075008</v>
      </c>
      <c r="G37" s="486">
        <f t="shared" si="12"/>
        <v>179860.17604651162</v>
      </c>
      <c r="H37" s="455">
        <f t="shared" si="13"/>
        <v>179860.17604651162</v>
      </c>
      <c r="I37" s="475">
        <f t="shared" si="4"/>
        <v>0</v>
      </c>
      <c r="J37" s="475"/>
      <c r="K37" s="487"/>
      <c r="L37" s="478">
        <f t="shared" si="14"/>
        <v>0</v>
      </c>
      <c r="M37" s="487"/>
      <c r="N37" s="478">
        <f t="shared" si="5"/>
        <v>0</v>
      </c>
      <c r="O37" s="478">
        <f t="shared" si="6"/>
        <v>0</v>
      </c>
      <c r="P37" s="242"/>
    </row>
    <row r="38" spans="2:16" ht="12.5">
      <c r="B38" s="160" t="str">
        <f t="shared" si="3"/>
        <v/>
      </c>
      <c r="C38" s="472">
        <f>IF(D11="","-",+C37+1)</f>
        <v>2035</v>
      </c>
      <c r="D38" s="485">
        <f>IF(F37+SUM(E$17:E37)=D$10,F37,D$10-SUM(E$17:E37))</f>
        <v>1183558.7665075008</v>
      </c>
      <c r="E38" s="484">
        <f t="shared" si="10"/>
        <v>52247.176046511624</v>
      </c>
      <c r="F38" s="485">
        <f t="shared" si="11"/>
        <v>1131311.5904609892</v>
      </c>
      <c r="G38" s="486">
        <f t="shared" si="12"/>
        <v>174227.17604651162</v>
      </c>
      <c r="H38" s="455">
        <f t="shared" si="13"/>
        <v>174227.17604651162</v>
      </c>
      <c r="I38" s="475">
        <f t="shared" si="4"/>
        <v>0</v>
      </c>
      <c r="J38" s="475"/>
      <c r="K38" s="487"/>
      <c r="L38" s="478">
        <f t="shared" si="14"/>
        <v>0</v>
      </c>
      <c r="M38" s="487"/>
      <c r="N38" s="478">
        <f t="shared" si="5"/>
        <v>0</v>
      </c>
      <c r="O38" s="478">
        <f t="shared" si="6"/>
        <v>0</v>
      </c>
      <c r="P38" s="242"/>
    </row>
    <row r="39" spans="2:16" ht="12.5">
      <c r="B39" s="160" t="str">
        <f t="shared" si="3"/>
        <v/>
      </c>
      <c r="C39" s="472">
        <f>IF(D11="","-",+C38+1)</f>
        <v>2036</v>
      </c>
      <c r="D39" s="485">
        <f>IF(F38+SUM(E$17:E38)=D$10,F38,D$10-SUM(E$17:E38))</f>
        <v>1131311.5904609892</v>
      </c>
      <c r="E39" s="484">
        <f t="shared" si="10"/>
        <v>52247.176046511624</v>
      </c>
      <c r="F39" s="485">
        <f t="shared" si="11"/>
        <v>1079064.4144144775</v>
      </c>
      <c r="G39" s="486">
        <f t="shared" si="12"/>
        <v>168594.17604651162</v>
      </c>
      <c r="H39" s="455">
        <f t="shared" si="13"/>
        <v>168594.17604651162</v>
      </c>
      <c r="I39" s="475">
        <f t="shared" si="4"/>
        <v>0</v>
      </c>
      <c r="J39" s="475"/>
      <c r="K39" s="487"/>
      <c r="L39" s="478">
        <f t="shared" si="14"/>
        <v>0</v>
      </c>
      <c r="M39" s="487"/>
      <c r="N39" s="478">
        <f t="shared" si="5"/>
        <v>0</v>
      </c>
      <c r="O39" s="478">
        <f t="shared" si="6"/>
        <v>0</v>
      </c>
      <c r="P39" s="242"/>
    </row>
    <row r="40" spans="2:16" ht="12.5">
      <c r="B40" s="160" t="str">
        <f t="shared" si="3"/>
        <v/>
      </c>
      <c r="C40" s="472">
        <f>IF(D11="","-",+C39+1)</f>
        <v>2037</v>
      </c>
      <c r="D40" s="485">
        <f>IF(F39+SUM(E$17:E39)=D$10,F39,D$10-SUM(E$17:E39))</f>
        <v>1079064.4144144775</v>
      </c>
      <c r="E40" s="484">
        <f t="shared" si="10"/>
        <v>52247.176046511624</v>
      </c>
      <c r="F40" s="485">
        <f t="shared" si="11"/>
        <v>1026817.2383679659</v>
      </c>
      <c r="G40" s="486">
        <f t="shared" si="12"/>
        <v>162960.17604651162</v>
      </c>
      <c r="H40" s="455">
        <f t="shared" si="13"/>
        <v>162960.17604651162</v>
      </c>
      <c r="I40" s="475">
        <f t="shared" si="4"/>
        <v>0</v>
      </c>
      <c r="J40" s="475"/>
      <c r="K40" s="487"/>
      <c r="L40" s="478">
        <f t="shared" si="14"/>
        <v>0</v>
      </c>
      <c r="M40" s="487"/>
      <c r="N40" s="478">
        <f t="shared" si="5"/>
        <v>0</v>
      </c>
      <c r="O40" s="478">
        <f t="shared" si="6"/>
        <v>0</v>
      </c>
      <c r="P40" s="242"/>
    </row>
    <row r="41" spans="2:16" ht="12.5">
      <c r="B41" s="160" t="str">
        <f t="shared" si="3"/>
        <v/>
      </c>
      <c r="C41" s="472">
        <f>IF(D11="","-",+C40+1)</f>
        <v>2038</v>
      </c>
      <c r="D41" s="485">
        <f>IF(F40+SUM(E$17:E40)=D$10,F40,D$10-SUM(E$17:E40))</f>
        <v>1026817.2383679659</v>
      </c>
      <c r="E41" s="484">
        <f t="shared" si="10"/>
        <v>52247.176046511624</v>
      </c>
      <c r="F41" s="485">
        <f t="shared" si="11"/>
        <v>974570.06232145429</v>
      </c>
      <c r="G41" s="486">
        <f t="shared" si="12"/>
        <v>157327.17604651162</v>
      </c>
      <c r="H41" s="455">
        <f t="shared" si="13"/>
        <v>157327.17604651162</v>
      </c>
      <c r="I41" s="475">
        <f t="shared" si="4"/>
        <v>0</v>
      </c>
      <c r="J41" s="475"/>
      <c r="K41" s="487"/>
      <c r="L41" s="478">
        <f t="shared" si="14"/>
        <v>0</v>
      </c>
      <c r="M41" s="487"/>
      <c r="N41" s="478">
        <f t="shared" si="5"/>
        <v>0</v>
      </c>
      <c r="O41" s="478">
        <f t="shared" si="6"/>
        <v>0</v>
      </c>
      <c r="P41" s="242"/>
    </row>
    <row r="42" spans="2:16" ht="12.5">
      <c r="B42" s="160" t="str">
        <f t="shared" si="3"/>
        <v/>
      </c>
      <c r="C42" s="472">
        <f>IF(D11="","-",+C41+1)</f>
        <v>2039</v>
      </c>
      <c r="D42" s="485">
        <f>IF(F41+SUM(E$17:E41)=D$10,F41,D$10-SUM(E$17:E41))</f>
        <v>974570.06232145429</v>
      </c>
      <c r="E42" s="484">
        <f t="shared" si="10"/>
        <v>52247.176046511624</v>
      </c>
      <c r="F42" s="485">
        <f t="shared" si="11"/>
        <v>922322.88627494266</v>
      </c>
      <c r="G42" s="486">
        <f t="shared" si="12"/>
        <v>151693.17604651162</v>
      </c>
      <c r="H42" s="455">
        <f t="shared" si="13"/>
        <v>151693.17604651162</v>
      </c>
      <c r="I42" s="475">
        <f t="shared" si="4"/>
        <v>0</v>
      </c>
      <c r="J42" s="475"/>
      <c r="K42" s="487"/>
      <c r="L42" s="478">
        <f t="shared" si="14"/>
        <v>0</v>
      </c>
      <c r="M42" s="487"/>
      <c r="N42" s="478">
        <f t="shared" si="5"/>
        <v>0</v>
      </c>
      <c r="O42" s="478">
        <f t="shared" si="6"/>
        <v>0</v>
      </c>
      <c r="P42" s="242"/>
    </row>
    <row r="43" spans="2:16" ht="12.5">
      <c r="B43" s="160" t="str">
        <f t="shared" si="3"/>
        <v/>
      </c>
      <c r="C43" s="472">
        <f>IF(D11="","-",+C42+1)</f>
        <v>2040</v>
      </c>
      <c r="D43" s="485">
        <f>IF(F42+SUM(E$17:E42)=D$10,F42,D$10-SUM(E$17:E42))</f>
        <v>922322.88627494266</v>
      </c>
      <c r="E43" s="484">
        <f t="shared" si="10"/>
        <v>52247.176046511624</v>
      </c>
      <c r="F43" s="485">
        <f t="shared" si="11"/>
        <v>870075.71022843104</v>
      </c>
      <c r="G43" s="486">
        <f t="shared" si="12"/>
        <v>146060.17604651162</v>
      </c>
      <c r="H43" s="455">
        <f t="shared" si="13"/>
        <v>146060.17604651162</v>
      </c>
      <c r="I43" s="475">
        <f t="shared" si="4"/>
        <v>0</v>
      </c>
      <c r="J43" s="475"/>
      <c r="K43" s="487"/>
      <c r="L43" s="478">
        <f t="shared" si="14"/>
        <v>0</v>
      </c>
      <c r="M43" s="487"/>
      <c r="N43" s="478">
        <f t="shared" si="5"/>
        <v>0</v>
      </c>
      <c r="O43" s="478">
        <f t="shared" si="6"/>
        <v>0</v>
      </c>
      <c r="P43" s="242"/>
    </row>
    <row r="44" spans="2:16" ht="12.5">
      <c r="B44" s="160" t="str">
        <f t="shared" si="3"/>
        <v/>
      </c>
      <c r="C44" s="472">
        <f>IF(D11="","-",+C43+1)</f>
        <v>2041</v>
      </c>
      <c r="D44" s="485">
        <f>IF(F43+SUM(E$17:E43)=D$10,F43,D$10-SUM(E$17:E43))</f>
        <v>870075.71022843104</v>
      </c>
      <c r="E44" s="484">
        <f t="shared" si="10"/>
        <v>52247.176046511624</v>
      </c>
      <c r="F44" s="485">
        <f t="shared" si="11"/>
        <v>817828.53418191941</v>
      </c>
      <c r="G44" s="486">
        <f t="shared" si="12"/>
        <v>140427.17604651162</v>
      </c>
      <c r="H44" s="455">
        <f t="shared" si="13"/>
        <v>140427.17604651162</v>
      </c>
      <c r="I44" s="475">
        <f t="shared" si="4"/>
        <v>0</v>
      </c>
      <c r="J44" s="475"/>
      <c r="K44" s="487"/>
      <c r="L44" s="478">
        <f t="shared" si="14"/>
        <v>0</v>
      </c>
      <c r="M44" s="487"/>
      <c r="N44" s="478">
        <f t="shared" si="5"/>
        <v>0</v>
      </c>
      <c r="O44" s="478">
        <f t="shared" si="6"/>
        <v>0</v>
      </c>
      <c r="P44" s="242"/>
    </row>
    <row r="45" spans="2:16" ht="12.5">
      <c r="B45" s="160" t="str">
        <f t="shared" si="3"/>
        <v/>
      </c>
      <c r="C45" s="472">
        <f>IF(D11="","-",+C44+1)</f>
        <v>2042</v>
      </c>
      <c r="D45" s="485">
        <f>IF(F44+SUM(E$17:E44)=D$10,F44,D$10-SUM(E$17:E44))</f>
        <v>817828.53418191941</v>
      </c>
      <c r="E45" s="484">
        <f t="shared" si="10"/>
        <v>52247.176046511624</v>
      </c>
      <c r="F45" s="485">
        <f t="shared" si="11"/>
        <v>765581.35813540779</v>
      </c>
      <c r="G45" s="486">
        <f t="shared" si="12"/>
        <v>134793.17604651162</v>
      </c>
      <c r="H45" s="455">
        <f t="shared" si="13"/>
        <v>134793.17604651162</v>
      </c>
      <c r="I45" s="475">
        <f t="shared" si="4"/>
        <v>0</v>
      </c>
      <c r="J45" s="475"/>
      <c r="K45" s="487"/>
      <c r="L45" s="478">
        <f t="shared" si="14"/>
        <v>0</v>
      </c>
      <c r="M45" s="487"/>
      <c r="N45" s="478">
        <f t="shared" si="5"/>
        <v>0</v>
      </c>
      <c r="O45" s="478">
        <f t="shared" si="6"/>
        <v>0</v>
      </c>
      <c r="P45" s="242"/>
    </row>
    <row r="46" spans="2:16" ht="12.5">
      <c r="B46" s="160" t="str">
        <f t="shared" si="3"/>
        <v/>
      </c>
      <c r="C46" s="472">
        <f>IF(D11="","-",+C45+1)</f>
        <v>2043</v>
      </c>
      <c r="D46" s="485">
        <f>IF(F45+SUM(E$17:E45)=D$10,F45,D$10-SUM(E$17:E45))</f>
        <v>765581.35813540779</v>
      </c>
      <c r="E46" s="484">
        <f t="shared" si="10"/>
        <v>52247.176046511624</v>
      </c>
      <c r="F46" s="485">
        <f t="shared" si="11"/>
        <v>713334.18208889617</v>
      </c>
      <c r="G46" s="486">
        <f t="shared" si="12"/>
        <v>129160.17604651162</v>
      </c>
      <c r="H46" s="455">
        <f t="shared" si="13"/>
        <v>129160.17604651162</v>
      </c>
      <c r="I46" s="475">
        <f t="shared" si="4"/>
        <v>0</v>
      </c>
      <c r="J46" s="475"/>
      <c r="K46" s="487"/>
      <c r="L46" s="478">
        <f t="shared" si="14"/>
        <v>0</v>
      </c>
      <c r="M46" s="487"/>
      <c r="N46" s="478">
        <f t="shared" si="5"/>
        <v>0</v>
      </c>
      <c r="O46" s="478">
        <f t="shared" si="6"/>
        <v>0</v>
      </c>
      <c r="P46" s="242"/>
    </row>
    <row r="47" spans="2:16" ht="12.5">
      <c r="B47" s="160" t="str">
        <f t="shared" si="3"/>
        <v/>
      </c>
      <c r="C47" s="472">
        <f>IF(D11="","-",+C46+1)</f>
        <v>2044</v>
      </c>
      <c r="D47" s="485">
        <f>IF(F46+SUM(E$17:E46)=D$10,F46,D$10-SUM(E$17:E46))</f>
        <v>713334.18208889617</v>
      </c>
      <c r="E47" s="484">
        <f t="shared" si="10"/>
        <v>52247.176046511624</v>
      </c>
      <c r="F47" s="485">
        <f t="shared" si="11"/>
        <v>661087.00604238454</v>
      </c>
      <c r="G47" s="486">
        <f t="shared" si="12"/>
        <v>123526.17604651162</v>
      </c>
      <c r="H47" s="455">
        <f t="shared" si="13"/>
        <v>123526.17604651162</v>
      </c>
      <c r="I47" s="475">
        <f t="shared" si="4"/>
        <v>0</v>
      </c>
      <c r="J47" s="475"/>
      <c r="K47" s="487"/>
      <c r="L47" s="478">
        <f t="shared" si="14"/>
        <v>0</v>
      </c>
      <c r="M47" s="487"/>
      <c r="N47" s="478">
        <f t="shared" si="5"/>
        <v>0</v>
      </c>
      <c r="O47" s="478">
        <f t="shared" si="6"/>
        <v>0</v>
      </c>
      <c r="P47" s="242"/>
    </row>
    <row r="48" spans="2:16" ht="12.5">
      <c r="B48" s="160" t="str">
        <f t="shared" si="3"/>
        <v/>
      </c>
      <c r="C48" s="472">
        <f>IF(D11="","-",+C47+1)</f>
        <v>2045</v>
      </c>
      <c r="D48" s="485">
        <f>IF(F47+SUM(E$17:E47)=D$10,F47,D$10-SUM(E$17:E47))</f>
        <v>661087.00604238454</v>
      </c>
      <c r="E48" s="484">
        <f t="shared" si="10"/>
        <v>52247.176046511624</v>
      </c>
      <c r="F48" s="485">
        <f t="shared" si="11"/>
        <v>608839.82999587292</v>
      </c>
      <c r="G48" s="486">
        <f t="shared" si="12"/>
        <v>117893.17604651162</v>
      </c>
      <c r="H48" s="455">
        <f t="shared" si="13"/>
        <v>117893.17604651162</v>
      </c>
      <c r="I48" s="475">
        <f t="shared" si="4"/>
        <v>0</v>
      </c>
      <c r="J48" s="475"/>
      <c r="K48" s="487"/>
      <c r="L48" s="478">
        <f t="shared" si="14"/>
        <v>0</v>
      </c>
      <c r="M48" s="487"/>
      <c r="N48" s="478">
        <f t="shared" si="5"/>
        <v>0</v>
      </c>
      <c r="O48" s="478">
        <f t="shared" si="6"/>
        <v>0</v>
      </c>
      <c r="P48" s="242"/>
    </row>
    <row r="49" spans="2:16" ht="12.5">
      <c r="B49" s="160" t="str">
        <f t="shared" si="3"/>
        <v/>
      </c>
      <c r="C49" s="472">
        <f>IF(D11="","-",+C48+1)</f>
        <v>2046</v>
      </c>
      <c r="D49" s="485">
        <f>IF(F48+SUM(E$17:E48)=D$10,F48,D$10-SUM(E$17:E48))</f>
        <v>608839.82999587292</v>
      </c>
      <c r="E49" s="484">
        <f t="shared" si="10"/>
        <v>52247.176046511624</v>
      </c>
      <c r="F49" s="485">
        <f t="shared" si="11"/>
        <v>556592.65394936129</v>
      </c>
      <c r="G49" s="486">
        <f t="shared" si="12"/>
        <v>112260.17604651162</v>
      </c>
      <c r="H49" s="455">
        <f t="shared" si="13"/>
        <v>112260.17604651162</v>
      </c>
      <c r="I49" s="475">
        <f t="shared" si="4"/>
        <v>0</v>
      </c>
      <c r="J49" s="475"/>
      <c r="K49" s="487"/>
      <c r="L49" s="478">
        <f t="shared" si="14"/>
        <v>0</v>
      </c>
      <c r="M49" s="487"/>
      <c r="N49" s="478">
        <f t="shared" si="5"/>
        <v>0</v>
      </c>
      <c r="O49" s="478">
        <f t="shared" si="6"/>
        <v>0</v>
      </c>
      <c r="P49" s="242"/>
    </row>
    <row r="50" spans="2:16" ht="12.5">
      <c r="B50" s="160" t="str">
        <f t="shared" si="3"/>
        <v/>
      </c>
      <c r="C50" s="472">
        <f>IF(D11="","-",+C49+1)</f>
        <v>2047</v>
      </c>
      <c r="D50" s="485">
        <f>IF(F49+SUM(E$17:E49)=D$10,F49,D$10-SUM(E$17:E49))</f>
        <v>556592.65394936129</v>
      </c>
      <c r="E50" s="484">
        <f t="shared" si="10"/>
        <v>52247.176046511624</v>
      </c>
      <c r="F50" s="485">
        <f t="shared" si="11"/>
        <v>504345.47790284967</v>
      </c>
      <c r="G50" s="486">
        <f t="shared" si="12"/>
        <v>106626.17604651162</v>
      </c>
      <c r="H50" s="455">
        <f t="shared" si="13"/>
        <v>106626.17604651162</v>
      </c>
      <c r="I50" s="475">
        <f t="shared" si="4"/>
        <v>0</v>
      </c>
      <c r="J50" s="475"/>
      <c r="K50" s="487"/>
      <c r="L50" s="478">
        <f t="shared" si="14"/>
        <v>0</v>
      </c>
      <c r="M50" s="487"/>
      <c r="N50" s="478">
        <f t="shared" si="5"/>
        <v>0</v>
      </c>
      <c r="O50" s="478">
        <f t="shared" si="6"/>
        <v>0</v>
      </c>
      <c r="P50" s="242"/>
    </row>
    <row r="51" spans="2:16" ht="12.5">
      <c r="B51" s="160" t="str">
        <f t="shared" si="3"/>
        <v/>
      </c>
      <c r="C51" s="472">
        <f>IF(D11="","-",+C50+1)</f>
        <v>2048</v>
      </c>
      <c r="D51" s="485">
        <f>IF(F50+SUM(E$17:E50)=D$10,F50,D$10-SUM(E$17:E50))</f>
        <v>504345.47790284967</v>
      </c>
      <c r="E51" s="484">
        <f t="shared" si="10"/>
        <v>52247.176046511624</v>
      </c>
      <c r="F51" s="485">
        <f t="shared" si="11"/>
        <v>452098.30185633805</v>
      </c>
      <c r="G51" s="486">
        <f t="shared" si="12"/>
        <v>100993.17604651162</v>
      </c>
      <c r="H51" s="455">
        <f t="shared" si="13"/>
        <v>100993.17604651162</v>
      </c>
      <c r="I51" s="475">
        <f t="shared" si="4"/>
        <v>0</v>
      </c>
      <c r="J51" s="475"/>
      <c r="K51" s="487"/>
      <c r="L51" s="478">
        <f t="shared" si="14"/>
        <v>0</v>
      </c>
      <c r="M51" s="487"/>
      <c r="N51" s="478">
        <f t="shared" si="5"/>
        <v>0</v>
      </c>
      <c r="O51" s="478">
        <f t="shared" si="6"/>
        <v>0</v>
      </c>
      <c r="P51" s="242"/>
    </row>
    <row r="52" spans="2:16" ht="12.5">
      <c r="B52" s="160" t="str">
        <f t="shared" si="3"/>
        <v/>
      </c>
      <c r="C52" s="472">
        <f>IF(D11="","-",+C51+1)</f>
        <v>2049</v>
      </c>
      <c r="D52" s="485">
        <f>IF(F51+SUM(E$17:E51)=D$10,F51,D$10-SUM(E$17:E51))</f>
        <v>452098.30185633805</v>
      </c>
      <c r="E52" s="484">
        <f t="shared" si="10"/>
        <v>52247.176046511624</v>
      </c>
      <c r="F52" s="485">
        <f t="shared" si="11"/>
        <v>399851.12580982642</v>
      </c>
      <c r="G52" s="486">
        <f t="shared" si="12"/>
        <v>95360.176046511624</v>
      </c>
      <c r="H52" s="455">
        <f t="shared" si="13"/>
        <v>95360.176046511624</v>
      </c>
      <c r="I52" s="475">
        <f t="shared" si="4"/>
        <v>0</v>
      </c>
      <c r="J52" s="475"/>
      <c r="K52" s="487"/>
      <c r="L52" s="478">
        <f t="shared" si="14"/>
        <v>0</v>
      </c>
      <c r="M52" s="487"/>
      <c r="N52" s="478">
        <f t="shared" si="5"/>
        <v>0</v>
      </c>
      <c r="O52" s="478">
        <f t="shared" si="6"/>
        <v>0</v>
      </c>
      <c r="P52" s="242"/>
    </row>
    <row r="53" spans="2:16" ht="12.5">
      <c r="B53" s="160" t="str">
        <f t="shared" si="3"/>
        <v/>
      </c>
      <c r="C53" s="472">
        <f>IF(D11="","-",+C52+1)</f>
        <v>2050</v>
      </c>
      <c r="D53" s="485">
        <f>IF(F52+SUM(E$17:E52)=D$10,F52,D$10-SUM(E$17:E52))</f>
        <v>399851.12580982642</v>
      </c>
      <c r="E53" s="484">
        <f t="shared" si="10"/>
        <v>52247.176046511624</v>
      </c>
      <c r="F53" s="485">
        <f t="shared" si="11"/>
        <v>347603.9497633148</v>
      </c>
      <c r="G53" s="486">
        <f t="shared" si="12"/>
        <v>89726.176046511624</v>
      </c>
      <c r="H53" s="455">
        <f t="shared" si="13"/>
        <v>89726.176046511624</v>
      </c>
      <c r="I53" s="475">
        <f t="shared" si="4"/>
        <v>0</v>
      </c>
      <c r="J53" s="475"/>
      <c r="K53" s="487"/>
      <c r="L53" s="478">
        <f t="shared" si="14"/>
        <v>0</v>
      </c>
      <c r="M53" s="487"/>
      <c r="N53" s="478">
        <f t="shared" si="5"/>
        <v>0</v>
      </c>
      <c r="O53" s="478">
        <f t="shared" si="6"/>
        <v>0</v>
      </c>
      <c r="P53" s="242"/>
    </row>
    <row r="54" spans="2:16" ht="12.5">
      <c r="B54" s="160" t="str">
        <f t="shared" si="3"/>
        <v/>
      </c>
      <c r="C54" s="472">
        <f>IF(D11="","-",+C53+1)</f>
        <v>2051</v>
      </c>
      <c r="D54" s="485">
        <f>IF(F53+SUM(E$17:E53)=D$10,F53,D$10-SUM(E$17:E53))</f>
        <v>347603.9497633148</v>
      </c>
      <c r="E54" s="484">
        <f t="shared" si="10"/>
        <v>52247.176046511624</v>
      </c>
      <c r="F54" s="485">
        <f t="shared" si="11"/>
        <v>295356.77371680317</v>
      </c>
      <c r="G54" s="486">
        <f t="shared" si="12"/>
        <v>84093.176046511624</v>
      </c>
      <c r="H54" s="455">
        <f t="shared" si="13"/>
        <v>84093.176046511624</v>
      </c>
      <c r="I54" s="475">
        <f t="shared" si="4"/>
        <v>0</v>
      </c>
      <c r="J54" s="475"/>
      <c r="K54" s="487"/>
      <c r="L54" s="478">
        <f t="shared" si="14"/>
        <v>0</v>
      </c>
      <c r="M54" s="487"/>
      <c r="N54" s="478">
        <f t="shared" si="5"/>
        <v>0</v>
      </c>
      <c r="O54" s="478">
        <f t="shared" si="6"/>
        <v>0</v>
      </c>
      <c r="P54" s="242"/>
    </row>
    <row r="55" spans="2:16" ht="12.5">
      <c r="B55" s="160" t="str">
        <f t="shared" si="3"/>
        <v/>
      </c>
      <c r="C55" s="472">
        <f>IF(D11="","-",+C54+1)</f>
        <v>2052</v>
      </c>
      <c r="D55" s="485">
        <f>IF(F54+SUM(E$17:E54)=D$10,F54,D$10-SUM(E$17:E54))</f>
        <v>295356.77371680317</v>
      </c>
      <c r="E55" s="484">
        <f t="shared" si="10"/>
        <v>52247.176046511624</v>
      </c>
      <c r="F55" s="485">
        <f t="shared" si="11"/>
        <v>243109.59767029155</v>
      </c>
      <c r="G55" s="486">
        <f t="shared" si="12"/>
        <v>78459.176046511624</v>
      </c>
      <c r="H55" s="455">
        <f t="shared" si="13"/>
        <v>78459.176046511624</v>
      </c>
      <c r="I55" s="475">
        <f t="shared" si="4"/>
        <v>0</v>
      </c>
      <c r="J55" s="475"/>
      <c r="K55" s="487"/>
      <c r="L55" s="478">
        <f t="shared" si="14"/>
        <v>0</v>
      </c>
      <c r="M55" s="487"/>
      <c r="N55" s="478">
        <f t="shared" si="5"/>
        <v>0</v>
      </c>
      <c r="O55" s="478">
        <f t="shared" si="6"/>
        <v>0</v>
      </c>
      <c r="P55" s="242"/>
    </row>
    <row r="56" spans="2:16" ht="12.5">
      <c r="B56" s="160" t="str">
        <f t="shared" si="3"/>
        <v/>
      </c>
      <c r="C56" s="472">
        <f>IF(D11="","-",+C55+1)</f>
        <v>2053</v>
      </c>
      <c r="D56" s="485">
        <f>IF(F55+SUM(E$17:E55)=D$10,F55,D$10-SUM(E$17:E55))</f>
        <v>243109.59767029155</v>
      </c>
      <c r="E56" s="484">
        <f t="shared" si="10"/>
        <v>52247.176046511624</v>
      </c>
      <c r="F56" s="485">
        <f t="shared" si="11"/>
        <v>190862.42162377993</v>
      </c>
      <c r="G56" s="486">
        <f t="shared" si="12"/>
        <v>72826.176046511624</v>
      </c>
      <c r="H56" s="455">
        <f t="shared" si="13"/>
        <v>72826.176046511624</v>
      </c>
      <c r="I56" s="475">
        <f t="shared" si="4"/>
        <v>0</v>
      </c>
      <c r="J56" s="475"/>
      <c r="K56" s="487"/>
      <c r="L56" s="478">
        <f t="shared" si="14"/>
        <v>0</v>
      </c>
      <c r="M56" s="487"/>
      <c r="N56" s="478">
        <f t="shared" si="5"/>
        <v>0</v>
      </c>
      <c r="O56" s="478">
        <f t="shared" si="6"/>
        <v>0</v>
      </c>
      <c r="P56" s="242"/>
    </row>
    <row r="57" spans="2:16" ht="12.5">
      <c r="B57" s="160" t="str">
        <f t="shared" si="3"/>
        <v/>
      </c>
      <c r="C57" s="472">
        <f>IF(D11="","-",+C56+1)</f>
        <v>2054</v>
      </c>
      <c r="D57" s="485">
        <f>IF(F56+SUM(E$17:E56)=D$10,F56,D$10-SUM(E$17:E56))</f>
        <v>190862.42162377993</v>
      </c>
      <c r="E57" s="484">
        <f t="shared" si="10"/>
        <v>52247.176046511624</v>
      </c>
      <c r="F57" s="485">
        <f t="shared" si="11"/>
        <v>138615.2455772683</v>
      </c>
      <c r="G57" s="486">
        <f t="shared" si="12"/>
        <v>67193.176046511624</v>
      </c>
      <c r="H57" s="455">
        <f t="shared" si="13"/>
        <v>67193.176046511624</v>
      </c>
      <c r="I57" s="475">
        <f t="shared" si="4"/>
        <v>0</v>
      </c>
      <c r="J57" s="475"/>
      <c r="K57" s="487"/>
      <c r="L57" s="478">
        <f t="shared" si="14"/>
        <v>0</v>
      </c>
      <c r="M57" s="487"/>
      <c r="N57" s="478">
        <f t="shared" si="5"/>
        <v>0</v>
      </c>
      <c r="O57" s="478">
        <f t="shared" si="6"/>
        <v>0</v>
      </c>
      <c r="P57" s="242"/>
    </row>
    <row r="58" spans="2:16" ht="12.5">
      <c r="B58" s="160" t="str">
        <f t="shared" si="3"/>
        <v/>
      </c>
      <c r="C58" s="472">
        <f>IF(D11="","-",+C57+1)</f>
        <v>2055</v>
      </c>
      <c r="D58" s="485">
        <f>IF(F57+SUM(E$17:E57)=D$10,F57,D$10-SUM(E$17:E57))</f>
        <v>138615.2455772683</v>
      </c>
      <c r="E58" s="484">
        <f t="shared" si="10"/>
        <v>52247.176046511624</v>
      </c>
      <c r="F58" s="485">
        <f t="shared" si="11"/>
        <v>86368.069530756678</v>
      </c>
      <c r="G58" s="486">
        <f t="shared" si="12"/>
        <v>61559.176046511624</v>
      </c>
      <c r="H58" s="455">
        <f t="shared" si="13"/>
        <v>61559.176046511624</v>
      </c>
      <c r="I58" s="475">
        <f t="shared" si="4"/>
        <v>0</v>
      </c>
      <c r="J58" s="475"/>
      <c r="K58" s="487"/>
      <c r="L58" s="478">
        <f t="shared" si="14"/>
        <v>0</v>
      </c>
      <c r="M58" s="487"/>
      <c r="N58" s="478">
        <f t="shared" si="5"/>
        <v>0</v>
      </c>
      <c r="O58" s="478">
        <f t="shared" si="6"/>
        <v>0</v>
      </c>
      <c r="P58" s="242"/>
    </row>
    <row r="59" spans="2:16" ht="12.5">
      <c r="B59" s="160" t="str">
        <f t="shared" si="3"/>
        <v/>
      </c>
      <c r="C59" s="472">
        <f>IF(D11="","-",+C58+1)</f>
        <v>2056</v>
      </c>
      <c r="D59" s="485">
        <f>IF(F58+SUM(E$17:E58)=D$10,F58,D$10-SUM(E$17:E58))</f>
        <v>86368.069530756678</v>
      </c>
      <c r="E59" s="484">
        <f t="shared" si="10"/>
        <v>52247.176046511624</v>
      </c>
      <c r="F59" s="485">
        <f t="shared" si="11"/>
        <v>34120.893484245054</v>
      </c>
      <c r="G59" s="486">
        <f t="shared" si="12"/>
        <v>55926.176046511624</v>
      </c>
      <c r="H59" s="455">
        <f t="shared" si="13"/>
        <v>55926.176046511624</v>
      </c>
      <c r="I59" s="475">
        <f t="shared" si="4"/>
        <v>0</v>
      </c>
      <c r="J59" s="475"/>
      <c r="K59" s="487"/>
      <c r="L59" s="478">
        <f t="shared" si="14"/>
        <v>0</v>
      </c>
      <c r="M59" s="487"/>
      <c r="N59" s="478">
        <f t="shared" si="5"/>
        <v>0</v>
      </c>
      <c r="O59" s="478">
        <f t="shared" si="6"/>
        <v>0</v>
      </c>
      <c r="P59" s="242"/>
    </row>
    <row r="60" spans="2:16" ht="12.5">
      <c r="B60" s="160" t="str">
        <f t="shared" si="3"/>
        <v/>
      </c>
      <c r="C60" s="472">
        <f>IF(D11="","-",+C59+1)</f>
        <v>2057</v>
      </c>
      <c r="D60" s="485">
        <f>IF(F59+SUM(E$17:E59)=D$10,F59,D$10-SUM(E$17:E59))</f>
        <v>34120.893484245054</v>
      </c>
      <c r="E60" s="484">
        <f t="shared" si="10"/>
        <v>34120.893484245054</v>
      </c>
      <c r="F60" s="485">
        <f t="shared" si="11"/>
        <v>0</v>
      </c>
      <c r="G60" s="486">
        <f t="shared" si="12"/>
        <v>34120.893484245054</v>
      </c>
      <c r="H60" s="455">
        <f t="shared" si="13"/>
        <v>34120.893484245054</v>
      </c>
      <c r="I60" s="475">
        <f t="shared" si="4"/>
        <v>0</v>
      </c>
      <c r="J60" s="475"/>
      <c r="K60" s="487"/>
      <c r="L60" s="478">
        <f t="shared" si="14"/>
        <v>0</v>
      </c>
      <c r="M60" s="487"/>
      <c r="N60" s="478">
        <f t="shared" si="5"/>
        <v>0</v>
      </c>
      <c r="O60" s="478">
        <f t="shared" si="6"/>
        <v>0</v>
      </c>
      <c r="P60" s="242"/>
    </row>
    <row r="61" spans="2:16" ht="12.5">
      <c r="B61" s="160" t="str">
        <f t="shared" si="3"/>
        <v/>
      </c>
      <c r="C61" s="472">
        <f>IF(D11="","-",+C60+1)</f>
        <v>2058</v>
      </c>
      <c r="D61" s="485">
        <f>IF(F60+SUM(E$17:E60)=D$10,F60,D$10-SUM(E$17:E60))</f>
        <v>0</v>
      </c>
      <c r="E61" s="484">
        <f t="shared" si="10"/>
        <v>0</v>
      </c>
      <c r="F61" s="485">
        <f t="shared" si="11"/>
        <v>0</v>
      </c>
      <c r="G61" s="486">
        <f t="shared" si="12"/>
        <v>0</v>
      </c>
      <c r="H61" s="455">
        <f t="shared" si="13"/>
        <v>0</v>
      </c>
      <c r="I61" s="475">
        <f t="shared" si="4"/>
        <v>0</v>
      </c>
      <c r="J61" s="475"/>
      <c r="K61" s="487"/>
      <c r="L61" s="478">
        <f t="shared" si="14"/>
        <v>0</v>
      </c>
      <c r="M61" s="487"/>
      <c r="N61" s="478">
        <f t="shared" si="5"/>
        <v>0</v>
      </c>
      <c r="O61" s="478">
        <f t="shared" si="6"/>
        <v>0</v>
      </c>
      <c r="P61" s="242"/>
    </row>
    <row r="62" spans="2:16" ht="12.5">
      <c r="B62" s="160" t="str">
        <f t="shared" si="3"/>
        <v/>
      </c>
      <c r="C62" s="472">
        <f>IF(D11="","-",+C61+1)</f>
        <v>2059</v>
      </c>
      <c r="D62" s="485">
        <f>IF(F61+SUM(E$17:E61)=D$10,F61,D$10-SUM(E$17:E61))</f>
        <v>0</v>
      </c>
      <c r="E62" s="484">
        <f t="shared" si="10"/>
        <v>0</v>
      </c>
      <c r="F62" s="485">
        <f t="shared" si="11"/>
        <v>0</v>
      </c>
      <c r="G62" s="486">
        <f t="shared" si="12"/>
        <v>0</v>
      </c>
      <c r="H62" s="455">
        <f t="shared" si="13"/>
        <v>0</v>
      </c>
      <c r="I62" s="475">
        <f t="shared" si="4"/>
        <v>0</v>
      </c>
      <c r="J62" s="475"/>
      <c r="K62" s="487"/>
      <c r="L62" s="478">
        <f t="shared" si="14"/>
        <v>0</v>
      </c>
      <c r="M62" s="487"/>
      <c r="N62" s="478">
        <f t="shared" si="5"/>
        <v>0</v>
      </c>
      <c r="O62" s="478">
        <f t="shared" si="6"/>
        <v>0</v>
      </c>
      <c r="P62" s="242"/>
    </row>
    <row r="63" spans="2:16" ht="12.5">
      <c r="B63" s="160" t="str">
        <f t="shared" si="3"/>
        <v/>
      </c>
      <c r="C63" s="472">
        <f>IF(D11="","-",+C62+1)</f>
        <v>2060</v>
      </c>
      <c r="D63" s="485">
        <f>IF(F62+SUM(E$17:E62)=D$10,F62,D$10-SUM(E$17:E62))</f>
        <v>0</v>
      </c>
      <c r="E63" s="484">
        <f t="shared" si="10"/>
        <v>0</v>
      </c>
      <c r="F63" s="485">
        <f t="shared" si="11"/>
        <v>0</v>
      </c>
      <c r="G63" s="486">
        <f t="shared" si="12"/>
        <v>0</v>
      </c>
      <c r="H63" s="455">
        <f t="shared" si="13"/>
        <v>0</v>
      </c>
      <c r="I63" s="475">
        <f t="shared" si="4"/>
        <v>0</v>
      </c>
      <c r="J63" s="475"/>
      <c r="K63" s="487"/>
      <c r="L63" s="478">
        <f t="shared" si="14"/>
        <v>0</v>
      </c>
      <c r="M63" s="487"/>
      <c r="N63" s="478">
        <f t="shared" si="5"/>
        <v>0</v>
      </c>
      <c r="O63" s="478">
        <f t="shared" si="6"/>
        <v>0</v>
      </c>
      <c r="P63" s="242"/>
    </row>
    <row r="64" spans="2:16" ht="12.5">
      <c r="B64" s="160" t="str">
        <f t="shared" si="3"/>
        <v/>
      </c>
      <c r="C64" s="472">
        <f>IF(D11="","-",+C63+1)</f>
        <v>2061</v>
      </c>
      <c r="D64" s="485">
        <f>IF(F63+SUM(E$17:E63)=D$10,F63,D$10-SUM(E$17:E63))</f>
        <v>0</v>
      </c>
      <c r="E64" s="484">
        <f t="shared" si="10"/>
        <v>0</v>
      </c>
      <c r="F64" s="485">
        <f t="shared" si="11"/>
        <v>0</v>
      </c>
      <c r="G64" s="486">
        <f t="shared" si="12"/>
        <v>0</v>
      </c>
      <c r="H64" s="455">
        <f t="shared" si="13"/>
        <v>0</v>
      </c>
      <c r="I64" s="475">
        <f t="shared" si="4"/>
        <v>0</v>
      </c>
      <c r="J64" s="475"/>
      <c r="K64" s="487"/>
      <c r="L64" s="478">
        <f t="shared" si="14"/>
        <v>0</v>
      </c>
      <c r="M64" s="487"/>
      <c r="N64" s="478">
        <f t="shared" si="5"/>
        <v>0</v>
      </c>
      <c r="O64" s="478">
        <f t="shared" si="6"/>
        <v>0</v>
      </c>
      <c r="P64" s="242"/>
    </row>
    <row r="65" spans="2:16" ht="12.5">
      <c r="B65" s="160" t="str">
        <f t="shared" si="3"/>
        <v/>
      </c>
      <c r="C65" s="472">
        <f>IF(D11="","-",+C64+1)</f>
        <v>2062</v>
      </c>
      <c r="D65" s="485">
        <f>IF(F64+SUM(E$17:E64)=D$10,F64,D$10-SUM(E$17:E64))</f>
        <v>0</v>
      </c>
      <c r="E65" s="484">
        <f t="shared" si="10"/>
        <v>0</v>
      </c>
      <c r="F65" s="485">
        <f t="shared" si="11"/>
        <v>0</v>
      </c>
      <c r="G65" s="486">
        <f t="shared" si="12"/>
        <v>0</v>
      </c>
      <c r="H65" s="455">
        <f t="shared" si="13"/>
        <v>0</v>
      </c>
      <c r="I65" s="475">
        <f t="shared" si="4"/>
        <v>0</v>
      </c>
      <c r="J65" s="475"/>
      <c r="K65" s="487"/>
      <c r="L65" s="478">
        <f t="shared" si="14"/>
        <v>0</v>
      </c>
      <c r="M65" s="487"/>
      <c r="N65" s="478">
        <f t="shared" si="5"/>
        <v>0</v>
      </c>
      <c r="O65" s="478">
        <f t="shared" si="6"/>
        <v>0</v>
      </c>
      <c r="P65" s="242"/>
    </row>
    <row r="66" spans="2:16" ht="12.5">
      <c r="B66" s="160" t="str">
        <f t="shared" si="3"/>
        <v/>
      </c>
      <c r="C66" s="472">
        <f>IF(D11="","-",+C65+1)</f>
        <v>2063</v>
      </c>
      <c r="D66" s="485">
        <f>IF(F65+SUM(E$17:E65)=D$10,F65,D$10-SUM(E$17:E65))</f>
        <v>0</v>
      </c>
      <c r="E66" s="484">
        <f t="shared" si="10"/>
        <v>0</v>
      </c>
      <c r="F66" s="485">
        <f t="shared" si="11"/>
        <v>0</v>
      </c>
      <c r="G66" s="486">
        <f t="shared" si="12"/>
        <v>0</v>
      </c>
      <c r="H66" s="455">
        <f t="shared" si="13"/>
        <v>0</v>
      </c>
      <c r="I66" s="475">
        <f t="shared" si="4"/>
        <v>0</v>
      </c>
      <c r="J66" s="475"/>
      <c r="K66" s="487"/>
      <c r="L66" s="478">
        <f t="shared" si="14"/>
        <v>0</v>
      </c>
      <c r="M66" s="487"/>
      <c r="N66" s="478">
        <f t="shared" si="5"/>
        <v>0</v>
      </c>
      <c r="O66" s="478">
        <f t="shared" si="6"/>
        <v>0</v>
      </c>
      <c r="P66" s="242"/>
    </row>
    <row r="67" spans="2:16" ht="12.5">
      <c r="B67" s="160" t="str">
        <f t="shared" si="3"/>
        <v/>
      </c>
      <c r="C67" s="472">
        <f>IF(D11="","-",+C66+1)</f>
        <v>2064</v>
      </c>
      <c r="D67" s="485">
        <f>IF(F66+SUM(E$17:E66)=D$10,F66,D$10-SUM(E$17:E66))</f>
        <v>0</v>
      </c>
      <c r="E67" s="484">
        <f t="shared" si="10"/>
        <v>0</v>
      </c>
      <c r="F67" s="485">
        <f t="shared" si="11"/>
        <v>0</v>
      </c>
      <c r="G67" s="486">
        <f t="shared" si="12"/>
        <v>0</v>
      </c>
      <c r="H67" s="455">
        <f t="shared" si="13"/>
        <v>0</v>
      </c>
      <c r="I67" s="475">
        <f t="shared" si="4"/>
        <v>0</v>
      </c>
      <c r="J67" s="475"/>
      <c r="K67" s="487"/>
      <c r="L67" s="478">
        <f t="shared" si="14"/>
        <v>0</v>
      </c>
      <c r="M67" s="487"/>
      <c r="N67" s="478">
        <f t="shared" si="5"/>
        <v>0</v>
      </c>
      <c r="O67" s="478">
        <f t="shared" si="6"/>
        <v>0</v>
      </c>
      <c r="P67" s="242"/>
    </row>
    <row r="68" spans="2:16" ht="12.5">
      <c r="B68" s="160" t="str">
        <f t="shared" si="3"/>
        <v/>
      </c>
      <c r="C68" s="472">
        <f>IF(D11="","-",+C67+1)</f>
        <v>2065</v>
      </c>
      <c r="D68" s="485">
        <f>IF(F67+SUM(E$17:E67)=D$10,F67,D$10-SUM(E$17:E67))</f>
        <v>0</v>
      </c>
      <c r="E68" s="484">
        <f t="shared" si="10"/>
        <v>0</v>
      </c>
      <c r="F68" s="485">
        <f t="shared" si="11"/>
        <v>0</v>
      </c>
      <c r="G68" s="486">
        <f t="shared" si="12"/>
        <v>0</v>
      </c>
      <c r="H68" s="455">
        <f t="shared" si="13"/>
        <v>0</v>
      </c>
      <c r="I68" s="475">
        <f t="shared" si="4"/>
        <v>0</v>
      </c>
      <c r="J68" s="475"/>
      <c r="K68" s="487"/>
      <c r="L68" s="478">
        <f t="shared" si="14"/>
        <v>0</v>
      </c>
      <c r="M68" s="487"/>
      <c r="N68" s="478">
        <f t="shared" si="5"/>
        <v>0</v>
      </c>
      <c r="O68" s="478">
        <f t="shared" si="6"/>
        <v>0</v>
      </c>
      <c r="P68" s="242"/>
    </row>
    <row r="69" spans="2:16" ht="12.5">
      <c r="B69" s="160" t="str">
        <f t="shared" si="3"/>
        <v/>
      </c>
      <c r="C69" s="472">
        <f>IF(D11="","-",+C68+1)</f>
        <v>2066</v>
      </c>
      <c r="D69" s="485">
        <f>IF(F68+SUM(E$17:E68)=D$10,F68,D$10-SUM(E$17:E68))</f>
        <v>0</v>
      </c>
      <c r="E69" s="484">
        <f t="shared" si="10"/>
        <v>0</v>
      </c>
      <c r="F69" s="485">
        <f t="shared" si="11"/>
        <v>0</v>
      </c>
      <c r="G69" s="486">
        <f t="shared" si="12"/>
        <v>0</v>
      </c>
      <c r="H69" s="455">
        <f t="shared" si="13"/>
        <v>0</v>
      </c>
      <c r="I69" s="475">
        <f t="shared" si="4"/>
        <v>0</v>
      </c>
      <c r="J69" s="475"/>
      <c r="K69" s="487"/>
      <c r="L69" s="478">
        <f t="shared" si="14"/>
        <v>0</v>
      </c>
      <c r="M69" s="487"/>
      <c r="N69" s="478">
        <f t="shared" si="5"/>
        <v>0</v>
      </c>
      <c r="O69" s="478">
        <f t="shared" si="6"/>
        <v>0</v>
      </c>
      <c r="P69" s="242"/>
    </row>
    <row r="70" spans="2:16" ht="12.5">
      <c r="B70" s="160" t="str">
        <f t="shared" si="3"/>
        <v/>
      </c>
      <c r="C70" s="472">
        <f>IF(D11="","-",+C69+1)</f>
        <v>2067</v>
      </c>
      <c r="D70" s="485">
        <f>IF(F69+SUM(E$17:E69)=D$10,F69,D$10-SUM(E$17:E69))</f>
        <v>0</v>
      </c>
      <c r="E70" s="484">
        <f t="shared" si="10"/>
        <v>0</v>
      </c>
      <c r="F70" s="485">
        <f t="shared" si="11"/>
        <v>0</v>
      </c>
      <c r="G70" s="486">
        <f t="shared" si="12"/>
        <v>0</v>
      </c>
      <c r="H70" s="455">
        <f t="shared" si="13"/>
        <v>0</v>
      </c>
      <c r="I70" s="475">
        <f t="shared" si="4"/>
        <v>0</v>
      </c>
      <c r="J70" s="475"/>
      <c r="K70" s="487"/>
      <c r="L70" s="478">
        <f t="shared" si="14"/>
        <v>0</v>
      </c>
      <c r="M70" s="487"/>
      <c r="N70" s="478">
        <f t="shared" si="5"/>
        <v>0</v>
      </c>
      <c r="O70" s="478">
        <f t="shared" si="6"/>
        <v>0</v>
      </c>
      <c r="P70" s="242"/>
    </row>
    <row r="71" spans="2:16" ht="12.5">
      <c r="B71" s="160" t="str">
        <f t="shared" si="3"/>
        <v/>
      </c>
      <c r="C71" s="472">
        <f>IF(D11="","-",+C70+1)</f>
        <v>2068</v>
      </c>
      <c r="D71" s="485">
        <f>IF(F70+SUM(E$17:E70)=D$10,F70,D$10-SUM(E$17:E70))</f>
        <v>0</v>
      </c>
      <c r="E71" s="484">
        <f t="shared" si="10"/>
        <v>0</v>
      </c>
      <c r="F71" s="485">
        <f t="shared" si="11"/>
        <v>0</v>
      </c>
      <c r="G71" s="486">
        <f t="shared" si="12"/>
        <v>0</v>
      </c>
      <c r="H71" s="455">
        <f t="shared" si="13"/>
        <v>0</v>
      </c>
      <c r="I71" s="475">
        <f t="shared" si="4"/>
        <v>0</v>
      </c>
      <c r="J71" s="475"/>
      <c r="K71" s="487"/>
      <c r="L71" s="478">
        <f t="shared" si="14"/>
        <v>0</v>
      </c>
      <c r="M71" s="487"/>
      <c r="N71" s="478">
        <f t="shared" si="5"/>
        <v>0</v>
      </c>
      <c r="O71" s="478">
        <f t="shared" si="6"/>
        <v>0</v>
      </c>
      <c r="P71" s="242"/>
    </row>
    <row r="72" spans="2:16" ht="13" thickBot="1">
      <c r="B72" s="160" t="str">
        <f t="shared" si="3"/>
        <v/>
      </c>
      <c r="C72" s="489">
        <f>IF(D11="","-",+C71+1)</f>
        <v>2069</v>
      </c>
      <c r="D72" s="485">
        <f>IF(F71+SUM(E$17:E71)=D$10,F71,D$10-SUM(E$17:E71))</f>
        <v>0</v>
      </c>
      <c r="E72" s="484">
        <f t="shared" si="10"/>
        <v>0</v>
      </c>
      <c r="F72" s="485">
        <f t="shared" si="11"/>
        <v>0</v>
      </c>
      <c r="G72" s="486">
        <f t="shared" si="12"/>
        <v>0</v>
      </c>
      <c r="H72" s="455">
        <f t="shared" si="13"/>
        <v>0</v>
      </c>
      <c r="I72" s="475">
        <f t="shared" si="4"/>
        <v>0</v>
      </c>
      <c r="J72" s="475"/>
      <c r="K72" s="494"/>
      <c r="L72" s="495">
        <f t="shared" si="14"/>
        <v>0</v>
      </c>
      <c r="M72" s="494"/>
      <c r="N72" s="495">
        <f t="shared" si="5"/>
        <v>0</v>
      </c>
      <c r="O72" s="495">
        <f t="shared" si="6"/>
        <v>0</v>
      </c>
      <c r="P72" s="242"/>
    </row>
    <row r="73" spans="2:16" ht="12.5">
      <c r="C73" s="346" t="s">
        <v>77</v>
      </c>
      <c r="D73" s="347"/>
      <c r="E73" s="347">
        <f>SUM(E17:E72)</f>
        <v>2246628.5699999998</v>
      </c>
      <c r="F73" s="347"/>
      <c r="G73" s="347">
        <f>SUM(G17:G72)</f>
        <v>7765664.8631857848</v>
      </c>
      <c r="H73" s="347">
        <f>SUM(H17:H72)</f>
        <v>7765664.8631857848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15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279098.59002601594</v>
      </c>
      <c r="N87" s="508">
        <f>IF(J92&lt;D11,0,VLOOKUP(J92,C17:O72,11))</f>
        <v>279098.59002601594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260002.83525061089</v>
      </c>
      <c r="N88" s="512">
        <f>IF(J92&lt;D11,0,VLOOKUP(J92,C99:P154,7))</f>
        <v>260002.83525061089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Locust Grove to Lone Star 115 kV Rebuild 2.1 miles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-19095.754775405047</v>
      </c>
      <c r="N89" s="517">
        <f>+N88-N87</f>
        <v>-19095.754775405047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TP2009093</v>
      </c>
      <c r="E91" s="522" t="str">
        <f>E9</f>
        <v xml:space="preserve">  SPP Project ID = 649</v>
      </c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f>+D10</f>
        <v>2246628.5699999998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604" t="s">
        <v>272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+D12</f>
        <v>2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54796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 t="str">
        <f>IF(D93= "","-",D93)</f>
        <v>2014</v>
      </c>
      <c r="D99" s="584">
        <v>0</v>
      </c>
      <c r="E99" s="585">
        <v>36003.333333333336</v>
      </c>
      <c r="F99" s="586">
        <v>2210625.2366666663</v>
      </c>
      <c r="G99" s="605">
        <v>1105312.6183333332</v>
      </c>
      <c r="H99" s="606">
        <v>191405.76922123961</v>
      </c>
      <c r="I99" s="607">
        <v>191405.76922123961</v>
      </c>
      <c r="J99" s="478">
        <v>0</v>
      </c>
      <c r="K99" s="478"/>
      <c r="L99" s="476">
        <f>H99</f>
        <v>191405.76922123961</v>
      </c>
      <c r="M99" s="348">
        <f>IF(L99&lt;&gt;0,+H99-L99,0)</f>
        <v>0</v>
      </c>
      <c r="N99" s="476">
        <f>I99</f>
        <v>191405.76922123961</v>
      </c>
      <c r="O99" s="475">
        <f>IF(N99&lt;&gt;0,+I99-N99,0)</f>
        <v>0</v>
      </c>
      <c r="P99" s="478">
        <f>+O99-M99</f>
        <v>0</v>
      </c>
    </row>
    <row r="100" spans="1:16" ht="12.5">
      <c r="B100" s="160" t="str">
        <f>IF(D100=F99,"","IU")</f>
        <v/>
      </c>
      <c r="C100" s="472">
        <f>IF(D93="","-",+C99+1)</f>
        <v>2015</v>
      </c>
      <c r="D100" s="584">
        <v>2210625.2366666663</v>
      </c>
      <c r="E100" s="585">
        <v>43204</v>
      </c>
      <c r="F100" s="586">
        <v>2167421.2366666663</v>
      </c>
      <c r="G100" s="586">
        <v>2189023.2366666663</v>
      </c>
      <c r="H100" s="606">
        <v>341878.62002899748</v>
      </c>
      <c r="I100" s="607">
        <v>341878.62002899748</v>
      </c>
      <c r="J100" s="478">
        <f>+I100-H100</f>
        <v>0</v>
      </c>
      <c r="K100" s="478"/>
      <c r="L100" s="476">
        <f>H100</f>
        <v>341878.62002899748</v>
      </c>
      <c r="M100" s="348">
        <f>IF(L100&lt;&gt;0,+H100-L100,0)</f>
        <v>0</v>
      </c>
      <c r="N100" s="476">
        <f>I100</f>
        <v>341878.62002899748</v>
      </c>
      <c r="O100" s="475">
        <f>IF(N100&lt;&gt;0,+I100-N100,0)</f>
        <v>0</v>
      </c>
      <c r="P100" s="478">
        <f>+O100-M100</f>
        <v>0</v>
      </c>
    </row>
    <row r="101" spans="1:16" ht="12.5">
      <c r="B101" s="160" t="str">
        <f t="shared" ref="B101:B154" si="15">IF(D101=F100,"","IU")</f>
        <v/>
      </c>
      <c r="C101" s="472">
        <f>IF(D93="","-",+C100+1)</f>
        <v>2016</v>
      </c>
      <c r="D101" s="584">
        <v>2167421.2366666663</v>
      </c>
      <c r="E101" s="585">
        <v>48840</v>
      </c>
      <c r="F101" s="586">
        <v>2118581.2366666663</v>
      </c>
      <c r="G101" s="586">
        <v>2143001.2366666663</v>
      </c>
      <c r="H101" s="606">
        <v>325106.60926354182</v>
      </c>
      <c r="I101" s="607">
        <v>325106.60926354182</v>
      </c>
      <c r="J101" s="478">
        <f t="shared" ref="J101:J154" si="16">+I101-H101</f>
        <v>0</v>
      </c>
      <c r="K101" s="478"/>
      <c r="L101" s="476">
        <f>H101</f>
        <v>325106.60926354182</v>
      </c>
      <c r="M101" s="348">
        <f>IF(L101&lt;&gt;0,+H101-L101,0)</f>
        <v>0</v>
      </c>
      <c r="N101" s="476">
        <f>I101</f>
        <v>325106.60926354182</v>
      </c>
      <c r="O101" s="475">
        <f>IF(N101&lt;&gt;0,+I101-N101,0)</f>
        <v>0</v>
      </c>
      <c r="P101" s="478">
        <f>+O101-M101</f>
        <v>0</v>
      </c>
    </row>
    <row r="102" spans="1:16" ht="12.5">
      <c r="B102" s="160" t="str">
        <f t="shared" si="15"/>
        <v/>
      </c>
      <c r="C102" s="472">
        <f>IF(D93="","-",+C101+1)</f>
        <v>2017</v>
      </c>
      <c r="D102" s="584">
        <v>2118581.2366666663</v>
      </c>
      <c r="E102" s="585">
        <v>48840</v>
      </c>
      <c r="F102" s="586">
        <v>2069741.2366666663</v>
      </c>
      <c r="G102" s="586">
        <v>2094161.2366666663</v>
      </c>
      <c r="H102" s="606">
        <v>314489.63330060086</v>
      </c>
      <c r="I102" s="607">
        <v>314489.63330060086</v>
      </c>
      <c r="J102" s="478">
        <f t="shared" si="16"/>
        <v>0</v>
      </c>
      <c r="K102" s="478"/>
      <c r="L102" s="476">
        <f>H102</f>
        <v>314489.63330060086</v>
      </c>
      <c r="M102" s="348">
        <f>IF(L102&lt;&gt;0,+H102-L102,0)</f>
        <v>0</v>
      </c>
      <c r="N102" s="476">
        <f>I102</f>
        <v>314489.63330060086</v>
      </c>
      <c r="O102" s="475">
        <f>IF(N102&lt;&gt;0,+I102-N102,0)</f>
        <v>0</v>
      </c>
      <c r="P102" s="478">
        <f>+O102-M102</f>
        <v>0</v>
      </c>
    </row>
    <row r="103" spans="1:16" ht="12.5">
      <c r="B103" s="160" t="str">
        <f t="shared" si="15"/>
        <v/>
      </c>
      <c r="C103" s="472">
        <f>IF(D93="","-",+C102+1)</f>
        <v>2018</v>
      </c>
      <c r="D103" s="584">
        <v>2069741.2366666663</v>
      </c>
      <c r="E103" s="585">
        <v>52247</v>
      </c>
      <c r="F103" s="586">
        <v>2017494.2366666663</v>
      </c>
      <c r="G103" s="586">
        <v>2043617.7366666663</v>
      </c>
      <c r="H103" s="606">
        <v>262199.22655399318</v>
      </c>
      <c r="I103" s="607">
        <v>262199.22655399318</v>
      </c>
      <c r="J103" s="478">
        <f t="shared" si="16"/>
        <v>0</v>
      </c>
      <c r="K103" s="478"/>
      <c r="L103" s="476">
        <f>H103</f>
        <v>262199.22655399318</v>
      </c>
      <c r="M103" s="348">
        <f>IF(L103&lt;&gt;0,+H103-L103,0)</f>
        <v>0</v>
      </c>
      <c r="N103" s="476">
        <f>I103</f>
        <v>262199.22655399318</v>
      </c>
      <c r="O103" s="475">
        <f>IF(N103&lt;&gt;0,+I103-N103,0)</f>
        <v>0</v>
      </c>
      <c r="P103" s="478">
        <f>+O103-M103</f>
        <v>0</v>
      </c>
    </row>
    <row r="104" spans="1:16" ht="12.5">
      <c r="B104" s="160" t="str">
        <f t="shared" si="15"/>
        <v/>
      </c>
      <c r="C104" s="472">
        <f>IF(D93="","-",+C103+1)</f>
        <v>2019</v>
      </c>
      <c r="D104" s="346">
        <f>IF(F103+SUM(E$99:E103)=D$92,F103,D$92-SUM(E$99:E103))</f>
        <v>2017494.2366666663</v>
      </c>
      <c r="E104" s="484">
        <f t="shared" ref="E104:E154" si="17">IF(+J$96&lt;F103,J$96,D104)</f>
        <v>54796</v>
      </c>
      <c r="F104" s="485">
        <f t="shared" ref="F104:F154" si="18">+D104-E104</f>
        <v>1962698.2366666663</v>
      </c>
      <c r="G104" s="485">
        <f t="shared" ref="G104:G154" si="19">+(F104+D104)/2</f>
        <v>1990096.2366666663</v>
      </c>
      <c r="H104" s="488">
        <f t="shared" ref="H104:H154" si="20">+J$94*G104+E104</f>
        <v>260002.83525061089</v>
      </c>
      <c r="I104" s="542">
        <f t="shared" ref="I104:I154" si="21">+J$95*G104+E104</f>
        <v>260002.83525061089</v>
      </c>
      <c r="J104" s="478">
        <f t="shared" si="16"/>
        <v>0</v>
      </c>
      <c r="K104" s="478"/>
      <c r="L104" s="487"/>
      <c r="M104" s="478">
        <f t="shared" ref="M104:M130" si="22">IF(L104&lt;&gt;0,+H104-L104,0)</f>
        <v>0</v>
      </c>
      <c r="N104" s="487"/>
      <c r="O104" s="478">
        <f t="shared" ref="O104:O130" si="23">IF(N104&lt;&gt;0,+I104-N104,0)</f>
        <v>0</v>
      </c>
      <c r="P104" s="478">
        <f t="shared" ref="P104:P130" si="24">+O104-M104</f>
        <v>0</v>
      </c>
    </row>
    <row r="105" spans="1:16" ht="12.5">
      <c r="B105" s="160" t="str">
        <f t="shared" si="15"/>
        <v/>
      </c>
      <c r="C105" s="472">
        <f>IF(D93="","-",+C104+1)</f>
        <v>2020</v>
      </c>
      <c r="D105" s="346">
        <f>IF(F104+SUM(E$99:E104)=D$92,F104,D$92-SUM(E$99:E104))</f>
        <v>1962698.2366666663</v>
      </c>
      <c r="E105" s="484">
        <f t="shared" si="17"/>
        <v>54796</v>
      </c>
      <c r="F105" s="485">
        <f t="shared" si="18"/>
        <v>1907902.2366666663</v>
      </c>
      <c r="G105" s="485">
        <f t="shared" si="19"/>
        <v>1935300.2366666663</v>
      </c>
      <c r="H105" s="488">
        <f t="shared" si="20"/>
        <v>254352.59907749665</v>
      </c>
      <c r="I105" s="542">
        <f t="shared" si="21"/>
        <v>254352.59907749665</v>
      </c>
      <c r="J105" s="478">
        <f t="shared" si="16"/>
        <v>0</v>
      </c>
      <c r="K105" s="478"/>
      <c r="L105" s="487"/>
      <c r="M105" s="478">
        <f t="shared" si="22"/>
        <v>0</v>
      </c>
      <c r="N105" s="487"/>
      <c r="O105" s="478">
        <f t="shared" si="23"/>
        <v>0</v>
      </c>
      <c r="P105" s="478">
        <f t="shared" si="24"/>
        <v>0</v>
      </c>
    </row>
    <row r="106" spans="1:16" ht="12.5">
      <c r="B106" s="160" t="str">
        <f t="shared" si="15"/>
        <v/>
      </c>
      <c r="C106" s="472">
        <f>IF(D93="","-",+C105+1)</f>
        <v>2021</v>
      </c>
      <c r="D106" s="346">
        <f>IF(F105+SUM(E$99:E105)=D$92,F105,D$92-SUM(E$99:E105))</f>
        <v>1907902.2366666663</v>
      </c>
      <c r="E106" s="484">
        <f t="shared" si="17"/>
        <v>54796</v>
      </c>
      <c r="F106" s="485">
        <f t="shared" si="18"/>
        <v>1853106.2366666663</v>
      </c>
      <c r="G106" s="485">
        <f t="shared" si="19"/>
        <v>1880504.2366666663</v>
      </c>
      <c r="H106" s="488">
        <f t="shared" si="20"/>
        <v>248702.36290438243</v>
      </c>
      <c r="I106" s="542">
        <f t="shared" si="21"/>
        <v>248702.36290438243</v>
      </c>
      <c r="J106" s="478">
        <f t="shared" si="16"/>
        <v>0</v>
      </c>
      <c r="K106" s="478"/>
      <c r="L106" s="487"/>
      <c r="M106" s="478">
        <f t="shared" si="22"/>
        <v>0</v>
      </c>
      <c r="N106" s="487"/>
      <c r="O106" s="478">
        <f t="shared" si="23"/>
        <v>0</v>
      </c>
      <c r="P106" s="478">
        <f t="shared" si="24"/>
        <v>0</v>
      </c>
    </row>
    <row r="107" spans="1:16" ht="12.5">
      <c r="B107" s="160" t="str">
        <f t="shared" si="15"/>
        <v/>
      </c>
      <c r="C107" s="472">
        <f>IF(D93="","-",+C106+1)</f>
        <v>2022</v>
      </c>
      <c r="D107" s="346">
        <f>IF(F106+SUM(E$99:E106)=D$92,F106,D$92-SUM(E$99:E106))</f>
        <v>1853106.2366666663</v>
      </c>
      <c r="E107" s="484">
        <f t="shared" si="17"/>
        <v>54796</v>
      </c>
      <c r="F107" s="485">
        <f t="shared" si="18"/>
        <v>1798310.2366666663</v>
      </c>
      <c r="G107" s="485">
        <f t="shared" si="19"/>
        <v>1825708.2366666663</v>
      </c>
      <c r="H107" s="488">
        <f t="shared" si="20"/>
        <v>243052.12673126822</v>
      </c>
      <c r="I107" s="542">
        <f t="shared" si="21"/>
        <v>243052.12673126822</v>
      </c>
      <c r="J107" s="478">
        <f t="shared" si="16"/>
        <v>0</v>
      </c>
      <c r="K107" s="478"/>
      <c r="L107" s="487"/>
      <c r="M107" s="478">
        <f t="shared" si="22"/>
        <v>0</v>
      </c>
      <c r="N107" s="487"/>
      <c r="O107" s="478">
        <f t="shared" si="23"/>
        <v>0</v>
      </c>
      <c r="P107" s="478">
        <f t="shared" si="24"/>
        <v>0</v>
      </c>
    </row>
    <row r="108" spans="1:16" ht="12.5">
      <c r="B108" s="160" t="str">
        <f t="shared" si="15"/>
        <v/>
      </c>
      <c r="C108" s="472">
        <f>IF(D93="","-",+C107+1)</f>
        <v>2023</v>
      </c>
      <c r="D108" s="346">
        <f>IF(F107+SUM(E$99:E107)=D$92,F107,D$92-SUM(E$99:E107))</f>
        <v>1798310.2366666663</v>
      </c>
      <c r="E108" s="484">
        <f t="shared" si="17"/>
        <v>54796</v>
      </c>
      <c r="F108" s="485">
        <f t="shared" si="18"/>
        <v>1743514.2366666663</v>
      </c>
      <c r="G108" s="485">
        <f t="shared" si="19"/>
        <v>1770912.2366666663</v>
      </c>
      <c r="H108" s="488">
        <f t="shared" si="20"/>
        <v>237401.890558154</v>
      </c>
      <c r="I108" s="542">
        <f t="shared" si="21"/>
        <v>237401.890558154</v>
      </c>
      <c r="J108" s="478">
        <f t="shared" si="16"/>
        <v>0</v>
      </c>
      <c r="K108" s="478"/>
      <c r="L108" s="487"/>
      <c r="M108" s="478">
        <f t="shared" si="22"/>
        <v>0</v>
      </c>
      <c r="N108" s="487"/>
      <c r="O108" s="478">
        <f t="shared" si="23"/>
        <v>0</v>
      </c>
      <c r="P108" s="478">
        <f t="shared" si="24"/>
        <v>0</v>
      </c>
    </row>
    <row r="109" spans="1:16" ht="12.5">
      <c r="B109" s="160" t="str">
        <f t="shared" si="15"/>
        <v/>
      </c>
      <c r="C109" s="472">
        <f>IF(D93="","-",+C108+1)</f>
        <v>2024</v>
      </c>
      <c r="D109" s="346">
        <f>IF(F108+SUM(E$99:E108)=D$92,F108,D$92-SUM(E$99:E108))</f>
        <v>1743514.2366666663</v>
      </c>
      <c r="E109" s="484">
        <f t="shared" si="17"/>
        <v>54796</v>
      </c>
      <c r="F109" s="485">
        <f t="shared" si="18"/>
        <v>1688718.2366666663</v>
      </c>
      <c r="G109" s="485">
        <f t="shared" si="19"/>
        <v>1716116.2366666663</v>
      </c>
      <c r="H109" s="488">
        <f t="shared" si="20"/>
        <v>231751.65438503979</v>
      </c>
      <c r="I109" s="542">
        <f t="shared" si="21"/>
        <v>231751.65438503979</v>
      </c>
      <c r="J109" s="478">
        <f t="shared" si="16"/>
        <v>0</v>
      </c>
      <c r="K109" s="478"/>
      <c r="L109" s="487"/>
      <c r="M109" s="478">
        <f t="shared" si="22"/>
        <v>0</v>
      </c>
      <c r="N109" s="487"/>
      <c r="O109" s="478">
        <f t="shared" si="23"/>
        <v>0</v>
      </c>
      <c r="P109" s="478">
        <f t="shared" si="24"/>
        <v>0</v>
      </c>
    </row>
    <row r="110" spans="1:16" ht="12.5">
      <c r="B110" s="160" t="str">
        <f t="shared" si="15"/>
        <v/>
      </c>
      <c r="C110" s="472">
        <f>IF(D93="","-",+C109+1)</f>
        <v>2025</v>
      </c>
      <c r="D110" s="346">
        <f>IF(F109+SUM(E$99:E109)=D$92,F109,D$92-SUM(E$99:E109))</f>
        <v>1688718.2366666663</v>
      </c>
      <c r="E110" s="484">
        <f t="shared" si="17"/>
        <v>54796</v>
      </c>
      <c r="F110" s="485">
        <f t="shared" si="18"/>
        <v>1633922.2366666663</v>
      </c>
      <c r="G110" s="485">
        <f t="shared" si="19"/>
        <v>1661320.2366666663</v>
      </c>
      <c r="H110" s="488">
        <f t="shared" si="20"/>
        <v>226101.41821192557</v>
      </c>
      <c r="I110" s="542">
        <f t="shared" si="21"/>
        <v>226101.41821192557</v>
      </c>
      <c r="J110" s="478">
        <f t="shared" si="16"/>
        <v>0</v>
      </c>
      <c r="K110" s="478"/>
      <c r="L110" s="487"/>
      <c r="M110" s="478">
        <f t="shared" si="22"/>
        <v>0</v>
      </c>
      <c r="N110" s="487"/>
      <c r="O110" s="478">
        <f t="shared" si="23"/>
        <v>0</v>
      </c>
      <c r="P110" s="478">
        <f t="shared" si="24"/>
        <v>0</v>
      </c>
    </row>
    <row r="111" spans="1:16" ht="12.5">
      <c r="B111" s="160" t="str">
        <f t="shared" si="15"/>
        <v/>
      </c>
      <c r="C111" s="472">
        <f>IF(D93="","-",+C110+1)</f>
        <v>2026</v>
      </c>
      <c r="D111" s="346">
        <f>IF(F110+SUM(E$99:E110)=D$92,F110,D$92-SUM(E$99:E110))</f>
        <v>1633922.2366666663</v>
      </c>
      <c r="E111" s="484">
        <f t="shared" si="17"/>
        <v>54796</v>
      </c>
      <c r="F111" s="485">
        <f t="shared" si="18"/>
        <v>1579126.2366666663</v>
      </c>
      <c r="G111" s="485">
        <f t="shared" si="19"/>
        <v>1606524.2366666663</v>
      </c>
      <c r="H111" s="488">
        <f t="shared" si="20"/>
        <v>220451.18203881136</v>
      </c>
      <c r="I111" s="542">
        <f t="shared" si="21"/>
        <v>220451.18203881136</v>
      </c>
      <c r="J111" s="478">
        <f t="shared" si="16"/>
        <v>0</v>
      </c>
      <c r="K111" s="478"/>
      <c r="L111" s="487"/>
      <c r="M111" s="478">
        <f t="shared" si="22"/>
        <v>0</v>
      </c>
      <c r="N111" s="487"/>
      <c r="O111" s="478">
        <f t="shared" si="23"/>
        <v>0</v>
      </c>
      <c r="P111" s="478">
        <f t="shared" si="24"/>
        <v>0</v>
      </c>
    </row>
    <row r="112" spans="1:16" ht="12.5">
      <c r="B112" s="160" t="str">
        <f t="shared" si="15"/>
        <v/>
      </c>
      <c r="C112" s="472">
        <f>IF(D93="","-",+C111+1)</f>
        <v>2027</v>
      </c>
      <c r="D112" s="346">
        <f>IF(F111+SUM(E$99:E111)=D$92,F111,D$92-SUM(E$99:E111))</f>
        <v>1579126.2366666663</v>
      </c>
      <c r="E112" s="484">
        <f t="shared" si="17"/>
        <v>54796</v>
      </c>
      <c r="F112" s="485">
        <f t="shared" si="18"/>
        <v>1524330.2366666663</v>
      </c>
      <c r="G112" s="485">
        <f t="shared" si="19"/>
        <v>1551728.2366666663</v>
      </c>
      <c r="H112" s="488">
        <f t="shared" si="20"/>
        <v>214800.94586569714</v>
      </c>
      <c r="I112" s="542">
        <f t="shared" si="21"/>
        <v>214800.94586569714</v>
      </c>
      <c r="J112" s="478">
        <f t="shared" si="16"/>
        <v>0</v>
      </c>
      <c r="K112" s="478"/>
      <c r="L112" s="487"/>
      <c r="M112" s="478">
        <f t="shared" si="22"/>
        <v>0</v>
      </c>
      <c r="N112" s="487"/>
      <c r="O112" s="478">
        <f t="shared" si="23"/>
        <v>0</v>
      </c>
      <c r="P112" s="478">
        <f t="shared" si="24"/>
        <v>0</v>
      </c>
    </row>
    <row r="113" spans="2:16" ht="12.5">
      <c r="B113" s="160" t="str">
        <f t="shared" si="15"/>
        <v/>
      </c>
      <c r="C113" s="472">
        <f>IF(D93="","-",+C112+1)</f>
        <v>2028</v>
      </c>
      <c r="D113" s="346">
        <f>IF(F112+SUM(E$99:E112)=D$92,F112,D$92-SUM(E$99:E112))</f>
        <v>1524330.2366666663</v>
      </c>
      <c r="E113" s="484">
        <f t="shared" si="17"/>
        <v>54796</v>
      </c>
      <c r="F113" s="485">
        <f t="shared" si="18"/>
        <v>1469534.2366666663</v>
      </c>
      <c r="G113" s="485">
        <f t="shared" si="19"/>
        <v>1496932.2366666663</v>
      </c>
      <c r="H113" s="488">
        <f t="shared" si="20"/>
        <v>209150.70969258292</v>
      </c>
      <c r="I113" s="542">
        <f t="shared" si="21"/>
        <v>209150.70969258292</v>
      </c>
      <c r="J113" s="478">
        <f t="shared" si="16"/>
        <v>0</v>
      </c>
      <c r="K113" s="478"/>
      <c r="L113" s="487"/>
      <c r="M113" s="478">
        <f t="shared" si="22"/>
        <v>0</v>
      </c>
      <c r="N113" s="487"/>
      <c r="O113" s="478">
        <f t="shared" si="23"/>
        <v>0</v>
      </c>
      <c r="P113" s="478">
        <f t="shared" si="24"/>
        <v>0</v>
      </c>
    </row>
    <row r="114" spans="2:16" ht="12.5">
      <c r="B114" s="160" t="str">
        <f t="shared" si="15"/>
        <v/>
      </c>
      <c r="C114" s="472">
        <f>IF(D93="","-",+C113+1)</f>
        <v>2029</v>
      </c>
      <c r="D114" s="346">
        <f>IF(F113+SUM(E$99:E113)=D$92,F113,D$92-SUM(E$99:E113))</f>
        <v>1469534.2366666663</v>
      </c>
      <c r="E114" s="484">
        <f t="shared" si="17"/>
        <v>54796</v>
      </c>
      <c r="F114" s="485">
        <f t="shared" si="18"/>
        <v>1414738.2366666663</v>
      </c>
      <c r="G114" s="485">
        <f t="shared" si="19"/>
        <v>1442136.2366666663</v>
      </c>
      <c r="H114" s="488">
        <f t="shared" si="20"/>
        <v>203500.47351946868</v>
      </c>
      <c r="I114" s="542">
        <f t="shared" si="21"/>
        <v>203500.47351946868</v>
      </c>
      <c r="J114" s="478">
        <f t="shared" si="16"/>
        <v>0</v>
      </c>
      <c r="K114" s="478"/>
      <c r="L114" s="487"/>
      <c r="M114" s="478">
        <f t="shared" si="22"/>
        <v>0</v>
      </c>
      <c r="N114" s="487"/>
      <c r="O114" s="478">
        <f t="shared" si="23"/>
        <v>0</v>
      </c>
      <c r="P114" s="478">
        <f t="shared" si="24"/>
        <v>0</v>
      </c>
    </row>
    <row r="115" spans="2:16" ht="12.5">
      <c r="B115" s="160" t="str">
        <f t="shared" si="15"/>
        <v/>
      </c>
      <c r="C115" s="472">
        <f>IF(D93="","-",+C114+1)</f>
        <v>2030</v>
      </c>
      <c r="D115" s="346">
        <f>IF(F114+SUM(E$99:E114)=D$92,F114,D$92-SUM(E$99:E114))</f>
        <v>1414738.2366666663</v>
      </c>
      <c r="E115" s="484">
        <f t="shared" si="17"/>
        <v>54796</v>
      </c>
      <c r="F115" s="485">
        <f t="shared" si="18"/>
        <v>1359942.2366666663</v>
      </c>
      <c r="G115" s="485">
        <f t="shared" si="19"/>
        <v>1387340.2366666663</v>
      </c>
      <c r="H115" s="488">
        <f t="shared" si="20"/>
        <v>197850.23734635446</v>
      </c>
      <c r="I115" s="542">
        <f t="shared" si="21"/>
        <v>197850.23734635446</v>
      </c>
      <c r="J115" s="478">
        <f t="shared" si="16"/>
        <v>0</v>
      </c>
      <c r="K115" s="478"/>
      <c r="L115" s="487"/>
      <c r="M115" s="478">
        <f t="shared" si="22"/>
        <v>0</v>
      </c>
      <c r="N115" s="487"/>
      <c r="O115" s="478">
        <f t="shared" si="23"/>
        <v>0</v>
      </c>
      <c r="P115" s="478">
        <f t="shared" si="24"/>
        <v>0</v>
      </c>
    </row>
    <row r="116" spans="2:16" ht="12.5">
      <c r="B116" s="160" t="str">
        <f t="shared" si="15"/>
        <v/>
      </c>
      <c r="C116" s="472">
        <f>IF(D93="","-",+C115+1)</f>
        <v>2031</v>
      </c>
      <c r="D116" s="346">
        <f>IF(F115+SUM(E$99:E115)=D$92,F115,D$92-SUM(E$99:E115))</f>
        <v>1359942.2366666663</v>
      </c>
      <c r="E116" s="484">
        <f t="shared" si="17"/>
        <v>54796</v>
      </c>
      <c r="F116" s="485">
        <f t="shared" si="18"/>
        <v>1305146.2366666663</v>
      </c>
      <c r="G116" s="485">
        <f t="shared" si="19"/>
        <v>1332544.2366666663</v>
      </c>
      <c r="H116" s="488">
        <f t="shared" si="20"/>
        <v>192200.00117324025</v>
      </c>
      <c r="I116" s="542">
        <f t="shared" si="21"/>
        <v>192200.00117324025</v>
      </c>
      <c r="J116" s="478">
        <f t="shared" si="16"/>
        <v>0</v>
      </c>
      <c r="K116" s="478"/>
      <c r="L116" s="487"/>
      <c r="M116" s="478">
        <f t="shared" si="22"/>
        <v>0</v>
      </c>
      <c r="N116" s="487"/>
      <c r="O116" s="478">
        <f t="shared" si="23"/>
        <v>0</v>
      </c>
      <c r="P116" s="478">
        <f t="shared" si="24"/>
        <v>0</v>
      </c>
    </row>
    <row r="117" spans="2:16" ht="12.5">
      <c r="B117" s="160" t="str">
        <f t="shared" si="15"/>
        <v/>
      </c>
      <c r="C117" s="472">
        <f>IF(D93="","-",+C116+1)</f>
        <v>2032</v>
      </c>
      <c r="D117" s="346">
        <f>IF(F116+SUM(E$99:E116)=D$92,F116,D$92-SUM(E$99:E116))</f>
        <v>1305146.2366666663</v>
      </c>
      <c r="E117" s="484">
        <f t="shared" si="17"/>
        <v>54796</v>
      </c>
      <c r="F117" s="485">
        <f t="shared" si="18"/>
        <v>1250350.2366666663</v>
      </c>
      <c r="G117" s="485">
        <f t="shared" si="19"/>
        <v>1277748.2366666663</v>
      </c>
      <c r="H117" s="488">
        <f t="shared" si="20"/>
        <v>186549.76500012603</v>
      </c>
      <c r="I117" s="542">
        <f t="shared" si="21"/>
        <v>186549.76500012603</v>
      </c>
      <c r="J117" s="478">
        <f t="shared" si="16"/>
        <v>0</v>
      </c>
      <c r="K117" s="478"/>
      <c r="L117" s="487"/>
      <c r="M117" s="478">
        <f t="shared" si="22"/>
        <v>0</v>
      </c>
      <c r="N117" s="487"/>
      <c r="O117" s="478">
        <f t="shared" si="23"/>
        <v>0</v>
      </c>
      <c r="P117" s="478">
        <f t="shared" si="24"/>
        <v>0</v>
      </c>
    </row>
    <row r="118" spans="2:16" ht="12.5">
      <c r="B118" s="160" t="str">
        <f t="shared" si="15"/>
        <v/>
      </c>
      <c r="C118" s="472">
        <f>IF(D93="","-",+C117+1)</f>
        <v>2033</v>
      </c>
      <c r="D118" s="346">
        <f>IF(F117+SUM(E$99:E117)=D$92,F117,D$92-SUM(E$99:E117))</f>
        <v>1250350.2366666663</v>
      </c>
      <c r="E118" s="484">
        <f t="shared" si="17"/>
        <v>54796</v>
      </c>
      <c r="F118" s="485">
        <f t="shared" si="18"/>
        <v>1195554.2366666663</v>
      </c>
      <c r="G118" s="485">
        <f t="shared" si="19"/>
        <v>1222952.2366666663</v>
      </c>
      <c r="H118" s="488">
        <f t="shared" si="20"/>
        <v>180899.52882701182</v>
      </c>
      <c r="I118" s="542">
        <f t="shared" si="21"/>
        <v>180899.52882701182</v>
      </c>
      <c r="J118" s="478">
        <f t="shared" si="16"/>
        <v>0</v>
      </c>
      <c r="K118" s="478"/>
      <c r="L118" s="487"/>
      <c r="M118" s="478">
        <f t="shared" si="22"/>
        <v>0</v>
      </c>
      <c r="N118" s="487"/>
      <c r="O118" s="478">
        <f t="shared" si="23"/>
        <v>0</v>
      </c>
      <c r="P118" s="478">
        <f t="shared" si="24"/>
        <v>0</v>
      </c>
    </row>
    <row r="119" spans="2:16" ht="12.5">
      <c r="B119" s="160" t="str">
        <f t="shared" si="15"/>
        <v/>
      </c>
      <c r="C119" s="472">
        <f>IF(D93="","-",+C118+1)</f>
        <v>2034</v>
      </c>
      <c r="D119" s="346">
        <f>IF(F118+SUM(E$99:E118)=D$92,F118,D$92-SUM(E$99:E118))</f>
        <v>1195554.2366666663</v>
      </c>
      <c r="E119" s="484">
        <f t="shared" si="17"/>
        <v>54796</v>
      </c>
      <c r="F119" s="485">
        <f t="shared" si="18"/>
        <v>1140758.2366666663</v>
      </c>
      <c r="G119" s="485">
        <f t="shared" si="19"/>
        <v>1168156.2366666663</v>
      </c>
      <c r="H119" s="488">
        <f t="shared" si="20"/>
        <v>175249.2926538976</v>
      </c>
      <c r="I119" s="542">
        <f t="shared" si="21"/>
        <v>175249.2926538976</v>
      </c>
      <c r="J119" s="478">
        <f t="shared" si="16"/>
        <v>0</v>
      </c>
      <c r="K119" s="478"/>
      <c r="L119" s="487"/>
      <c r="M119" s="478">
        <f t="shared" si="22"/>
        <v>0</v>
      </c>
      <c r="N119" s="487"/>
      <c r="O119" s="478">
        <f t="shared" si="23"/>
        <v>0</v>
      </c>
      <c r="P119" s="478">
        <f t="shared" si="24"/>
        <v>0</v>
      </c>
    </row>
    <row r="120" spans="2:16" ht="12.5">
      <c r="B120" s="160" t="str">
        <f t="shared" si="15"/>
        <v/>
      </c>
      <c r="C120" s="472">
        <f>IF(D93="","-",+C119+1)</f>
        <v>2035</v>
      </c>
      <c r="D120" s="346">
        <f>IF(F119+SUM(E$99:E119)=D$92,F119,D$92-SUM(E$99:E119))</f>
        <v>1140758.2366666663</v>
      </c>
      <c r="E120" s="484">
        <f t="shared" si="17"/>
        <v>54796</v>
      </c>
      <c r="F120" s="485">
        <f t="shared" si="18"/>
        <v>1085962.2366666663</v>
      </c>
      <c r="G120" s="485">
        <f t="shared" si="19"/>
        <v>1113360.2366666663</v>
      </c>
      <c r="H120" s="488">
        <f t="shared" si="20"/>
        <v>169599.05648078339</v>
      </c>
      <c r="I120" s="542">
        <f t="shared" si="21"/>
        <v>169599.05648078339</v>
      </c>
      <c r="J120" s="478">
        <f t="shared" si="16"/>
        <v>0</v>
      </c>
      <c r="K120" s="478"/>
      <c r="L120" s="487"/>
      <c r="M120" s="478">
        <f t="shared" si="22"/>
        <v>0</v>
      </c>
      <c r="N120" s="487"/>
      <c r="O120" s="478">
        <f t="shared" si="23"/>
        <v>0</v>
      </c>
      <c r="P120" s="478">
        <f t="shared" si="24"/>
        <v>0</v>
      </c>
    </row>
    <row r="121" spans="2:16" ht="12.5">
      <c r="B121" s="160" t="str">
        <f t="shared" si="15"/>
        <v/>
      </c>
      <c r="C121" s="472">
        <f>IF(D93="","-",+C120+1)</f>
        <v>2036</v>
      </c>
      <c r="D121" s="346">
        <f>IF(F120+SUM(E$99:E120)=D$92,F120,D$92-SUM(E$99:E120))</f>
        <v>1085962.2366666663</v>
      </c>
      <c r="E121" s="484">
        <f t="shared" si="17"/>
        <v>54796</v>
      </c>
      <c r="F121" s="485">
        <f t="shared" si="18"/>
        <v>1031166.2366666663</v>
      </c>
      <c r="G121" s="485">
        <f t="shared" si="19"/>
        <v>1058564.2366666663</v>
      </c>
      <c r="H121" s="488">
        <f t="shared" si="20"/>
        <v>163948.82030766917</v>
      </c>
      <c r="I121" s="542">
        <f t="shared" si="21"/>
        <v>163948.82030766917</v>
      </c>
      <c r="J121" s="478">
        <f t="shared" si="16"/>
        <v>0</v>
      </c>
      <c r="K121" s="478"/>
      <c r="L121" s="487"/>
      <c r="M121" s="478">
        <f t="shared" si="22"/>
        <v>0</v>
      </c>
      <c r="N121" s="487"/>
      <c r="O121" s="478">
        <f t="shared" si="23"/>
        <v>0</v>
      </c>
      <c r="P121" s="478">
        <f t="shared" si="24"/>
        <v>0</v>
      </c>
    </row>
    <row r="122" spans="2:16" ht="12.5">
      <c r="B122" s="160" t="str">
        <f t="shared" si="15"/>
        <v/>
      </c>
      <c r="C122" s="472">
        <f>IF(D93="","-",+C121+1)</f>
        <v>2037</v>
      </c>
      <c r="D122" s="346">
        <f>IF(F121+SUM(E$99:E121)=D$92,F121,D$92-SUM(E$99:E121))</f>
        <v>1031166.2366666663</v>
      </c>
      <c r="E122" s="484">
        <f t="shared" si="17"/>
        <v>54796</v>
      </c>
      <c r="F122" s="485">
        <f t="shared" si="18"/>
        <v>976370.23666666634</v>
      </c>
      <c r="G122" s="485">
        <f t="shared" si="19"/>
        <v>1003768.2366666663</v>
      </c>
      <c r="H122" s="488">
        <f t="shared" si="20"/>
        <v>158298.58413455496</v>
      </c>
      <c r="I122" s="542">
        <f t="shared" si="21"/>
        <v>158298.58413455496</v>
      </c>
      <c r="J122" s="478">
        <f t="shared" si="16"/>
        <v>0</v>
      </c>
      <c r="K122" s="478"/>
      <c r="L122" s="487"/>
      <c r="M122" s="478">
        <f t="shared" si="22"/>
        <v>0</v>
      </c>
      <c r="N122" s="487"/>
      <c r="O122" s="478">
        <f t="shared" si="23"/>
        <v>0</v>
      </c>
      <c r="P122" s="478">
        <f t="shared" si="24"/>
        <v>0</v>
      </c>
    </row>
    <row r="123" spans="2:16" ht="12.5">
      <c r="B123" s="160" t="str">
        <f t="shared" si="15"/>
        <v/>
      </c>
      <c r="C123" s="472">
        <f>IF(D93="","-",+C122+1)</f>
        <v>2038</v>
      </c>
      <c r="D123" s="346">
        <f>IF(F122+SUM(E$99:E122)=D$92,F122,D$92-SUM(E$99:E122))</f>
        <v>976370.23666666634</v>
      </c>
      <c r="E123" s="484">
        <f t="shared" si="17"/>
        <v>54796</v>
      </c>
      <c r="F123" s="485">
        <f t="shared" si="18"/>
        <v>921574.23666666634</v>
      </c>
      <c r="G123" s="485">
        <f t="shared" si="19"/>
        <v>948972.23666666634</v>
      </c>
      <c r="H123" s="488">
        <f t="shared" si="20"/>
        <v>152648.34796144074</v>
      </c>
      <c r="I123" s="542">
        <f t="shared" si="21"/>
        <v>152648.34796144074</v>
      </c>
      <c r="J123" s="478">
        <f t="shared" si="16"/>
        <v>0</v>
      </c>
      <c r="K123" s="478"/>
      <c r="L123" s="487"/>
      <c r="M123" s="478">
        <f t="shared" si="22"/>
        <v>0</v>
      </c>
      <c r="N123" s="487"/>
      <c r="O123" s="478">
        <f t="shared" si="23"/>
        <v>0</v>
      </c>
      <c r="P123" s="478">
        <f t="shared" si="24"/>
        <v>0</v>
      </c>
    </row>
    <row r="124" spans="2:16" ht="12.5">
      <c r="B124" s="160" t="str">
        <f t="shared" si="15"/>
        <v/>
      </c>
      <c r="C124" s="472">
        <f>IF(D93="","-",+C123+1)</f>
        <v>2039</v>
      </c>
      <c r="D124" s="346">
        <f>IF(F123+SUM(E$99:E123)=D$92,F123,D$92-SUM(E$99:E123))</f>
        <v>921574.23666666634</v>
      </c>
      <c r="E124" s="484">
        <f t="shared" si="17"/>
        <v>54796</v>
      </c>
      <c r="F124" s="485">
        <f t="shared" si="18"/>
        <v>866778.23666666634</v>
      </c>
      <c r="G124" s="485">
        <f t="shared" si="19"/>
        <v>894176.23666666634</v>
      </c>
      <c r="H124" s="488">
        <f t="shared" si="20"/>
        <v>146998.1117883265</v>
      </c>
      <c r="I124" s="542">
        <f t="shared" si="21"/>
        <v>146998.1117883265</v>
      </c>
      <c r="J124" s="478">
        <f t="shared" si="16"/>
        <v>0</v>
      </c>
      <c r="K124" s="478"/>
      <c r="L124" s="487"/>
      <c r="M124" s="478">
        <f t="shared" si="22"/>
        <v>0</v>
      </c>
      <c r="N124" s="487"/>
      <c r="O124" s="478">
        <f t="shared" si="23"/>
        <v>0</v>
      </c>
      <c r="P124" s="478">
        <f t="shared" si="24"/>
        <v>0</v>
      </c>
    </row>
    <row r="125" spans="2:16" ht="12.5">
      <c r="B125" s="160" t="str">
        <f t="shared" si="15"/>
        <v/>
      </c>
      <c r="C125" s="472">
        <f>IF(D93="","-",+C124+1)</f>
        <v>2040</v>
      </c>
      <c r="D125" s="346">
        <f>IF(F124+SUM(E$99:E124)=D$92,F124,D$92-SUM(E$99:E124))</f>
        <v>866778.23666666634</v>
      </c>
      <c r="E125" s="484">
        <f t="shared" si="17"/>
        <v>54796</v>
      </c>
      <c r="F125" s="485">
        <f t="shared" si="18"/>
        <v>811982.23666666634</v>
      </c>
      <c r="G125" s="485">
        <f t="shared" si="19"/>
        <v>839380.23666666634</v>
      </c>
      <c r="H125" s="488">
        <f t="shared" si="20"/>
        <v>141347.87561521228</v>
      </c>
      <c r="I125" s="542">
        <f t="shared" si="21"/>
        <v>141347.87561521228</v>
      </c>
      <c r="J125" s="478">
        <f t="shared" si="16"/>
        <v>0</v>
      </c>
      <c r="K125" s="478"/>
      <c r="L125" s="487"/>
      <c r="M125" s="478">
        <f t="shared" si="22"/>
        <v>0</v>
      </c>
      <c r="N125" s="487"/>
      <c r="O125" s="478">
        <f t="shared" si="23"/>
        <v>0</v>
      </c>
      <c r="P125" s="478">
        <f t="shared" si="24"/>
        <v>0</v>
      </c>
    </row>
    <row r="126" spans="2:16" ht="12.5">
      <c r="B126" s="160" t="str">
        <f t="shared" si="15"/>
        <v/>
      </c>
      <c r="C126" s="472">
        <f>IF(D93="","-",+C125+1)</f>
        <v>2041</v>
      </c>
      <c r="D126" s="346">
        <f>IF(F125+SUM(E$99:E125)=D$92,F125,D$92-SUM(E$99:E125))</f>
        <v>811982.23666666634</v>
      </c>
      <c r="E126" s="484">
        <f t="shared" si="17"/>
        <v>54796</v>
      </c>
      <c r="F126" s="485">
        <f t="shared" si="18"/>
        <v>757186.23666666634</v>
      </c>
      <c r="G126" s="485">
        <f t="shared" si="19"/>
        <v>784584.23666666634</v>
      </c>
      <c r="H126" s="488">
        <f t="shared" si="20"/>
        <v>135697.63944209807</v>
      </c>
      <c r="I126" s="542">
        <f t="shared" si="21"/>
        <v>135697.63944209807</v>
      </c>
      <c r="J126" s="478">
        <f t="shared" si="16"/>
        <v>0</v>
      </c>
      <c r="K126" s="478"/>
      <c r="L126" s="487"/>
      <c r="M126" s="478">
        <f t="shared" si="22"/>
        <v>0</v>
      </c>
      <c r="N126" s="487"/>
      <c r="O126" s="478">
        <f t="shared" si="23"/>
        <v>0</v>
      </c>
      <c r="P126" s="478">
        <f t="shared" si="24"/>
        <v>0</v>
      </c>
    </row>
    <row r="127" spans="2:16" ht="12.5">
      <c r="B127" s="160" t="str">
        <f t="shared" si="15"/>
        <v/>
      </c>
      <c r="C127" s="472">
        <f>IF(D93="","-",+C126+1)</f>
        <v>2042</v>
      </c>
      <c r="D127" s="346">
        <f>IF(F126+SUM(E$99:E126)=D$92,F126,D$92-SUM(E$99:E126))</f>
        <v>757186.23666666634</v>
      </c>
      <c r="E127" s="484">
        <f t="shared" si="17"/>
        <v>54796</v>
      </c>
      <c r="F127" s="485">
        <f t="shared" si="18"/>
        <v>702390.23666666634</v>
      </c>
      <c r="G127" s="485">
        <f t="shared" si="19"/>
        <v>729788.23666666634</v>
      </c>
      <c r="H127" s="488">
        <f t="shared" si="20"/>
        <v>130047.40326898385</v>
      </c>
      <c r="I127" s="542">
        <f t="shared" si="21"/>
        <v>130047.40326898385</v>
      </c>
      <c r="J127" s="478">
        <f t="shared" si="16"/>
        <v>0</v>
      </c>
      <c r="K127" s="478"/>
      <c r="L127" s="487"/>
      <c r="M127" s="478">
        <f t="shared" si="22"/>
        <v>0</v>
      </c>
      <c r="N127" s="487"/>
      <c r="O127" s="478">
        <f t="shared" si="23"/>
        <v>0</v>
      </c>
      <c r="P127" s="478">
        <f t="shared" si="24"/>
        <v>0</v>
      </c>
    </row>
    <row r="128" spans="2:16" ht="12.5">
      <c r="B128" s="160" t="str">
        <f t="shared" si="15"/>
        <v/>
      </c>
      <c r="C128" s="472">
        <f>IF(D93="","-",+C127+1)</f>
        <v>2043</v>
      </c>
      <c r="D128" s="346">
        <f>IF(F127+SUM(E$99:E127)=D$92,F127,D$92-SUM(E$99:E127))</f>
        <v>702390.23666666634</v>
      </c>
      <c r="E128" s="484">
        <f t="shared" si="17"/>
        <v>54796</v>
      </c>
      <c r="F128" s="485">
        <f t="shared" si="18"/>
        <v>647594.23666666634</v>
      </c>
      <c r="G128" s="485">
        <f t="shared" si="19"/>
        <v>674992.23666666634</v>
      </c>
      <c r="H128" s="488">
        <f t="shared" si="20"/>
        <v>124397.16709586962</v>
      </c>
      <c r="I128" s="542">
        <f t="shared" si="21"/>
        <v>124397.16709586962</v>
      </c>
      <c r="J128" s="478">
        <f t="shared" si="16"/>
        <v>0</v>
      </c>
      <c r="K128" s="478"/>
      <c r="L128" s="487"/>
      <c r="M128" s="478">
        <f t="shared" si="22"/>
        <v>0</v>
      </c>
      <c r="N128" s="487"/>
      <c r="O128" s="478">
        <f t="shared" si="23"/>
        <v>0</v>
      </c>
      <c r="P128" s="478">
        <f t="shared" si="24"/>
        <v>0</v>
      </c>
    </row>
    <row r="129" spans="2:16" ht="12.5">
      <c r="B129" s="160" t="str">
        <f t="shared" si="15"/>
        <v/>
      </c>
      <c r="C129" s="472">
        <f>IF(D93="","-",+C128+1)</f>
        <v>2044</v>
      </c>
      <c r="D129" s="346">
        <f>IF(F128+SUM(E$99:E128)=D$92,F128,D$92-SUM(E$99:E128))</f>
        <v>647594.23666666634</v>
      </c>
      <c r="E129" s="484">
        <f t="shared" si="17"/>
        <v>54796</v>
      </c>
      <c r="F129" s="485">
        <f t="shared" si="18"/>
        <v>592798.23666666634</v>
      </c>
      <c r="G129" s="485">
        <f t="shared" si="19"/>
        <v>620196.23666666634</v>
      </c>
      <c r="H129" s="488">
        <f t="shared" si="20"/>
        <v>118746.9309227554</v>
      </c>
      <c r="I129" s="542">
        <f t="shared" si="21"/>
        <v>118746.9309227554</v>
      </c>
      <c r="J129" s="478">
        <f t="shared" si="16"/>
        <v>0</v>
      </c>
      <c r="K129" s="478"/>
      <c r="L129" s="487"/>
      <c r="M129" s="478">
        <f t="shared" si="22"/>
        <v>0</v>
      </c>
      <c r="N129" s="487"/>
      <c r="O129" s="478">
        <f t="shared" si="23"/>
        <v>0</v>
      </c>
      <c r="P129" s="478">
        <f t="shared" si="24"/>
        <v>0</v>
      </c>
    </row>
    <row r="130" spans="2:16" ht="12.5">
      <c r="B130" s="160" t="str">
        <f t="shared" si="15"/>
        <v/>
      </c>
      <c r="C130" s="472">
        <f>IF(D93="","-",+C129+1)</f>
        <v>2045</v>
      </c>
      <c r="D130" s="346">
        <f>IF(F129+SUM(E$99:E129)=D$92,F129,D$92-SUM(E$99:E129))</f>
        <v>592798.23666666634</v>
      </c>
      <c r="E130" s="484">
        <f t="shared" si="17"/>
        <v>54796</v>
      </c>
      <c r="F130" s="485">
        <f t="shared" si="18"/>
        <v>538002.23666666634</v>
      </c>
      <c r="G130" s="485">
        <f t="shared" si="19"/>
        <v>565400.23666666634</v>
      </c>
      <c r="H130" s="488">
        <f t="shared" si="20"/>
        <v>113096.69474964119</v>
      </c>
      <c r="I130" s="542">
        <f t="shared" si="21"/>
        <v>113096.69474964119</v>
      </c>
      <c r="J130" s="478">
        <f t="shared" si="16"/>
        <v>0</v>
      </c>
      <c r="K130" s="478"/>
      <c r="L130" s="487"/>
      <c r="M130" s="478">
        <f t="shared" si="22"/>
        <v>0</v>
      </c>
      <c r="N130" s="487"/>
      <c r="O130" s="478">
        <f t="shared" si="23"/>
        <v>0</v>
      </c>
      <c r="P130" s="478">
        <f t="shared" si="24"/>
        <v>0</v>
      </c>
    </row>
    <row r="131" spans="2:16" ht="12.5">
      <c r="B131" s="160" t="str">
        <f t="shared" si="15"/>
        <v/>
      </c>
      <c r="C131" s="472">
        <f>IF(D93="","-",+C130+1)</f>
        <v>2046</v>
      </c>
      <c r="D131" s="346">
        <f>IF(F130+SUM(E$99:E130)=D$92,F130,D$92-SUM(E$99:E130))</f>
        <v>538002.23666666634</v>
      </c>
      <c r="E131" s="484">
        <f t="shared" si="17"/>
        <v>54796</v>
      </c>
      <c r="F131" s="485">
        <f t="shared" si="18"/>
        <v>483206.23666666634</v>
      </c>
      <c r="G131" s="485">
        <f t="shared" si="19"/>
        <v>510604.23666666634</v>
      </c>
      <c r="H131" s="488">
        <f t="shared" si="20"/>
        <v>107446.45857652696</v>
      </c>
      <c r="I131" s="542">
        <f t="shared" si="21"/>
        <v>107446.45857652696</v>
      </c>
      <c r="J131" s="478">
        <f t="shared" si="16"/>
        <v>0</v>
      </c>
      <c r="K131" s="478"/>
      <c r="L131" s="487"/>
      <c r="M131" s="478">
        <f t="shared" ref="M131:M154" si="25">IF(L541&lt;&gt;0,+H541-L541,0)</f>
        <v>0</v>
      </c>
      <c r="N131" s="487"/>
      <c r="O131" s="478">
        <f t="shared" ref="O131:O154" si="26">IF(N541&lt;&gt;0,+I541-N541,0)</f>
        <v>0</v>
      </c>
      <c r="P131" s="478">
        <f t="shared" ref="P131:P154" si="27">+O541-M541</f>
        <v>0</v>
      </c>
    </row>
    <row r="132" spans="2:16" ht="12.5">
      <c r="B132" s="160" t="str">
        <f t="shared" si="15"/>
        <v/>
      </c>
      <c r="C132" s="472">
        <f>IF(D93="","-",+C131+1)</f>
        <v>2047</v>
      </c>
      <c r="D132" s="346">
        <f>IF(F131+SUM(E$99:E131)=D$92,F131,D$92-SUM(E$99:E131))</f>
        <v>483206.23666666634</v>
      </c>
      <c r="E132" s="484">
        <f t="shared" si="17"/>
        <v>54796</v>
      </c>
      <c r="F132" s="485">
        <f t="shared" si="18"/>
        <v>428410.23666666634</v>
      </c>
      <c r="G132" s="485">
        <f t="shared" si="19"/>
        <v>455808.23666666634</v>
      </c>
      <c r="H132" s="488">
        <f t="shared" si="20"/>
        <v>101796.22240341274</v>
      </c>
      <c r="I132" s="542">
        <f t="shared" si="21"/>
        <v>101796.22240341274</v>
      </c>
      <c r="J132" s="478">
        <f t="shared" si="16"/>
        <v>0</v>
      </c>
      <c r="K132" s="478"/>
      <c r="L132" s="487"/>
      <c r="M132" s="478">
        <f t="shared" si="25"/>
        <v>0</v>
      </c>
      <c r="N132" s="487"/>
      <c r="O132" s="478">
        <f t="shared" si="26"/>
        <v>0</v>
      </c>
      <c r="P132" s="478">
        <f t="shared" si="27"/>
        <v>0</v>
      </c>
    </row>
    <row r="133" spans="2:16" ht="12.5">
      <c r="B133" s="160" t="str">
        <f t="shared" si="15"/>
        <v/>
      </c>
      <c r="C133" s="472">
        <f>IF(D93="","-",+C132+1)</f>
        <v>2048</v>
      </c>
      <c r="D133" s="346">
        <f>IF(F132+SUM(E$99:E132)=D$92,F132,D$92-SUM(E$99:E132))</f>
        <v>428410.23666666634</v>
      </c>
      <c r="E133" s="484">
        <f t="shared" si="17"/>
        <v>54796</v>
      </c>
      <c r="F133" s="485">
        <f t="shared" si="18"/>
        <v>373614.23666666634</v>
      </c>
      <c r="G133" s="485">
        <f t="shared" si="19"/>
        <v>401012.23666666634</v>
      </c>
      <c r="H133" s="488">
        <f t="shared" si="20"/>
        <v>96145.986230298528</v>
      </c>
      <c r="I133" s="542">
        <f t="shared" si="21"/>
        <v>96145.986230298528</v>
      </c>
      <c r="J133" s="478">
        <f t="shared" si="16"/>
        <v>0</v>
      </c>
      <c r="K133" s="478"/>
      <c r="L133" s="487"/>
      <c r="M133" s="478">
        <f t="shared" si="25"/>
        <v>0</v>
      </c>
      <c r="N133" s="487"/>
      <c r="O133" s="478">
        <f t="shared" si="26"/>
        <v>0</v>
      </c>
      <c r="P133" s="478">
        <f t="shared" si="27"/>
        <v>0</v>
      </c>
    </row>
    <row r="134" spans="2:16" ht="12.5">
      <c r="B134" s="160" t="str">
        <f t="shared" si="15"/>
        <v/>
      </c>
      <c r="C134" s="472">
        <f>IF(D93="","-",+C133+1)</f>
        <v>2049</v>
      </c>
      <c r="D134" s="346">
        <f>IF(F133+SUM(E$99:E133)=D$92,F133,D$92-SUM(E$99:E133))</f>
        <v>373614.23666666634</v>
      </c>
      <c r="E134" s="484">
        <f t="shared" si="17"/>
        <v>54796</v>
      </c>
      <c r="F134" s="485">
        <f t="shared" si="18"/>
        <v>318818.23666666634</v>
      </c>
      <c r="G134" s="485">
        <f t="shared" si="19"/>
        <v>346216.23666666634</v>
      </c>
      <c r="H134" s="488">
        <f t="shared" si="20"/>
        <v>90495.750057184312</v>
      </c>
      <c r="I134" s="542">
        <f t="shared" si="21"/>
        <v>90495.750057184312</v>
      </c>
      <c r="J134" s="478">
        <f t="shared" si="16"/>
        <v>0</v>
      </c>
      <c r="K134" s="478"/>
      <c r="L134" s="487"/>
      <c r="M134" s="478">
        <f t="shared" si="25"/>
        <v>0</v>
      </c>
      <c r="N134" s="487"/>
      <c r="O134" s="478">
        <f t="shared" si="26"/>
        <v>0</v>
      </c>
      <c r="P134" s="478">
        <f t="shared" si="27"/>
        <v>0</v>
      </c>
    </row>
    <row r="135" spans="2:16" ht="12.5">
      <c r="B135" s="160" t="str">
        <f t="shared" si="15"/>
        <v/>
      </c>
      <c r="C135" s="472">
        <f>IF(D93="","-",+C134+1)</f>
        <v>2050</v>
      </c>
      <c r="D135" s="346">
        <f>IF(F134+SUM(E$99:E134)=D$92,F134,D$92-SUM(E$99:E134))</f>
        <v>318818.23666666634</v>
      </c>
      <c r="E135" s="484">
        <f t="shared" si="17"/>
        <v>54796</v>
      </c>
      <c r="F135" s="485">
        <f t="shared" si="18"/>
        <v>264022.23666666634</v>
      </c>
      <c r="G135" s="485">
        <f t="shared" si="19"/>
        <v>291420.23666666634</v>
      </c>
      <c r="H135" s="488">
        <f t="shared" si="20"/>
        <v>84845.513884070097</v>
      </c>
      <c r="I135" s="542">
        <f t="shared" si="21"/>
        <v>84845.513884070097</v>
      </c>
      <c r="J135" s="478">
        <f t="shared" si="16"/>
        <v>0</v>
      </c>
      <c r="K135" s="478"/>
      <c r="L135" s="487"/>
      <c r="M135" s="478">
        <f t="shared" si="25"/>
        <v>0</v>
      </c>
      <c r="N135" s="487"/>
      <c r="O135" s="478">
        <f t="shared" si="26"/>
        <v>0</v>
      </c>
      <c r="P135" s="478">
        <f t="shared" si="27"/>
        <v>0</v>
      </c>
    </row>
    <row r="136" spans="2:16" ht="12.5">
      <c r="B136" s="160" t="str">
        <f t="shared" si="15"/>
        <v/>
      </c>
      <c r="C136" s="472">
        <f>IF(D93="","-",+C135+1)</f>
        <v>2051</v>
      </c>
      <c r="D136" s="346">
        <f>IF(F135+SUM(E$99:E135)=D$92,F135,D$92-SUM(E$99:E135))</f>
        <v>264022.23666666634</v>
      </c>
      <c r="E136" s="484">
        <f t="shared" si="17"/>
        <v>54796</v>
      </c>
      <c r="F136" s="485">
        <f t="shared" si="18"/>
        <v>209226.23666666634</v>
      </c>
      <c r="G136" s="485">
        <f t="shared" si="19"/>
        <v>236624.23666666634</v>
      </c>
      <c r="H136" s="488">
        <f t="shared" si="20"/>
        <v>79195.277710955881</v>
      </c>
      <c r="I136" s="542">
        <f t="shared" si="21"/>
        <v>79195.277710955881</v>
      </c>
      <c r="J136" s="478">
        <f t="shared" si="16"/>
        <v>0</v>
      </c>
      <c r="K136" s="478"/>
      <c r="L136" s="487"/>
      <c r="M136" s="478">
        <f t="shared" si="25"/>
        <v>0</v>
      </c>
      <c r="N136" s="487"/>
      <c r="O136" s="478">
        <f t="shared" si="26"/>
        <v>0</v>
      </c>
      <c r="P136" s="478">
        <f t="shared" si="27"/>
        <v>0</v>
      </c>
    </row>
    <row r="137" spans="2:16" ht="12.5">
      <c r="B137" s="160" t="str">
        <f t="shared" si="15"/>
        <v/>
      </c>
      <c r="C137" s="472">
        <f>IF(D93="","-",+C136+1)</f>
        <v>2052</v>
      </c>
      <c r="D137" s="346">
        <f>IF(F136+SUM(E$99:E136)=D$92,F136,D$92-SUM(E$99:E136))</f>
        <v>209226.23666666634</v>
      </c>
      <c r="E137" s="484">
        <f t="shared" si="17"/>
        <v>54796</v>
      </c>
      <c r="F137" s="485">
        <f t="shared" si="18"/>
        <v>154430.23666666634</v>
      </c>
      <c r="G137" s="485">
        <f t="shared" si="19"/>
        <v>181828.23666666634</v>
      </c>
      <c r="H137" s="488">
        <f t="shared" si="20"/>
        <v>73545.041537841651</v>
      </c>
      <c r="I137" s="542">
        <f t="shared" si="21"/>
        <v>73545.041537841651</v>
      </c>
      <c r="J137" s="478">
        <f t="shared" si="16"/>
        <v>0</v>
      </c>
      <c r="K137" s="478"/>
      <c r="L137" s="487"/>
      <c r="M137" s="478">
        <f t="shared" si="25"/>
        <v>0</v>
      </c>
      <c r="N137" s="487"/>
      <c r="O137" s="478">
        <f t="shared" si="26"/>
        <v>0</v>
      </c>
      <c r="P137" s="478">
        <f t="shared" si="27"/>
        <v>0</v>
      </c>
    </row>
    <row r="138" spans="2:16" ht="12.5">
      <c r="B138" s="160" t="str">
        <f t="shared" si="15"/>
        <v/>
      </c>
      <c r="C138" s="472">
        <f>IF(D93="","-",+C137+1)</f>
        <v>2053</v>
      </c>
      <c r="D138" s="346">
        <f>IF(F137+SUM(E$99:E137)=D$92,F137,D$92-SUM(E$99:E137))</f>
        <v>154430.23666666634</v>
      </c>
      <c r="E138" s="484">
        <f t="shared" si="17"/>
        <v>54796</v>
      </c>
      <c r="F138" s="485">
        <f t="shared" si="18"/>
        <v>99634.236666666344</v>
      </c>
      <c r="G138" s="485">
        <f t="shared" si="19"/>
        <v>127032.23666666634</v>
      </c>
      <c r="H138" s="488">
        <f t="shared" si="20"/>
        <v>67894.805364727436</v>
      </c>
      <c r="I138" s="542">
        <f t="shared" si="21"/>
        <v>67894.805364727436</v>
      </c>
      <c r="J138" s="478">
        <f t="shared" si="16"/>
        <v>0</v>
      </c>
      <c r="K138" s="478"/>
      <c r="L138" s="487"/>
      <c r="M138" s="478">
        <f t="shared" si="25"/>
        <v>0</v>
      </c>
      <c r="N138" s="487"/>
      <c r="O138" s="478">
        <f t="shared" si="26"/>
        <v>0</v>
      </c>
      <c r="P138" s="478">
        <f t="shared" si="27"/>
        <v>0</v>
      </c>
    </row>
    <row r="139" spans="2:16" ht="12.5">
      <c r="B139" s="160" t="str">
        <f t="shared" si="15"/>
        <v/>
      </c>
      <c r="C139" s="472">
        <f>IF(D93="","-",+C138+1)</f>
        <v>2054</v>
      </c>
      <c r="D139" s="346">
        <f>IF(F138+SUM(E$99:E138)=D$92,F138,D$92-SUM(E$99:E138))</f>
        <v>99634.236666666344</v>
      </c>
      <c r="E139" s="484">
        <f t="shared" si="17"/>
        <v>54796</v>
      </c>
      <c r="F139" s="485">
        <f t="shared" si="18"/>
        <v>44838.236666666344</v>
      </c>
      <c r="G139" s="485">
        <f t="shared" si="19"/>
        <v>72236.236666666344</v>
      </c>
      <c r="H139" s="488">
        <f t="shared" si="20"/>
        <v>62244.56919161322</v>
      </c>
      <c r="I139" s="542">
        <f t="shared" si="21"/>
        <v>62244.56919161322</v>
      </c>
      <c r="J139" s="478">
        <f t="shared" si="16"/>
        <v>0</v>
      </c>
      <c r="K139" s="478"/>
      <c r="L139" s="487"/>
      <c r="M139" s="478">
        <f t="shared" si="25"/>
        <v>0</v>
      </c>
      <c r="N139" s="487"/>
      <c r="O139" s="478">
        <f t="shared" si="26"/>
        <v>0</v>
      </c>
      <c r="P139" s="478">
        <f t="shared" si="27"/>
        <v>0</v>
      </c>
    </row>
    <row r="140" spans="2:16" ht="12.5">
      <c r="B140" s="160" t="str">
        <f t="shared" si="15"/>
        <v/>
      </c>
      <c r="C140" s="472">
        <f>IF(D93="","-",+C139+1)</f>
        <v>2055</v>
      </c>
      <c r="D140" s="346">
        <f>IF(F139+SUM(E$99:E139)=D$92,F139,D$92-SUM(E$99:E139))</f>
        <v>44838.236666666344</v>
      </c>
      <c r="E140" s="484">
        <f t="shared" si="17"/>
        <v>44838.236666666344</v>
      </c>
      <c r="F140" s="485">
        <f t="shared" si="18"/>
        <v>0</v>
      </c>
      <c r="G140" s="485">
        <f t="shared" si="19"/>
        <v>22419.118333333172</v>
      </c>
      <c r="H140" s="488">
        <f t="shared" si="20"/>
        <v>47149.9622191944</v>
      </c>
      <c r="I140" s="542">
        <f t="shared" si="21"/>
        <v>47149.9622191944</v>
      </c>
      <c r="J140" s="478">
        <f t="shared" si="16"/>
        <v>0</v>
      </c>
      <c r="K140" s="478"/>
      <c r="L140" s="487"/>
      <c r="M140" s="478">
        <f t="shared" si="25"/>
        <v>0</v>
      </c>
      <c r="N140" s="487"/>
      <c r="O140" s="478">
        <f t="shared" si="26"/>
        <v>0</v>
      </c>
      <c r="P140" s="478">
        <f t="shared" si="27"/>
        <v>0</v>
      </c>
    </row>
    <row r="141" spans="2:16" ht="12.5">
      <c r="B141" s="160" t="str">
        <f t="shared" si="15"/>
        <v/>
      </c>
      <c r="C141" s="472">
        <f>IF(D93="","-",+C140+1)</f>
        <v>2056</v>
      </c>
      <c r="D141" s="346">
        <f>IF(F140+SUM(E$99:E140)=D$92,F140,D$92-SUM(E$99:E140))</f>
        <v>0</v>
      </c>
      <c r="E141" s="484">
        <f t="shared" si="17"/>
        <v>0</v>
      </c>
      <c r="F141" s="485">
        <f t="shared" si="18"/>
        <v>0</v>
      </c>
      <c r="G141" s="485">
        <f t="shared" si="19"/>
        <v>0</v>
      </c>
      <c r="H141" s="488">
        <f t="shared" si="20"/>
        <v>0</v>
      </c>
      <c r="I141" s="542">
        <f t="shared" si="21"/>
        <v>0</v>
      </c>
      <c r="J141" s="478">
        <f t="shared" si="16"/>
        <v>0</v>
      </c>
      <c r="K141" s="478"/>
      <c r="L141" s="487"/>
      <c r="M141" s="478">
        <f t="shared" si="25"/>
        <v>0</v>
      </c>
      <c r="N141" s="487"/>
      <c r="O141" s="478">
        <f t="shared" si="26"/>
        <v>0</v>
      </c>
      <c r="P141" s="478">
        <f t="shared" si="27"/>
        <v>0</v>
      </c>
    </row>
    <row r="142" spans="2:16" ht="12.5">
      <c r="B142" s="160" t="str">
        <f t="shared" si="15"/>
        <v/>
      </c>
      <c r="C142" s="472">
        <f>IF(D93="","-",+C141+1)</f>
        <v>2057</v>
      </c>
      <c r="D142" s="346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488">
        <f t="shared" si="20"/>
        <v>0</v>
      </c>
      <c r="I142" s="542">
        <f t="shared" si="21"/>
        <v>0</v>
      </c>
      <c r="J142" s="478">
        <f t="shared" si="16"/>
        <v>0</v>
      </c>
      <c r="K142" s="478"/>
      <c r="L142" s="487"/>
      <c r="M142" s="478">
        <f t="shared" si="25"/>
        <v>0</v>
      </c>
      <c r="N142" s="487"/>
      <c r="O142" s="478">
        <f t="shared" si="26"/>
        <v>0</v>
      </c>
      <c r="P142" s="478">
        <f t="shared" si="27"/>
        <v>0</v>
      </c>
    </row>
    <row r="143" spans="2:16" ht="12.5">
      <c r="B143" s="160" t="str">
        <f t="shared" si="15"/>
        <v/>
      </c>
      <c r="C143" s="472">
        <f>IF(D93="","-",+C142+1)</f>
        <v>2058</v>
      </c>
      <c r="D143" s="346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488">
        <f t="shared" si="20"/>
        <v>0</v>
      </c>
      <c r="I143" s="542">
        <f t="shared" si="21"/>
        <v>0</v>
      </c>
      <c r="J143" s="478">
        <f t="shared" si="16"/>
        <v>0</v>
      </c>
      <c r="K143" s="478"/>
      <c r="L143" s="487"/>
      <c r="M143" s="478">
        <f t="shared" si="25"/>
        <v>0</v>
      </c>
      <c r="N143" s="487"/>
      <c r="O143" s="478">
        <f t="shared" si="26"/>
        <v>0</v>
      </c>
      <c r="P143" s="478">
        <f t="shared" si="27"/>
        <v>0</v>
      </c>
    </row>
    <row r="144" spans="2:16" ht="12.5">
      <c r="B144" s="160" t="str">
        <f t="shared" si="15"/>
        <v/>
      </c>
      <c r="C144" s="472">
        <f>IF(D93="","-",+C143+1)</f>
        <v>2059</v>
      </c>
      <c r="D144" s="346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488">
        <f t="shared" si="20"/>
        <v>0</v>
      </c>
      <c r="I144" s="542">
        <f t="shared" si="21"/>
        <v>0</v>
      </c>
      <c r="J144" s="478">
        <f t="shared" si="16"/>
        <v>0</v>
      </c>
      <c r="K144" s="478"/>
      <c r="L144" s="487"/>
      <c r="M144" s="478">
        <f t="shared" si="25"/>
        <v>0</v>
      </c>
      <c r="N144" s="487"/>
      <c r="O144" s="478">
        <f t="shared" si="26"/>
        <v>0</v>
      </c>
      <c r="P144" s="478">
        <f t="shared" si="27"/>
        <v>0</v>
      </c>
    </row>
    <row r="145" spans="2:16" ht="12.5">
      <c r="B145" s="160" t="str">
        <f t="shared" si="15"/>
        <v/>
      </c>
      <c r="C145" s="472">
        <f>IF(D93="","-",+C144+1)</f>
        <v>2060</v>
      </c>
      <c r="D145" s="346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488">
        <f t="shared" si="20"/>
        <v>0</v>
      </c>
      <c r="I145" s="542">
        <f t="shared" si="21"/>
        <v>0</v>
      </c>
      <c r="J145" s="478">
        <f t="shared" si="16"/>
        <v>0</v>
      </c>
      <c r="K145" s="478"/>
      <c r="L145" s="487"/>
      <c r="M145" s="478">
        <f t="shared" si="25"/>
        <v>0</v>
      </c>
      <c r="N145" s="487"/>
      <c r="O145" s="478">
        <f t="shared" si="26"/>
        <v>0</v>
      </c>
      <c r="P145" s="478">
        <f t="shared" si="27"/>
        <v>0</v>
      </c>
    </row>
    <row r="146" spans="2:16" ht="12.5">
      <c r="B146" s="160" t="str">
        <f t="shared" si="15"/>
        <v/>
      </c>
      <c r="C146" s="472">
        <f>IF(D93="","-",+C145+1)</f>
        <v>2061</v>
      </c>
      <c r="D146" s="346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488">
        <f t="shared" si="20"/>
        <v>0</v>
      </c>
      <c r="I146" s="542">
        <f t="shared" si="21"/>
        <v>0</v>
      </c>
      <c r="J146" s="478">
        <f t="shared" si="16"/>
        <v>0</v>
      </c>
      <c r="K146" s="478"/>
      <c r="L146" s="487"/>
      <c r="M146" s="478">
        <f t="shared" si="25"/>
        <v>0</v>
      </c>
      <c r="N146" s="487"/>
      <c r="O146" s="478">
        <f t="shared" si="26"/>
        <v>0</v>
      </c>
      <c r="P146" s="478">
        <f t="shared" si="27"/>
        <v>0</v>
      </c>
    </row>
    <row r="147" spans="2:16" ht="12.5">
      <c r="B147" s="160" t="str">
        <f t="shared" si="15"/>
        <v/>
      </c>
      <c r="C147" s="472">
        <f>IF(D93="","-",+C146+1)</f>
        <v>2062</v>
      </c>
      <c r="D147" s="346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488">
        <f t="shared" si="20"/>
        <v>0</v>
      </c>
      <c r="I147" s="542">
        <f t="shared" si="21"/>
        <v>0</v>
      </c>
      <c r="J147" s="478">
        <f t="shared" si="16"/>
        <v>0</v>
      </c>
      <c r="K147" s="478"/>
      <c r="L147" s="487"/>
      <c r="M147" s="478">
        <f t="shared" si="25"/>
        <v>0</v>
      </c>
      <c r="N147" s="487"/>
      <c r="O147" s="478">
        <f t="shared" si="26"/>
        <v>0</v>
      </c>
      <c r="P147" s="478">
        <f t="shared" si="27"/>
        <v>0</v>
      </c>
    </row>
    <row r="148" spans="2:16" ht="12.5">
      <c r="B148" s="160" t="str">
        <f t="shared" si="15"/>
        <v/>
      </c>
      <c r="C148" s="472">
        <f>IF(D93="","-",+C147+1)</f>
        <v>2063</v>
      </c>
      <c r="D148" s="346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488">
        <f t="shared" si="20"/>
        <v>0</v>
      </c>
      <c r="I148" s="542">
        <f t="shared" si="21"/>
        <v>0</v>
      </c>
      <c r="J148" s="478">
        <f t="shared" si="16"/>
        <v>0</v>
      </c>
      <c r="K148" s="478"/>
      <c r="L148" s="487"/>
      <c r="M148" s="478">
        <f t="shared" si="25"/>
        <v>0</v>
      </c>
      <c r="N148" s="487"/>
      <c r="O148" s="478">
        <f t="shared" si="26"/>
        <v>0</v>
      </c>
      <c r="P148" s="478">
        <f t="shared" si="27"/>
        <v>0</v>
      </c>
    </row>
    <row r="149" spans="2:16" ht="12.5">
      <c r="B149" s="160" t="str">
        <f t="shared" si="15"/>
        <v/>
      </c>
      <c r="C149" s="472">
        <f>IF(D93="","-",+C148+1)</f>
        <v>2064</v>
      </c>
      <c r="D149" s="346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488">
        <f t="shared" si="20"/>
        <v>0</v>
      </c>
      <c r="I149" s="542">
        <f t="shared" si="21"/>
        <v>0</v>
      </c>
      <c r="J149" s="478">
        <f t="shared" si="16"/>
        <v>0</v>
      </c>
      <c r="K149" s="478"/>
      <c r="L149" s="487"/>
      <c r="M149" s="478">
        <f t="shared" si="25"/>
        <v>0</v>
      </c>
      <c r="N149" s="487"/>
      <c r="O149" s="478">
        <f t="shared" si="26"/>
        <v>0</v>
      </c>
      <c r="P149" s="478">
        <f t="shared" si="27"/>
        <v>0</v>
      </c>
    </row>
    <row r="150" spans="2:16" ht="12.5">
      <c r="B150" s="160" t="str">
        <f t="shared" si="15"/>
        <v/>
      </c>
      <c r="C150" s="472">
        <f>IF(D93="","-",+C149+1)</f>
        <v>2065</v>
      </c>
      <c r="D150" s="346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488">
        <f t="shared" si="20"/>
        <v>0</v>
      </c>
      <c r="I150" s="542">
        <f t="shared" si="21"/>
        <v>0</v>
      </c>
      <c r="J150" s="478">
        <f t="shared" si="16"/>
        <v>0</v>
      </c>
      <c r="K150" s="478"/>
      <c r="L150" s="487"/>
      <c r="M150" s="478">
        <f t="shared" si="25"/>
        <v>0</v>
      </c>
      <c r="N150" s="487"/>
      <c r="O150" s="478">
        <f t="shared" si="26"/>
        <v>0</v>
      </c>
      <c r="P150" s="478">
        <f t="shared" si="27"/>
        <v>0</v>
      </c>
    </row>
    <row r="151" spans="2:16" ht="12.5">
      <c r="B151" s="160" t="str">
        <f t="shared" si="15"/>
        <v/>
      </c>
      <c r="C151" s="472">
        <f>IF(D93="","-",+C150+1)</f>
        <v>2066</v>
      </c>
      <c r="D151" s="346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488">
        <f t="shared" si="20"/>
        <v>0</v>
      </c>
      <c r="I151" s="542">
        <f t="shared" si="21"/>
        <v>0</v>
      </c>
      <c r="J151" s="478">
        <f t="shared" si="16"/>
        <v>0</v>
      </c>
      <c r="K151" s="478"/>
      <c r="L151" s="487"/>
      <c r="M151" s="478">
        <f t="shared" si="25"/>
        <v>0</v>
      </c>
      <c r="N151" s="487"/>
      <c r="O151" s="478">
        <f t="shared" si="26"/>
        <v>0</v>
      </c>
      <c r="P151" s="478">
        <f t="shared" si="27"/>
        <v>0</v>
      </c>
    </row>
    <row r="152" spans="2:16" ht="12.5">
      <c r="B152" s="160" t="str">
        <f t="shared" si="15"/>
        <v/>
      </c>
      <c r="C152" s="472">
        <f>IF(D93="","-",+C151+1)</f>
        <v>2067</v>
      </c>
      <c r="D152" s="346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488">
        <f t="shared" si="20"/>
        <v>0</v>
      </c>
      <c r="I152" s="542">
        <f t="shared" si="21"/>
        <v>0</v>
      </c>
      <c r="J152" s="478">
        <f t="shared" si="16"/>
        <v>0</v>
      </c>
      <c r="K152" s="478"/>
      <c r="L152" s="487"/>
      <c r="M152" s="478">
        <f t="shared" si="25"/>
        <v>0</v>
      </c>
      <c r="N152" s="487"/>
      <c r="O152" s="478">
        <f t="shared" si="26"/>
        <v>0</v>
      </c>
      <c r="P152" s="478">
        <f t="shared" si="27"/>
        <v>0</v>
      </c>
    </row>
    <row r="153" spans="2:16" ht="12.5">
      <c r="B153" s="160" t="str">
        <f t="shared" si="15"/>
        <v/>
      </c>
      <c r="C153" s="472">
        <f>IF(D93="","-",+C152+1)</f>
        <v>2068</v>
      </c>
      <c r="D153" s="346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488">
        <f t="shared" si="20"/>
        <v>0</v>
      </c>
      <c r="I153" s="542">
        <f t="shared" si="21"/>
        <v>0</v>
      </c>
      <c r="J153" s="478">
        <f t="shared" si="16"/>
        <v>0</v>
      </c>
      <c r="K153" s="478"/>
      <c r="L153" s="487"/>
      <c r="M153" s="478">
        <f t="shared" si="25"/>
        <v>0</v>
      </c>
      <c r="N153" s="487"/>
      <c r="O153" s="478">
        <f t="shared" si="26"/>
        <v>0</v>
      </c>
      <c r="P153" s="478">
        <f t="shared" si="27"/>
        <v>0</v>
      </c>
    </row>
    <row r="154" spans="2:16" ht="13" thickBot="1">
      <c r="B154" s="160" t="str">
        <f t="shared" si="15"/>
        <v/>
      </c>
      <c r="C154" s="489">
        <f>IF(D93="","-",+C153+1)</f>
        <v>2069</v>
      </c>
      <c r="D154" s="346">
        <f>IF(F153+SUM(E$99:E153)=D$92,F153,D$92-SUM(E$99:E153))</f>
        <v>0</v>
      </c>
      <c r="E154" s="484">
        <f t="shared" si="17"/>
        <v>0</v>
      </c>
      <c r="F154" s="485">
        <f t="shared" si="18"/>
        <v>0</v>
      </c>
      <c r="G154" s="485">
        <f t="shared" si="19"/>
        <v>0</v>
      </c>
      <c r="H154" s="488">
        <f t="shared" si="20"/>
        <v>0</v>
      </c>
      <c r="I154" s="542">
        <f t="shared" si="21"/>
        <v>0</v>
      </c>
      <c r="J154" s="478">
        <f t="shared" si="16"/>
        <v>0</v>
      </c>
      <c r="K154" s="478"/>
      <c r="L154" s="494"/>
      <c r="M154" s="495">
        <f t="shared" si="25"/>
        <v>0</v>
      </c>
      <c r="N154" s="494"/>
      <c r="O154" s="495">
        <f t="shared" si="26"/>
        <v>0</v>
      </c>
      <c r="P154" s="495">
        <f t="shared" si="27"/>
        <v>0</v>
      </c>
    </row>
    <row r="155" spans="2:16" ht="12.5">
      <c r="C155" s="346" t="s">
        <v>77</v>
      </c>
      <c r="D155" s="347"/>
      <c r="E155" s="347">
        <f>SUM(E99:E154)</f>
        <v>2246628.5699999998</v>
      </c>
      <c r="F155" s="347"/>
      <c r="G155" s="347"/>
      <c r="H155" s="347">
        <f>SUM(H99:H154)</f>
        <v>7282683.1005476015</v>
      </c>
      <c r="I155" s="347">
        <f>SUM(I99:I154)</f>
        <v>7282683.1005476015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29" priority="1" stopIfTrue="1" operator="equal">
      <formula>$I$10</formula>
    </cfRule>
  </conditionalFormatting>
  <conditionalFormatting sqref="C99:C154">
    <cfRule type="cellIs" dxfId="28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P162"/>
  <sheetViews>
    <sheetView view="pageBreakPreview" zoomScale="80" zoomScaleNormal="100" zoomScaleSheetLayoutView="80" workbookViewId="0">
      <selection activeCell="D23" sqref="D23:H23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16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578359.62790697673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578359.62790697673</v>
      </c>
      <c r="O6" s="232"/>
      <c r="P6" s="232"/>
    </row>
    <row r="7" spans="1:16" ht="13.5" thickBot="1">
      <c r="C7" s="431" t="s">
        <v>46</v>
      </c>
      <c r="D7" s="599" t="s">
        <v>255</v>
      </c>
      <c r="E7" s="600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254</v>
      </c>
      <c r="E9" s="577" t="s">
        <v>262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5059278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2014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117657.62790697675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2014</v>
      </c>
      <c r="D17" s="584">
        <v>5300000</v>
      </c>
      <c r="E17" s="608">
        <v>0</v>
      </c>
      <c r="F17" s="584">
        <v>5300000</v>
      </c>
      <c r="G17" s="608">
        <v>729591.46876123699</v>
      </c>
      <c r="H17" s="587">
        <v>729591.46876123699</v>
      </c>
      <c r="I17" s="475">
        <v>0</v>
      </c>
      <c r="J17" s="475"/>
      <c r="K17" s="476">
        <f t="shared" ref="K17:K22" si="0">G17</f>
        <v>729591.46876123699</v>
      </c>
      <c r="L17" s="603">
        <f t="shared" ref="L17:L22" si="1">IF(K17&lt;&gt;0,+G17-K17,0)</f>
        <v>0</v>
      </c>
      <c r="M17" s="476">
        <f t="shared" ref="M17:M22" si="2">H17</f>
        <v>729591.46876123699</v>
      </c>
      <c r="N17" s="478">
        <f>IF(M17&lt;&gt;0,+H17-M17,0)</f>
        <v>0</v>
      </c>
      <c r="O17" s="475">
        <f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2015</v>
      </c>
      <c r="D18" s="584">
        <v>5300000</v>
      </c>
      <c r="E18" s="585">
        <v>101923.07692307692</v>
      </c>
      <c r="F18" s="584">
        <v>5198076.923076923</v>
      </c>
      <c r="G18" s="585">
        <v>818590.55430690572</v>
      </c>
      <c r="H18" s="587">
        <v>818590.55430690572</v>
      </c>
      <c r="I18" s="475">
        <v>0</v>
      </c>
      <c r="J18" s="475"/>
      <c r="K18" s="476">
        <f t="shared" si="0"/>
        <v>818590.55430690572</v>
      </c>
      <c r="L18" s="603">
        <f t="shared" si="1"/>
        <v>0</v>
      </c>
      <c r="M18" s="476">
        <f t="shared" si="2"/>
        <v>818590.55430690572</v>
      </c>
      <c r="N18" s="478">
        <f>IF(M18&lt;&gt;0,+H18-M18,0)</f>
        <v>0</v>
      </c>
      <c r="O18" s="475">
        <f>+N18-L18</f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2016</v>
      </c>
      <c r="D19" s="584">
        <v>4969414.923076923</v>
      </c>
      <c r="E19" s="585">
        <v>97525.730769230766</v>
      </c>
      <c r="F19" s="584">
        <v>4871889.192307692</v>
      </c>
      <c r="G19" s="585">
        <v>736520.73076923075</v>
      </c>
      <c r="H19" s="587">
        <v>736520.73076923075</v>
      </c>
      <c r="I19" s="475">
        <f>H19-G19</f>
        <v>0</v>
      </c>
      <c r="J19" s="475"/>
      <c r="K19" s="476">
        <f t="shared" si="0"/>
        <v>736520.73076923075</v>
      </c>
      <c r="L19" s="603">
        <f t="shared" si="1"/>
        <v>0</v>
      </c>
      <c r="M19" s="476">
        <f t="shared" si="2"/>
        <v>736520.73076923075</v>
      </c>
      <c r="N19" s="478">
        <f>IF(M19&lt;&gt;0,+H19-M19,0)</f>
        <v>0</v>
      </c>
      <c r="O19" s="475">
        <f>+N19-L19</f>
        <v>0</v>
      </c>
      <c r="P19" s="242"/>
    </row>
    <row r="20" spans="2:16" ht="12.5">
      <c r="B20" s="160" t="str">
        <f t="shared" ref="B20:B72" si="3">IF(D20=F19,"","IU")</f>
        <v>IU</v>
      </c>
      <c r="C20" s="472">
        <f>IF(D11="","-",+C19+1)</f>
        <v>2017</v>
      </c>
      <c r="D20" s="584">
        <v>4859829.192307692</v>
      </c>
      <c r="E20" s="585">
        <v>109984.30434782608</v>
      </c>
      <c r="F20" s="584">
        <v>4749844.8879598659</v>
      </c>
      <c r="G20" s="585">
        <v>714452.30434782605</v>
      </c>
      <c r="H20" s="587">
        <v>714452.30434782605</v>
      </c>
      <c r="I20" s="475">
        <f t="shared" ref="I20:I72" si="4">H20-G20</f>
        <v>0</v>
      </c>
      <c r="J20" s="475"/>
      <c r="K20" s="476">
        <f t="shared" si="0"/>
        <v>714452.30434782605</v>
      </c>
      <c r="L20" s="603">
        <f t="shared" si="1"/>
        <v>0</v>
      </c>
      <c r="M20" s="476">
        <f t="shared" si="2"/>
        <v>714452.30434782605</v>
      </c>
      <c r="N20" s="478">
        <f>IF(M20&lt;&gt;0,+H20-M20,0)</f>
        <v>0</v>
      </c>
      <c r="O20" s="475">
        <f>+N20-L20</f>
        <v>0</v>
      </c>
      <c r="P20" s="242"/>
    </row>
    <row r="21" spans="2:16" ht="12.5">
      <c r="B21" s="160" t="str">
        <f t="shared" si="3"/>
        <v/>
      </c>
      <c r="C21" s="472">
        <f>IF(D11="","-",+C20+1)</f>
        <v>2018</v>
      </c>
      <c r="D21" s="584">
        <v>4749844.8879598659</v>
      </c>
      <c r="E21" s="585">
        <v>112428.4</v>
      </c>
      <c r="F21" s="584">
        <v>4637416.4879598655</v>
      </c>
      <c r="G21" s="585">
        <v>674532.63926355843</v>
      </c>
      <c r="H21" s="587">
        <v>674532.63926355843</v>
      </c>
      <c r="I21" s="475">
        <f t="shared" si="4"/>
        <v>0</v>
      </c>
      <c r="J21" s="475"/>
      <c r="K21" s="476">
        <f t="shared" si="0"/>
        <v>674532.63926355843</v>
      </c>
      <c r="L21" s="603">
        <f t="shared" si="1"/>
        <v>0</v>
      </c>
      <c r="M21" s="476">
        <f t="shared" si="2"/>
        <v>674532.63926355843</v>
      </c>
      <c r="N21" s="478">
        <f>IF(M21&lt;&gt;0,+H21-M21,0)</f>
        <v>0</v>
      </c>
      <c r="O21" s="475">
        <f>+N21-L21</f>
        <v>0</v>
      </c>
      <c r="P21" s="242"/>
    </row>
    <row r="22" spans="2:16" ht="12.5">
      <c r="B22" s="160" t="str">
        <f t="shared" si="3"/>
        <v/>
      </c>
      <c r="C22" s="472">
        <f>IF(D11="","-",+C21+1)</f>
        <v>2019</v>
      </c>
      <c r="D22" s="584">
        <v>4637416.4879598655</v>
      </c>
      <c r="E22" s="585">
        <v>126481.95</v>
      </c>
      <c r="F22" s="584">
        <v>4510934.5379598653</v>
      </c>
      <c r="G22" s="585">
        <v>637218.97874084802</v>
      </c>
      <c r="H22" s="587">
        <v>637218.97874084802</v>
      </c>
      <c r="I22" s="475">
        <f t="shared" si="4"/>
        <v>0</v>
      </c>
      <c r="J22" s="475"/>
      <c r="K22" s="476">
        <f t="shared" si="0"/>
        <v>637218.97874084802</v>
      </c>
      <c r="L22" s="603">
        <f t="shared" si="1"/>
        <v>0</v>
      </c>
      <c r="M22" s="476">
        <f t="shared" si="2"/>
        <v>637218.97874084802</v>
      </c>
      <c r="N22" s="478">
        <f t="shared" ref="N22:N72" si="5">IF(M22&lt;&gt;0,+H22-M22,0)</f>
        <v>0</v>
      </c>
      <c r="O22" s="478">
        <f t="shared" ref="O22:O72" si="6">+N22-L22</f>
        <v>0</v>
      </c>
      <c r="P22" s="242"/>
    </row>
    <row r="23" spans="2:16" ht="12.5">
      <c r="B23" s="160" t="str">
        <f t="shared" si="3"/>
        <v>IU</v>
      </c>
      <c r="C23" s="472">
        <f>IF(D11="","-",+C22+1)</f>
        <v>2020</v>
      </c>
      <c r="D23" s="584">
        <v>4524988.0879598651</v>
      </c>
      <c r="E23" s="585">
        <v>120459</v>
      </c>
      <c r="F23" s="584">
        <v>4404529.0879598651</v>
      </c>
      <c r="G23" s="585">
        <v>602674.25524940272</v>
      </c>
      <c r="H23" s="587">
        <v>602674.25524940272</v>
      </c>
      <c r="I23" s="475">
        <f t="shared" si="4"/>
        <v>0</v>
      </c>
      <c r="J23" s="475"/>
      <c r="K23" s="476">
        <f t="shared" ref="K23" si="7">G23</f>
        <v>602674.25524940272</v>
      </c>
      <c r="L23" s="603">
        <f t="shared" ref="L23" si="8">IF(K23&lt;&gt;0,+G23-K23,0)</f>
        <v>0</v>
      </c>
      <c r="M23" s="476">
        <f t="shared" ref="M23" si="9">H23</f>
        <v>602674.25524940272</v>
      </c>
      <c r="N23" s="478">
        <f t="shared" si="5"/>
        <v>0</v>
      </c>
      <c r="O23" s="478">
        <f t="shared" si="6"/>
        <v>0</v>
      </c>
      <c r="P23" s="242"/>
    </row>
    <row r="24" spans="2:16" ht="12.5">
      <c r="B24" s="160" t="str">
        <f t="shared" si="3"/>
        <v>IU</v>
      </c>
      <c r="C24" s="472">
        <f>IF(D11="","-",+C23+1)</f>
        <v>2021</v>
      </c>
      <c r="D24" s="485">
        <f>IF(F23+SUM(E$17:E23)=D$10,F23,D$10-SUM(E$17:E23))</f>
        <v>4390475.5379598662</v>
      </c>
      <c r="E24" s="484">
        <f t="shared" ref="E24:E72" si="10">IF(+$I$14&lt;F23,$I$14,D24)</f>
        <v>117657.62790697675</v>
      </c>
      <c r="F24" s="485">
        <f t="shared" ref="F24:F72" si="11">+D24-E24</f>
        <v>4272817.910052889</v>
      </c>
      <c r="G24" s="486">
        <f t="shared" ref="G24:G72" si="12">ROUND(I$12*F24,0)+E24</f>
        <v>578359.62790697673</v>
      </c>
      <c r="H24" s="455">
        <f t="shared" ref="H24:H72" si="13">ROUND(I$13*F24,0)+E24</f>
        <v>578359.62790697673</v>
      </c>
      <c r="I24" s="475">
        <f t="shared" si="4"/>
        <v>0</v>
      </c>
      <c r="J24" s="475"/>
      <c r="K24" s="487"/>
      <c r="L24" s="478">
        <f t="shared" ref="L24:L72" si="14">IF(K24&lt;&gt;0,+G24-K24,0)</f>
        <v>0</v>
      </c>
      <c r="M24" s="487"/>
      <c r="N24" s="478">
        <f t="shared" si="5"/>
        <v>0</v>
      </c>
      <c r="O24" s="478">
        <f t="shared" si="6"/>
        <v>0</v>
      </c>
      <c r="P24" s="242"/>
    </row>
    <row r="25" spans="2:16" ht="12.5">
      <c r="B25" s="160" t="str">
        <f t="shared" si="3"/>
        <v/>
      </c>
      <c r="C25" s="472">
        <f>IF(D11="","-",+C24+1)</f>
        <v>2022</v>
      </c>
      <c r="D25" s="485">
        <f>IF(F24+SUM(E$17:E24)=D$10,F24,D$10-SUM(E$17:E24))</f>
        <v>4272817.910052889</v>
      </c>
      <c r="E25" s="484">
        <f t="shared" si="10"/>
        <v>117657.62790697675</v>
      </c>
      <c r="F25" s="485">
        <f t="shared" si="11"/>
        <v>4155160.2821459123</v>
      </c>
      <c r="G25" s="486">
        <f t="shared" si="12"/>
        <v>565673.62790697673</v>
      </c>
      <c r="H25" s="455">
        <f t="shared" si="13"/>
        <v>565673.62790697673</v>
      </c>
      <c r="I25" s="475">
        <f t="shared" si="4"/>
        <v>0</v>
      </c>
      <c r="J25" s="475"/>
      <c r="K25" s="487"/>
      <c r="L25" s="478">
        <f t="shared" si="14"/>
        <v>0</v>
      </c>
      <c r="M25" s="487"/>
      <c r="N25" s="478">
        <f t="shared" si="5"/>
        <v>0</v>
      </c>
      <c r="O25" s="478">
        <f t="shared" si="6"/>
        <v>0</v>
      </c>
      <c r="P25" s="242"/>
    </row>
    <row r="26" spans="2:16" ht="12.5">
      <c r="B26" s="160" t="str">
        <f t="shared" si="3"/>
        <v/>
      </c>
      <c r="C26" s="472">
        <f>IF(D11="","-",+C25+1)</f>
        <v>2023</v>
      </c>
      <c r="D26" s="485">
        <f>IF(F25+SUM(E$17:E25)=D$10,F25,D$10-SUM(E$17:E25))</f>
        <v>4155160.2821459123</v>
      </c>
      <c r="E26" s="484">
        <f t="shared" si="10"/>
        <v>117657.62790697675</v>
      </c>
      <c r="F26" s="485">
        <f t="shared" si="11"/>
        <v>4037502.6542389356</v>
      </c>
      <c r="G26" s="486">
        <f t="shared" si="12"/>
        <v>552987.62790697673</v>
      </c>
      <c r="H26" s="455">
        <f t="shared" si="13"/>
        <v>552987.62790697673</v>
      </c>
      <c r="I26" s="475">
        <f t="shared" si="4"/>
        <v>0</v>
      </c>
      <c r="J26" s="475"/>
      <c r="K26" s="487"/>
      <c r="L26" s="478">
        <f t="shared" si="14"/>
        <v>0</v>
      </c>
      <c r="M26" s="487"/>
      <c r="N26" s="478">
        <f t="shared" si="5"/>
        <v>0</v>
      </c>
      <c r="O26" s="478">
        <f t="shared" si="6"/>
        <v>0</v>
      </c>
      <c r="P26" s="242"/>
    </row>
    <row r="27" spans="2:16" ht="12.5">
      <c r="B27" s="160" t="str">
        <f t="shared" si="3"/>
        <v/>
      </c>
      <c r="C27" s="472">
        <f>IF(D11="","-",+C26+1)</f>
        <v>2024</v>
      </c>
      <c r="D27" s="485">
        <f>IF(F26+SUM(E$17:E26)=D$10,F26,D$10-SUM(E$17:E26))</f>
        <v>4037502.6542389356</v>
      </c>
      <c r="E27" s="484">
        <f t="shared" si="10"/>
        <v>117657.62790697675</v>
      </c>
      <c r="F27" s="485">
        <f t="shared" si="11"/>
        <v>3919845.0263319588</v>
      </c>
      <c r="G27" s="486">
        <f t="shared" si="12"/>
        <v>540301.62790697673</v>
      </c>
      <c r="H27" s="455">
        <f t="shared" si="13"/>
        <v>540301.62790697673</v>
      </c>
      <c r="I27" s="475">
        <f t="shared" si="4"/>
        <v>0</v>
      </c>
      <c r="J27" s="475"/>
      <c r="K27" s="487"/>
      <c r="L27" s="478">
        <f t="shared" si="14"/>
        <v>0</v>
      </c>
      <c r="M27" s="487"/>
      <c r="N27" s="478">
        <f t="shared" si="5"/>
        <v>0</v>
      </c>
      <c r="O27" s="478">
        <f t="shared" si="6"/>
        <v>0</v>
      </c>
      <c r="P27" s="242"/>
    </row>
    <row r="28" spans="2:16" ht="12.5">
      <c r="B28" s="160" t="str">
        <f t="shared" si="3"/>
        <v/>
      </c>
      <c r="C28" s="472">
        <f>IF(D11="","-",+C27+1)</f>
        <v>2025</v>
      </c>
      <c r="D28" s="485">
        <f>IF(F27+SUM(E$17:E27)=D$10,F27,D$10-SUM(E$17:E27))</f>
        <v>3919845.0263319588</v>
      </c>
      <c r="E28" s="484">
        <f t="shared" si="10"/>
        <v>117657.62790697675</v>
      </c>
      <c r="F28" s="485">
        <f t="shared" si="11"/>
        <v>3802187.3984249821</v>
      </c>
      <c r="G28" s="486">
        <f t="shared" si="12"/>
        <v>527615.62790697673</v>
      </c>
      <c r="H28" s="455">
        <f t="shared" si="13"/>
        <v>527615.62790697673</v>
      </c>
      <c r="I28" s="475">
        <f t="shared" si="4"/>
        <v>0</v>
      </c>
      <c r="J28" s="475"/>
      <c r="K28" s="487"/>
      <c r="L28" s="478">
        <f t="shared" si="14"/>
        <v>0</v>
      </c>
      <c r="M28" s="487"/>
      <c r="N28" s="478">
        <f t="shared" si="5"/>
        <v>0</v>
      </c>
      <c r="O28" s="478">
        <f t="shared" si="6"/>
        <v>0</v>
      </c>
      <c r="P28" s="242"/>
    </row>
    <row r="29" spans="2:16" ht="12.5">
      <c r="B29" s="160" t="str">
        <f t="shared" si="3"/>
        <v/>
      </c>
      <c r="C29" s="472">
        <f>IF(D11="","-",+C28+1)</f>
        <v>2026</v>
      </c>
      <c r="D29" s="485">
        <f>IF(F28+SUM(E$17:E28)=D$10,F28,D$10-SUM(E$17:E28))</f>
        <v>3802187.3984249821</v>
      </c>
      <c r="E29" s="484">
        <f t="shared" si="10"/>
        <v>117657.62790697675</v>
      </c>
      <c r="F29" s="485">
        <f t="shared" si="11"/>
        <v>3684529.7705180054</v>
      </c>
      <c r="G29" s="486">
        <f t="shared" si="12"/>
        <v>514929.62790697673</v>
      </c>
      <c r="H29" s="455">
        <f t="shared" si="13"/>
        <v>514929.62790697673</v>
      </c>
      <c r="I29" s="475">
        <f t="shared" si="4"/>
        <v>0</v>
      </c>
      <c r="J29" s="475"/>
      <c r="K29" s="487"/>
      <c r="L29" s="478">
        <f t="shared" si="14"/>
        <v>0</v>
      </c>
      <c r="M29" s="487"/>
      <c r="N29" s="478">
        <f t="shared" si="5"/>
        <v>0</v>
      </c>
      <c r="O29" s="478">
        <f t="shared" si="6"/>
        <v>0</v>
      </c>
      <c r="P29" s="242"/>
    </row>
    <row r="30" spans="2:16" ht="12.5">
      <c r="B30" s="160" t="str">
        <f t="shared" si="3"/>
        <v/>
      </c>
      <c r="C30" s="472">
        <f>IF(D11="","-",+C29+1)</f>
        <v>2027</v>
      </c>
      <c r="D30" s="485">
        <f>IF(F29+SUM(E$17:E29)=D$10,F29,D$10-SUM(E$17:E29))</f>
        <v>3684529.7705180054</v>
      </c>
      <c r="E30" s="484">
        <f t="shared" si="10"/>
        <v>117657.62790697675</v>
      </c>
      <c r="F30" s="485">
        <f t="shared" si="11"/>
        <v>3566872.1426110286</v>
      </c>
      <c r="G30" s="486">
        <f t="shared" si="12"/>
        <v>502243.62790697673</v>
      </c>
      <c r="H30" s="455">
        <f t="shared" si="13"/>
        <v>502243.62790697673</v>
      </c>
      <c r="I30" s="475">
        <f t="shared" si="4"/>
        <v>0</v>
      </c>
      <c r="J30" s="475"/>
      <c r="K30" s="487"/>
      <c r="L30" s="478">
        <f t="shared" si="14"/>
        <v>0</v>
      </c>
      <c r="M30" s="487"/>
      <c r="N30" s="478">
        <f t="shared" si="5"/>
        <v>0</v>
      </c>
      <c r="O30" s="478">
        <f t="shared" si="6"/>
        <v>0</v>
      </c>
      <c r="P30" s="242"/>
    </row>
    <row r="31" spans="2:16" ht="12.5">
      <c r="B31" s="160" t="str">
        <f t="shared" si="3"/>
        <v/>
      </c>
      <c r="C31" s="472">
        <f>IF(D11="","-",+C30+1)</f>
        <v>2028</v>
      </c>
      <c r="D31" s="485">
        <f>IF(F30+SUM(E$17:E30)=D$10,F30,D$10-SUM(E$17:E30))</f>
        <v>3566872.1426110286</v>
      </c>
      <c r="E31" s="484">
        <f t="shared" si="10"/>
        <v>117657.62790697675</v>
      </c>
      <c r="F31" s="485">
        <f t="shared" si="11"/>
        <v>3449214.5147040519</v>
      </c>
      <c r="G31" s="486">
        <f t="shared" si="12"/>
        <v>489557.62790697673</v>
      </c>
      <c r="H31" s="455">
        <f t="shared" si="13"/>
        <v>489557.62790697673</v>
      </c>
      <c r="I31" s="475">
        <f t="shared" si="4"/>
        <v>0</v>
      </c>
      <c r="J31" s="475"/>
      <c r="K31" s="487"/>
      <c r="L31" s="478">
        <f t="shared" si="14"/>
        <v>0</v>
      </c>
      <c r="M31" s="487"/>
      <c r="N31" s="478">
        <f t="shared" si="5"/>
        <v>0</v>
      </c>
      <c r="O31" s="478">
        <f t="shared" si="6"/>
        <v>0</v>
      </c>
      <c r="P31" s="242"/>
    </row>
    <row r="32" spans="2:16" ht="12.5">
      <c r="B32" s="160" t="str">
        <f t="shared" si="3"/>
        <v/>
      </c>
      <c r="C32" s="472">
        <f>IF(D11="","-",+C31+1)</f>
        <v>2029</v>
      </c>
      <c r="D32" s="485">
        <f>IF(F31+SUM(E$17:E31)=D$10,F31,D$10-SUM(E$17:E31))</f>
        <v>3449214.5147040519</v>
      </c>
      <c r="E32" s="484">
        <f t="shared" si="10"/>
        <v>117657.62790697675</v>
      </c>
      <c r="F32" s="485">
        <f t="shared" si="11"/>
        <v>3331556.8867970752</v>
      </c>
      <c r="G32" s="486">
        <f t="shared" si="12"/>
        <v>476871.62790697673</v>
      </c>
      <c r="H32" s="455">
        <f t="shared" si="13"/>
        <v>476871.62790697673</v>
      </c>
      <c r="I32" s="475">
        <f t="shared" si="4"/>
        <v>0</v>
      </c>
      <c r="J32" s="475"/>
      <c r="K32" s="487"/>
      <c r="L32" s="478">
        <f t="shared" si="14"/>
        <v>0</v>
      </c>
      <c r="M32" s="487"/>
      <c r="N32" s="478">
        <f t="shared" si="5"/>
        <v>0</v>
      </c>
      <c r="O32" s="478">
        <f t="shared" si="6"/>
        <v>0</v>
      </c>
      <c r="P32" s="242"/>
    </row>
    <row r="33" spans="2:16" ht="12.5">
      <c r="B33" s="160" t="str">
        <f t="shared" si="3"/>
        <v/>
      </c>
      <c r="C33" s="472">
        <f>IF(D11="","-",+C32+1)</f>
        <v>2030</v>
      </c>
      <c r="D33" s="485">
        <f>IF(F32+SUM(E$17:E32)=D$10,F32,D$10-SUM(E$17:E32))</f>
        <v>3331556.8867970752</v>
      </c>
      <c r="E33" s="484">
        <f t="shared" si="10"/>
        <v>117657.62790697675</v>
      </c>
      <c r="F33" s="485">
        <f t="shared" si="11"/>
        <v>3213899.2588900984</v>
      </c>
      <c r="G33" s="486">
        <f t="shared" si="12"/>
        <v>464185.62790697673</v>
      </c>
      <c r="H33" s="455">
        <f t="shared" si="13"/>
        <v>464185.62790697673</v>
      </c>
      <c r="I33" s="475">
        <f t="shared" si="4"/>
        <v>0</v>
      </c>
      <c r="J33" s="475"/>
      <c r="K33" s="487"/>
      <c r="L33" s="478">
        <f t="shared" si="14"/>
        <v>0</v>
      </c>
      <c r="M33" s="487"/>
      <c r="N33" s="478">
        <f t="shared" si="5"/>
        <v>0</v>
      </c>
      <c r="O33" s="478">
        <f t="shared" si="6"/>
        <v>0</v>
      </c>
      <c r="P33" s="242"/>
    </row>
    <row r="34" spans="2:16" ht="12.5">
      <c r="B34" s="160" t="str">
        <f t="shared" si="3"/>
        <v/>
      </c>
      <c r="C34" s="472">
        <f>IF(D11="","-",+C33+1)</f>
        <v>2031</v>
      </c>
      <c r="D34" s="485">
        <f>IF(F33+SUM(E$17:E33)=D$10,F33,D$10-SUM(E$17:E33))</f>
        <v>3213899.2588900984</v>
      </c>
      <c r="E34" s="484">
        <f t="shared" si="10"/>
        <v>117657.62790697675</v>
      </c>
      <c r="F34" s="485">
        <f t="shared" si="11"/>
        <v>3096241.6309831217</v>
      </c>
      <c r="G34" s="486">
        <f t="shared" si="12"/>
        <v>451499.62790697673</v>
      </c>
      <c r="H34" s="455">
        <f t="shared" si="13"/>
        <v>451499.62790697673</v>
      </c>
      <c r="I34" s="475">
        <f t="shared" si="4"/>
        <v>0</v>
      </c>
      <c r="J34" s="475"/>
      <c r="K34" s="487"/>
      <c r="L34" s="478">
        <f t="shared" si="14"/>
        <v>0</v>
      </c>
      <c r="M34" s="487"/>
      <c r="N34" s="478">
        <f t="shared" si="5"/>
        <v>0</v>
      </c>
      <c r="O34" s="478">
        <f t="shared" si="6"/>
        <v>0</v>
      </c>
      <c r="P34" s="242"/>
    </row>
    <row r="35" spans="2:16" ht="12.5">
      <c r="B35" s="160" t="str">
        <f t="shared" si="3"/>
        <v/>
      </c>
      <c r="C35" s="472">
        <f>IF(D11="","-",+C34+1)</f>
        <v>2032</v>
      </c>
      <c r="D35" s="485">
        <f>IF(F34+SUM(E$17:E34)=D$10,F34,D$10-SUM(E$17:E34))</f>
        <v>3096241.6309831217</v>
      </c>
      <c r="E35" s="484">
        <f t="shared" si="10"/>
        <v>117657.62790697675</v>
      </c>
      <c r="F35" s="485">
        <f t="shared" si="11"/>
        <v>2978584.003076145</v>
      </c>
      <c r="G35" s="486">
        <f t="shared" si="12"/>
        <v>438813.62790697673</v>
      </c>
      <c r="H35" s="455">
        <f t="shared" si="13"/>
        <v>438813.62790697673</v>
      </c>
      <c r="I35" s="475">
        <f t="shared" si="4"/>
        <v>0</v>
      </c>
      <c r="J35" s="475"/>
      <c r="K35" s="487"/>
      <c r="L35" s="478">
        <f t="shared" si="14"/>
        <v>0</v>
      </c>
      <c r="M35" s="487"/>
      <c r="N35" s="478">
        <f t="shared" si="5"/>
        <v>0</v>
      </c>
      <c r="O35" s="478">
        <f t="shared" si="6"/>
        <v>0</v>
      </c>
      <c r="P35" s="242"/>
    </row>
    <row r="36" spans="2:16" ht="12.5">
      <c r="B36" s="160" t="str">
        <f t="shared" si="3"/>
        <v/>
      </c>
      <c r="C36" s="472">
        <f>IF(D11="","-",+C35+1)</f>
        <v>2033</v>
      </c>
      <c r="D36" s="485">
        <f>IF(F35+SUM(E$17:E35)=D$10,F35,D$10-SUM(E$17:E35))</f>
        <v>2978584.003076145</v>
      </c>
      <c r="E36" s="484">
        <f t="shared" si="10"/>
        <v>117657.62790697675</v>
      </c>
      <c r="F36" s="485">
        <f t="shared" si="11"/>
        <v>2860926.3751691682</v>
      </c>
      <c r="G36" s="486">
        <f t="shared" si="12"/>
        <v>426127.62790697673</v>
      </c>
      <c r="H36" s="455">
        <f t="shared" si="13"/>
        <v>426127.62790697673</v>
      </c>
      <c r="I36" s="475">
        <f t="shared" si="4"/>
        <v>0</v>
      </c>
      <c r="J36" s="475"/>
      <c r="K36" s="487"/>
      <c r="L36" s="478">
        <f t="shared" si="14"/>
        <v>0</v>
      </c>
      <c r="M36" s="487"/>
      <c r="N36" s="478">
        <f t="shared" si="5"/>
        <v>0</v>
      </c>
      <c r="O36" s="478">
        <f t="shared" si="6"/>
        <v>0</v>
      </c>
      <c r="P36" s="242"/>
    </row>
    <row r="37" spans="2:16" ht="12.5">
      <c r="B37" s="160" t="str">
        <f t="shared" si="3"/>
        <v/>
      </c>
      <c r="C37" s="472">
        <f>IF(D11="","-",+C36+1)</f>
        <v>2034</v>
      </c>
      <c r="D37" s="485">
        <f>IF(F36+SUM(E$17:E36)=D$10,F36,D$10-SUM(E$17:E36))</f>
        <v>2860926.3751691682</v>
      </c>
      <c r="E37" s="484">
        <f t="shared" si="10"/>
        <v>117657.62790697675</v>
      </c>
      <c r="F37" s="485">
        <f t="shared" si="11"/>
        <v>2743268.7472621915</v>
      </c>
      <c r="G37" s="486">
        <f t="shared" si="12"/>
        <v>413441.62790697673</v>
      </c>
      <c r="H37" s="455">
        <f t="shared" si="13"/>
        <v>413441.62790697673</v>
      </c>
      <c r="I37" s="475">
        <f t="shared" si="4"/>
        <v>0</v>
      </c>
      <c r="J37" s="475"/>
      <c r="K37" s="487"/>
      <c r="L37" s="478">
        <f t="shared" si="14"/>
        <v>0</v>
      </c>
      <c r="M37" s="487"/>
      <c r="N37" s="478">
        <f t="shared" si="5"/>
        <v>0</v>
      </c>
      <c r="O37" s="478">
        <f t="shared" si="6"/>
        <v>0</v>
      </c>
      <c r="P37" s="242"/>
    </row>
    <row r="38" spans="2:16" ht="12.5">
      <c r="B38" s="160" t="str">
        <f t="shared" si="3"/>
        <v/>
      </c>
      <c r="C38" s="472">
        <f>IF(D11="","-",+C37+1)</f>
        <v>2035</v>
      </c>
      <c r="D38" s="485">
        <f>IF(F37+SUM(E$17:E37)=D$10,F37,D$10-SUM(E$17:E37))</f>
        <v>2743268.7472621915</v>
      </c>
      <c r="E38" s="484">
        <f t="shared" si="10"/>
        <v>117657.62790697675</v>
      </c>
      <c r="F38" s="485">
        <f t="shared" si="11"/>
        <v>2625611.1193552148</v>
      </c>
      <c r="G38" s="486">
        <f t="shared" si="12"/>
        <v>400755.62790697673</v>
      </c>
      <c r="H38" s="455">
        <f t="shared" si="13"/>
        <v>400755.62790697673</v>
      </c>
      <c r="I38" s="475">
        <f t="shared" si="4"/>
        <v>0</v>
      </c>
      <c r="J38" s="475"/>
      <c r="K38" s="487"/>
      <c r="L38" s="478">
        <f t="shared" si="14"/>
        <v>0</v>
      </c>
      <c r="M38" s="487"/>
      <c r="N38" s="478">
        <f t="shared" si="5"/>
        <v>0</v>
      </c>
      <c r="O38" s="478">
        <f t="shared" si="6"/>
        <v>0</v>
      </c>
      <c r="P38" s="242"/>
    </row>
    <row r="39" spans="2:16" ht="12.5">
      <c r="B39" s="160" t="str">
        <f t="shared" si="3"/>
        <v/>
      </c>
      <c r="C39" s="472">
        <f>IF(D11="","-",+C38+1)</f>
        <v>2036</v>
      </c>
      <c r="D39" s="485">
        <f>IF(F38+SUM(E$17:E38)=D$10,F38,D$10-SUM(E$17:E38))</f>
        <v>2625611.1193552148</v>
      </c>
      <c r="E39" s="484">
        <f t="shared" si="10"/>
        <v>117657.62790697675</v>
      </c>
      <c r="F39" s="485">
        <f t="shared" si="11"/>
        <v>2507953.491448238</v>
      </c>
      <c r="G39" s="486">
        <f t="shared" si="12"/>
        <v>388069.62790697673</v>
      </c>
      <c r="H39" s="455">
        <f t="shared" si="13"/>
        <v>388069.62790697673</v>
      </c>
      <c r="I39" s="475">
        <f t="shared" si="4"/>
        <v>0</v>
      </c>
      <c r="J39" s="475"/>
      <c r="K39" s="487"/>
      <c r="L39" s="478">
        <f t="shared" si="14"/>
        <v>0</v>
      </c>
      <c r="M39" s="487"/>
      <c r="N39" s="478">
        <f t="shared" si="5"/>
        <v>0</v>
      </c>
      <c r="O39" s="478">
        <f t="shared" si="6"/>
        <v>0</v>
      </c>
      <c r="P39" s="242"/>
    </row>
    <row r="40" spans="2:16" ht="12.5">
      <c r="B40" s="160" t="str">
        <f t="shared" si="3"/>
        <v/>
      </c>
      <c r="C40" s="472">
        <f>IF(D11="","-",+C39+1)</f>
        <v>2037</v>
      </c>
      <c r="D40" s="485">
        <f>IF(F39+SUM(E$17:E39)=D$10,F39,D$10-SUM(E$17:E39))</f>
        <v>2507953.491448238</v>
      </c>
      <c r="E40" s="484">
        <f t="shared" si="10"/>
        <v>117657.62790697675</v>
      </c>
      <c r="F40" s="485">
        <f t="shared" si="11"/>
        <v>2390295.8635412613</v>
      </c>
      <c r="G40" s="486">
        <f t="shared" si="12"/>
        <v>375383.62790697673</v>
      </c>
      <c r="H40" s="455">
        <f t="shared" si="13"/>
        <v>375383.62790697673</v>
      </c>
      <c r="I40" s="475">
        <f t="shared" si="4"/>
        <v>0</v>
      </c>
      <c r="J40" s="475"/>
      <c r="K40" s="487"/>
      <c r="L40" s="478">
        <f t="shared" si="14"/>
        <v>0</v>
      </c>
      <c r="M40" s="487"/>
      <c r="N40" s="478">
        <f t="shared" si="5"/>
        <v>0</v>
      </c>
      <c r="O40" s="478">
        <f t="shared" si="6"/>
        <v>0</v>
      </c>
      <c r="P40" s="242"/>
    </row>
    <row r="41" spans="2:16" ht="12.5">
      <c r="B41" s="160" t="str">
        <f t="shared" si="3"/>
        <v/>
      </c>
      <c r="C41" s="472">
        <f>IF(D11="","-",+C40+1)</f>
        <v>2038</v>
      </c>
      <c r="D41" s="485">
        <f>IF(F40+SUM(E$17:E40)=D$10,F40,D$10-SUM(E$17:E40))</f>
        <v>2390295.8635412613</v>
      </c>
      <c r="E41" s="484">
        <f t="shared" si="10"/>
        <v>117657.62790697675</v>
      </c>
      <c r="F41" s="485">
        <f t="shared" si="11"/>
        <v>2272638.2356342846</v>
      </c>
      <c r="G41" s="486">
        <f t="shared" si="12"/>
        <v>362697.62790697673</v>
      </c>
      <c r="H41" s="455">
        <f t="shared" si="13"/>
        <v>362697.62790697673</v>
      </c>
      <c r="I41" s="475">
        <f t="shared" si="4"/>
        <v>0</v>
      </c>
      <c r="J41" s="475"/>
      <c r="K41" s="487"/>
      <c r="L41" s="478">
        <f t="shared" si="14"/>
        <v>0</v>
      </c>
      <c r="M41" s="487"/>
      <c r="N41" s="478">
        <f t="shared" si="5"/>
        <v>0</v>
      </c>
      <c r="O41" s="478">
        <f t="shared" si="6"/>
        <v>0</v>
      </c>
      <c r="P41" s="242"/>
    </row>
    <row r="42" spans="2:16" ht="12.5">
      <c r="B42" s="160" t="str">
        <f t="shared" si="3"/>
        <v/>
      </c>
      <c r="C42" s="472">
        <f>IF(D11="","-",+C41+1)</f>
        <v>2039</v>
      </c>
      <c r="D42" s="485">
        <f>IF(F41+SUM(E$17:E41)=D$10,F41,D$10-SUM(E$17:E41))</f>
        <v>2272638.2356342846</v>
      </c>
      <c r="E42" s="484">
        <f t="shared" si="10"/>
        <v>117657.62790697675</v>
      </c>
      <c r="F42" s="485">
        <f t="shared" si="11"/>
        <v>2154980.6077273078</v>
      </c>
      <c r="G42" s="486">
        <f t="shared" si="12"/>
        <v>350011.62790697673</v>
      </c>
      <c r="H42" s="455">
        <f t="shared" si="13"/>
        <v>350011.62790697673</v>
      </c>
      <c r="I42" s="475">
        <f t="shared" si="4"/>
        <v>0</v>
      </c>
      <c r="J42" s="475"/>
      <c r="K42" s="487"/>
      <c r="L42" s="478">
        <f t="shared" si="14"/>
        <v>0</v>
      </c>
      <c r="M42" s="487"/>
      <c r="N42" s="478">
        <f t="shared" si="5"/>
        <v>0</v>
      </c>
      <c r="O42" s="478">
        <f t="shared" si="6"/>
        <v>0</v>
      </c>
      <c r="P42" s="242"/>
    </row>
    <row r="43" spans="2:16" ht="12.5">
      <c r="B43" s="160" t="str">
        <f t="shared" si="3"/>
        <v/>
      </c>
      <c r="C43" s="472">
        <f>IF(D11="","-",+C42+1)</f>
        <v>2040</v>
      </c>
      <c r="D43" s="485">
        <f>IF(F42+SUM(E$17:E42)=D$10,F42,D$10-SUM(E$17:E42))</f>
        <v>2154980.6077273078</v>
      </c>
      <c r="E43" s="484">
        <f t="shared" si="10"/>
        <v>117657.62790697675</v>
      </c>
      <c r="F43" s="485">
        <f t="shared" si="11"/>
        <v>2037322.9798203311</v>
      </c>
      <c r="G43" s="486">
        <f t="shared" si="12"/>
        <v>337325.62790697673</v>
      </c>
      <c r="H43" s="455">
        <f t="shared" si="13"/>
        <v>337325.62790697673</v>
      </c>
      <c r="I43" s="475">
        <f t="shared" si="4"/>
        <v>0</v>
      </c>
      <c r="J43" s="475"/>
      <c r="K43" s="487"/>
      <c r="L43" s="478">
        <f t="shared" si="14"/>
        <v>0</v>
      </c>
      <c r="M43" s="487"/>
      <c r="N43" s="478">
        <f t="shared" si="5"/>
        <v>0</v>
      </c>
      <c r="O43" s="478">
        <f t="shared" si="6"/>
        <v>0</v>
      </c>
      <c r="P43" s="242"/>
    </row>
    <row r="44" spans="2:16" ht="12.5">
      <c r="B44" s="160" t="str">
        <f t="shared" si="3"/>
        <v/>
      </c>
      <c r="C44" s="472">
        <f>IF(D11="","-",+C43+1)</f>
        <v>2041</v>
      </c>
      <c r="D44" s="485">
        <f>IF(F43+SUM(E$17:E43)=D$10,F43,D$10-SUM(E$17:E43))</f>
        <v>2037322.9798203311</v>
      </c>
      <c r="E44" s="484">
        <f t="shared" si="10"/>
        <v>117657.62790697675</v>
      </c>
      <c r="F44" s="485">
        <f t="shared" si="11"/>
        <v>1919665.3519133544</v>
      </c>
      <c r="G44" s="486">
        <f t="shared" si="12"/>
        <v>324638.62790697673</v>
      </c>
      <c r="H44" s="455">
        <f t="shared" si="13"/>
        <v>324638.62790697673</v>
      </c>
      <c r="I44" s="475">
        <f t="shared" si="4"/>
        <v>0</v>
      </c>
      <c r="J44" s="475"/>
      <c r="K44" s="487"/>
      <c r="L44" s="478">
        <f t="shared" si="14"/>
        <v>0</v>
      </c>
      <c r="M44" s="487"/>
      <c r="N44" s="478">
        <f t="shared" si="5"/>
        <v>0</v>
      </c>
      <c r="O44" s="478">
        <f t="shared" si="6"/>
        <v>0</v>
      </c>
      <c r="P44" s="242"/>
    </row>
    <row r="45" spans="2:16" ht="12.5">
      <c r="B45" s="160" t="str">
        <f t="shared" si="3"/>
        <v/>
      </c>
      <c r="C45" s="472">
        <f>IF(D11="","-",+C44+1)</f>
        <v>2042</v>
      </c>
      <c r="D45" s="485">
        <f>IF(F44+SUM(E$17:E44)=D$10,F44,D$10-SUM(E$17:E44))</f>
        <v>1919665.3519133544</v>
      </c>
      <c r="E45" s="484">
        <f t="shared" si="10"/>
        <v>117657.62790697675</v>
      </c>
      <c r="F45" s="485">
        <f t="shared" si="11"/>
        <v>1802007.7240063776</v>
      </c>
      <c r="G45" s="486">
        <f t="shared" si="12"/>
        <v>311952.62790697673</v>
      </c>
      <c r="H45" s="455">
        <f t="shared" si="13"/>
        <v>311952.62790697673</v>
      </c>
      <c r="I45" s="475">
        <f t="shared" si="4"/>
        <v>0</v>
      </c>
      <c r="J45" s="475"/>
      <c r="K45" s="487"/>
      <c r="L45" s="478">
        <f t="shared" si="14"/>
        <v>0</v>
      </c>
      <c r="M45" s="487"/>
      <c r="N45" s="478">
        <f t="shared" si="5"/>
        <v>0</v>
      </c>
      <c r="O45" s="478">
        <f t="shared" si="6"/>
        <v>0</v>
      </c>
      <c r="P45" s="242"/>
    </row>
    <row r="46" spans="2:16" ht="12.5">
      <c r="B46" s="160" t="str">
        <f t="shared" si="3"/>
        <v/>
      </c>
      <c r="C46" s="472">
        <f>IF(D11="","-",+C45+1)</f>
        <v>2043</v>
      </c>
      <c r="D46" s="485">
        <f>IF(F45+SUM(E$17:E45)=D$10,F45,D$10-SUM(E$17:E45))</f>
        <v>1802007.7240063776</v>
      </c>
      <c r="E46" s="484">
        <f t="shared" si="10"/>
        <v>117657.62790697675</v>
      </c>
      <c r="F46" s="485">
        <f t="shared" si="11"/>
        <v>1684350.0960994009</v>
      </c>
      <c r="G46" s="486">
        <f t="shared" si="12"/>
        <v>299266.62790697673</v>
      </c>
      <c r="H46" s="455">
        <f t="shared" si="13"/>
        <v>299266.62790697673</v>
      </c>
      <c r="I46" s="475">
        <f t="shared" si="4"/>
        <v>0</v>
      </c>
      <c r="J46" s="475"/>
      <c r="K46" s="487"/>
      <c r="L46" s="478">
        <f t="shared" si="14"/>
        <v>0</v>
      </c>
      <c r="M46" s="487"/>
      <c r="N46" s="478">
        <f t="shared" si="5"/>
        <v>0</v>
      </c>
      <c r="O46" s="478">
        <f t="shared" si="6"/>
        <v>0</v>
      </c>
      <c r="P46" s="242"/>
    </row>
    <row r="47" spans="2:16" ht="12.5">
      <c r="B47" s="160" t="str">
        <f t="shared" si="3"/>
        <v/>
      </c>
      <c r="C47" s="472">
        <f>IF(D11="","-",+C46+1)</f>
        <v>2044</v>
      </c>
      <c r="D47" s="485">
        <f>IF(F46+SUM(E$17:E46)=D$10,F46,D$10-SUM(E$17:E46))</f>
        <v>1684350.0960994009</v>
      </c>
      <c r="E47" s="484">
        <f t="shared" si="10"/>
        <v>117657.62790697675</v>
      </c>
      <c r="F47" s="485">
        <f t="shared" si="11"/>
        <v>1566692.4681924242</v>
      </c>
      <c r="G47" s="486">
        <f t="shared" si="12"/>
        <v>286580.62790697673</v>
      </c>
      <c r="H47" s="455">
        <f t="shared" si="13"/>
        <v>286580.62790697673</v>
      </c>
      <c r="I47" s="475">
        <f t="shared" si="4"/>
        <v>0</v>
      </c>
      <c r="J47" s="475"/>
      <c r="K47" s="487"/>
      <c r="L47" s="478">
        <f t="shared" si="14"/>
        <v>0</v>
      </c>
      <c r="M47" s="487"/>
      <c r="N47" s="478">
        <f t="shared" si="5"/>
        <v>0</v>
      </c>
      <c r="O47" s="478">
        <f t="shared" si="6"/>
        <v>0</v>
      </c>
      <c r="P47" s="242"/>
    </row>
    <row r="48" spans="2:16" ht="12.5">
      <c r="B48" s="160" t="str">
        <f t="shared" si="3"/>
        <v/>
      </c>
      <c r="C48" s="472">
        <f>IF(D11="","-",+C47+1)</f>
        <v>2045</v>
      </c>
      <c r="D48" s="485">
        <f>IF(F47+SUM(E$17:E47)=D$10,F47,D$10-SUM(E$17:E47))</f>
        <v>1566692.4681924242</v>
      </c>
      <c r="E48" s="484">
        <f t="shared" si="10"/>
        <v>117657.62790697675</v>
      </c>
      <c r="F48" s="485">
        <f t="shared" si="11"/>
        <v>1449034.8402854474</v>
      </c>
      <c r="G48" s="486">
        <f t="shared" si="12"/>
        <v>273894.62790697673</v>
      </c>
      <c r="H48" s="455">
        <f t="shared" si="13"/>
        <v>273894.62790697673</v>
      </c>
      <c r="I48" s="475">
        <f t="shared" si="4"/>
        <v>0</v>
      </c>
      <c r="J48" s="475"/>
      <c r="K48" s="487"/>
      <c r="L48" s="478">
        <f t="shared" si="14"/>
        <v>0</v>
      </c>
      <c r="M48" s="487"/>
      <c r="N48" s="478">
        <f t="shared" si="5"/>
        <v>0</v>
      </c>
      <c r="O48" s="478">
        <f t="shared" si="6"/>
        <v>0</v>
      </c>
      <c r="P48" s="242"/>
    </row>
    <row r="49" spans="2:16" ht="12.5">
      <c r="B49" s="160" t="str">
        <f t="shared" si="3"/>
        <v/>
      </c>
      <c r="C49" s="472">
        <f>IF(D11="","-",+C48+1)</f>
        <v>2046</v>
      </c>
      <c r="D49" s="485">
        <f>IF(F48+SUM(E$17:E48)=D$10,F48,D$10-SUM(E$17:E48))</f>
        <v>1449034.8402854474</v>
      </c>
      <c r="E49" s="484">
        <f t="shared" si="10"/>
        <v>117657.62790697675</v>
      </c>
      <c r="F49" s="485">
        <f t="shared" si="11"/>
        <v>1331377.2123784707</v>
      </c>
      <c r="G49" s="486">
        <f t="shared" si="12"/>
        <v>261208.62790697673</v>
      </c>
      <c r="H49" s="455">
        <f t="shared" si="13"/>
        <v>261208.62790697673</v>
      </c>
      <c r="I49" s="475">
        <f t="shared" si="4"/>
        <v>0</v>
      </c>
      <c r="J49" s="475"/>
      <c r="K49" s="487"/>
      <c r="L49" s="478">
        <f t="shared" si="14"/>
        <v>0</v>
      </c>
      <c r="M49" s="487"/>
      <c r="N49" s="478">
        <f t="shared" si="5"/>
        <v>0</v>
      </c>
      <c r="O49" s="478">
        <f t="shared" si="6"/>
        <v>0</v>
      </c>
      <c r="P49" s="242"/>
    </row>
    <row r="50" spans="2:16" ht="12.5">
      <c r="B50" s="160" t="str">
        <f t="shared" si="3"/>
        <v/>
      </c>
      <c r="C50" s="472">
        <f>IF(D11="","-",+C49+1)</f>
        <v>2047</v>
      </c>
      <c r="D50" s="485">
        <f>IF(F49+SUM(E$17:E49)=D$10,F49,D$10-SUM(E$17:E49))</f>
        <v>1331377.2123784707</v>
      </c>
      <c r="E50" s="484">
        <f t="shared" si="10"/>
        <v>117657.62790697675</v>
      </c>
      <c r="F50" s="485">
        <f t="shared" si="11"/>
        <v>1213719.584471494</v>
      </c>
      <c r="G50" s="486">
        <f t="shared" si="12"/>
        <v>248522.62790697673</v>
      </c>
      <c r="H50" s="455">
        <f t="shared" si="13"/>
        <v>248522.62790697673</v>
      </c>
      <c r="I50" s="475">
        <f t="shared" si="4"/>
        <v>0</v>
      </c>
      <c r="J50" s="475"/>
      <c r="K50" s="487"/>
      <c r="L50" s="478">
        <f t="shared" si="14"/>
        <v>0</v>
      </c>
      <c r="M50" s="487"/>
      <c r="N50" s="478">
        <f t="shared" si="5"/>
        <v>0</v>
      </c>
      <c r="O50" s="478">
        <f t="shared" si="6"/>
        <v>0</v>
      </c>
      <c r="P50" s="242"/>
    </row>
    <row r="51" spans="2:16" ht="12.5">
      <c r="B51" s="160" t="str">
        <f t="shared" si="3"/>
        <v/>
      </c>
      <c r="C51" s="472">
        <f>IF(D11="","-",+C50+1)</f>
        <v>2048</v>
      </c>
      <c r="D51" s="485">
        <f>IF(F50+SUM(E$17:E50)=D$10,F50,D$10-SUM(E$17:E50))</f>
        <v>1213719.584471494</v>
      </c>
      <c r="E51" s="484">
        <f t="shared" si="10"/>
        <v>117657.62790697675</v>
      </c>
      <c r="F51" s="485">
        <f t="shared" si="11"/>
        <v>1096061.9565645172</v>
      </c>
      <c r="G51" s="486">
        <f t="shared" si="12"/>
        <v>235836.62790697673</v>
      </c>
      <c r="H51" s="455">
        <f t="shared" si="13"/>
        <v>235836.62790697673</v>
      </c>
      <c r="I51" s="475">
        <f t="shared" si="4"/>
        <v>0</v>
      </c>
      <c r="J51" s="475"/>
      <c r="K51" s="487"/>
      <c r="L51" s="478">
        <f t="shared" si="14"/>
        <v>0</v>
      </c>
      <c r="M51" s="487"/>
      <c r="N51" s="478">
        <f t="shared" si="5"/>
        <v>0</v>
      </c>
      <c r="O51" s="478">
        <f t="shared" si="6"/>
        <v>0</v>
      </c>
      <c r="P51" s="242"/>
    </row>
    <row r="52" spans="2:16" ht="12.5">
      <c r="B52" s="160" t="str">
        <f t="shared" si="3"/>
        <v/>
      </c>
      <c r="C52" s="472">
        <f>IF(D11="","-",+C51+1)</f>
        <v>2049</v>
      </c>
      <c r="D52" s="485">
        <f>IF(F51+SUM(E$17:E51)=D$10,F51,D$10-SUM(E$17:E51))</f>
        <v>1096061.9565645172</v>
      </c>
      <c r="E52" s="484">
        <f t="shared" si="10"/>
        <v>117657.62790697675</v>
      </c>
      <c r="F52" s="485">
        <f t="shared" si="11"/>
        <v>978404.32865754049</v>
      </c>
      <c r="G52" s="486">
        <f t="shared" si="12"/>
        <v>223150.62790697673</v>
      </c>
      <c r="H52" s="455">
        <f t="shared" si="13"/>
        <v>223150.62790697673</v>
      </c>
      <c r="I52" s="475">
        <f t="shared" si="4"/>
        <v>0</v>
      </c>
      <c r="J52" s="475"/>
      <c r="K52" s="487"/>
      <c r="L52" s="478">
        <f t="shared" si="14"/>
        <v>0</v>
      </c>
      <c r="M52" s="487"/>
      <c r="N52" s="478">
        <f t="shared" si="5"/>
        <v>0</v>
      </c>
      <c r="O52" s="478">
        <f t="shared" si="6"/>
        <v>0</v>
      </c>
      <c r="P52" s="242"/>
    </row>
    <row r="53" spans="2:16" ht="12.5">
      <c r="B53" s="160" t="str">
        <f t="shared" si="3"/>
        <v/>
      </c>
      <c r="C53" s="472">
        <f>IF(D11="","-",+C52+1)</f>
        <v>2050</v>
      </c>
      <c r="D53" s="485">
        <f>IF(F52+SUM(E$17:E52)=D$10,F52,D$10-SUM(E$17:E52))</f>
        <v>978404.32865754049</v>
      </c>
      <c r="E53" s="484">
        <f t="shared" si="10"/>
        <v>117657.62790697675</v>
      </c>
      <c r="F53" s="485">
        <f t="shared" si="11"/>
        <v>860746.70075056376</v>
      </c>
      <c r="G53" s="486">
        <f t="shared" si="12"/>
        <v>210464.62790697673</v>
      </c>
      <c r="H53" s="455">
        <f t="shared" si="13"/>
        <v>210464.62790697673</v>
      </c>
      <c r="I53" s="475">
        <f t="shared" si="4"/>
        <v>0</v>
      </c>
      <c r="J53" s="475"/>
      <c r="K53" s="487"/>
      <c r="L53" s="478">
        <f t="shared" si="14"/>
        <v>0</v>
      </c>
      <c r="M53" s="487"/>
      <c r="N53" s="478">
        <f t="shared" si="5"/>
        <v>0</v>
      </c>
      <c r="O53" s="478">
        <f t="shared" si="6"/>
        <v>0</v>
      </c>
      <c r="P53" s="242"/>
    </row>
    <row r="54" spans="2:16" ht="12.5">
      <c r="B54" s="160" t="str">
        <f t="shared" si="3"/>
        <v/>
      </c>
      <c r="C54" s="472">
        <f>IF(D11="","-",+C53+1)</f>
        <v>2051</v>
      </c>
      <c r="D54" s="485">
        <f>IF(F53+SUM(E$17:E53)=D$10,F53,D$10-SUM(E$17:E53))</f>
        <v>860746.70075056376</v>
      </c>
      <c r="E54" s="484">
        <f t="shared" si="10"/>
        <v>117657.62790697675</v>
      </c>
      <c r="F54" s="485">
        <f t="shared" si="11"/>
        <v>743089.07284358703</v>
      </c>
      <c r="G54" s="486">
        <f t="shared" si="12"/>
        <v>197778.62790697673</v>
      </c>
      <c r="H54" s="455">
        <f t="shared" si="13"/>
        <v>197778.62790697673</v>
      </c>
      <c r="I54" s="475">
        <f t="shared" si="4"/>
        <v>0</v>
      </c>
      <c r="J54" s="475"/>
      <c r="K54" s="487"/>
      <c r="L54" s="478">
        <f t="shared" si="14"/>
        <v>0</v>
      </c>
      <c r="M54" s="487"/>
      <c r="N54" s="478">
        <f t="shared" si="5"/>
        <v>0</v>
      </c>
      <c r="O54" s="478">
        <f t="shared" si="6"/>
        <v>0</v>
      </c>
      <c r="P54" s="242"/>
    </row>
    <row r="55" spans="2:16" ht="12.5">
      <c r="B55" s="160" t="str">
        <f t="shared" si="3"/>
        <v/>
      </c>
      <c r="C55" s="472">
        <f>IF(D11="","-",+C54+1)</f>
        <v>2052</v>
      </c>
      <c r="D55" s="485">
        <f>IF(F54+SUM(E$17:E54)=D$10,F54,D$10-SUM(E$17:E54))</f>
        <v>743089.07284358703</v>
      </c>
      <c r="E55" s="484">
        <f t="shared" si="10"/>
        <v>117657.62790697675</v>
      </c>
      <c r="F55" s="485">
        <f t="shared" si="11"/>
        <v>625431.44493661029</v>
      </c>
      <c r="G55" s="486">
        <f t="shared" si="12"/>
        <v>185092.62790697673</v>
      </c>
      <c r="H55" s="455">
        <f t="shared" si="13"/>
        <v>185092.62790697673</v>
      </c>
      <c r="I55" s="475">
        <f t="shared" si="4"/>
        <v>0</v>
      </c>
      <c r="J55" s="475"/>
      <c r="K55" s="487"/>
      <c r="L55" s="478">
        <f t="shared" si="14"/>
        <v>0</v>
      </c>
      <c r="M55" s="487"/>
      <c r="N55" s="478">
        <f t="shared" si="5"/>
        <v>0</v>
      </c>
      <c r="O55" s="478">
        <f t="shared" si="6"/>
        <v>0</v>
      </c>
      <c r="P55" s="242"/>
    </row>
    <row r="56" spans="2:16" ht="12.5">
      <c r="B56" s="160" t="str">
        <f t="shared" si="3"/>
        <v/>
      </c>
      <c r="C56" s="472">
        <f>IF(D11="","-",+C55+1)</f>
        <v>2053</v>
      </c>
      <c r="D56" s="485">
        <f>IF(F55+SUM(E$17:E55)=D$10,F55,D$10-SUM(E$17:E55))</f>
        <v>625431.44493661029</v>
      </c>
      <c r="E56" s="484">
        <f t="shared" si="10"/>
        <v>117657.62790697675</v>
      </c>
      <c r="F56" s="485">
        <f t="shared" si="11"/>
        <v>507773.81702963356</v>
      </c>
      <c r="G56" s="486">
        <f t="shared" si="12"/>
        <v>172406.62790697673</v>
      </c>
      <c r="H56" s="455">
        <f t="shared" si="13"/>
        <v>172406.62790697673</v>
      </c>
      <c r="I56" s="475">
        <f t="shared" si="4"/>
        <v>0</v>
      </c>
      <c r="J56" s="475"/>
      <c r="K56" s="487"/>
      <c r="L56" s="478">
        <f t="shared" si="14"/>
        <v>0</v>
      </c>
      <c r="M56" s="487"/>
      <c r="N56" s="478">
        <f t="shared" si="5"/>
        <v>0</v>
      </c>
      <c r="O56" s="478">
        <f t="shared" si="6"/>
        <v>0</v>
      </c>
      <c r="P56" s="242"/>
    </row>
    <row r="57" spans="2:16" ht="12.5">
      <c r="B57" s="160" t="str">
        <f t="shared" si="3"/>
        <v/>
      </c>
      <c r="C57" s="472">
        <f>IF(D11="","-",+C56+1)</f>
        <v>2054</v>
      </c>
      <c r="D57" s="485">
        <f>IF(F56+SUM(E$17:E56)=D$10,F56,D$10-SUM(E$17:E56))</f>
        <v>507773.81702963356</v>
      </c>
      <c r="E57" s="484">
        <f t="shared" si="10"/>
        <v>117657.62790697675</v>
      </c>
      <c r="F57" s="485">
        <f t="shared" si="11"/>
        <v>390116.18912265683</v>
      </c>
      <c r="G57" s="486">
        <f t="shared" si="12"/>
        <v>159720.62790697673</v>
      </c>
      <c r="H57" s="455">
        <f t="shared" si="13"/>
        <v>159720.62790697673</v>
      </c>
      <c r="I57" s="475">
        <f t="shared" si="4"/>
        <v>0</v>
      </c>
      <c r="J57" s="475"/>
      <c r="K57" s="487"/>
      <c r="L57" s="478">
        <f t="shared" si="14"/>
        <v>0</v>
      </c>
      <c r="M57" s="487"/>
      <c r="N57" s="478">
        <f t="shared" si="5"/>
        <v>0</v>
      </c>
      <c r="O57" s="478">
        <f t="shared" si="6"/>
        <v>0</v>
      </c>
      <c r="P57" s="242"/>
    </row>
    <row r="58" spans="2:16" ht="12.5">
      <c r="B58" s="160" t="str">
        <f t="shared" si="3"/>
        <v/>
      </c>
      <c r="C58" s="472">
        <f>IF(D11="","-",+C57+1)</f>
        <v>2055</v>
      </c>
      <c r="D58" s="485">
        <f>IF(F57+SUM(E$17:E57)=D$10,F57,D$10-SUM(E$17:E57))</f>
        <v>390116.18912265683</v>
      </c>
      <c r="E58" s="484">
        <f t="shared" si="10"/>
        <v>117657.62790697675</v>
      </c>
      <c r="F58" s="485">
        <f t="shared" si="11"/>
        <v>272458.56121568009</v>
      </c>
      <c r="G58" s="486">
        <f t="shared" si="12"/>
        <v>147034.62790697673</v>
      </c>
      <c r="H58" s="455">
        <f t="shared" si="13"/>
        <v>147034.62790697673</v>
      </c>
      <c r="I58" s="475">
        <f t="shared" si="4"/>
        <v>0</v>
      </c>
      <c r="J58" s="475"/>
      <c r="K58" s="487"/>
      <c r="L58" s="478">
        <f t="shared" si="14"/>
        <v>0</v>
      </c>
      <c r="M58" s="487"/>
      <c r="N58" s="478">
        <f t="shared" si="5"/>
        <v>0</v>
      </c>
      <c r="O58" s="478">
        <f t="shared" si="6"/>
        <v>0</v>
      </c>
      <c r="P58" s="242"/>
    </row>
    <row r="59" spans="2:16" ht="12.5">
      <c r="B59" s="160" t="str">
        <f t="shared" si="3"/>
        <v/>
      </c>
      <c r="C59" s="472">
        <f>IF(D11="","-",+C58+1)</f>
        <v>2056</v>
      </c>
      <c r="D59" s="485">
        <f>IF(F58+SUM(E$17:E58)=D$10,F58,D$10-SUM(E$17:E58))</f>
        <v>272458.56121568009</v>
      </c>
      <c r="E59" s="484">
        <f t="shared" si="10"/>
        <v>117657.62790697675</v>
      </c>
      <c r="F59" s="485">
        <f t="shared" si="11"/>
        <v>154800.93330870336</v>
      </c>
      <c r="G59" s="486">
        <f t="shared" si="12"/>
        <v>134348.62790697673</v>
      </c>
      <c r="H59" s="455">
        <f t="shared" si="13"/>
        <v>134348.62790697673</v>
      </c>
      <c r="I59" s="475">
        <f t="shared" si="4"/>
        <v>0</v>
      </c>
      <c r="J59" s="475"/>
      <c r="K59" s="487"/>
      <c r="L59" s="478">
        <f t="shared" si="14"/>
        <v>0</v>
      </c>
      <c r="M59" s="487"/>
      <c r="N59" s="478">
        <f t="shared" si="5"/>
        <v>0</v>
      </c>
      <c r="O59" s="478">
        <f t="shared" si="6"/>
        <v>0</v>
      </c>
      <c r="P59" s="242"/>
    </row>
    <row r="60" spans="2:16" ht="12.5">
      <c r="B60" s="160" t="str">
        <f t="shared" si="3"/>
        <v/>
      </c>
      <c r="C60" s="472">
        <f>IF(D11="","-",+C59+1)</f>
        <v>2057</v>
      </c>
      <c r="D60" s="485">
        <f>IF(F59+SUM(E$17:E59)=D$10,F59,D$10-SUM(E$17:E59))</f>
        <v>154800.93330870336</v>
      </c>
      <c r="E60" s="484">
        <f t="shared" si="10"/>
        <v>117657.62790697675</v>
      </c>
      <c r="F60" s="485">
        <f t="shared" si="11"/>
        <v>37143.305401726611</v>
      </c>
      <c r="G60" s="486">
        <f t="shared" si="12"/>
        <v>121662.62790697675</v>
      </c>
      <c r="H60" s="455">
        <f t="shared" si="13"/>
        <v>121662.62790697675</v>
      </c>
      <c r="I60" s="475">
        <f t="shared" si="4"/>
        <v>0</v>
      </c>
      <c r="J60" s="475"/>
      <c r="K60" s="487"/>
      <c r="L60" s="478">
        <f t="shared" si="14"/>
        <v>0</v>
      </c>
      <c r="M60" s="487"/>
      <c r="N60" s="478">
        <f t="shared" si="5"/>
        <v>0</v>
      </c>
      <c r="O60" s="478">
        <f t="shared" si="6"/>
        <v>0</v>
      </c>
      <c r="P60" s="242"/>
    </row>
    <row r="61" spans="2:16" ht="12.5">
      <c r="B61" s="160" t="str">
        <f t="shared" si="3"/>
        <v/>
      </c>
      <c r="C61" s="472">
        <f>IF(D11="","-",+C60+1)</f>
        <v>2058</v>
      </c>
      <c r="D61" s="485">
        <f>IF(F60+SUM(E$17:E60)=D$10,F60,D$10-SUM(E$17:E60))</f>
        <v>37143.305401726611</v>
      </c>
      <c r="E61" s="484">
        <f t="shared" si="10"/>
        <v>37143.305401726611</v>
      </c>
      <c r="F61" s="485">
        <f t="shared" si="11"/>
        <v>0</v>
      </c>
      <c r="G61" s="486">
        <f t="shared" si="12"/>
        <v>37143.305401726611</v>
      </c>
      <c r="H61" s="455">
        <f t="shared" si="13"/>
        <v>37143.305401726611</v>
      </c>
      <c r="I61" s="475">
        <f t="shared" si="4"/>
        <v>0</v>
      </c>
      <c r="J61" s="475"/>
      <c r="K61" s="487"/>
      <c r="L61" s="478">
        <f t="shared" si="14"/>
        <v>0</v>
      </c>
      <c r="M61" s="487"/>
      <c r="N61" s="478">
        <f t="shared" si="5"/>
        <v>0</v>
      </c>
      <c r="O61" s="478">
        <f t="shared" si="6"/>
        <v>0</v>
      </c>
      <c r="P61" s="242"/>
    </row>
    <row r="62" spans="2:16" ht="12.5">
      <c r="B62" s="160" t="str">
        <f t="shared" si="3"/>
        <v/>
      </c>
      <c r="C62" s="472">
        <f>IF(D11="","-",+C61+1)</f>
        <v>2059</v>
      </c>
      <c r="D62" s="485">
        <f>IF(F61+SUM(E$17:E61)=D$10,F61,D$10-SUM(E$17:E61))</f>
        <v>0</v>
      </c>
      <c r="E62" s="484">
        <f t="shared" si="10"/>
        <v>0</v>
      </c>
      <c r="F62" s="485">
        <f t="shared" si="11"/>
        <v>0</v>
      </c>
      <c r="G62" s="486">
        <f t="shared" si="12"/>
        <v>0</v>
      </c>
      <c r="H62" s="455">
        <f t="shared" si="13"/>
        <v>0</v>
      </c>
      <c r="I62" s="475">
        <f t="shared" si="4"/>
        <v>0</v>
      </c>
      <c r="J62" s="475"/>
      <c r="K62" s="487"/>
      <c r="L62" s="478">
        <f t="shared" si="14"/>
        <v>0</v>
      </c>
      <c r="M62" s="487"/>
      <c r="N62" s="478">
        <f t="shared" si="5"/>
        <v>0</v>
      </c>
      <c r="O62" s="478">
        <f t="shared" si="6"/>
        <v>0</v>
      </c>
      <c r="P62" s="242"/>
    </row>
    <row r="63" spans="2:16" ht="12.5">
      <c r="B63" s="160" t="str">
        <f t="shared" si="3"/>
        <v/>
      </c>
      <c r="C63" s="472">
        <f>IF(D11="","-",+C62+1)</f>
        <v>2060</v>
      </c>
      <c r="D63" s="485">
        <f>IF(F62+SUM(E$17:E62)=D$10,F62,D$10-SUM(E$17:E62))</f>
        <v>0</v>
      </c>
      <c r="E63" s="484">
        <f t="shared" si="10"/>
        <v>0</v>
      </c>
      <c r="F63" s="485">
        <f t="shared" si="11"/>
        <v>0</v>
      </c>
      <c r="G63" s="486">
        <f t="shared" si="12"/>
        <v>0</v>
      </c>
      <c r="H63" s="455">
        <f t="shared" si="13"/>
        <v>0</v>
      </c>
      <c r="I63" s="475">
        <f t="shared" si="4"/>
        <v>0</v>
      </c>
      <c r="J63" s="475"/>
      <c r="K63" s="487"/>
      <c r="L63" s="478">
        <f t="shared" si="14"/>
        <v>0</v>
      </c>
      <c r="M63" s="487"/>
      <c r="N63" s="478">
        <f t="shared" si="5"/>
        <v>0</v>
      </c>
      <c r="O63" s="478">
        <f t="shared" si="6"/>
        <v>0</v>
      </c>
      <c r="P63" s="242"/>
    </row>
    <row r="64" spans="2:16" ht="12.5">
      <c r="B64" s="160" t="str">
        <f t="shared" si="3"/>
        <v/>
      </c>
      <c r="C64" s="472">
        <f>IF(D11="","-",+C63+1)</f>
        <v>2061</v>
      </c>
      <c r="D64" s="485">
        <f>IF(F63+SUM(E$17:E63)=D$10,F63,D$10-SUM(E$17:E63))</f>
        <v>0</v>
      </c>
      <c r="E64" s="484">
        <f t="shared" si="10"/>
        <v>0</v>
      </c>
      <c r="F64" s="485">
        <f t="shared" si="11"/>
        <v>0</v>
      </c>
      <c r="G64" s="486">
        <f t="shared" si="12"/>
        <v>0</v>
      </c>
      <c r="H64" s="455">
        <f t="shared" si="13"/>
        <v>0</v>
      </c>
      <c r="I64" s="475">
        <f t="shared" si="4"/>
        <v>0</v>
      </c>
      <c r="J64" s="475"/>
      <c r="K64" s="487"/>
      <c r="L64" s="478">
        <f t="shared" si="14"/>
        <v>0</v>
      </c>
      <c r="M64" s="487"/>
      <c r="N64" s="478">
        <f t="shared" si="5"/>
        <v>0</v>
      </c>
      <c r="O64" s="478">
        <f t="shared" si="6"/>
        <v>0</v>
      </c>
      <c r="P64" s="242"/>
    </row>
    <row r="65" spans="2:16" ht="12.5">
      <c r="B65" s="160" t="str">
        <f t="shared" si="3"/>
        <v/>
      </c>
      <c r="C65" s="472">
        <f>IF(D11="","-",+C64+1)</f>
        <v>2062</v>
      </c>
      <c r="D65" s="485">
        <f>IF(F64+SUM(E$17:E64)=D$10,F64,D$10-SUM(E$17:E64))</f>
        <v>0</v>
      </c>
      <c r="E65" s="484">
        <f t="shared" si="10"/>
        <v>0</v>
      </c>
      <c r="F65" s="485">
        <f t="shared" si="11"/>
        <v>0</v>
      </c>
      <c r="G65" s="486">
        <f t="shared" si="12"/>
        <v>0</v>
      </c>
      <c r="H65" s="455">
        <f t="shared" si="13"/>
        <v>0</v>
      </c>
      <c r="I65" s="475">
        <f t="shared" si="4"/>
        <v>0</v>
      </c>
      <c r="J65" s="475"/>
      <c r="K65" s="487"/>
      <c r="L65" s="478">
        <f t="shared" si="14"/>
        <v>0</v>
      </c>
      <c r="M65" s="487"/>
      <c r="N65" s="478">
        <f t="shared" si="5"/>
        <v>0</v>
      </c>
      <c r="O65" s="478">
        <f t="shared" si="6"/>
        <v>0</v>
      </c>
      <c r="P65" s="242"/>
    </row>
    <row r="66" spans="2:16" ht="12.5">
      <c r="B66" s="160" t="str">
        <f t="shared" si="3"/>
        <v/>
      </c>
      <c r="C66" s="472">
        <f>IF(D11="","-",+C65+1)</f>
        <v>2063</v>
      </c>
      <c r="D66" s="485">
        <f>IF(F65+SUM(E$17:E65)=D$10,F65,D$10-SUM(E$17:E65))</f>
        <v>0</v>
      </c>
      <c r="E66" s="484">
        <f t="shared" si="10"/>
        <v>0</v>
      </c>
      <c r="F66" s="485">
        <f t="shared" si="11"/>
        <v>0</v>
      </c>
      <c r="G66" s="486">
        <f t="shared" si="12"/>
        <v>0</v>
      </c>
      <c r="H66" s="455">
        <f t="shared" si="13"/>
        <v>0</v>
      </c>
      <c r="I66" s="475">
        <f t="shared" si="4"/>
        <v>0</v>
      </c>
      <c r="J66" s="475"/>
      <c r="K66" s="487"/>
      <c r="L66" s="478">
        <f t="shared" si="14"/>
        <v>0</v>
      </c>
      <c r="M66" s="487"/>
      <c r="N66" s="478">
        <f t="shared" si="5"/>
        <v>0</v>
      </c>
      <c r="O66" s="478">
        <f t="shared" si="6"/>
        <v>0</v>
      </c>
      <c r="P66" s="242"/>
    </row>
    <row r="67" spans="2:16" ht="12.5">
      <c r="B67" s="160" t="str">
        <f t="shared" si="3"/>
        <v/>
      </c>
      <c r="C67" s="472">
        <f>IF(D11="","-",+C66+1)</f>
        <v>2064</v>
      </c>
      <c r="D67" s="485">
        <f>IF(F66+SUM(E$17:E66)=D$10,F66,D$10-SUM(E$17:E66))</f>
        <v>0</v>
      </c>
      <c r="E67" s="484">
        <f t="shared" si="10"/>
        <v>0</v>
      </c>
      <c r="F67" s="485">
        <f t="shared" si="11"/>
        <v>0</v>
      </c>
      <c r="G67" s="486">
        <f t="shared" si="12"/>
        <v>0</v>
      </c>
      <c r="H67" s="455">
        <f t="shared" si="13"/>
        <v>0</v>
      </c>
      <c r="I67" s="475">
        <f t="shared" si="4"/>
        <v>0</v>
      </c>
      <c r="J67" s="475"/>
      <c r="K67" s="487"/>
      <c r="L67" s="478">
        <f t="shared" si="14"/>
        <v>0</v>
      </c>
      <c r="M67" s="487"/>
      <c r="N67" s="478">
        <f t="shared" si="5"/>
        <v>0</v>
      </c>
      <c r="O67" s="478">
        <f t="shared" si="6"/>
        <v>0</v>
      </c>
      <c r="P67" s="242"/>
    </row>
    <row r="68" spans="2:16" ht="12.5">
      <c r="B68" s="160" t="str">
        <f t="shared" si="3"/>
        <v/>
      </c>
      <c r="C68" s="472">
        <f>IF(D11="","-",+C67+1)</f>
        <v>2065</v>
      </c>
      <c r="D68" s="485">
        <f>IF(F67+SUM(E$17:E67)=D$10,F67,D$10-SUM(E$17:E67))</f>
        <v>0</v>
      </c>
      <c r="E68" s="484">
        <f t="shared" si="10"/>
        <v>0</v>
      </c>
      <c r="F68" s="485">
        <f t="shared" si="11"/>
        <v>0</v>
      </c>
      <c r="G68" s="486">
        <f t="shared" si="12"/>
        <v>0</v>
      </c>
      <c r="H68" s="455">
        <f t="shared" si="13"/>
        <v>0</v>
      </c>
      <c r="I68" s="475">
        <f t="shared" si="4"/>
        <v>0</v>
      </c>
      <c r="J68" s="475"/>
      <c r="K68" s="487"/>
      <c r="L68" s="478">
        <f t="shared" si="14"/>
        <v>0</v>
      </c>
      <c r="M68" s="487"/>
      <c r="N68" s="478">
        <f t="shared" si="5"/>
        <v>0</v>
      </c>
      <c r="O68" s="478">
        <f t="shared" si="6"/>
        <v>0</v>
      </c>
      <c r="P68" s="242"/>
    </row>
    <row r="69" spans="2:16" ht="12.5">
      <c r="B69" s="160" t="str">
        <f t="shared" si="3"/>
        <v/>
      </c>
      <c r="C69" s="472">
        <f>IF(D11="","-",+C68+1)</f>
        <v>2066</v>
      </c>
      <c r="D69" s="485">
        <f>IF(F68+SUM(E$17:E68)=D$10,F68,D$10-SUM(E$17:E68))</f>
        <v>0</v>
      </c>
      <c r="E69" s="484">
        <f t="shared" si="10"/>
        <v>0</v>
      </c>
      <c r="F69" s="485">
        <f t="shared" si="11"/>
        <v>0</v>
      </c>
      <c r="G69" s="486">
        <f t="shared" si="12"/>
        <v>0</v>
      </c>
      <c r="H69" s="455">
        <f t="shared" si="13"/>
        <v>0</v>
      </c>
      <c r="I69" s="475">
        <f t="shared" si="4"/>
        <v>0</v>
      </c>
      <c r="J69" s="475"/>
      <c r="K69" s="487"/>
      <c r="L69" s="478">
        <f t="shared" si="14"/>
        <v>0</v>
      </c>
      <c r="M69" s="487"/>
      <c r="N69" s="478">
        <f t="shared" si="5"/>
        <v>0</v>
      </c>
      <c r="O69" s="478">
        <f t="shared" si="6"/>
        <v>0</v>
      </c>
      <c r="P69" s="242"/>
    </row>
    <row r="70" spans="2:16" ht="12.5">
      <c r="B70" s="160" t="str">
        <f t="shared" si="3"/>
        <v/>
      </c>
      <c r="C70" s="472">
        <f>IF(D11="","-",+C69+1)</f>
        <v>2067</v>
      </c>
      <c r="D70" s="485">
        <f>IF(F69+SUM(E$17:E69)=D$10,F69,D$10-SUM(E$17:E69))</f>
        <v>0</v>
      </c>
      <c r="E70" s="484">
        <f t="shared" si="10"/>
        <v>0</v>
      </c>
      <c r="F70" s="485">
        <f t="shared" si="11"/>
        <v>0</v>
      </c>
      <c r="G70" s="486">
        <f t="shared" si="12"/>
        <v>0</v>
      </c>
      <c r="H70" s="455">
        <f t="shared" si="13"/>
        <v>0</v>
      </c>
      <c r="I70" s="475">
        <f t="shared" si="4"/>
        <v>0</v>
      </c>
      <c r="J70" s="475"/>
      <c r="K70" s="487"/>
      <c r="L70" s="478">
        <f t="shared" si="14"/>
        <v>0</v>
      </c>
      <c r="M70" s="487"/>
      <c r="N70" s="478">
        <f t="shared" si="5"/>
        <v>0</v>
      </c>
      <c r="O70" s="478">
        <f t="shared" si="6"/>
        <v>0</v>
      </c>
      <c r="P70" s="242"/>
    </row>
    <row r="71" spans="2:16" ht="12.5">
      <c r="B71" s="160" t="str">
        <f t="shared" si="3"/>
        <v/>
      </c>
      <c r="C71" s="472">
        <f>IF(D11="","-",+C70+1)</f>
        <v>2068</v>
      </c>
      <c r="D71" s="485">
        <f>IF(F70+SUM(E$17:E70)=D$10,F70,D$10-SUM(E$17:E70))</f>
        <v>0</v>
      </c>
      <c r="E71" s="484">
        <f t="shared" si="10"/>
        <v>0</v>
      </c>
      <c r="F71" s="485">
        <f t="shared" si="11"/>
        <v>0</v>
      </c>
      <c r="G71" s="486">
        <f t="shared" si="12"/>
        <v>0</v>
      </c>
      <c r="H71" s="455">
        <f t="shared" si="13"/>
        <v>0</v>
      </c>
      <c r="I71" s="475">
        <f t="shared" si="4"/>
        <v>0</v>
      </c>
      <c r="J71" s="475"/>
      <c r="K71" s="487"/>
      <c r="L71" s="478">
        <f t="shared" si="14"/>
        <v>0</v>
      </c>
      <c r="M71" s="487"/>
      <c r="N71" s="478">
        <f t="shared" si="5"/>
        <v>0</v>
      </c>
      <c r="O71" s="478">
        <f t="shared" si="6"/>
        <v>0</v>
      </c>
      <c r="P71" s="242"/>
    </row>
    <row r="72" spans="2:16" ht="13" thickBot="1">
      <c r="B72" s="160" t="str">
        <f t="shared" si="3"/>
        <v/>
      </c>
      <c r="C72" s="489">
        <f>IF(D11="","-",+C71+1)</f>
        <v>2069</v>
      </c>
      <c r="D72" s="485">
        <f>IF(F71+SUM(E$17:E71)=D$10,F71,D$10-SUM(E$17:E71))</f>
        <v>0</v>
      </c>
      <c r="E72" s="484">
        <f t="shared" si="10"/>
        <v>0</v>
      </c>
      <c r="F72" s="485">
        <f t="shared" si="11"/>
        <v>0</v>
      </c>
      <c r="G72" s="486">
        <f t="shared" si="12"/>
        <v>0</v>
      </c>
      <c r="H72" s="455">
        <f t="shared" si="13"/>
        <v>0</v>
      </c>
      <c r="I72" s="475">
        <f t="shared" si="4"/>
        <v>0</v>
      </c>
      <c r="J72" s="475"/>
      <c r="K72" s="494"/>
      <c r="L72" s="495">
        <f t="shared" si="14"/>
        <v>0</v>
      </c>
      <c r="M72" s="494"/>
      <c r="N72" s="495">
        <f t="shared" si="5"/>
        <v>0</v>
      </c>
      <c r="O72" s="495">
        <f t="shared" si="6"/>
        <v>0</v>
      </c>
      <c r="P72" s="242"/>
    </row>
    <row r="73" spans="2:16" ht="12.5">
      <c r="C73" s="346" t="s">
        <v>77</v>
      </c>
      <c r="D73" s="347"/>
      <c r="E73" s="347">
        <f>SUM(E17:E72)</f>
        <v>5059278.0000000028</v>
      </c>
      <c r="F73" s="347"/>
      <c r="G73" s="347">
        <f>SUM(G17:G72)</f>
        <v>17901137.469398871</v>
      </c>
      <c r="H73" s="347">
        <f>SUM(H17:H72)</f>
        <v>17901137.469398871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16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637218.97874084802</v>
      </c>
      <c r="N87" s="508">
        <f>IF(J92&lt;D11,0,VLOOKUP(J92,C17:O72,11))</f>
        <v>637218.97874084802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593847.268225985</v>
      </c>
      <c r="N88" s="512">
        <f>IF(J92&lt;D11,0,VLOOKUP(J92,C99:P154,7))</f>
        <v>593847.268225985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Cornville Station Conversion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-43371.710514863022</v>
      </c>
      <c r="N89" s="517">
        <f>+N88-N87</f>
        <v>-43371.710514863022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TP2011093</v>
      </c>
      <c r="E91" s="522" t="str">
        <f>E9</f>
        <v xml:space="preserve">  SPP Project ID = 30346</v>
      </c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5059278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2014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12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123397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2014</v>
      </c>
      <c r="D99" s="584">
        <v>0</v>
      </c>
      <c r="E99" s="585">
        <v>0</v>
      </c>
      <c r="F99" s="586">
        <v>4992922.66</v>
      </c>
      <c r="G99" s="605">
        <v>2496461.33</v>
      </c>
      <c r="H99" s="606">
        <v>350992.25806989282</v>
      </c>
      <c r="I99" s="607">
        <v>350992.25806989282</v>
      </c>
      <c r="J99" s="478">
        <v>0</v>
      </c>
      <c r="K99" s="478"/>
      <c r="L99" s="476">
        <f>H99</f>
        <v>350992.25806989282</v>
      </c>
      <c r="M99" s="348">
        <f>IF(L99&lt;&gt;0,+H99-L99,0)</f>
        <v>0</v>
      </c>
      <c r="N99" s="476">
        <f>I99</f>
        <v>350992.25806989282</v>
      </c>
      <c r="O99" s="475">
        <f>IF(N99&lt;&gt;0,+I99-N99,0)</f>
        <v>0</v>
      </c>
      <c r="P99" s="478">
        <f>+O99-M99</f>
        <v>0</v>
      </c>
    </row>
    <row r="100" spans="1:16" ht="12.5">
      <c r="B100" s="160" t="str">
        <f>IF(D100=F99,"","IU")</f>
        <v>IU</v>
      </c>
      <c r="C100" s="472">
        <f>IF(D93="","-",+C99+1)</f>
        <v>2015</v>
      </c>
      <c r="D100" s="584">
        <v>5071338</v>
      </c>
      <c r="E100" s="585">
        <v>97526</v>
      </c>
      <c r="F100" s="586">
        <v>4973812</v>
      </c>
      <c r="G100" s="586">
        <v>5022575</v>
      </c>
      <c r="H100" s="606">
        <v>782815.97525692882</v>
      </c>
      <c r="I100" s="607">
        <v>782815.97525692882</v>
      </c>
      <c r="J100" s="478">
        <f>+I100-H100</f>
        <v>0</v>
      </c>
      <c r="K100" s="478"/>
      <c r="L100" s="476">
        <f>H100</f>
        <v>782815.97525692882</v>
      </c>
      <c r="M100" s="348">
        <f>IF(L100&lt;&gt;0,+H100-L100,0)</f>
        <v>0</v>
      </c>
      <c r="N100" s="476">
        <f>I100</f>
        <v>782815.97525692882</v>
      </c>
      <c r="O100" s="475">
        <f>IF(N100&lt;&gt;0,+I100-N100,0)</f>
        <v>0</v>
      </c>
      <c r="P100" s="478">
        <f>+O100-M100</f>
        <v>0</v>
      </c>
    </row>
    <row r="101" spans="1:16" ht="12.5">
      <c r="B101" s="160" t="str">
        <f t="shared" ref="B101:B154" si="15">IF(D101=F100,"","IU")</f>
        <v>IU</v>
      </c>
      <c r="C101" s="472">
        <f>IF(D93="","-",+C100+1)</f>
        <v>2016</v>
      </c>
      <c r="D101" s="584">
        <v>4961752</v>
      </c>
      <c r="E101" s="585">
        <v>109984</v>
      </c>
      <c r="F101" s="586">
        <v>4851768</v>
      </c>
      <c r="G101" s="586">
        <v>4906760</v>
      </c>
      <c r="H101" s="606">
        <v>742542.63994670648</v>
      </c>
      <c r="I101" s="607">
        <v>742542.63994670648</v>
      </c>
      <c r="J101" s="478">
        <f t="shared" ref="J101:J154" si="16">+I101-H101</f>
        <v>0</v>
      </c>
      <c r="K101" s="478"/>
      <c r="L101" s="476">
        <f>H101</f>
        <v>742542.63994670648</v>
      </c>
      <c r="M101" s="348">
        <f>IF(L101&lt;&gt;0,+H101-L101,0)</f>
        <v>0</v>
      </c>
      <c r="N101" s="476">
        <f>I101</f>
        <v>742542.63994670648</v>
      </c>
      <c r="O101" s="475">
        <f>IF(N101&lt;&gt;0,+I101-N101,0)</f>
        <v>0</v>
      </c>
      <c r="P101" s="478">
        <f>+O101-M101</f>
        <v>0</v>
      </c>
    </row>
    <row r="102" spans="1:16" ht="12.5">
      <c r="B102" s="160" t="str">
        <f t="shared" si="15"/>
        <v/>
      </c>
      <c r="C102" s="472">
        <f>IF(D93="","-",+C101+1)</f>
        <v>2017</v>
      </c>
      <c r="D102" s="584">
        <v>4851768</v>
      </c>
      <c r="E102" s="585">
        <v>109984</v>
      </c>
      <c r="F102" s="586">
        <v>4741784</v>
      </c>
      <c r="G102" s="586">
        <v>4796776</v>
      </c>
      <c r="H102" s="606">
        <v>718467.13067498105</v>
      </c>
      <c r="I102" s="607">
        <v>718467.13067498105</v>
      </c>
      <c r="J102" s="478">
        <f t="shared" si="16"/>
        <v>0</v>
      </c>
      <c r="K102" s="478"/>
      <c r="L102" s="476">
        <f>H102</f>
        <v>718467.13067498105</v>
      </c>
      <c r="M102" s="348">
        <f>IF(L102&lt;&gt;0,+H102-L102,0)</f>
        <v>0</v>
      </c>
      <c r="N102" s="476">
        <f>I102</f>
        <v>718467.13067498105</v>
      </c>
      <c r="O102" s="475">
        <f>IF(N102&lt;&gt;0,+I102-N102,0)</f>
        <v>0</v>
      </c>
      <c r="P102" s="478">
        <f>+O102-M102</f>
        <v>0</v>
      </c>
    </row>
    <row r="103" spans="1:16" ht="12.5">
      <c r="B103" s="160" t="str">
        <f t="shared" si="15"/>
        <v/>
      </c>
      <c r="C103" s="472">
        <f>IF(D93="","-",+C102+1)</f>
        <v>2018</v>
      </c>
      <c r="D103" s="584">
        <v>4741784</v>
      </c>
      <c r="E103" s="585">
        <v>117658</v>
      </c>
      <c r="F103" s="586">
        <v>4624126</v>
      </c>
      <c r="G103" s="586">
        <v>4682955</v>
      </c>
      <c r="H103" s="606">
        <v>598764.03634994966</v>
      </c>
      <c r="I103" s="607">
        <v>598764.03634994966</v>
      </c>
      <c r="J103" s="478">
        <f t="shared" si="16"/>
        <v>0</v>
      </c>
      <c r="K103" s="478"/>
      <c r="L103" s="476">
        <f>H103</f>
        <v>598764.03634994966</v>
      </c>
      <c r="M103" s="348">
        <f>IF(L103&lt;&gt;0,+H103-L103,0)</f>
        <v>0</v>
      </c>
      <c r="N103" s="476">
        <f>I103</f>
        <v>598764.03634994966</v>
      </c>
      <c r="O103" s="475">
        <f>IF(N103&lt;&gt;0,+I103-N103,0)</f>
        <v>0</v>
      </c>
      <c r="P103" s="478">
        <f>+O103-M103</f>
        <v>0</v>
      </c>
    </row>
    <row r="104" spans="1:16" ht="12.5">
      <c r="B104" s="160" t="str">
        <f t="shared" si="15"/>
        <v/>
      </c>
      <c r="C104" s="472">
        <f>IF(D93="","-",+C103+1)</f>
        <v>2019</v>
      </c>
      <c r="D104" s="346">
        <f>IF(F103+SUM(E$99:E103)=D$92,F103,D$92-SUM(E$99:E103))</f>
        <v>4624126</v>
      </c>
      <c r="E104" s="484">
        <f t="shared" ref="E104:E154" si="17">IF(+J$96&lt;F103,J$96,D104)</f>
        <v>123397</v>
      </c>
      <c r="F104" s="485">
        <f t="shared" ref="F104:F154" si="18">+D104-E104</f>
        <v>4500729</v>
      </c>
      <c r="G104" s="485">
        <f t="shared" ref="G104:G154" si="19">+(F104+D104)/2</f>
        <v>4562427.5</v>
      </c>
      <c r="H104" s="488">
        <f t="shared" ref="H104:H154" si="20">+J$94*G104+E104</f>
        <v>593847.268225985</v>
      </c>
      <c r="I104" s="542">
        <f t="shared" ref="I104:I154" si="21">+J$95*G104+E104</f>
        <v>593847.268225985</v>
      </c>
      <c r="J104" s="478">
        <f t="shared" si="16"/>
        <v>0</v>
      </c>
      <c r="K104" s="478"/>
      <c r="L104" s="487"/>
      <c r="M104" s="478">
        <f t="shared" ref="M104:M130" si="22">IF(L104&lt;&gt;0,+H104-L104,0)</f>
        <v>0</v>
      </c>
      <c r="N104" s="487"/>
      <c r="O104" s="478">
        <f t="shared" ref="O104:O130" si="23">IF(N104&lt;&gt;0,+I104-N104,0)</f>
        <v>0</v>
      </c>
      <c r="P104" s="478">
        <f t="shared" ref="P104:P130" si="24">+O104-M104</f>
        <v>0</v>
      </c>
    </row>
    <row r="105" spans="1:16" ht="12.5">
      <c r="B105" s="160" t="str">
        <f t="shared" si="15"/>
        <v/>
      </c>
      <c r="C105" s="472">
        <f>IF(D93="","-",+C104+1)</f>
        <v>2020</v>
      </c>
      <c r="D105" s="346">
        <f>IF(F104+SUM(E$99:E104)=D$92,F104,D$92-SUM(E$99:E104))</f>
        <v>4500729</v>
      </c>
      <c r="E105" s="484">
        <f t="shared" si="17"/>
        <v>123397</v>
      </c>
      <c r="F105" s="485">
        <f t="shared" si="18"/>
        <v>4377332</v>
      </c>
      <c r="G105" s="485">
        <f t="shared" si="19"/>
        <v>4439030.5</v>
      </c>
      <c r="H105" s="488">
        <f t="shared" si="20"/>
        <v>581123.30674971337</v>
      </c>
      <c r="I105" s="542">
        <f t="shared" si="21"/>
        <v>581123.30674971337</v>
      </c>
      <c r="J105" s="478">
        <f t="shared" si="16"/>
        <v>0</v>
      </c>
      <c r="K105" s="478"/>
      <c r="L105" s="487"/>
      <c r="M105" s="478">
        <f t="shared" si="22"/>
        <v>0</v>
      </c>
      <c r="N105" s="487"/>
      <c r="O105" s="478">
        <f t="shared" si="23"/>
        <v>0</v>
      </c>
      <c r="P105" s="478">
        <f t="shared" si="24"/>
        <v>0</v>
      </c>
    </row>
    <row r="106" spans="1:16" ht="12.5">
      <c r="B106" s="160" t="str">
        <f t="shared" si="15"/>
        <v/>
      </c>
      <c r="C106" s="472">
        <f>IF(D93="","-",+C105+1)</f>
        <v>2021</v>
      </c>
      <c r="D106" s="346">
        <f>IF(F105+SUM(E$99:E105)=D$92,F105,D$92-SUM(E$99:E105))</f>
        <v>4377332</v>
      </c>
      <c r="E106" s="484">
        <f t="shared" si="17"/>
        <v>123397</v>
      </c>
      <c r="F106" s="485">
        <f t="shared" si="18"/>
        <v>4253935</v>
      </c>
      <c r="G106" s="485">
        <f t="shared" si="19"/>
        <v>4315633.5</v>
      </c>
      <c r="H106" s="488">
        <f t="shared" si="20"/>
        <v>568399.34527344187</v>
      </c>
      <c r="I106" s="542">
        <f t="shared" si="21"/>
        <v>568399.34527344187</v>
      </c>
      <c r="J106" s="478">
        <f t="shared" si="16"/>
        <v>0</v>
      </c>
      <c r="K106" s="478"/>
      <c r="L106" s="487"/>
      <c r="M106" s="478">
        <f t="shared" si="22"/>
        <v>0</v>
      </c>
      <c r="N106" s="487"/>
      <c r="O106" s="478">
        <f t="shared" si="23"/>
        <v>0</v>
      </c>
      <c r="P106" s="478">
        <f t="shared" si="24"/>
        <v>0</v>
      </c>
    </row>
    <row r="107" spans="1:16" ht="12.5">
      <c r="B107" s="160" t="str">
        <f t="shared" si="15"/>
        <v/>
      </c>
      <c r="C107" s="472">
        <f>IF(D93="","-",+C106+1)</f>
        <v>2022</v>
      </c>
      <c r="D107" s="346">
        <f>IF(F106+SUM(E$99:E106)=D$92,F106,D$92-SUM(E$99:E106))</f>
        <v>4253935</v>
      </c>
      <c r="E107" s="484">
        <f t="shared" si="17"/>
        <v>123397</v>
      </c>
      <c r="F107" s="485">
        <f t="shared" si="18"/>
        <v>4130538</v>
      </c>
      <c r="G107" s="485">
        <f t="shared" si="19"/>
        <v>4192236.5</v>
      </c>
      <c r="H107" s="488">
        <f t="shared" si="20"/>
        <v>555675.38379717036</v>
      </c>
      <c r="I107" s="542">
        <f t="shared" si="21"/>
        <v>555675.38379717036</v>
      </c>
      <c r="J107" s="478">
        <f t="shared" si="16"/>
        <v>0</v>
      </c>
      <c r="K107" s="478"/>
      <c r="L107" s="487"/>
      <c r="M107" s="478">
        <f t="shared" si="22"/>
        <v>0</v>
      </c>
      <c r="N107" s="487"/>
      <c r="O107" s="478">
        <f t="shared" si="23"/>
        <v>0</v>
      </c>
      <c r="P107" s="478">
        <f t="shared" si="24"/>
        <v>0</v>
      </c>
    </row>
    <row r="108" spans="1:16" ht="12.5">
      <c r="B108" s="160" t="str">
        <f t="shared" si="15"/>
        <v/>
      </c>
      <c r="C108" s="472">
        <f>IF(D93="","-",+C107+1)</f>
        <v>2023</v>
      </c>
      <c r="D108" s="346">
        <f>IF(F107+SUM(E$99:E107)=D$92,F107,D$92-SUM(E$99:E107))</f>
        <v>4130538</v>
      </c>
      <c r="E108" s="484">
        <f t="shared" si="17"/>
        <v>123397</v>
      </c>
      <c r="F108" s="485">
        <f t="shared" si="18"/>
        <v>4007141</v>
      </c>
      <c r="G108" s="485">
        <f t="shared" si="19"/>
        <v>4068839.5</v>
      </c>
      <c r="H108" s="488">
        <f t="shared" si="20"/>
        <v>542951.42232089886</v>
      </c>
      <c r="I108" s="542">
        <f t="shared" si="21"/>
        <v>542951.42232089886</v>
      </c>
      <c r="J108" s="478">
        <f t="shared" si="16"/>
        <v>0</v>
      </c>
      <c r="K108" s="478"/>
      <c r="L108" s="487"/>
      <c r="M108" s="478">
        <f t="shared" si="22"/>
        <v>0</v>
      </c>
      <c r="N108" s="487"/>
      <c r="O108" s="478">
        <f t="shared" si="23"/>
        <v>0</v>
      </c>
      <c r="P108" s="478">
        <f t="shared" si="24"/>
        <v>0</v>
      </c>
    </row>
    <row r="109" spans="1:16" ht="12.5">
      <c r="B109" s="160" t="str">
        <f t="shared" si="15"/>
        <v/>
      </c>
      <c r="C109" s="472">
        <f>IF(D93="","-",+C108+1)</f>
        <v>2024</v>
      </c>
      <c r="D109" s="346">
        <f>IF(F108+SUM(E$99:E108)=D$92,F108,D$92-SUM(E$99:E108))</f>
        <v>4007141</v>
      </c>
      <c r="E109" s="484">
        <f t="shared" si="17"/>
        <v>123397</v>
      </c>
      <c r="F109" s="485">
        <f t="shared" si="18"/>
        <v>3883744</v>
      </c>
      <c r="G109" s="485">
        <f t="shared" si="19"/>
        <v>3945442.5</v>
      </c>
      <c r="H109" s="488">
        <f t="shared" si="20"/>
        <v>530227.46084462735</v>
      </c>
      <c r="I109" s="542">
        <f t="shared" si="21"/>
        <v>530227.46084462735</v>
      </c>
      <c r="J109" s="478">
        <f t="shared" si="16"/>
        <v>0</v>
      </c>
      <c r="K109" s="478"/>
      <c r="L109" s="487"/>
      <c r="M109" s="478">
        <f t="shared" si="22"/>
        <v>0</v>
      </c>
      <c r="N109" s="487"/>
      <c r="O109" s="478">
        <f t="shared" si="23"/>
        <v>0</v>
      </c>
      <c r="P109" s="478">
        <f t="shared" si="24"/>
        <v>0</v>
      </c>
    </row>
    <row r="110" spans="1:16" ht="12.5">
      <c r="B110" s="160" t="str">
        <f t="shared" si="15"/>
        <v/>
      </c>
      <c r="C110" s="472">
        <f>IF(D93="","-",+C109+1)</f>
        <v>2025</v>
      </c>
      <c r="D110" s="346">
        <f>IF(F109+SUM(E$99:E109)=D$92,F109,D$92-SUM(E$99:E109))</f>
        <v>3883744</v>
      </c>
      <c r="E110" s="484">
        <f t="shared" si="17"/>
        <v>123397</v>
      </c>
      <c r="F110" s="485">
        <f t="shared" si="18"/>
        <v>3760347</v>
      </c>
      <c r="G110" s="485">
        <f t="shared" si="19"/>
        <v>3822045.5</v>
      </c>
      <c r="H110" s="488">
        <f t="shared" si="20"/>
        <v>517503.49936835573</v>
      </c>
      <c r="I110" s="542">
        <f t="shared" si="21"/>
        <v>517503.49936835573</v>
      </c>
      <c r="J110" s="478">
        <f t="shared" si="16"/>
        <v>0</v>
      </c>
      <c r="K110" s="478"/>
      <c r="L110" s="487"/>
      <c r="M110" s="478">
        <f t="shared" si="22"/>
        <v>0</v>
      </c>
      <c r="N110" s="487"/>
      <c r="O110" s="478">
        <f t="shared" si="23"/>
        <v>0</v>
      </c>
      <c r="P110" s="478">
        <f t="shared" si="24"/>
        <v>0</v>
      </c>
    </row>
    <row r="111" spans="1:16" ht="12.5">
      <c r="B111" s="160" t="str">
        <f t="shared" si="15"/>
        <v/>
      </c>
      <c r="C111" s="472">
        <f>IF(D93="","-",+C110+1)</f>
        <v>2026</v>
      </c>
      <c r="D111" s="346">
        <f>IF(F110+SUM(E$99:E110)=D$92,F110,D$92-SUM(E$99:E110))</f>
        <v>3760347</v>
      </c>
      <c r="E111" s="484">
        <f t="shared" si="17"/>
        <v>123397</v>
      </c>
      <c r="F111" s="485">
        <f t="shared" si="18"/>
        <v>3636950</v>
      </c>
      <c r="G111" s="485">
        <f t="shared" si="19"/>
        <v>3698648.5</v>
      </c>
      <c r="H111" s="488">
        <f t="shared" si="20"/>
        <v>504779.53789208422</v>
      </c>
      <c r="I111" s="542">
        <f t="shared" si="21"/>
        <v>504779.53789208422</v>
      </c>
      <c r="J111" s="478">
        <f t="shared" si="16"/>
        <v>0</v>
      </c>
      <c r="K111" s="478"/>
      <c r="L111" s="487"/>
      <c r="M111" s="478">
        <f t="shared" si="22"/>
        <v>0</v>
      </c>
      <c r="N111" s="487"/>
      <c r="O111" s="478">
        <f t="shared" si="23"/>
        <v>0</v>
      </c>
      <c r="P111" s="478">
        <f t="shared" si="24"/>
        <v>0</v>
      </c>
    </row>
    <row r="112" spans="1:16" ht="12.5">
      <c r="B112" s="160" t="str">
        <f t="shared" si="15"/>
        <v/>
      </c>
      <c r="C112" s="472">
        <f>IF(D93="","-",+C111+1)</f>
        <v>2027</v>
      </c>
      <c r="D112" s="346">
        <f>IF(F111+SUM(E$99:E111)=D$92,F111,D$92-SUM(E$99:E111))</f>
        <v>3636950</v>
      </c>
      <c r="E112" s="484">
        <f t="shared" si="17"/>
        <v>123397</v>
      </c>
      <c r="F112" s="485">
        <f t="shared" si="18"/>
        <v>3513553</v>
      </c>
      <c r="G112" s="485">
        <f t="shared" si="19"/>
        <v>3575251.5</v>
      </c>
      <c r="H112" s="488">
        <f t="shared" si="20"/>
        <v>492055.57641581265</v>
      </c>
      <c r="I112" s="542">
        <f t="shared" si="21"/>
        <v>492055.57641581265</v>
      </c>
      <c r="J112" s="478">
        <f t="shared" si="16"/>
        <v>0</v>
      </c>
      <c r="K112" s="478"/>
      <c r="L112" s="487"/>
      <c r="M112" s="478">
        <f t="shared" si="22"/>
        <v>0</v>
      </c>
      <c r="N112" s="487"/>
      <c r="O112" s="478">
        <f t="shared" si="23"/>
        <v>0</v>
      </c>
      <c r="P112" s="478">
        <f t="shared" si="24"/>
        <v>0</v>
      </c>
    </row>
    <row r="113" spans="2:16" ht="12.5">
      <c r="B113" s="160" t="str">
        <f t="shared" si="15"/>
        <v/>
      </c>
      <c r="C113" s="472">
        <f>IF(D93="","-",+C112+1)</f>
        <v>2028</v>
      </c>
      <c r="D113" s="346">
        <f>IF(F112+SUM(E$99:E112)=D$92,F112,D$92-SUM(E$99:E112))</f>
        <v>3513553</v>
      </c>
      <c r="E113" s="484">
        <f t="shared" si="17"/>
        <v>123397</v>
      </c>
      <c r="F113" s="485">
        <f t="shared" si="18"/>
        <v>3390156</v>
      </c>
      <c r="G113" s="485">
        <f t="shared" si="19"/>
        <v>3451854.5</v>
      </c>
      <c r="H113" s="488">
        <f t="shared" si="20"/>
        <v>479331.61493954115</v>
      </c>
      <c r="I113" s="542">
        <f t="shared" si="21"/>
        <v>479331.61493954115</v>
      </c>
      <c r="J113" s="478">
        <f t="shared" si="16"/>
        <v>0</v>
      </c>
      <c r="K113" s="478"/>
      <c r="L113" s="487"/>
      <c r="M113" s="478">
        <f t="shared" si="22"/>
        <v>0</v>
      </c>
      <c r="N113" s="487"/>
      <c r="O113" s="478">
        <f t="shared" si="23"/>
        <v>0</v>
      </c>
      <c r="P113" s="478">
        <f t="shared" si="24"/>
        <v>0</v>
      </c>
    </row>
    <row r="114" spans="2:16" ht="12.5">
      <c r="B114" s="160" t="str">
        <f t="shared" si="15"/>
        <v/>
      </c>
      <c r="C114" s="472">
        <f>IF(D93="","-",+C113+1)</f>
        <v>2029</v>
      </c>
      <c r="D114" s="346">
        <f>IF(F113+SUM(E$99:E113)=D$92,F113,D$92-SUM(E$99:E113))</f>
        <v>3390156</v>
      </c>
      <c r="E114" s="484">
        <f t="shared" si="17"/>
        <v>123397</v>
      </c>
      <c r="F114" s="485">
        <f t="shared" si="18"/>
        <v>3266759</v>
      </c>
      <c r="G114" s="485">
        <f t="shared" si="19"/>
        <v>3328457.5</v>
      </c>
      <c r="H114" s="488">
        <f t="shared" si="20"/>
        <v>466607.65346326958</v>
      </c>
      <c r="I114" s="542">
        <f t="shared" si="21"/>
        <v>466607.65346326958</v>
      </c>
      <c r="J114" s="478">
        <f t="shared" si="16"/>
        <v>0</v>
      </c>
      <c r="K114" s="478"/>
      <c r="L114" s="487"/>
      <c r="M114" s="478">
        <f t="shared" si="22"/>
        <v>0</v>
      </c>
      <c r="N114" s="487"/>
      <c r="O114" s="478">
        <f t="shared" si="23"/>
        <v>0</v>
      </c>
      <c r="P114" s="478">
        <f t="shared" si="24"/>
        <v>0</v>
      </c>
    </row>
    <row r="115" spans="2:16" ht="12.5">
      <c r="B115" s="160" t="str">
        <f t="shared" si="15"/>
        <v/>
      </c>
      <c r="C115" s="472">
        <f>IF(D93="","-",+C114+1)</f>
        <v>2030</v>
      </c>
      <c r="D115" s="346">
        <f>IF(F114+SUM(E$99:E114)=D$92,F114,D$92-SUM(E$99:E114))</f>
        <v>3266759</v>
      </c>
      <c r="E115" s="484">
        <f t="shared" si="17"/>
        <v>123397</v>
      </c>
      <c r="F115" s="485">
        <f t="shared" si="18"/>
        <v>3143362</v>
      </c>
      <c r="G115" s="485">
        <f t="shared" si="19"/>
        <v>3205060.5</v>
      </c>
      <c r="H115" s="488">
        <f t="shared" si="20"/>
        <v>453883.69198699808</v>
      </c>
      <c r="I115" s="542">
        <f t="shared" si="21"/>
        <v>453883.69198699808</v>
      </c>
      <c r="J115" s="478">
        <f t="shared" si="16"/>
        <v>0</v>
      </c>
      <c r="K115" s="478"/>
      <c r="L115" s="487"/>
      <c r="M115" s="478">
        <f t="shared" si="22"/>
        <v>0</v>
      </c>
      <c r="N115" s="487"/>
      <c r="O115" s="478">
        <f t="shared" si="23"/>
        <v>0</v>
      </c>
      <c r="P115" s="478">
        <f t="shared" si="24"/>
        <v>0</v>
      </c>
    </row>
    <row r="116" spans="2:16" ht="12.5">
      <c r="B116" s="160" t="str">
        <f t="shared" si="15"/>
        <v/>
      </c>
      <c r="C116" s="472">
        <f>IF(D93="","-",+C115+1)</f>
        <v>2031</v>
      </c>
      <c r="D116" s="346">
        <f>IF(F115+SUM(E$99:E115)=D$92,F115,D$92-SUM(E$99:E115))</f>
        <v>3143362</v>
      </c>
      <c r="E116" s="484">
        <f t="shared" si="17"/>
        <v>123397</v>
      </c>
      <c r="F116" s="485">
        <f t="shared" si="18"/>
        <v>3019965</v>
      </c>
      <c r="G116" s="485">
        <f t="shared" si="19"/>
        <v>3081663.5</v>
      </c>
      <c r="H116" s="488">
        <f t="shared" si="20"/>
        <v>441159.73051072651</v>
      </c>
      <c r="I116" s="542">
        <f t="shared" si="21"/>
        <v>441159.73051072651</v>
      </c>
      <c r="J116" s="478">
        <f t="shared" si="16"/>
        <v>0</v>
      </c>
      <c r="K116" s="478"/>
      <c r="L116" s="487"/>
      <c r="M116" s="478">
        <f t="shared" si="22"/>
        <v>0</v>
      </c>
      <c r="N116" s="487"/>
      <c r="O116" s="478">
        <f t="shared" si="23"/>
        <v>0</v>
      </c>
      <c r="P116" s="478">
        <f t="shared" si="24"/>
        <v>0</v>
      </c>
    </row>
    <row r="117" spans="2:16" ht="12.5">
      <c r="B117" s="160" t="str">
        <f t="shared" si="15"/>
        <v/>
      </c>
      <c r="C117" s="472">
        <f>IF(D93="","-",+C116+1)</f>
        <v>2032</v>
      </c>
      <c r="D117" s="346">
        <f>IF(F116+SUM(E$99:E116)=D$92,F116,D$92-SUM(E$99:E116))</f>
        <v>3019965</v>
      </c>
      <c r="E117" s="484">
        <f t="shared" si="17"/>
        <v>123397</v>
      </c>
      <c r="F117" s="485">
        <f t="shared" si="18"/>
        <v>2896568</v>
      </c>
      <c r="G117" s="485">
        <f t="shared" si="19"/>
        <v>2958266.5</v>
      </c>
      <c r="H117" s="488">
        <f t="shared" si="20"/>
        <v>428435.76903445495</v>
      </c>
      <c r="I117" s="542">
        <f t="shared" si="21"/>
        <v>428435.76903445495</v>
      </c>
      <c r="J117" s="478">
        <f t="shared" si="16"/>
        <v>0</v>
      </c>
      <c r="K117" s="478"/>
      <c r="L117" s="487"/>
      <c r="M117" s="478">
        <f t="shared" si="22"/>
        <v>0</v>
      </c>
      <c r="N117" s="487"/>
      <c r="O117" s="478">
        <f t="shared" si="23"/>
        <v>0</v>
      </c>
      <c r="P117" s="478">
        <f t="shared" si="24"/>
        <v>0</v>
      </c>
    </row>
    <row r="118" spans="2:16" ht="12.5">
      <c r="B118" s="160" t="str">
        <f t="shared" si="15"/>
        <v/>
      </c>
      <c r="C118" s="472">
        <f>IF(D93="","-",+C117+1)</f>
        <v>2033</v>
      </c>
      <c r="D118" s="346">
        <f>IF(F117+SUM(E$99:E117)=D$92,F117,D$92-SUM(E$99:E117))</f>
        <v>2896568</v>
      </c>
      <c r="E118" s="484">
        <f t="shared" si="17"/>
        <v>123397</v>
      </c>
      <c r="F118" s="485">
        <f t="shared" si="18"/>
        <v>2773171</v>
      </c>
      <c r="G118" s="485">
        <f t="shared" si="19"/>
        <v>2834869.5</v>
      </c>
      <c r="H118" s="488">
        <f t="shared" si="20"/>
        <v>415711.80755818344</v>
      </c>
      <c r="I118" s="542">
        <f t="shared" si="21"/>
        <v>415711.80755818344</v>
      </c>
      <c r="J118" s="478">
        <f t="shared" si="16"/>
        <v>0</v>
      </c>
      <c r="K118" s="478"/>
      <c r="L118" s="487"/>
      <c r="M118" s="478">
        <f t="shared" si="22"/>
        <v>0</v>
      </c>
      <c r="N118" s="487"/>
      <c r="O118" s="478">
        <f t="shared" si="23"/>
        <v>0</v>
      </c>
      <c r="P118" s="478">
        <f t="shared" si="24"/>
        <v>0</v>
      </c>
    </row>
    <row r="119" spans="2:16" ht="12.5">
      <c r="B119" s="160" t="str">
        <f t="shared" si="15"/>
        <v/>
      </c>
      <c r="C119" s="472">
        <f>IF(D93="","-",+C118+1)</f>
        <v>2034</v>
      </c>
      <c r="D119" s="346">
        <f>IF(F118+SUM(E$99:E118)=D$92,F118,D$92-SUM(E$99:E118))</f>
        <v>2773171</v>
      </c>
      <c r="E119" s="484">
        <f t="shared" si="17"/>
        <v>123397</v>
      </c>
      <c r="F119" s="485">
        <f t="shared" si="18"/>
        <v>2649774</v>
      </c>
      <c r="G119" s="485">
        <f t="shared" si="19"/>
        <v>2711472.5</v>
      </c>
      <c r="H119" s="488">
        <f t="shared" si="20"/>
        <v>402987.84608191188</v>
      </c>
      <c r="I119" s="542">
        <f t="shared" si="21"/>
        <v>402987.84608191188</v>
      </c>
      <c r="J119" s="478">
        <f t="shared" si="16"/>
        <v>0</v>
      </c>
      <c r="K119" s="478"/>
      <c r="L119" s="487"/>
      <c r="M119" s="478">
        <f t="shared" si="22"/>
        <v>0</v>
      </c>
      <c r="N119" s="487"/>
      <c r="O119" s="478">
        <f t="shared" si="23"/>
        <v>0</v>
      </c>
      <c r="P119" s="478">
        <f t="shared" si="24"/>
        <v>0</v>
      </c>
    </row>
    <row r="120" spans="2:16" ht="12.5">
      <c r="B120" s="160" t="str">
        <f t="shared" si="15"/>
        <v/>
      </c>
      <c r="C120" s="472">
        <f>IF(D93="","-",+C119+1)</f>
        <v>2035</v>
      </c>
      <c r="D120" s="346">
        <f>IF(F119+SUM(E$99:E119)=D$92,F119,D$92-SUM(E$99:E119))</f>
        <v>2649774</v>
      </c>
      <c r="E120" s="484">
        <f t="shared" si="17"/>
        <v>123397</v>
      </c>
      <c r="F120" s="485">
        <f t="shared" si="18"/>
        <v>2526377</v>
      </c>
      <c r="G120" s="485">
        <f t="shared" si="19"/>
        <v>2588075.5</v>
      </c>
      <c r="H120" s="488">
        <f t="shared" si="20"/>
        <v>390263.88460564037</v>
      </c>
      <c r="I120" s="542">
        <f t="shared" si="21"/>
        <v>390263.88460564037</v>
      </c>
      <c r="J120" s="478">
        <f t="shared" si="16"/>
        <v>0</v>
      </c>
      <c r="K120" s="478"/>
      <c r="L120" s="487"/>
      <c r="M120" s="478">
        <f t="shared" si="22"/>
        <v>0</v>
      </c>
      <c r="N120" s="487"/>
      <c r="O120" s="478">
        <f t="shared" si="23"/>
        <v>0</v>
      </c>
      <c r="P120" s="478">
        <f t="shared" si="24"/>
        <v>0</v>
      </c>
    </row>
    <row r="121" spans="2:16" ht="12.5">
      <c r="B121" s="160" t="str">
        <f t="shared" si="15"/>
        <v/>
      </c>
      <c r="C121" s="472">
        <f>IF(D93="","-",+C120+1)</f>
        <v>2036</v>
      </c>
      <c r="D121" s="346">
        <f>IF(F120+SUM(E$99:E120)=D$92,F120,D$92-SUM(E$99:E120))</f>
        <v>2526377</v>
      </c>
      <c r="E121" s="484">
        <f t="shared" si="17"/>
        <v>123397</v>
      </c>
      <c r="F121" s="485">
        <f t="shared" si="18"/>
        <v>2402980</v>
      </c>
      <c r="G121" s="485">
        <f t="shared" si="19"/>
        <v>2464678.5</v>
      </c>
      <c r="H121" s="488">
        <f t="shared" si="20"/>
        <v>377539.92312936881</v>
      </c>
      <c r="I121" s="542">
        <f t="shared" si="21"/>
        <v>377539.92312936881</v>
      </c>
      <c r="J121" s="478">
        <f t="shared" si="16"/>
        <v>0</v>
      </c>
      <c r="K121" s="478"/>
      <c r="L121" s="487"/>
      <c r="M121" s="478">
        <f t="shared" si="22"/>
        <v>0</v>
      </c>
      <c r="N121" s="487"/>
      <c r="O121" s="478">
        <f t="shared" si="23"/>
        <v>0</v>
      </c>
      <c r="P121" s="478">
        <f t="shared" si="24"/>
        <v>0</v>
      </c>
    </row>
    <row r="122" spans="2:16" ht="12.5">
      <c r="B122" s="160" t="str">
        <f t="shared" si="15"/>
        <v/>
      </c>
      <c r="C122" s="472">
        <f>IF(D93="","-",+C121+1)</f>
        <v>2037</v>
      </c>
      <c r="D122" s="346">
        <f>IF(F121+SUM(E$99:E121)=D$92,F121,D$92-SUM(E$99:E121))</f>
        <v>2402980</v>
      </c>
      <c r="E122" s="484">
        <f t="shared" si="17"/>
        <v>123397</v>
      </c>
      <c r="F122" s="485">
        <f t="shared" si="18"/>
        <v>2279583</v>
      </c>
      <c r="G122" s="485">
        <f t="shared" si="19"/>
        <v>2341281.5</v>
      </c>
      <c r="H122" s="488">
        <f t="shared" si="20"/>
        <v>364815.9616530973</v>
      </c>
      <c r="I122" s="542">
        <f t="shared" si="21"/>
        <v>364815.9616530973</v>
      </c>
      <c r="J122" s="478">
        <f t="shared" si="16"/>
        <v>0</v>
      </c>
      <c r="K122" s="478"/>
      <c r="L122" s="487"/>
      <c r="M122" s="478">
        <f t="shared" si="22"/>
        <v>0</v>
      </c>
      <c r="N122" s="487"/>
      <c r="O122" s="478">
        <f t="shared" si="23"/>
        <v>0</v>
      </c>
      <c r="P122" s="478">
        <f t="shared" si="24"/>
        <v>0</v>
      </c>
    </row>
    <row r="123" spans="2:16" ht="12.5">
      <c r="B123" s="160" t="str">
        <f t="shared" si="15"/>
        <v/>
      </c>
      <c r="C123" s="472">
        <f>IF(D93="","-",+C122+1)</f>
        <v>2038</v>
      </c>
      <c r="D123" s="346">
        <f>IF(F122+SUM(E$99:E122)=D$92,F122,D$92-SUM(E$99:E122))</f>
        <v>2279583</v>
      </c>
      <c r="E123" s="484">
        <f t="shared" si="17"/>
        <v>123397</v>
      </c>
      <c r="F123" s="485">
        <f t="shared" si="18"/>
        <v>2156186</v>
      </c>
      <c r="G123" s="485">
        <f t="shared" si="19"/>
        <v>2217884.5</v>
      </c>
      <c r="H123" s="488">
        <f t="shared" si="20"/>
        <v>352092.00017682574</v>
      </c>
      <c r="I123" s="542">
        <f t="shared" si="21"/>
        <v>352092.00017682574</v>
      </c>
      <c r="J123" s="478">
        <f t="shared" si="16"/>
        <v>0</v>
      </c>
      <c r="K123" s="478"/>
      <c r="L123" s="487"/>
      <c r="M123" s="478">
        <f t="shared" si="22"/>
        <v>0</v>
      </c>
      <c r="N123" s="487"/>
      <c r="O123" s="478">
        <f t="shared" si="23"/>
        <v>0</v>
      </c>
      <c r="P123" s="478">
        <f t="shared" si="24"/>
        <v>0</v>
      </c>
    </row>
    <row r="124" spans="2:16" ht="12.5">
      <c r="B124" s="160" t="str">
        <f t="shared" si="15"/>
        <v/>
      </c>
      <c r="C124" s="472">
        <f>IF(D93="","-",+C123+1)</f>
        <v>2039</v>
      </c>
      <c r="D124" s="346">
        <f>IF(F123+SUM(E$99:E123)=D$92,F123,D$92-SUM(E$99:E123))</f>
        <v>2156186</v>
      </c>
      <c r="E124" s="484">
        <f t="shared" si="17"/>
        <v>123397</v>
      </c>
      <c r="F124" s="485">
        <f t="shared" si="18"/>
        <v>2032789</v>
      </c>
      <c r="G124" s="485">
        <f t="shared" si="19"/>
        <v>2094487.5</v>
      </c>
      <c r="H124" s="488">
        <f t="shared" si="20"/>
        <v>339368.03870055417</v>
      </c>
      <c r="I124" s="542">
        <f t="shared" si="21"/>
        <v>339368.03870055417</v>
      </c>
      <c r="J124" s="478">
        <f t="shared" si="16"/>
        <v>0</v>
      </c>
      <c r="K124" s="478"/>
      <c r="L124" s="487"/>
      <c r="M124" s="478">
        <f t="shared" si="22"/>
        <v>0</v>
      </c>
      <c r="N124" s="487"/>
      <c r="O124" s="478">
        <f t="shared" si="23"/>
        <v>0</v>
      </c>
      <c r="P124" s="478">
        <f t="shared" si="24"/>
        <v>0</v>
      </c>
    </row>
    <row r="125" spans="2:16" ht="12.5">
      <c r="B125" s="160" t="str">
        <f t="shared" si="15"/>
        <v/>
      </c>
      <c r="C125" s="472">
        <f>IF(D93="","-",+C124+1)</f>
        <v>2040</v>
      </c>
      <c r="D125" s="346">
        <f>IF(F124+SUM(E$99:E124)=D$92,F124,D$92-SUM(E$99:E124))</f>
        <v>2032789</v>
      </c>
      <c r="E125" s="484">
        <f t="shared" si="17"/>
        <v>123397</v>
      </c>
      <c r="F125" s="485">
        <f t="shared" si="18"/>
        <v>1909392</v>
      </c>
      <c r="G125" s="485">
        <f t="shared" si="19"/>
        <v>1971090.5</v>
      </c>
      <c r="H125" s="488">
        <f t="shared" si="20"/>
        <v>326644.07722428266</v>
      </c>
      <c r="I125" s="542">
        <f t="shared" si="21"/>
        <v>326644.07722428266</v>
      </c>
      <c r="J125" s="478">
        <f t="shared" si="16"/>
        <v>0</v>
      </c>
      <c r="K125" s="478"/>
      <c r="L125" s="487"/>
      <c r="M125" s="478">
        <f t="shared" si="22"/>
        <v>0</v>
      </c>
      <c r="N125" s="487"/>
      <c r="O125" s="478">
        <f t="shared" si="23"/>
        <v>0</v>
      </c>
      <c r="P125" s="478">
        <f t="shared" si="24"/>
        <v>0</v>
      </c>
    </row>
    <row r="126" spans="2:16" ht="12.5">
      <c r="B126" s="160" t="str">
        <f t="shared" si="15"/>
        <v/>
      </c>
      <c r="C126" s="472">
        <f>IF(D93="","-",+C125+1)</f>
        <v>2041</v>
      </c>
      <c r="D126" s="346">
        <f>IF(F125+SUM(E$99:E125)=D$92,F125,D$92-SUM(E$99:E125))</f>
        <v>1909392</v>
      </c>
      <c r="E126" s="484">
        <f t="shared" si="17"/>
        <v>123397</v>
      </c>
      <c r="F126" s="485">
        <f t="shared" si="18"/>
        <v>1785995</v>
      </c>
      <c r="G126" s="485">
        <f t="shared" si="19"/>
        <v>1847693.5</v>
      </c>
      <c r="H126" s="488">
        <f t="shared" si="20"/>
        <v>313920.11574801116</v>
      </c>
      <c r="I126" s="542">
        <f t="shared" si="21"/>
        <v>313920.11574801116</v>
      </c>
      <c r="J126" s="478">
        <f t="shared" si="16"/>
        <v>0</v>
      </c>
      <c r="K126" s="478"/>
      <c r="L126" s="487"/>
      <c r="M126" s="478">
        <f t="shared" si="22"/>
        <v>0</v>
      </c>
      <c r="N126" s="487"/>
      <c r="O126" s="478">
        <f t="shared" si="23"/>
        <v>0</v>
      </c>
      <c r="P126" s="478">
        <f t="shared" si="24"/>
        <v>0</v>
      </c>
    </row>
    <row r="127" spans="2:16" ht="12.5">
      <c r="B127" s="160" t="str">
        <f t="shared" si="15"/>
        <v/>
      </c>
      <c r="C127" s="472">
        <f>IF(D93="","-",+C126+1)</f>
        <v>2042</v>
      </c>
      <c r="D127" s="346">
        <f>IF(F126+SUM(E$99:E126)=D$92,F126,D$92-SUM(E$99:E126))</f>
        <v>1785995</v>
      </c>
      <c r="E127" s="484">
        <f t="shared" si="17"/>
        <v>123397</v>
      </c>
      <c r="F127" s="485">
        <f t="shared" si="18"/>
        <v>1662598</v>
      </c>
      <c r="G127" s="485">
        <f t="shared" si="19"/>
        <v>1724296.5</v>
      </c>
      <c r="H127" s="488">
        <f t="shared" si="20"/>
        <v>301196.15427173954</v>
      </c>
      <c r="I127" s="542">
        <f t="shared" si="21"/>
        <v>301196.15427173954</v>
      </c>
      <c r="J127" s="478">
        <f t="shared" si="16"/>
        <v>0</v>
      </c>
      <c r="K127" s="478"/>
      <c r="L127" s="487"/>
      <c r="M127" s="478">
        <f t="shared" si="22"/>
        <v>0</v>
      </c>
      <c r="N127" s="487"/>
      <c r="O127" s="478">
        <f t="shared" si="23"/>
        <v>0</v>
      </c>
      <c r="P127" s="478">
        <f t="shared" si="24"/>
        <v>0</v>
      </c>
    </row>
    <row r="128" spans="2:16" ht="12.5">
      <c r="B128" s="160" t="str">
        <f t="shared" si="15"/>
        <v/>
      </c>
      <c r="C128" s="472">
        <f>IF(D93="","-",+C127+1)</f>
        <v>2043</v>
      </c>
      <c r="D128" s="346">
        <f>IF(F127+SUM(E$99:E127)=D$92,F127,D$92-SUM(E$99:E127))</f>
        <v>1662598</v>
      </c>
      <c r="E128" s="484">
        <f t="shared" si="17"/>
        <v>123397</v>
      </c>
      <c r="F128" s="485">
        <f t="shared" si="18"/>
        <v>1539201</v>
      </c>
      <c r="G128" s="485">
        <f t="shared" si="19"/>
        <v>1600899.5</v>
      </c>
      <c r="H128" s="488">
        <f t="shared" si="20"/>
        <v>288472.19279546803</v>
      </c>
      <c r="I128" s="542">
        <f t="shared" si="21"/>
        <v>288472.19279546803</v>
      </c>
      <c r="J128" s="478">
        <f t="shared" si="16"/>
        <v>0</v>
      </c>
      <c r="K128" s="478"/>
      <c r="L128" s="487"/>
      <c r="M128" s="478">
        <f t="shared" si="22"/>
        <v>0</v>
      </c>
      <c r="N128" s="487"/>
      <c r="O128" s="478">
        <f t="shared" si="23"/>
        <v>0</v>
      </c>
      <c r="P128" s="478">
        <f t="shared" si="24"/>
        <v>0</v>
      </c>
    </row>
    <row r="129" spans="2:16" ht="12.5">
      <c r="B129" s="160" t="str">
        <f t="shared" si="15"/>
        <v/>
      </c>
      <c r="C129" s="472">
        <f>IF(D93="","-",+C128+1)</f>
        <v>2044</v>
      </c>
      <c r="D129" s="346">
        <f>IF(F128+SUM(E$99:E128)=D$92,F128,D$92-SUM(E$99:E128))</f>
        <v>1539201</v>
      </c>
      <c r="E129" s="484">
        <f t="shared" si="17"/>
        <v>123397</v>
      </c>
      <c r="F129" s="485">
        <f t="shared" si="18"/>
        <v>1415804</v>
      </c>
      <c r="G129" s="485">
        <f t="shared" si="19"/>
        <v>1477502.5</v>
      </c>
      <c r="H129" s="488">
        <f t="shared" si="20"/>
        <v>275748.23131919652</v>
      </c>
      <c r="I129" s="542">
        <f t="shared" si="21"/>
        <v>275748.23131919652</v>
      </c>
      <c r="J129" s="478">
        <f t="shared" si="16"/>
        <v>0</v>
      </c>
      <c r="K129" s="478"/>
      <c r="L129" s="487"/>
      <c r="M129" s="478">
        <f t="shared" si="22"/>
        <v>0</v>
      </c>
      <c r="N129" s="487"/>
      <c r="O129" s="478">
        <f t="shared" si="23"/>
        <v>0</v>
      </c>
      <c r="P129" s="478">
        <f t="shared" si="24"/>
        <v>0</v>
      </c>
    </row>
    <row r="130" spans="2:16" ht="12.5">
      <c r="B130" s="160" t="str">
        <f t="shared" si="15"/>
        <v/>
      </c>
      <c r="C130" s="472">
        <f>IF(D93="","-",+C129+1)</f>
        <v>2045</v>
      </c>
      <c r="D130" s="346">
        <f>IF(F129+SUM(E$99:E129)=D$92,F129,D$92-SUM(E$99:E129))</f>
        <v>1415804</v>
      </c>
      <c r="E130" s="484">
        <f t="shared" si="17"/>
        <v>123397</v>
      </c>
      <c r="F130" s="485">
        <f t="shared" si="18"/>
        <v>1292407</v>
      </c>
      <c r="G130" s="485">
        <f t="shared" si="19"/>
        <v>1354105.5</v>
      </c>
      <c r="H130" s="488">
        <f t="shared" si="20"/>
        <v>263024.26984292496</v>
      </c>
      <c r="I130" s="542">
        <f t="shared" si="21"/>
        <v>263024.26984292496</v>
      </c>
      <c r="J130" s="478">
        <f t="shared" si="16"/>
        <v>0</v>
      </c>
      <c r="K130" s="478"/>
      <c r="L130" s="487"/>
      <c r="M130" s="478">
        <f t="shared" si="22"/>
        <v>0</v>
      </c>
      <c r="N130" s="487"/>
      <c r="O130" s="478">
        <f t="shared" si="23"/>
        <v>0</v>
      </c>
      <c r="P130" s="478">
        <f t="shared" si="24"/>
        <v>0</v>
      </c>
    </row>
    <row r="131" spans="2:16" ht="12.5">
      <c r="B131" s="160" t="str">
        <f t="shared" si="15"/>
        <v/>
      </c>
      <c r="C131" s="472">
        <f>IF(D93="","-",+C130+1)</f>
        <v>2046</v>
      </c>
      <c r="D131" s="346">
        <f>IF(F130+SUM(E$99:E130)=D$92,F130,D$92-SUM(E$99:E130))</f>
        <v>1292407</v>
      </c>
      <c r="E131" s="484">
        <f t="shared" si="17"/>
        <v>123397</v>
      </c>
      <c r="F131" s="485">
        <f t="shared" si="18"/>
        <v>1169010</v>
      </c>
      <c r="G131" s="485">
        <f t="shared" si="19"/>
        <v>1230708.5</v>
      </c>
      <c r="H131" s="488">
        <f t="shared" si="20"/>
        <v>250300.30836665342</v>
      </c>
      <c r="I131" s="542">
        <f t="shared" si="21"/>
        <v>250300.30836665342</v>
      </c>
      <c r="J131" s="478">
        <f t="shared" si="16"/>
        <v>0</v>
      </c>
      <c r="K131" s="478"/>
      <c r="L131" s="487"/>
      <c r="M131" s="478">
        <f t="shared" ref="M131:M154" si="25">IF(L541&lt;&gt;0,+H541-L541,0)</f>
        <v>0</v>
      </c>
      <c r="N131" s="487"/>
      <c r="O131" s="478">
        <f t="shared" ref="O131:O154" si="26">IF(N541&lt;&gt;0,+I541-N541,0)</f>
        <v>0</v>
      </c>
      <c r="P131" s="478">
        <f t="shared" ref="P131:P154" si="27">+O541-M541</f>
        <v>0</v>
      </c>
    </row>
    <row r="132" spans="2:16" ht="12.5">
      <c r="B132" s="160" t="str">
        <f t="shared" si="15"/>
        <v/>
      </c>
      <c r="C132" s="472">
        <f>IF(D93="","-",+C131+1)</f>
        <v>2047</v>
      </c>
      <c r="D132" s="346">
        <f>IF(F131+SUM(E$99:E131)=D$92,F131,D$92-SUM(E$99:E131))</f>
        <v>1169010</v>
      </c>
      <c r="E132" s="484">
        <f t="shared" si="17"/>
        <v>123397</v>
      </c>
      <c r="F132" s="485">
        <f t="shared" si="18"/>
        <v>1045613</v>
      </c>
      <c r="G132" s="485">
        <f t="shared" si="19"/>
        <v>1107311.5</v>
      </c>
      <c r="H132" s="488">
        <f t="shared" si="20"/>
        <v>237576.34689038189</v>
      </c>
      <c r="I132" s="542">
        <f t="shared" si="21"/>
        <v>237576.34689038189</v>
      </c>
      <c r="J132" s="478">
        <f t="shared" si="16"/>
        <v>0</v>
      </c>
      <c r="K132" s="478"/>
      <c r="L132" s="487"/>
      <c r="M132" s="478">
        <f t="shared" si="25"/>
        <v>0</v>
      </c>
      <c r="N132" s="487"/>
      <c r="O132" s="478">
        <f t="shared" si="26"/>
        <v>0</v>
      </c>
      <c r="P132" s="478">
        <f t="shared" si="27"/>
        <v>0</v>
      </c>
    </row>
    <row r="133" spans="2:16" ht="12.5">
      <c r="B133" s="160" t="str">
        <f t="shared" si="15"/>
        <v/>
      </c>
      <c r="C133" s="472">
        <f>IF(D93="","-",+C132+1)</f>
        <v>2048</v>
      </c>
      <c r="D133" s="346">
        <f>IF(F132+SUM(E$99:E132)=D$92,F132,D$92-SUM(E$99:E132))</f>
        <v>1045613</v>
      </c>
      <c r="E133" s="484">
        <f t="shared" si="17"/>
        <v>123397</v>
      </c>
      <c r="F133" s="485">
        <f t="shared" si="18"/>
        <v>922216</v>
      </c>
      <c r="G133" s="485">
        <f t="shared" si="19"/>
        <v>983914.5</v>
      </c>
      <c r="H133" s="488">
        <f t="shared" si="20"/>
        <v>224852.38541411032</v>
      </c>
      <c r="I133" s="542">
        <f t="shared" si="21"/>
        <v>224852.38541411032</v>
      </c>
      <c r="J133" s="478">
        <f t="shared" si="16"/>
        <v>0</v>
      </c>
      <c r="K133" s="478"/>
      <c r="L133" s="487"/>
      <c r="M133" s="478">
        <f t="shared" si="25"/>
        <v>0</v>
      </c>
      <c r="N133" s="487"/>
      <c r="O133" s="478">
        <f t="shared" si="26"/>
        <v>0</v>
      </c>
      <c r="P133" s="478">
        <f t="shared" si="27"/>
        <v>0</v>
      </c>
    </row>
    <row r="134" spans="2:16" ht="12.5">
      <c r="B134" s="160" t="str">
        <f t="shared" si="15"/>
        <v/>
      </c>
      <c r="C134" s="472">
        <f>IF(D93="","-",+C133+1)</f>
        <v>2049</v>
      </c>
      <c r="D134" s="346">
        <f>IF(F133+SUM(E$99:E133)=D$92,F133,D$92-SUM(E$99:E133))</f>
        <v>922216</v>
      </c>
      <c r="E134" s="484">
        <f t="shared" si="17"/>
        <v>123397</v>
      </c>
      <c r="F134" s="485">
        <f t="shared" si="18"/>
        <v>798819</v>
      </c>
      <c r="G134" s="485">
        <f t="shared" si="19"/>
        <v>860517.5</v>
      </c>
      <c r="H134" s="488">
        <f t="shared" si="20"/>
        <v>212128.42393783882</v>
      </c>
      <c r="I134" s="542">
        <f t="shared" si="21"/>
        <v>212128.42393783882</v>
      </c>
      <c r="J134" s="478">
        <f t="shared" si="16"/>
        <v>0</v>
      </c>
      <c r="K134" s="478"/>
      <c r="L134" s="487"/>
      <c r="M134" s="478">
        <f t="shared" si="25"/>
        <v>0</v>
      </c>
      <c r="N134" s="487"/>
      <c r="O134" s="478">
        <f t="shared" si="26"/>
        <v>0</v>
      </c>
      <c r="P134" s="478">
        <f t="shared" si="27"/>
        <v>0</v>
      </c>
    </row>
    <row r="135" spans="2:16" ht="12.5">
      <c r="B135" s="160" t="str">
        <f t="shared" si="15"/>
        <v/>
      </c>
      <c r="C135" s="472">
        <f>IF(D93="","-",+C134+1)</f>
        <v>2050</v>
      </c>
      <c r="D135" s="346">
        <f>IF(F134+SUM(E$99:E134)=D$92,F134,D$92-SUM(E$99:E134))</f>
        <v>798819</v>
      </c>
      <c r="E135" s="484">
        <f t="shared" si="17"/>
        <v>123397</v>
      </c>
      <c r="F135" s="485">
        <f t="shared" si="18"/>
        <v>675422</v>
      </c>
      <c r="G135" s="485">
        <f t="shared" si="19"/>
        <v>737120.5</v>
      </c>
      <c r="H135" s="488">
        <f t="shared" si="20"/>
        <v>199404.46246156725</v>
      </c>
      <c r="I135" s="542">
        <f t="shared" si="21"/>
        <v>199404.46246156725</v>
      </c>
      <c r="J135" s="478">
        <f t="shared" si="16"/>
        <v>0</v>
      </c>
      <c r="K135" s="478"/>
      <c r="L135" s="487"/>
      <c r="M135" s="478">
        <f t="shared" si="25"/>
        <v>0</v>
      </c>
      <c r="N135" s="487"/>
      <c r="O135" s="478">
        <f t="shared" si="26"/>
        <v>0</v>
      </c>
      <c r="P135" s="478">
        <f t="shared" si="27"/>
        <v>0</v>
      </c>
    </row>
    <row r="136" spans="2:16" ht="12.5">
      <c r="B136" s="160" t="str">
        <f t="shared" si="15"/>
        <v/>
      </c>
      <c r="C136" s="472">
        <f>IF(D93="","-",+C135+1)</f>
        <v>2051</v>
      </c>
      <c r="D136" s="346">
        <f>IF(F135+SUM(E$99:E135)=D$92,F135,D$92-SUM(E$99:E135))</f>
        <v>675422</v>
      </c>
      <c r="E136" s="484">
        <f t="shared" si="17"/>
        <v>123397</v>
      </c>
      <c r="F136" s="485">
        <f t="shared" si="18"/>
        <v>552025</v>
      </c>
      <c r="G136" s="485">
        <f t="shared" si="19"/>
        <v>613723.5</v>
      </c>
      <c r="H136" s="488">
        <f t="shared" si="20"/>
        <v>186680.50098529572</v>
      </c>
      <c r="I136" s="542">
        <f t="shared" si="21"/>
        <v>186680.50098529572</v>
      </c>
      <c r="J136" s="478">
        <f t="shared" si="16"/>
        <v>0</v>
      </c>
      <c r="K136" s="478"/>
      <c r="L136" s="487"/>
      <c r="M136" s="478">
        <f t="shared" si="25"/>
        <v>0</v>
      </c>
      <c r="N136" s="487"/>
      <c r="O136" s="478">
        <f t="shared" si="26"/>
        <v>0</v>
      </c>
      <c r="P136" s="478">
        <f t="shared" si="27"/>
        <v>0</v>
      </c>
    </row>
    <row r="137" spans="2:16" ht="12.5">
      <c r="B137" s="160" t="str">
        <f t="shared" si="15"/>
        <v/>
      </c>
      <c r="C137" s="472">
        <f>IF(D93="","-",+C136+1)</f>
        <v>2052</v>
      </c>
      <c r="D137" s="346">
        <f>IF(F136+SUM(E$99:E136)=D$92,F136,D$92-SUM(E$99:E136))</f>
        <v>552025</v>
      </c>
      <c r="E137" s="484">
        <f t="shared" si="17"/>
        <v>123397</v>
      </c>
      <c r="F137" s="485">
        <f t="shared" si="18"/>
        <v>428628</v>
      </c>
      <c r="G137" s="485">
        <f t="shared" si="19"/>
        <v>490326.5</v>
      </c>
      <c r="H137" s="488">
        <f t="shared" si="20"/>
        <v>173956.53950902418</v>
      </c>
      <c r="I137" s="542">
        <f t="shared" si="21"/>
        <v>173956.53950902418</v>
      </c>
      <c r="J137" s="478">
        <f t="shared" si="16"/>
        <v>0</v>
      </c>
      <c r="K137" s="478"/>
      <c r="L137" s="487"/>
      <c r="M137" s="478">
        <f t="shared" si="25"/>
        <v>0</v>
      </c>
      <c r="N137" s="487"/>
      <c r="O137" s="478">
        <f t="shared" si="26"/>
        <v>0</v>
      </c>
      <c r="P137" s="478">
        <f t="shared" si="27"/>
        <v>0</v>
      </c>
    </row>
    <row r="138" spans="2:16" ht="12.5">
      <c r="B138" s="160" t="str">
        <f t="shared" si="15"/>
        <v/>
      </c>
      <c r="C138" s="472">
        <f>IF(D93="","-",+C137+1)</f>
        <v>2053</v>
      </c>
      <c r="D138" s="346">
        <f>IF(F137+SUM(E$99:E137)=D$92,F137,D$92-SUM(E$99:E137))</f>
        <v>428628</v>
      </c>
      <c r="E138" s="484">
        <f t="shared" si="17"/>
        <v>123397</v>
      </c>
      <c r="F138" s="485">
        <f t="shared" si="18"/>
        <v>305231</v>
      </c>
      <c r="G138" s="485">
        <f t="shared" si="19"/>
        <v>366929.5</v>
      </c>
      <c r="H138" s="488">
        <f t="shared" si="20"/>
        <v>161232.57803275264</v>
      </c>
      <c r="I138" s="542">
        <f t="shared" si="21"/>
        <v>161232.57803275264</v>
      </c>
      <c r="J138" s="478">
        <f t="shared" si="16"/>
        <v>0</v>
      </c>
      <c r="K138" s="478"/>
      <c r="L138" s="487"/>
      <c r="M138" s="478">
        <f t="shared" si="25"/>
        <v>0</v>
      </c>
      <c r="N138" s="487"/>
      <c r="O138" s="478">
        <f t="shared" si="26"/>
        <v>0</v>
      </c>
      <c r="P138" s="478">
        <f t="shared" si="27"/>
        <v>0</v>
      </c>
    </row>
    <row r="139" spans="2:16" ht="12.5">
      <c r="B139" s="160" t="str">
        <f t="shared" si="15"/>
        <v/>
      </c>
      <c r="C139" s="472">
        <f>IF(D93="","-",+C138+1)</f>
        <v>2054</v>
      </c>
      <c r="D139" s="346">
        <f>IF(F138+SUM(E$99:E138)=D$92,F138,D$92-SUM(E$99:E138))</f>
        <v>305231</v>
      </c>
      <c r="E139" s="484">
        <f t="shared" si="17"/>
        <v>123397</v>
      </c>
      <c r="F139" s="485">
        <f t="shared" si="18"/>
        <v>181834</v>
      </c>
      <c r="G139" s="485">
        <f t="shared" si="19"/>
        <v>243532.5</v>
      </c>
      <c r="H139" s="488">
        <f t="shared" si="20"/>
        <v>148508.61655648111</v>
      </c>
      <c r="I139" s="542">
        <f t="shared" si="21"/>
        <v>148508.61655648111</v>
      </c>
      <c r="J139" s="478">
        <f t="shared" si="16"/>
        <v>0</v>
      </c>
      <c r="K139" s="478"/>
      <c r="L139" s="487"/>
      <c r="M139" s="478">
        <f t="shared" si="25"/>
        <v>0</v>
      </c>
      <c r="N139" s="487"/>
      <c r="O139" s="478">
        <f t="shared" si="26"/>
        <v>0</v>
      </c>
      <c r="P139" s="478">
        <f t="shared" si="27"/>
        <v>0</v>
      </c>
    </row>
    <row r="140" spans="2:16" ht="12.5">
      <c r="B140" s="160" t="str">
        <f t="shared" si="15"/>
        <v/>
      </c>
      <c r="C140" s="472">
        <f>IF(D93="","-",+C139+1)</f>
        <v>2055</v>
      </c>
      <c r="D140" s="346">
        <f>IF(F139+SUM(E$99:E139)=D$92,F139,D$92-SUM(E$99:E139))</f>
        <v>181834</v>
      </c>
      <c r="E140" s="484">
        <f t="shared" si="17"/>
        <v>123397</v>
      </c>
      <c r="F140" s="485">
        <f t="shared" si="18"/>
        <v>58437</v>
      </c>
      <c r="G140" s="485">
        <f t="shared" si="19"/>
        <v>120135.5</v>
      </c>
      <c r="H140" s="488">
        <f t="shared" si="20"/>
        <v>135784.65508020957</v>
      </c>
      <c r="I140" s="542">
        <f t="shared" si="21"/>
        <v>135784.65508020957</v>
      </c>
      <c r="J140" s="478">
        <f t="shared" si="16"/>
        <v>0</v>
      </c>
      <c r="K140" s="478"/>
      <c r="L140" s="487"/>
      <c r="M140" s="478">
        <f t="shared" si="25"/>
        <v>0</v>
      </c>
      <c r="N140" s="487"/>
      <c r="O140" s="478">
        <f t="shared" si="26"/>
        <v>0</v>
      </c>
      <c r="P140" s="478">
        <f t="shared" si="27"/>
        <v>0</v>
      </c>
    </row>
    <row r="141" spans="2:16" ht="12.5">
      <c r="B141" s="160" t="str">
        <f t="shared" si="15"/>
        <v/>
      </c>
      <c r="C141" s="472">
        <f>IF(D93="","-",+C140+1)</f>
        <v>2056</v>
      </c>
      <c r="D141" s="346">
        <f>IF(F140+SUM(E$99:E140)=D$92,F140,D$92-SUM(E$99:E140))</f>
        <v>58437</v>
      </c>
      <c r="E141" s="484">
        <f t="shared" si="17"/>
        <v>58437</v>
      </c>
      <c r="F141" s="485">
        <f t="shared" si="18"/>
        <v>0</v>
      </c>
      <c r="G141" s="485">
        <f t="shared" si="19"/>
        <v>29218.5</v>
      </c>
      <c r="H141" s="488">
        <f t="shared" si="20"/>
        <v>61449.837171036896</v>
      </c>
      <c r="I141" s="542">
        <f t="shared" si="21"/>
        <v>61449.837171036896</v>
      </c>
      <c r="J141" s="478">
        <f t="shared" si="16"/>
        <v>0</v>
      </c>
      <c r="K141" s="478"/>
      <c r="L141" s="487"/>
      <c r="M141" s="478">
        <f t="shared" si="25"/>
        <v>0</v>
      </c>
      <c r="N141" s="487"/>
      <c r="O141" s="478">
        <f t="shared" si="26"/>
        <v>0</v>
      </c>
      <c r="P141" s="478">
        <f t="shared" si="27"/>
        <v>0</v>
      </c>
    </row>
    <row r="142" spans="2:16" ht="12.5">
      <c r="B142" s="160" t="str">
        <f t="shared" si="15"/>
        <v/>
      </c>
      <c r="C142" s="472">
        <f>IF(D93="","-",+C141+1)</f>
        <v>2057</v>
      </c>
      <c r="D142" s="346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488">
        <f t="shared" si="20"/>
        <v>0</v>
      </c>
      <c r="I142" s="542">
        <f t="shared" si="21"/>
        <v>0</v>
      </c>
      <c r="J142" s="478">
        <f t="shared" si="16"/>
        <v>0</v>
      </c>
      <c r="K142" s="478"/>
      <c r="L142" s="487"/>
      <c r="M142" s="478">
        <f t="shared" si="25"/>
        <v>0</v>
      </c>
      <c r="N142" s="487"/>
      <c r="O142" s="478">
        <f t="shared" si="26"/>
        <v>0</v>
      </c>
      <c r="P142" s="478">
        <f t="shared" si="27"/>
        <v>0</v>
      </c>
    </row>
    <row r="143" spans="2:16" ht="12.5">
      <c r="B143" s="160" t="str">
        <f t="shared" si="15"/>
        <v/>
      </c>
      <c r="C143" s="472">
        <f>IF(D93="","-",+C142+1)</f>
        <v>2058</v>
      </c>
      <c r="D143" s="346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488">
        <f t="shared" si="20"/>
        <v>0</v>
      </c>
      <c r="I143" s="542">
        <f t="shared" si="21"/>
        <v>0</v>
      </c>
      <c r="J143" s="478">
        <f t="shared" si="16"/>
        <v>0</v>
      </c>
      <c r="K143" s="478"/>
      <c r="L143" s="487"/>
      <c r="M143" s="478">
        <f t="shared" si="25"/>
        <v>0</v>
      </c>
      <c r="N143" s="487"/>
      <c r="O143" s="478">
        <f t="shared" si="26"/>
        <v>0</v>
      </c>
      <c r="P143" s="478">
        <f t="shared" si="27"/>
        <v>0</v>
      </c>
    </row>
    <row r="144" spans="2:16" ht="12.5">
      <c r="B144" s="160" t="str">
        <f t="shared" si="15"/>
        <v/>
      </c>
      <c r="C144" s="472">
        <f>IF(D93="","-",+C143+1)</f>
        <v>2059</v>
      </c>
      <c r="D144" s="346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488">
        <f t="shared" si="20"/>
        <v>0</v>
      </c>
      <c r="I144" s="542">
        <f t="shared" si="21"/>
        <v>0</v>
      </c>
      <c r="J144" s="478">
        <f t="shared" si="16"/>
        <v>0</v>
      </c>
      <c r="K144" s="478"/>
      <c r="L144" s="487"/>
      <c r="M144" s="478">
        <f t="shared" si="25"/>
        <v>0</v>
      </c>
      <c r="N144" s="487"/>
      <c r="O144" s="478">
        <f t="shared" si="26"/>
        <v>0</v>
      </c>
      <c r="P144" s="478">
        <f t="shared" si="27"/>
        <v>0</v>
      </c>
    </row>
    <row r="145" spans="2:16" ht="12.5">
      <c r="B145" s="160" t="str">
        <f t="shared" si="15"/>
        <v/>
      </c>
      <c r="C145" s="472">
        <f>IF(D93="","-",+C144+1)</f>
        <v>2060</v>
      </c>
      <c r="D145" s="346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488">
        <f t="shared" si="20"/>
        <v>0</v>
      </c>
      <c r="I145" s="542">
        <f t="shared" si="21"/>
        <v>0</v>
      </c>
      <c r="J145" s="478">
        <f t="shared" si="16"/>
        <v>0</v>
      </c>
      <c r="K145" s="478"/>
      <c r="L145" s="487"/>
      <c r="M145" s="478">
        <f t="shared" si="25"/>
        <v>0</v>
      </c>
      <c r="N145" s="487"/>
      <c r="O145" s="478">
        <f t="shared" si="26"/>
        <v>0</v>
      </c>
      <c r="P145" s="478">
        <f t="shared" si="27"/>
        <v>0</v>
      </c>
    </row>
    <row r="146" spans="2:16" ht="12.5">
      <c r="B146" s="160" t="str">
        <f t="shared" si="15"/>
        <v/>
      </c>
      <c r="C146" s="472">
        <f>IF(D93="","-",+C145+1)</f>
        <v>2061</v>
      </c>
      <c r="D146" s="346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488">
        <f t="shared" si="20"/>
        <v>0</v>
      </c>
      <c r="I146" s="542">
        <f t="shared" si="21"/>
        <v>0</v>
      </c>
      <c r="J146" s="478">
        <f t="shared" si="16"/>
        <v>0</v>
      </c>
      <c r="K146" s="478"/>
      <c r="L146" s="487"/>
      <c r="M146" s="478">
        <f t="shared" si="25"/>
        <v>0</v>
      </c>
      <c r="N146" s="487"/>
      <c r="O146" s="478">
        <f t="shared" si="26"/>
        <v>0</v>
      </c>
      <c r="P146" s="478">
        <f t="shared" si="27"/>
        <v>0</v>
      </c>
    </row>
    <row r="147" spans="2:16" ht="12.5">
      <c r="B147" s="160" t="str">
        <f t="shared" si="15"/>
        <v/>
      </c>
      <c r="C147" s="472">
        <f>IF(D93="","-",+C146+1)</f>
        <v>2062</v>
      </c>
      <c r="D147" s="346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488">
        <f t="shared" si="20"/>
        <v>0</v>
      </c>
      <c r="I147" s="542">
        <f t="shared" si="21"/>
        <v>0</v>
      </c>
      <c r="J147" s="478">
        <f t="shared" si="16"/>
        <v>0</v>
      </c>
      <c r="K147" s="478"/>
      <c r="L147" s="487"/>
      <c r="M147" s="478">
        <f t="shared" si="25"/>
        <v>0</v>
      </c>
      <c r="N147" s="487"/>
      <c r="O147" s="478">
        <f t="shared" si="26"/>
        <v>0</v>
      </c>
      <c r="P147" s="478">
        <f t="shared" si="27"/>
        <v>0</v>
      </c>
    </row>
    <row r="148" spans="2:16" ht="12.5">
      <c r="B148" s="160" t="str">
        <f t="shared" si="15"/>
        <v/>
      </c>
      <c r="C148" s="472">
        <f>IF(D93="","-",+C147+1)</f>
        <v>2063</v>
      </c>
      <c r="D148" s="346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488">
        <f t="shared" si="20"/>
        <v>0</v>
      </c>
      <c r="I148" s="542">
        <f t="shared" si="21"/>
        <v>0</v>
      </c>
      <c r="J148" s="478">
        <f t="shared" si="16"/>
        <v>0</v>
      </c>
      <c r="K148" s="478"/>
      <c r="L148" s="487"/>
      <c r="M148" s="478">
        <f t="shared" si="25"/>
        <v>0</v>
      </c>
      <c r="N148" s="487"/>
      <c r="O148" s="478">
        <f t="shared" si="26"/>
        <v>0</v>
      </c>
      <c r="P148" s="478">
        <f t="shared" si="27"/>
        <v>0</v>
      </c>
    </row>
    <row r="149" spans="2:16" ht="12.5">
      <c r="B149" s="160" t="str">
        <f t="shared" si="15"/>
        <v/>
      </c>
      <c r="C149" s="472">
        <f>IF(D93="","-",+C148+1)</f>
        <v>2064</v>
      </c>
      <c r="D149" s="346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488">
        <f t="shared" si="20"/>
        <v>0</v>
      </c>
      <c r="I149" s="542">
        <f t="shared" si="21"/>
        <v>0</v>
      </c>
      <c r="J149" s="478">
        <f t="shared" si="16"/>
        <v>0</v>
      </c>
      <c r="K149" s="478"/>
      <c r="L149" s="487"/>
      <c r="M149" s="478">
        <f t="shared" si="25"/>
        <v>0</v>
      </c>
      <c r="N149" s="487"/>
      <c r="O149" s="478">
        <f t="shared" si="26"/>
        <v>0</v>
      </c>
      <c r="P149" s="478">
        <f t="shared" si="27"/>
        <v>0</v>
      </c>
    </row>
    <row r="150" spans="2:16" ht="12.5">
      <c r="B150" s="160" t="str">
        <f t="shared" si="15"/>
        <v/>
      </c>
      <c r="C150" s="472">
        <f>IF(D93="","-",+C149+1)</f>
        <v>2065</v>
      </c>
      <c r="D150" s="346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488">
        <f t="shared" si="20"/>
        <v>0</v>
      </c>
      <c r="I150" s="542">
        <f t="shared" si="21"/>
        <v>0</v>
      </c>
      <c r="J150" s="478">
        <f t="shared" si="16"/>
        <v>0</v>
      </c>
      <c r="K150" s="478"/>
      <c r="L150" s="487"/>
      <c r="M150" s="478">
        <f t="shared" si="25"/>
        <v>0</v>
      </c>
      <c r="N150" s="487"/>
      <c r="O150" s="478">
        <f t="shared" si="26"/>
        <v>0</v>
      </c>
      <c r="P150" s="478">
        <f t="shared" si="27"/>
        <v>0</v>
      </c>
    </row>
    <row r="151" spans="2:16" ht="12.5">
      <c r="B151" s="160" t="str">
        <f t="shared" si="15"/>
        <v/>
      </c>
      <c r="C151" s="472">
        <f>IF(D93="","-",+C150+1)</f>
        <v>2066</v>
      </c>
      <c r="D151" s="346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488">
        <f t="shared" si="20"/>
        <v>0</v>
      </c>
      <c r="I151" s="542">
        <f t="shared" si="21"/>
        <v>0</v>
      </c>
      <c r="J151" s="478">
        <f t="shared" si="16"/>
        <v>0</v>
      </c>
      <c r="K151" s="478"/>
      <c r="L151" s="487"/>
      <c r="M151" s="478">
        <f t="shared" si="25"/>
        <v>0</v>
      </c>
      <c r="N151" s="487"/>
      <c r="O151" s="478">
        <f t="shared" si="26"/>
        <v>0</v>
      </c>
      <c r="P151" s="478">
        <f t="shared" si="27"/>
        <v>0</v>
      </c>
    </row>
    <row r="152" spans="2:16" ht="12.5">
      <c r="B152" s="160" t="str">
        <f t="shared" si="15"/>
        <v/>
      </c>
      <c r="C152" s="472">
        <f>IF(D93="","-",+C151+1)</f>
        <v>2067</v>
      </c>
      <c r="D152" s="346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488">
        <f t="shared" si="20"/>
        <v>0</v>
      </c>
      <c r="I152" s="542">
        <f t="shared" si="21"/>
        <v>0</v>
      </c>
      <c r="J152" s="478">
        <f t="shared" si="16"/>
        <v>0</v>
      </c>
      <c r="K152" s="478"/>
      <c r="L152" s="487"/>
      <c r="M152" s="478">
        <f t="shared" si="25"/>
        <v>0</v>
      </c>
      <c r="N152" s="487"/>
      <c r="O152" s="478">
        <f t="shared" si="26"/>
        <v>0</v>
      </c>
      <c r="P152" s="478">
        <f t="shared" si="27"/>
        <v>0</v>
      </c>
    </row>
    <row r="153" spans="2:16" ht="12.5">
      <c r="B153" s="160" t="str">
        <f t="shared" si="15"/>
        <v/>
      </c>
      <c r="C153" s="472">
        <f>IF(D93="","-",+C152+1)</f>
        <v>2068</v>
      </c>
      <c r="D153" s="346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488">
        <f t="shared" si="20"/>
        <v>0</v>
      </c>
      <c r="I153" s="542">
        <f t="shared" si="21"/>
        <v>0</v>
      </c>
      <c r="J153" s="478">
        <f t="shared" si="16"/>
        <v>0</v>
      </c>
      <c r="K153" s="478"/>
      <c r="L153" s="487"/>
      <c r="M153" s="478">
        <f t="shared" si="25"/>
        <v>0</v>
      </c>
      <c r="N153" s="487"/>
      <c r="O153" s="478">
        <f t="shared" si="26"/>
        <v>0</v>
      </c>
      <c r="P153" s="478">
        <f t="shared" si="27"/>
        <v>0</v>
      </c>
    </row>
    <row r="154" spans="2:16" ht="13" thickBot="1">
      <c r="B154" s="160" t="str">
        <f t="shared" si="15"/>
        <v/>
      </c>
      <c r="C154" s="489">
        <f>IF(D93="","-",+C153+1)</f>
        <v>2069</v>
      </c>
      <c r="D154" s="346">
        <f>IF(F153+SUM(E$99:E153)=D$92,F153,D$92-SUM(E$99:E153))</f>
        <v>0</v>
      </c>
      <c r="E154" s="484">
        <f t="shared" si="17"/>
        <v>0</v>
      </c>
      <c r="F154" s="485">
        <f t="shared" si="18"/>
        <v>0</v>
      </c>
      <c r="G154" s="485">
        <f t="shared" si="19"/>
        <v>0</v>
      </c>
      <c r="H154" s="488">
        <f t="shared" si="20"/>
        <v>0</v>
      </c>
      <c r="I154" s="542">
        <f t="shared" si="21"/>
        <v>0</v>
      </c>
      <c r="J154" s="478">
        <f t="shared" si="16"/>
        <v>0</v>
      </c>
      <c r="K154" s="478"/>
      <c r="L154" s="494"/>
      <c r="M154" s="495">
        <f t="shared" si="25"/>
        <v>0</v>
      </c>
      <c r="N154" s="494"/>
      <c r="O154" s="495">
        <f t="shared" si="26"/>
        <v>0</v>
      </c>
      <c r="P154" s="495">
        <f t="shared" si="27"/>
        <v>0</v>
      </c>
    </row>
    <row r="155" spans="2:16" ht="12.5">
      <c r="C155" s="346" t="s">
        <v>77</v>
      </c>
      <c r="D155" s="347"/>
      <c r="E155" s="347">
        <f>SUM(E99:E154)</f>
        <v>5059278</v>
      </c>
      <c r="F155" s="347"/>
      <c r="G155" s="347"/>
      <c r="H155" s="347">
        <f>SUM(H99:H154)</f>
        <v>16753222.458634097</v>
      </c>
      <c r="I155" s="347">
        <f>SUM(I99:I154)</f>
        <v>16753222.458634097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27" priority="1" stopIfTrue="1" operator="equal">
      <formula>$I$10</formula>
    </cfRule>
  </conditionalFormatting>
  <conditionalFormatting sqref="C99:C154">
    <cfRule type="cellIs" dxfId="26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/>
  <dimension ref="A1:S137"/>
  <sheetViews>
    <sheetView view="pageBreakPreview" zoomScale="80" zoomScaleNormal="100" zoomScaleSheetLayoutView="80" workbookViewId="0">
      <selection sqref="A1:J1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16.1796875" style="148" customWidth="1"/>
    <col min="10" max="10" width="2.179687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3.54296875" style="148" bestFit="1" customWidth="1"/>
    <col min="17" max="17" width="4.7265625" style="148" customWidth="1"/>
    <col min="18" max="18" width="15.453125" style="148" customWidth="1"/>
    <col min="19" max="19" width="81.81640625" style="148" bestFit="1" customWidth="1"/>
    <col min="20" max="22" width="8.7265625" style="148"/>
    <col min="23" max="23" width="9.1796875" style="148" customWidth="1"/>
    <col min="24" max="16384" width="8.7265625" style="148"/>
  </cols>
  <sheetData>
    <row r="1" spans="1:18" ht="17.5">
      <c r="A1" s="640" t="s">
        <v>123</v>
      </c>
      <c r="B1" s="641"/>
      <c r="C1" s="641"/>
      <c r="D1" s="641"/>
      <c r="E1" s="641"/>
      <c r="F1" s="641"/>
      <c r="G1" s="641"/>
      <c r="H1" s="641"/>
      <c r="I1" s="641"/>
      <c r="J1" s="641"/>
    </row>
    <row r="2" spans="1:18" ht="17.5">
      <c r="A2" s="642" t="str">
        <f>L19+1&amp;" Cost of Service Formula Rate Projected on "&amp;L19&amp;" FF1 Balances"</f>
        <v>2022 Cost of Service Formula Rate Projected on 2021 FF1 Balances</v>
      </c>
      <c r="B2" s="642"/>
      <c r="C2" s="642"/>
      <c r="D2" s="642"/>
      <c r="E2" s="642"/>
      <c r="F2" s="642"/>
      <c r="G2" s="642"/>
      <c r="H2" s="642"/>
      <c r="I2" s="642"/>
      <c r="J2" s="642"/>
    </row>
    <row r="3" spans="1:18" ht="18">
      <c r="A3" s="643" t="s">
        <v>140</v>
      </c>
      <c r="B3" s="642"/>
      <c r="C3" s="642"/>
      <c r="D3" s="642"/>
      <c r="E3" s="642"/>
      <c r="F3" s="642"/>
      <c r="G3" s="642"/>
      <c r="H3" s="642"/>
      <c r="I3" s="642"/>
      <c r="J3" s="642"/>
      <c r="Q3" s="239" t="s">
        <v>125</v>
      </c>
    </row>
    <row r="4" spans="1:18" ht="17.5">
      <c r="A4" s="642" t="str">
        <f>"Based on a Carrying Charge Derived from ""Historic"" "&amp;L19&amp;" Data"</f>
        <v>Based on a Carrying Charge Derived from "Historic" 2021 Data</v>
      </c>
      <c r="B4" s="642"/>
      <c r="C4" s="642"/>
      <c r="D4" s="642"/>
      <c r="E4" s="642"/>
      <c r="F4" s="642"/>
      <c r="G4" s="642"/>
      <c r="H4" s="642"/>
      <c r="I4" s="642"/>
      <c r="J4" s="642"/>
    </row>
    <row r="5" spans="1:18" ht="18">
      <c r="A5" s="644" t="s">
        <v>124</v>
      </c>
      <c r="B5" s="644"/>
      <c r="C5" s="644"/>
      <c r="D5" s="644"/>
      <c r="E5" s="644"/>
      <c r="F5" s="644"/>
      <c r="G5" s="644"/>
      <c r="H5" s="644"/>
      <c r="I5" s="644"/>
      <c r="J5" s="644"/>
    </row>
    <row r="6" spans="1:18" ht="12.5">
      <c r="A6" s="232"/>
      <c r="B6" s="232"/>
      <c r="C6" s="232"/>
      <c r="D6" s="240"/>
      <c r="E6" s="232"/>
      <c r="F6" s="232"/>
      <c r="G6" s="232"/>
      <c r="H6" s="241"/>
      <c r="I6" s="232"/>
      <c r="J6" s="242"/>
    </row>
    <row r="7" spans="1:18" ht="12.5">
      <c r="D7" s="160"/>
      <c r="H7" s="216"/>
      <c r="J7" s="195"/>
    </row>
    <row r="8" spans="1:18" ht="38.25" customHeight="1">
      <c r="B8" s="243" t="s">
        <v>0</v>
      </c>
      <c r="C8" s="636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637"/>
      <c r="E8" s="637"/>
      <c r="F8" s="637"/>
      <c r="G8" s="637"/>
      <c r="H8" s="637"/>
      <c r="J8" s="195"/>
      <c r="R8" s="234"/>
    </row>
    <row r="9" spans="1:18" ht="12.5">
      <c r="D9" s="160"/>
      <c r="H9" s="216"/>
      <c r="J9" s="195"/>
    </row>
    <row r="10" spans="1:18" ht="15.5">
      <c r="C10" s="244" t="str">
        <f>"A.   Determine 'R' with hypothetical "&amp;F13&amp;" basis point increase in ROE for Identified Projects"</f>
        <v>A.   Determine 'R' with hypothetical 0 basis point increase in ROE for Identified Projects</v>
      </c>
      <c r="D10" s="160"/>
      <c r="H10" s="216"/>
      <c r="J10" s="195"/>
      <c r="K10" s="245"/>
      <c r="L10" s="246"/>
    </row>
    <row r="11" spans="1:18" ht="12.5">
      <c r="D11" s="160"/>
      <c r="H11" s="216"/>
      <c r="J11" s="195"/>
    </row>
    <row r="12" spans="1:18" ht="12.5">
      <c r="C12" s="247" t="str">
        <f>S105</f>
        <v xml:space="preserve">   ROE w/o incentives  (TCOS, ln 143)</v>
      </c>
      <c r="D12" s="160"/>
      <c r="E12" s="248"/>
      <c r="F12" s="249">
        <v>0.105</v>
      </c>
      <c r="G12" s="250"/>
      <c r="H12" s="251"/>
      <c r="I12" s="252"/>
      <c r="J12" s="253"/>
      <c r="K12" s="252"/>
      <c r="L12" s="252"/>
      <c r="M12" s="252"/>
      <c r="N12" s="252"/>
      <c r="O12" s="248"/>
      <c r="P12" s="252"/>
      <c r="Q12" s="232"/>
    </row>
    <row r="13" spans="1:18" ht="12.5">
      <c r="C13" s="247" t="s">
        <v>1</v>
      </c>
      <c r="D13" s="160"/>
      <c r="E13" s="248"/>
      <c r="F13" s="254">
        <f>+R106</f>
        <v>0</v>
      </c>
      <c r="G13" s="148" t="s">
        <v>152</v>
      </c>
      <c r="K13" s="252"/>
      <c r="L13" s="252"/>
      <c r="M13" s="252"/>
      <c r="N13" s="252"/>
      <c r="O13" s="248"/>
      <c r="P13" s="252"/>
      <c r="Q13" s="232"/>
    </row>
    <row r="14" spans="1:18" ht="13.5" thickBot="1">
      <c r="C14" s="247" t="str">
        <f>"   ROE with additional "&amp;F13&amp;" basis point incentive"</f>
        <v xml:space="preserve">   ROE with additional 0 basis point incentive</v>
      </c>
      <c r="D14" s="248"/>
      <c r="E14" s="248"/>
      <c r="F14" s="255">
        <f>IF((F12+(F13/10000)&gt;0.1245),"ERROR",F12+(F13/10000))</f>
        <v>0.105</v>
      </c>
      <c r="G14" s="256" t="s">
        <v>2</v>
      </c>
      <c r="H14" s="252"/>
      <c r="I14" s="252"/>
      <c r="J14" s="253"/>
      <c r="K14" s="252"/>
      <c r="L14" s="252"/>
      <c r="M14" s="252"/>
      <c r="N14" s="252"/>
      <c r="O14" s="248"/>
      <c r="P14" s="252"/>
      <c r="Q14" s="232"/>
    </row>
    <row r="15" spans="1:18" ht="12.5">
      <c r="C15" s="247" t="s">
        <v>231</v>
      </c>
      <c r="D15" s="160"/>
      <c r="E15" s="248"/>
      <c r="F15" s="255"/>
      <c r="G15" s="248"/>
      <c r="H15" s="252"/>
      <c r="I15" s="252"/>
      <c r="J15" s="253"/>
      <c r="K15" s="630" t="s">
        <v>3</v>
      </c>
      <c r="L15" s="631"/>
      <c r="M15" s="631"/>
      <c r="N15" s="631"/>
      <c r="O15" s="632"/>
      <c r="P15" s="252"/>
      <c r="Q15" s="232"/>
    </row>
    <row r="16" spans="1:18" ht="12.5">
      <c r="C16" s="253"/>
      <c r="D16" s="257" t="s">
        <v>4</v>
      </c>
      <c r="E16" s="257" t="s">
        <v>5</v>
      </c>
      <c r="F16" s="258" t="s">
        <v>6</v>
      </c>
      <c r="G16" s="248"/>
      <c r="H16" s="252"/>
      <c r="I16" s="252"/>
      <c r="J16" s="253"/>
      <c r="K16" s="633"/>
      <c r="L16" s="634"/>
      <c r="M16" s="634"/>
      <c r="N16" s="634"/>
      <c r="O16" s="635"/>
      <c r="P16" s="252"/>
      <c r="Q16" s="232"/>
    </row>
    <row r="17" spans="3:17" ht="12.5">
      <c r="C17" s="259" t="s">
        <v>7</v>
      </c>
      <c r="D17" s="260">
        <f>+R107</f>
        <v>0.48700002095730677</v>
      </c>
      <c r="E17" s="261">
        <f>+R108</f>
        <v>3.9188970344880877E-2</v>
      </c>
      <c r="F17" s="262">
        <f>E17*D17</f>
        <v>1.9085029379252261E-2</v>
      </c>
      <c r="G17" s="248"/>
      <c r="H17" s="252"/>
      <c r="I17" s="263"/>
      <c r="J17" s="264"/>
      <c r="K17" s="265"/>
      <c r="L17" s="266"/>
      <c r="M17" s="253" t="s">
        <v>8</v>
      </c>
      <c r="N17" s="253" t="s">
        <v>9</v>
      </c>
      <c r="O17" s="267" t="s">
        <v>10</v>
      </c>
      <c r="P17" s="252"/>
      <c r="Q17" s="232"/>
    </row>
    <row r="18" spans="3:17" ht="12.5">
      <c r="C18" s="259" t="s">
        <v>11</v>
      </c>
      <c r="D18" s="260">
        <f>+R109</f>
        <v>0</v>
      </c>
      <c r="E18" s="261">
        <f>+R110</f>
        <v>0</v>
      </c>
      <c r="F18" s="262">
        <f>E18*D18</f>
        <v>0</v>
      </c>
      <c r="G18" s="268"/>
      <c r="H18" s="268"/>
      <c r="I18" s="269"/>
      <c r="J18" s="270"/>
      <c r="K18" s="271"/>
      <c r="L18" s="195"/>
      <c r="M18" s="195"/>
      <c r="N18" s="195"/>
      <c r="O18" s="272"/>
      <c r="P18" s="268"/>
      <c r="Q18" s="232"/>
    </row>
    <row r="19" spans="3:17" ht="13" thickBot="1">
      <c r="C19" s="273" t="s">
        <v>12</v>
      </c>
      <c r="D19" s="260">
        <f>+R111</f>
        <v>0.51299997904269323</v>
      </c>
      <c r="E19" s="261">
        <f>+F14</f>
        <v>0.105</v>
      </c>
      <c r="F19" s="274">
        <f>E19*D19</f>
        <v>5.386499779948279E-2</v>
      </c>
      <c r="G19" s="268"/>
      <c r="H19" s="268"/>
      <c r="I19" s="255"/>
      <c r="J19" s="270"/>
      <c r="K19" s="275" t="s">
        <v>13</v>
      </c>
      <c r="L19" s="276">
        <f>R104</f>
        <v>2021</v>
      </c>
      <c r="M19" s="277">
        <f>SUM('P.001:P.xyz - blank'!N5)</f>
        <v>8270466.4672365077</v>
      </c>
      <c r="N19" s="277">
        <f>SUM('P.001:P.xyz - blank'!N6)</f>
        <v>8270466.4672365077</v>
      </c>
      <c r="O19" s="278">
        <f>+N19-M19</f>
        <v>0</v>
      </c>
      <c r="P19" s="269"/>
      <c r="Q19" s="232"/>
    </row>
    <row r="20" spans="3:17" ht="12.5">
      <c r="C20" s="247"/>
      <c r="D20" s="248"/>
      <c r="E20" s="279" t="s">
        <v>14</v>
      </c>
      <c r="F20" s="262">
        <f>SUM(F17:F19)</f>
        <v>7.2950027178735055E-2</v>
      </c>
      <c r="G20" s="268"/>
      <c r="H20" s="268"/>
      <c r="I20" s="269"/>
      <c r="J20" s="270"/>
      <c r="M20" s="280" t="str">
        <f>IF(M19=SUM('P.001:P.xyz - blank'!N5),"","ERROR")</f>
        <v/>
      </c>
      <c r="N20" s="280" t="str">
        <f>IF(N19=SUM('P.001:P.xyz - blank'!N6),"","ERROR")</f>
        <v/>
      </c>
      <c r="O20" s="280" t="str">
        <f>IF(O19=SUM('P.001:P.xyz - blank'!N7),"","ERROR")</f>
        <v/>
      </c>
      <c r="P20" s="268"/>
      <c r="Q20" s="232"/>
    </row>
    <row r="21" spans="3:17" ht="13">
      <c r="D21" s="281"/>
      <c r="E21" s="281"/>
      <c r="F21" s="268"/>
      <c r="G21" s="268"/>
      <c r="H21" s="268"/>
      <c r="I21" s="268"/>
      <c r="J21" s="282"/>
      <c r="K21" s="178" t="s">
        <v>15</v>
      </c>
      <c r="P21" s="268"/>
      <c r="Q21" s="232"/>
    </row>
    <row r="22" spans="3:17" ht="15.5">
      <c r="C22" s="244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281"/>
      <c r="E22" s="281"/>
      <c r="F22" s="283"/>
      <c r="G22" s="268"/>
      <c r="H22" s="248"/>
      <c r="I22" s="268"/>
      <c r="J22" s="282"/>
      <c r="K22" s="148" t="s">
        <v>16</v>
      </c>
      <c r="P22" s="268"/>
      <c r="Q22" s="232"/>
    </row>
    <row r="23" spans="3:17" ht="12.5">
      <c r="C23" s="253"/>
      <c r="D23" s="281"/>
      <c r="E23" s="281"/>
      <c r="F23" s="282"/>
      <c r="G23" s="282"/>
      <c r="H23" s="282"/>
      <c r="I23" s="282"/>
      <c r="J23" s="282"/>
      <c r="K23" s="269"/>
      <c r="L23" s="284"/>
      <c r="M23" s="236"/>
      <c r="N23" s="269"/>
      <c r="O23" s="268"/>
      <c r="P23" s="282"/>
      <c r="Q23" s="242"/>
    </row>
    <row r="24" spans="3:17" ht="12.5">
      <c r="C24" s="247" t="str">
        <f>+S112</f>
        <v xml:space="preserve">   Rate Base  (TCOS, ln 63)</v>
      </c>
      <c r="D24" s="248"/>
      <c r="E24" s="285">
        <f>+R112</f>
        <v>556628976.87287569</v>
      </c>
      <c r="F24" s="286"/>
      <c r="G24" s="282"/>
      <c r="H24" s="282"/>
      <c r="I24" s="282"/>
      <c r="J24" s="282"/>
      <c r="K24" s="282"/>
      <c r="L24" s="282"/>
      <c r="M24" s="282"/>
      <c r="N24" s="282"/>
      <c r="O24" s="282"/>
      <c r="P24" s="286"/>
      <c r="Q24" s="242"/>
    </row>
    <row r="25" spans="3:17" ht="12.5">
      <c r="C25" s="253" t="s">
        <v>17</v>
      </c>
      <c r="D25" s="250"/>
      <c r="E25" s="287">
        <f>F20</f>
        <v>7.2950027178735055E-2</v>
      </c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42"/>
    </row>
    <row r="26" spans="3:17" ht="12.5">
      <c r="C26" s="288" t="s">
        <v>18</v>
      </c>
      <c r="D26" s="288"/>
      <c r="E26" s="269">
        <f>E24*E25</f>
        <v>40606098.991347767</v>
      </c>
      <c r="F26" s="282"/>
      <c r="G26" s="282"/>
      <c r="H26" s="282"/>
      <c r="I26" s="270"/>
      <c r="J26" s="270"/>
      <c r="K26" s="270"/>
      <c r="L26" s="270"/>
      <c r="M26" s="282"/>
      <c r="N26" s="270"/>
      <c r="O26" s="282"/>
      <c r="P26" s="282"/>
      <c r="Q26" s="242"/>
    </row>
    <row r="27" spans="3:17" ht="12.5">
      <c r="C27" s="289"/>
      <c r="D27" s="252"/>
      <c r="E27" s="252"/>
      <c r="F27" s="282"/>
      <c r="G27" s="282"/>
      <c r="H27" s="282"/>
      <c r="I27" s="270"/>
      <c r="J27" s="270"/>
      <c r="K27" s="270"/>
      <c r="L27" s="270"/>
      <c r="M27" s="282"/>
      <c r="N27" s="270"/>
      <c r="O27" s="282"/>
      <c r="P27" s="282"/>
      <c r="Q27" s="242"/>
    </row>
    <row r="28" spans="3:17" ht="15.5">
      <c r="C28" s="244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290"/>
      <c r="E28" s="290"/>
      <c r="F28" s="291"/>
      <c r="G28" s="291"/>
      <c r="H28" s="291"/>
      <c r="I28" s="292"/>
      <c r="J28" s="292"/>
      <c r="K28" s="292"/>
      <c r="L28" s="292"/>
      <c r="M28" s="282"/>
      <c r="N28" s="292"/>
      <c r="O28" s="291"/>
      <c r="P28" s="291"/>
      <c r="Q28" s="242"/>
    </row>
    <row r="29" spans="3:17" ht="12.5">
      <c r="C29" s="247"/>
      <c r="D29" s="252"/>
      <c r="E29" s="252"/>
      <c r="F29" s="282"/>
      <c r="G29" s="282"/>
      <c r="H29" s="282"/>
      <c r="I29" s="270"/>
      <c r="J29" s="270"/>
      <c r="K29" s="270"/>
      <c r="L29" s="270"/>
      <c r="M29" s="282"/>
      <c r="N29" s="270"/>
      <c r="O29" s="282"/>
      <c r="P29" s="282"/>
      <c r="Q29" s="242"/>
    </row>
    <row r="30" spans="3:17" ht="12.5">
      <c r="C30" s="253" t="s">
        <v>19</v>
      </c>
      <c r="D30" s="279"/>
      <c r="E30" s="293">
        <f>E26</f>
        <v>40606098.991347767</v>
      </c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42"/>
    </row>
    <row r="31" spans="3:17" ht="12.5">
      <c r="C31" s="247" t="str">
        <f>+S113</f>
        <v xml:space="preserve">   Tax Rate  (TCOS, ln 99)</v>
      </c>
      <c r="D31" s="279"/>
      <c r="E31" s="294">
        <f>+R113</f>
        <v>0.25289699999999993</v>
      </c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42"/>
    </row>
    <row r="32" spans="3:17" ht="12.5">
      <c r="C32" s="253" t="s">
        <v>20</v>
      </c>
      <c r="D32" s="240"/>
      <c r="E32" s="255">
        <f>IF(F17&gt;0,($E31/(1-$E31))*(1-$F17/$F20),0)</f>
        <v>0.2499449610062732</v>
      </c>
      <c r="F32" s="232"/>
      <c r="G32" s="255"/>
      <c r="H32" s="241"/>
      <c r="I32" s="232"/>
      <c r="J32" s="242"/>
      <c r="K32" s="232"/>
      <c r="L32" s="232"/>
      <c r="M32" s="232"/>
      <c r="N32" s="232"/>
      <c r="O32" s="232"/>
      <c r="P32" s="232"/>
      <c r="Q32" s="232"/>
    </row>
    <row r="33" spans="2:19" ht="12.5">
      <c r="C33" s="288" t="s">
        <v>21</v>
      </c>
      <c r="D33" s="295"/>
      <c r="E33" s="296">
        <f>E30*E32</f>
        <v>10149289.829009287</v>
      </c>
      <c r="F33" s="296"/>
      <c r="G33" s="232"/>
      <c r="H33" s="241"/>
      <c r="I33" s="232"/>
      <c r="J33" s="242"/>
      <c r="K33" s="232"/>
      <c r="L33" s="232"/>
      <c r="M33" s="232"/>
      <c r="N33" s="232"/>
      <c r="O33" s="232"/>
      <c r="P33" s="232"/>
      <c r="Q33" s="232"/>
    </row>
    <row r="34" spans="2:19" ht="15.5">
      <c r="C34" s="247" t="str">
        <f>+S114</f>
        <v xml:space="preserve">   ITC Adjustment  (TCOS, ln 108)</v>
      </c>
      <c r="D34" s="297"/>
      <c r="E34" s="298">
        <f>+R114</f>
        <v>-415266.97593984439</v>
      </c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9"/>
      <c r="Q34" s="297"/>
    </row>
    <row r="35" spans="2:19" ht="15.5">
      <c r="C35" s="247" t="str">
        <f>+S115</f>
        <v xml:space="preserve">   Excess DFIT Adjustment  (TCOS, ln 109)</v>
      </c>
      <c r="D35" s="297"/>
      <c r="E35" s="298">
        <f>+R115</f>
        <v>-4929458.7225590041</v>
      </c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9"/>
      <c r="Q35" s="297"/>
    </row>
    <row r="36" spans="2:19" ht="15.5">
      <c r="C36" s="247" t="str">
        <f>+S116</f>
        <v xml:space="preserve">   Tax Effect of Permanent and Flow Through Differences  (TCOS, ln 110)</v>
      </c>
      <c r="D36" s="297"/>
      <c r="E36" s="298">
        <f>+R116</f>
        <v>82678.840802406077</v>
      </c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9"/>
      <c r="Q36" s="297"/>
    </row>
    <row r="37" spans="2:19" ht="15.5">
      <c r="C37" s="289" t="s">
        <v>22</v>
      </c>
      <c r="D37" s="297"/>
      <c r="E37" s="298">
        <f>E33+E34+E35+E36</f>
        <v>4887242.9713128451</v>
      </c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300"/>
      <c r="Q37" s="297"/>
    </row>
    <row r="38" spans="2:19" ht="12.75" customHeight="1">
      <c r="C38" s="301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300"/>
      <c r="Q38" s="297"/>
      <c r="R38" s="232"/>
      <c r="S38" s="232"/>
    </row>
    <row r="39" spans="2:19" ht="18">
      <c r="B39" s="302" t="s">
        <v>23</v>
      </c>
      <c r="C39" s="303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300"/>
      <c r="Q39" s="297"/>
      <c r="R39" s="232"/>
      <c r="S39" s="232"/>
    </row>
    <row r="40" spans="2:19" ht="15.75" customHeight="1">
      <c r="B40" s="302"/>
      <c r="C40" s="303" t="str">
        <f>"ROE increase."</f>
        <v>ROE increase.</v>
      </c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300"/>
      <c r="Q40" s="297"/>
      <c r="R40" s="232"/>
      <c r="S40" s="232"/>
    </row>
    <row r="41" spans="2:19" ht="12.75" customHeight="1">
      <c r="C41" s="301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300"/>
      <c r="Q41" s="297"/>
      <c r="R41" s="232"/>
      <c r="S41" s="232"/>
    </row>
    <row r="42" spans="2:19" ht="15.5">
      <c r="C42" s="244" t="s">
        <v>24</v>
      </c>
      <c r="D42" s="297"/>
      <c r="E42" s="297"/>
      <c r="F42" s="304"/>
      <c r="G42" s="297"/>
      <c r="H42" s="297"/>
      <c r="I42" s="297"/>
      <c r="J42" s="297"/>
      <c r="K42" s="297"/>
      <c r="L42" s="297"/>
      <c r="M42" s="297"/>
      <c r="N42" s="297"/>
      <c r="O42" s="297"/>
      <c r="P42" s="300"/>
      <c r="Q42" s="297"/>
      <c r="R42" s="232"/>
      <c r="S42" s="232"/>
    </row>
    <row r="43" spans="2:19" ht="12.5">
      <c r="B43" s="232"/>
      <c r="C43" s="305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298"/>
      <c r="Q43" s="306"/>
      <c r="R43" s="232"/>
      <c r="S43" s="232"/>
    </row>
    <row r="44" spans="2:19" ht="12.75" customHeight="1">
      <c r="B44" s="232"/>
      <c r="C44" s="247" t="str">
        <f>+S117</f>
        <v xml:space="preserve">   Net Revenue Requirement  (TCOS, ln 117)</v>
      </c>
      <c r="D44" s="306"/>
      <c r="E44" s="306"/>
      <c r="F44" s="298">
        <f>+R117</f>
        <v>99008628.600466579</v>
      </c>
      <c r="G44" s="306"/>
      <c r="H44" s="306"/>
      <c r="I44" s="306"/>
      <c r="J44" s="306"/>
      <c r="K44" s="306"/>
      <c r="L44" s="306"/>
      <c r="M44" s="306"/>
      <c r="N44" s="306"/>
      <c r="O44" s="306"/>
      <c r="P44" s="298"/>
      <c r="Q44" s="306"/>
      <c r="R44" s="232"/>
      <c r="S44" s="232"/>
    </row>
    <row r="45" spans="2:19" ht="12.5">
      <c r="B45" s="232"/>
      <c r="C45" s="247" t="str">
        <f>+S118</f>
        <v xml:space="preserve">   Return  (TCOS, ln 112)</v>
      </c>
      <c r="D45" s="306"/>
      <c r="E45" s="306"/>
      <c r="F45" s="307">
        <f>+R118</f>
        <v>40606098.991347767</v>
      </c>
      <c r="G45" s="308"/>
      <c r="H45" s="308"/>
      <c r="I45" s="308"/>
      <c r="J45" s="308"/>
      <c r="K45" s="308"/>
      <c r="L45" s="308"/>
      <c r="M45" s="308"/>
      <c r="N45" s="308"/>
      <c r="O45" s="308"/>
      <c r="P45" s="298"/>
      <c r="Q45" s="306"/>
      <c r="R45" s="232"/>
      <c r="S45" s="232"/>
    </row>
    <row r="46" spans="2:19" ht="12.5">
      <c r="B46" s="232"/>
      <c r="C46" s="247" t="str">
        <f>+S119</f>
        <v xml:space="preserve">   Income Taxes  (TCOS, ln 111)</v>
      </c>
      <c r="D46" s="306"/>
      <c r="E46" s="306"/>
      <c r="F46" s="298">
        <f>+R119</f>
        <v>4887242.9713128451</v>
      </c>
      <c r="G46" s="306"/>
      <c r="H46" s="306"/>
      <c r="I46" s="309"/>
      <c r="J46" s="309"/>
      <c r="K46" s="309"/>
      <c r="L46" s="309"/>
      <c r="M46" s="309"/>
      <c r="N46" s="309"/>
      <c r="O46" s="306"/>
      <c r="P46" s="306"/>
      <c r="Q46" s="306"/>
      <c r="R46" s="232"/>
      <c r="S46" s="232"/>
    </row>
    <row r="47" spans="2:19" ht="12.5">
      <c r="B47" s="232"/>
      <c r="C47" s="305" t="str">
        <f>+S120</f>
        <v xml:space="preserve">  Gross Margin Taxes  (TCOS, ln 116)</v>
      </c>
      <c r="D47" s="306"/>
      <c r="E47" s="306"/>
      <c r="F47" s="310">
        <f>+R120</f>
        <v>0</v>
      </c>
      <c r="G47" s="306"/>
      <c r="H47" s="306"/>
      <c r="I47" s="309"/>
      <c r="J47" s="309"/>
      <c r="K47" s="309"/>
      <c r="L47" s="309"/>
      <c r="M47" s="309"/>
      <c r="N47" s="309"/>
      <c r="O47" s="306"/>
      <c r="P47" s="306"/>
      <c r="Q47" s="306"/>
      <c r="R47" s="232"/>
      <c r="S47" s="232"/>
    </row>
    <row r="48" spans="2:19" ht="12.5">
      <c r="B48" s="232"/>
      <c r="C48" s="311" t="s">
        <v>25</v>
      </c>
      <c r="D48" s="306"/>
      <c r="E48" s="306"/>
      <c r="F48" s="307">
        <f>F44-F45-F46-F47</f>
        <v>53515286.637805969</v>
      </c>
      <c r="G48" s="312"/>
      <c r="H48" s="306"/>
      <c r="I48" s="312"/>
      <c r="J48" s="312"/>
      <c r="K48" s="312"/>
      <c r="L48" s="312"/>
      <c r="M48" s="312"/>
      <c r="N48" s="312"/>
      <c r="O48" s="306"/>
      <c r="P48" s="312"/>
      <c r="Q48" s="306"/>
      <c r="R48" s="232"/>
      <c r="S48" s="232"/>
    </row>
    <row r="49" spans="2:19" ht="12.5">
      <c r="B49" s="232"/>
      <c r="C49" s="305"/>
      <c r="D49" s="306"/>
      <c r="E49" s="306"/>
      <c r="F49" s="298"/>
      <c r="G49" s="313"/>
      <c r="H49" s="314"/>
      <c r="I49" s="314"/>
      <c r="J49" s="314"/>
      <c r="K49" s="314"/>
      <c r="L49" s="314"/>
      <c r="M49" s="314"/>
      <c r="N49" s="314"/>
      <c r="O49" s="315"/>
      <c r="P49" s="314"/>
      <c r="Q49" s="316"/>
      <c r="R49" s="232"/>
      <c r="S49" s="232"/>
    </row>
    <row r="50" spans="2:19" ht="15.5">
      <c r="B50" s="232"/>
      <c r="C50" s="244" t="str">
        <f>"B.   Determine Net Revenue Requirement with hypothetical "&amp;F13&amp;" basis point increase in ROE."</f>
        <v>B.   Determine Net Revenue Requirement with hypothetical 0 basis point increase in ROE.</v>
      </c>
      <c r="D50" s="315"/>
      <c r="E50" s="315"/>
      <c r="F50" s="298"/>
      <c r="G50" s="313"/>
      <c r="H50" s="314"/>
      <c r="I50" s="314"/>
      <c r="J50" s="314"/>
      <c r="K50" s="314"/>
      <c r="L50" s="314"/>
      <c r="M50" s="314"/>
      <c r="N50" s="314"/>
      <c r="O50" s="315"/>
      <c r="P50" s="314"/>
      <c r="Q50" s="306"/>
    </row>
    <row r="51" spans="2:19" ht="12.5">
      <c r="B51" s="232"/>
      <c r="C51" s="305"/>
      <c r="D51" s="315"/>
      <c r="E51" s="315"/>
      <c r="F51" s="298"/>
      <c r="G51" s="313"/>
      <c r="H51" s="314"/>
      <c r="I51" s="314"/>
      <c r="J51" s="314"/>
      <c r="K51" s="314"/>
      <c r="L51" s="314"/>
      <c r="M51" s="314"/>
      <c r="N51" s="314"/>
      <c r="O51" s="315"/>
      <c r="P51" s="314"/>
      <c r="Q51" s="306"/>
    </row>
    <row r="52" spans="2:19" ht="13">
      <c r="B52" s="232"/>
      <c r="C52" s="305" t="str">
        <f>C48</f>
        <v xml:space="preserve">   Net Revenue Requirement, Less Return and Taxes</v>
      </c>
      <c r="D52" s="315"/>
      <c r="E52" s="315"/>
      <c r="F52" s="298">
        <f>F48</f>
        <v>53515286.637805969</v>
      </c>
      <c r="G52" s="306"/>
      <c r="H52" s="306"/>
      <c r="I52" s="306"/>
      <c r="J52" s="306"/>
      <c r="K52" s="306"/>
      <c r="L52" s="306"/>
      <c r="M52" s="306"/>
      <c r="N52" s="306"/>
      <c r="O52" s="317"/>
      <c r="P52" s="318"/>
      <c r="Q52" s="319"/>
    </row>
    <row r="53" spans="2:19" ht="13">
      <c r="B53" s="232"/>
      <c r="C53" s="253" t="s">
        <v>103</v>
      </c>
      <c r="D53" s="320"/>
      <c r="E53" s="311"/>
      <c r="F53" s="321">
        <f>E26</f>
        <v>40606098.991347767</v>
      </c>
      <c r="G53" s="311"/>
      <c r="H53" s="322"/>
      <c r="I53" s="311"/>
      <c r="J53" s="311"/>
      <c r="K53" s="311"/>
      <c r="L53" s="311"/>
      <c r="M53" s="311"/>
      <c r="N53" s="311"/>
      <c r="O53" s="311"/>
      <c r="P53" s="311"/>
      <c r="Q53" s="311"/>
    </row>
    <row r="54" spans="2:19" ht="12.75" customHeight="1">
      <c r="B54" s="232"/>
      <c r="C54" s="247" t="s">
        <v>26</v>
      </c>
      <c r="D54" s="306"/>
      <c r="E54" s="306"/>
      <c r="F54" s="323">
        <f>E37</f>
        <v>4887242.9713128451</v>
      </c>
      <c r="G54" s="232"/>
      <c r="H54" s="241"/>
      <c r="I54" s="232"/>
      <c r="J54" s="242"/>
      <c r="K54" s="232"/>
      <c r="L54" s="232"/>
      <c r="M54" s="232"/>
      <c r="N54" s="232"/>
      <c r="O54" s="232"/>
      <c r="P54" s="232"/>
      <c r="Q54" s="232"/>
    </row>
    <row r="55" spans="2:19" ht="12.5">
      <c r="B55" s="232"/>
      <c r="C55" s="311" t="str">
        <f>"   Net Revenue Requirement, with "&amp;F13&amp;" Basis Point ROE increase"</f>
        <v xml:space="preserve">   Net Revenue Requirement, with 0 Basis Point ROE increase</v>
      </c>
      <c r="D55" s="240"/>
      <c r="E55" s="232"/>
      <c r="F55" s="296">
        <f>SUM(F52:F54)</f>
        <v>99008628.600466579</v>
      </c>
      <c r="G55" s="232"/>
      <c r="H55" s="241"/>
      <c r="I55" s="232"/>
      <c r="J55" s="242"/>
      <c r="K55" s="232"/>
      <c r="L55" s="232"/>
      <c r="M55" s="232"/>
      <c r="N55" s="232"/>
      <c r="O55" s="232"/>
      <c r="P55" s="232"/>
      <c r="Q55" s="232"/>
      <c r="R55" s="232"/>
      <c r="S55" s="232"/>
    </row>
    <row r="56" spans="2:19" ht="12.5">
      <c r="B56" s="232"/>
      <c r="C56" s="324" t="str">
        <f>"   Gross Margin Tax with "&amp;F13&amp;" Basis Point ROE Increase (II C. below)"</f>
        <v xml:space="preserve">   Gross Margin Tax with 0 Basis Point ROE Increase (II C. below)</v>
      </c>
      <c r="D56" s="325"/>
      <c r="E56" s="325"/>
      <c r="F56" s="326">
        <f>+F71</f>
        <v>0</v>
      </c>
      <c r="G56" s="232"/>
      <c r="H56" s="241"/>
      <c r="I56" s="232"/>
      <c r="J56" s="242"/>
      <c r="K56" s="232"/>
      <c r="L56" s="232"/>
      <c r="M56" s="232"/>
      <c r="N56" s="232"/>
      <c r="O56" s="232"/>
      <c r="P56" s="232"/>
      <c r="Q56" s="232"/>
      <c r="R56" s="232"/>
      <c r="S56" s="232"/>
    </row>
    <row r="57" spans="2:19" ht="12.5">
      <c r="B57" s="232"/>
      <c r="C57" s="311" t="s">
        <v>27</v>
      </c>
      <c r="D57" s="240"/>
      <c r="E57" s="232"/>
      <c r="F57" s="327">
        <f>+F55+F56</f>
        <v>99008628.600466579</v>
      </c>
      <c r="G57" s="232"/>
      <c r="H57" s="241"/>
      <c r="I57" s="232"/>
      <c r="J57" s="242"/>
      <c r="K57" s="232"/>
      <c r="L57" s="232"/>
      <c r="M57" s="232"/>
      <c r="N57" s="232"/>
      <c r="O57" s="232"/>
      <c r="P57" s="232"/>
      <c r="Q57" s="232"/>
      <c r="R57" s="232"/>
      <c r="S57" s="232"/>
    </row>
    <row r="58" spans="2:19" ht="12.5">
      <c r="B58" s="232"/>
      <c r="C58" s="247" t="str">
        <f>+S121</f>
        <v xml:space="preserve">   Less: Depreciation  (TCOS, ln 86)</v>
      </c>
      <c r="D58" s="240"/>
      <c r="E58" s="232"/>
      <c r="F58" s="328">
        <f>+R121</f>
        <v>21614844.06342693</v>
      </c>
      <c r="G58" s="232"/>
      <c r="H58" s="241"/>
      <c r="I58" s="232"/>
      <c r="J58" s="242"/>
      <c r="K58" s="232"/>
      <c r="L58" s="232"/>
      <c r="M58" s="232"/>
      <c r="N58" s="232"/>
      <c r="O58" s="232"/>
      <c r="P58" s="232"/>
      <c r="Q58" s="232"/>
      <c r="R58" s="232"/>
      <c r="S58" s="232"/>
    </row>
    <row r="59" spans="2:19" ht="12.5">
      <c r="B59" s="232"/>
      <c r="C59" s="311" t="str">
        <f>"   Net Rev. Req, w/"&amp;F13&amp;" Basis Point ROE increase, less Depreciation"</f>
        <v xml:space="preserve">   Net Rev. Req, w/0 Basis Point ROE increase, less Depreciation</v>
      </c>
      <c r="D59" s="240"/>
      <c r="E59" s="232"/>
      <c r="F59" s="296">
        <f>F57-F58</f>
        <v>77393784.537039652</v>
      </c>
      <c r="G59" s="232"/>
      <c r="H59" s="241"/>
      <c r="I59" s="232"/>
      <c r="J59" s="242"/>
      <c r="K59" s="232"/>
      <c r="L59" s="232"/>
      <c r="M59" s="232"/>
      <c r="N59" s="232"/>
      <c r="O59" s="232"/>
      <c r="P59" s="232"/>
      <c r="Q59" s="232"/>
      <c r="R59" s="232"/>
      <c r="S59" s="232"/>
    </row>
    <row r="60" spans="2:19" ht="12.5">
      <c r="B60" s="232"/>
      <c r="C60" s="232"/>
      <c r="D60" s="240"/>
      <c r="E60" s="232"/>
      <c r="F60" s="232"/>
      <c r="G60" s="232"/>
      <c r="H60" s="241"/>
      <c r="I60" s="232"/>
      <c r="J60" s="242"/>
      <c r="K60" s="232"/>
      <c r="L60" s="232"/>
      <c r="M60" s="232"/>
      <c r="N60" s="232"/>
      <c r="O60" s="232"/>
      <c r="P60" s="232"/>
      <c r="Q60" s="232"/>
      <c r="R60" s="232"/>
      <c r="S60" s="232"/>
    </row>
    <row r="61" spans="2:19" ht="15.5">
      <c r="B61" s="329"/>
      <c r="C61" s="330" t="str">
        <f>"C.   Determine Gross Margin Tax with hypothetical "&amp;F13&amp;" basis point increase in ROE."</f>
        <v>C.   Determine Gross Margin Tax with hypothetical 0 basis point increase in ROE.</v>
      </c>
      <c r="D61" s="331"/>
      <c r="E61" s="331"/>
      <c r="F61" s="332"/>
      <c r="G61" s="329"/>
      <c r="H61" s="333"/>
      <c r="I61" s="329"/>
      <c r="J61" s="242"/>
      <c r="K61" s="232"/>
      <c r="L61" s="232"/>
      <c r="M61" s="232"/>
      <c r="N61" s="232"/>
      <c r="O61" s="232"/>
      <c r="P61" s="232"/>
      <c r="Q61" s="232"/>
      <c r="R61" s="232"/>
      <c r="S61" s="232"/>
    </row>
    <row r="62" spans="2:19" ht="12.5">
      <c r="B62" s="329"/>
      <c r="C62" s="324" t="str">
        <f>"   Net Revenue Requirement before Gross Margin Taxes, with "&amp;F13&amp;" "</f>
        <v xml:space="preserve">   Net Revenue Requirement before Gross Margin Taxes, with 0 </v>
      </c>
      <c r="D62" s="331"/>
      <c r="E62" s="331"/>
      <c r="F62" s="332">
        <f>+F55</f>
        <v>99008628.600466579</v>
      </c>
      <c r="G62" s="329"/>
      <c r="H62" s="333"/>
      <c r="I62" s="329"/>
      <c r="J62" s="242"/>
      <c r="K62" s="232"/>
      <c r="L62" s="232"/>
      <c r="M62" s="232"/>
      <c r="N62" s="232"/>
      <c r="O62" s="232"/>
      <c r="P62" s="232"/>
      <c r="Q62" s="232"/>
      <c r="R62" s="232"/>
      <c r="S62" s="232"/>
    </row>
    <row r="63" spans="2:19" ht="12.5">
      <c r="B63" s="329"/>
      <c r="C63" s="324" t="s">
        <v>28</v>
      </c>
      <c r="D63" s="331"/>
      <c r="E63" s="331"/>
      <c r="F63" s="332"/>
      <c r="G63" s="329"/>
      <c r="H63" s="333"/>
      <c r="I63" s="329"/>
      <c r="J63" s="242"/>
      <c r="K63" s="232"/>
      <c r="L63" s="232"/>
      <c r="M63" s="232"/>
      <c r="N63" s="232"/>
      <c r="O63" s="232"/>
      <c r="P63" s="232"/>
      <c r="Q63" s="232"/>
      <c r="R63" s="232"/>
      <c r="S63" s="232"/>
    </row>
    <row r="64" spans="2:19" ht="12.5">
      <c r="B64" s="329"/>
      <c r="C64" s="311" t="str">
        <f>+S122</f>
        <v xml:space="preserve">       Apportionment Factor to Texas (Worksheet K, ln 12)</v>
      </c>
      <c r="D64" s="295"/>
      <c r="E64" s="329"/>
      <c r="F64" s="334">
        <f>+R122</f>
        <v>0</v>
      </c>
      <c r="G64" s="329"/>
      <c r="H64" s="333"/>
      <c r="I64" s="329"/>
      <c r="J64" s="242"/>
      <c r="K64" s="232"/>
      <c r="L64" s="232"/>
      <c r="M64" s="232"/>
      <c r="N64" s="232"/>
      <c r="O64" s="232"/>
      <c r="P64" s="232"/>
      <c r="Q64" s="232"/>
      <c r="R64" s="232"/>
      <c r="S64" s="232"/>
    </row>
    <row r="65" spans="2:19" ht="12.5">
      <c r="B65" s="329"/>
      <c r="C65" s="311" t="s">
        <v>29</v>
      </c>
      <c r="D65" s="295"/>
      <c r="E65" s="329"/>
      <c r="F65" s="332">
        <f>+F62*F64</f>
        <v>0</v>
      </c>
      <c r="G65" s="329"/>
      <c r="H65" s="333"/>
      <c r="I65" s="329"/>
      <c r="J65" s="242"/>
      <c r="K65" s="232"/>
      <c r="L65" s="232"/>
      <c r="M65" s="232"/>
      <c r="N65" s="232"/>
      <c r="O65" s="232"/>
      <c r="P65" s="232"/>
      <c r="Q65" s="232"/>
      <c r="R65" s="232"/>
      <c r="S65" s="232"/>
    </row>
    <row r="66" spans="2:19" ht="12.5">
      <c r="B66" s="329"/>
      <c r="C66" s="311" t="s">
        <v>288</v>
      </c>
      <c r="D66" s="295"/>
      <c r="E66" s="329"/>
      <c r="F66" s="335">
        <v>0.22</v>
      </c>
      <c r="G66" s="329"/>
      <c r="H66" s="333"/>
      <c r="I66" s="329"/>
      <c r="J66" s="242"/>
      <c r="K66" s="232"/>
      <c r="L66" s="232"/>
      <c r="M66" s="232"/>
      <c r="N66" s="232"/>
      <c r="O66" s="232"/>
      <c r="P66" s="232"/>
      <c r="Q66" s="232"/>
      <c r="R66" s="232"/>
      <c r="S66" s="232"/>
    </row>
    <row r="67" spans="2:19" ht="12.5">
      <c r="B67" s="329"/>
      <c r="C67" s="311" t="s">
        <v>30</v>
      </c>
      <c r="D67" s="295"/>
      <c r="E67" s="329"/>
      <c r="F67" s="332">
        <f>+F65*F66</f>
        <v>0</v>
      </c>
      <c r="G67" s="329"/>
      <c r="H67" s="333"/>
      <c r="I67" s="329"/>
      <c r="J67" s="242"/>
      <c r="K67" s="232"/>
      <c r="L67" s="232"/>
      <c r="M67" s="232"/>
      <c r="N67" s="232"/>
      <c r="O67" s="232"/>
      <c r="P67" s="232"/>
      <c r="Q67" s="232"/>
      <c r="R67" s="232"/>
      <c r="S67" s="232"/>
    </row>
    <row r="68" spans="2:19" ht="12.5">
      <c r="B68" s="329"/>
      <c r="C68" s="311" t="s">
        <v>31</v>
      </c>
      <c r="D68" s="295"/>
      <c r="E68" s="329"/>
      <c r="F68" s="335">
        <v>0.01</v>
      </c>
      <c r="G68" s="329"/>
      <c r="H68" s="333"/>
      <c r="I68" s="329"/>
      <c r="J68" s="242"/>
      <c r="K68" s="232"/>
      <c r="L68" s="232"/>
      <c r="M68" s="232"/>
      <c r="N68" s="232"/>
      <c r="O68" s="232"/>
      <c r="P68" s="232"/>
      <c r="Q68" s="232"/>
      <c r="R68" s="232"/>
      <c r="S68" s="232"/>
    </row>
    <row r="69" spans="2:19" ht="12.5">
      <c r="B69" s="329"/>
      <c r="C69" s="311" t="s">
        <v>32</v>
      </c>
      <c r="D69" s="295"/>
      <c r="E69" s="329"/>
      <c r="F69" s="332">
        <f>+F67*F68</f>
        <v>0</v>
      </c>
      <c r="G69" s="329"/>
      <c r="H69" s="333"/>
      <c r="I69" s="329"/>
      <c r="J69" s="242"/>
      <c r="K69" s="232"/>
      <c r="L69" s="232"/>
      <c r="M69" s="232"/>
      <c r="N69" s="232"/>
      <c r="O69" s="232"/>
      <c r="P69" s="232"/>
      <c r="Q69" s="232"/>
      <c r="R69" s="232"/>
      <c r="S69" s="232"/>
    </row>
    <row r="70" spans="2:19" ht="12.5">
      <c r="B70" s="329"/>
      <c r="C70" s="311" t="s">
        <v>33</v>
      </c>
      <c r="D70" s="295"/>
      <c r="E70" s="329"/>
      <c r="F70" s="336">
        <f>+ROUND((F69*F66*F64)/(1-F68)*F68,0)</f>
        <v>0</v>
      </c>
      <c r="G70" s="329"/>
      <c r="H70" s="333"/>
      <c r="I70" s="329"/>
      <c r="J70" s="242"/>
      <c r="K70" s="232"/>
      <c r="L70" s="232"/>
      <c r="M70" s="232"/>
      <c r="N70" s="232"/>
      <c r="O70" s="232"/>
      <c r="P70" s="232"/>
      <c r="Q70" s="232"/>
      <c r="R70" s="232"/>
      <c r="S70" s="232"/>
    </row>
    <row r="71" spans="2:19" ht="12.5">
      <c r="B71" s="329"/>
      <c r="C71" s="311" t="s">
        <v>34</v>
      </c>
      <c r="D71" s="295"/>
      <c r="E71" s="329"/>
      <c r="F71" s="332">
        <f>+F69+F70</f>
        <v>0</v>
      </c>
      <c r="G71" s="329"/>
      <c r="H71" s="333"/>
      <c r="I71" s="329"/>
      <c r="J71" s="242"/>
      <c r="K71" s="232"/>
      <c r="L71" s="232"/>
      <c r="M71" s="232"/>
      <c r="N71" s="232"/>
      <c r="O71" s="232"/>
      <c r="P71" s="232"/>
      <c r="Q71" s="232"/>
      <c r="R71" s="232"/>
      <c r="S71" s="232"/>
    </row>
    <row r="72" spans="2:19" ht="12.5">
      <c r="B72" s="232"/>
      <c r="C72" s="232"/>
      <c r="D72" s="240"/>
      <c r="E72" s="232"/>
      <c r="F72" s="232"/>
      <c r="G72" s="232"/>
      <c r="H72" s="241"/>
      <c r="I72" s="232"/>
      <c r="J72" s="242"/>
      <c r="K72" s="232"/>
      <c r="L72" s="232"/>
      <c r="M72" s="232"/>
      <c r="N72" s="232"/>
      <c r="O72" s="232"/>
      <c r="P72" s="232"/>
      <c r="Q72" s="232"/>
      <c r="R72" s="232"/>
      <c r="S72" s="232"/>
    </row>
    <row r="73" spans="2:19" ht="15.5">
      <c r="B73" s="232"/>
      <c r="C73" s="244" t="str">
        <f>"D.   Determine FCR with hypothetical "&amp;F13&amp;" basis point ROE increase."</f>
        <v>D.   Determine FCR with hypothetical 0 basis point ROE increase.</v>
      </c>
      <c r="D73" s="240"/>
      <c r="E73" s="232"/>
      <c r="F73" s="232"/>
      <c r="G73" s="232"/>
      <c r="H73" s="241"/>
      <c r="I73" s="232"/>
      <c r="J73" s="242"/>
      <c r="K73" s="232"/>
      <c r="L73" s="232"/>
      <c r="M73" s="232"/>
      <c r="N73" s="232"/>
      <c r="O73" s="232"/>
      <c r="P73" s="232"/>
      <c r="Q73" s="232"/>
      <c r="R73" s="232"/>
      <c r="S73" s="232"/>
    </row>
    <row r="74" spans="2:19" ht="12.5">
      <c r="B74" s="232"/>
      <c r="C74" s="232"/>
      <c r="D74" s="240"/>
      <c r="E74" s="232"/>
      <c r="F74" s="232"/>
      <c r="G74" s="232"/>
      <c r="H74" s="241"/>
      <c r="I74" s="232"/>
      <c r="J74" s="242"/>
      <c r="K74" s="232"/>
      <c r="L74" s="232"/>
      <c r="M74" s="232"/>
      <c r="N74" s="232"/>
      <c r="O74" s="232"/>
      <c r="P74" s="232"/>
      <c r="Q74" s="232"/>
      <c r="R74" s="232"/>
      <c r="S74" s="232"/>
    </row>
    <row r="75" spans="2:19" ht="12.5">
      <c r="B75" s="232"/>
      <c r="C75" s="247" t="str">
        <f>+S123</f>
        <v xml:space="preserve">   Net Transmission Plant  (TCOS, ln 37)</v>
      </c>
      <c r="D75" s="240"/>
      <c r="E75" s="232"/>
      <c r="F75" s="296">
        <f>+R123</f>
        <v>717794461.26554775</v>
      </c>
      <c r="G75" s="245"/>
      <c r="H75" s="216"/>
      <c r="J75" s="195"/>
      <c r="P75" s="232"/>
      <c r="Q75" s="232"/>
      <c r="R75" s="232"/>
      <c r="S75" s="232"/>
    </row>
    <row r="76" spans="2:19" ht="12.5">
      <c r="B76" s="232"/>
      <c r="C76" s="311" t="str">
        <f>"   Net Revenue Requirement, with "&amp;F13&amp;" Basis Point ROE increase"</f>
        <v xml:space="preserve">   Net Revenue Requirement, with 0 Basis Point ROE increase</v>
      </c>
      <c r="D76" s="240"/>
      <c r="E76" s="232"/>
      <c r="F76" s="337">
        <f>F55</f>
        <v>99008628.600466579</v>
      </c>
      <c r="H76" s="216"/>
      <c r="J76" s="195"/>
      <c r="P76" s="232"/>
      <c r="Q76" s="232"/>
      <c r="R76" s="232"/>
      <c r="S76" s="232"/>
    </row>
    <row r="77" spans="2:19" ht="12.5">
      <c r="B77" s="232"/>
      <c r="C77" s="311" t="str">
        <f>"   FCR with "&amp;F13&amp;" Basis Point increase in ROE"</f>
        <v xml:space="preserve">   FCR with 0 Basis Point increase in ROE</v>
      </c>
      <c r="D77" s="240"/>
      <c r="E77" s="232"/>
      <c r="F77" s="338">
        <f>IF(F75=0,0,F76/F75)</f>
        <v>0.13793451181819358</v>
      </c>
      <c r="H77" s="216"/>
      <c r="J77" s="195"/>
      <c r="P77" s="232"/>
      <c r="Q77" s="232"/>
      <c r="R77" s="232"/>
      <c r="S77" s="232"/>
    </row>
    <row r="78" spans="2:19" ht="12.5">
      <c r="B78" s="232"/>
      <c r="D78" s="240"/>
      <c r="E78" s="232"/>
      <c r="F78" s="329"/>
      <c r="H78" s="216"/>
      <c r="J78" s="195"/>
      <c r="P78" s="232"/>
      <c r="Q78" s="232"/>
      <c r="R78" s="232"/>
      <c r="S78" s="232"/>
    </row>
    <row r="79" spans="2:19" ht="12.5">
      <c r="B79" s="232"/>
      <c r="C79" s="311" t="str">
        <f>"   Net Rev. Req, w / "&amp;F13&amp;" Basis Point ROE increase, less Dep."</f>
        <v xml:space="preserve">   Net Rev. Req, w / 0 Basis Point ROE increase, less Dep.</v>
      </c>
      <c r="D79" s="240"/>
      <c r="E79" s="232"/>
      <c r="F79" s="296">
        <f>F59</f>
        <v>77393784.537039652</v>
      </c>
      <c r="G79" s="245"/>
      <c r="H79" s="216"/>
      <c r="J79" s="195"/>
      <c r="P79" s="232"/>
      <c r="Q79" s="232"/>
      <c r="R79" s="232"/>
      <c r="S79" s="232"/>
    </row>
    <row r="80" spans="2:19" ht="12.5">
      <c r="B80" s="232"/>
      <c r="C80" s="311" t="str">
        <f>"   FCR with "&amp;F13&amp;" Basis Point ROE increase, less Depreciation"</f>
        <v xml:space="preserve">   FCR with 0 Basis Point ROE increase, less Depreciation</v>
      </c>
      <c r="D80" s="240"/>
      <c r="E80" s="232"/>
      <c r="F80" s="338">
        <f>IF(F75=0,0,F79/F75)</f>
        <v>0.10782165189821359</v>
      </c>
      <c r="G80" s="338"/>
      <c r="H80" s="216"/>
      <c r="J80" s="195"/>
      <c r="P80" s="232"/>
      <c r="Q80" s="232"/>
      <c r="R80" s="232"/>
      <c r="S80" s="232"/>
    </row>
    <row r="81" spans="2:19" ht="12.5">
      <c r="B81" s="232"/>
      <c r="C81" s="247" t="str">
        <f>+S124</f>
        <v xml:space="preserve">   FCR less Depreciation  (TCOS, ln 10)</v>
      </c>
      <c r="D81" s="240"/>
      <c r="E81" s="232"/>
      <c r="F81" s="339">
        <f>+R124</f>
        <v>0.10782165189821359</v>
      </c>
      <c r="H81" s="216"/>
      <c r="J81" s="195"/>
      <c r="P81" s="232"/>
      <c r="Q81" s="232"/>
      <c r="R81" s="232"/>
      <c r="S81" s="232"/>
    </row>
    <row r="82" spans="2:19" ht="12.5">
      <c r="B82" s="232"/>
      <c r="C82" s="638" t="str">
        <f>"   Incremental FCR with "&amp;F13&amp;" Basis Point ROE increase, less Depreciation"</f>
        <v xml:space="preserve">   Incremental FCR with 0 Basis Point ROE increase, less Depreciation</v>
      </c>
      <c r="D82" s="639"/>
      <c r="E82" s="639"/>
      <c r="F82" s="338">
        <f>F80-F81</f>
        <v>0</v>
      </c>
      <c r="H82" s="216"/>
      <c r="J82" s="195"/>
      <c r="P82" s="232"/>
      <c r="Q82" s="232"/>
      <c r="R82" s="232"/>
      <c r="S82" s="232"/>
    </row>
    <row r="83" spans="2:19" ht="12.5">
      <c r="B83" s="232"/>
      <c r="C83" s="639"/>
      <c r="D83" s="639"/>
      <c r="E83" s="639"/>
      <c r="F83" s="338"/>
      <c r="G83" s="232"/>
      <c r="H83" s="241"/>
      <c r="I83" s="232"/>
      <c r="J83" s="242"/>
      <c r="K83" s="232"/>
      <c r="L83" s="232"/>
      <c r="M83" s="232"/>
      <c r="N83" s="232"/>
      <c r="O83" s="232"/>
      <c r="P83" s="232"/>
      <c r="Q83" s="232"/>
      <c r="R83" s="232"/>
      <c r="S83" s="232"/>
    </row>
    <row r="84" spans="2:19" ht="18">
      <c r="B84" s="302" t="s">
        <v>35</v>
      </c>
      <c r="C84" s="303" t="s">
        <v>36</v>
      </c>
      <c r="D84" s="240"/>
      <c r="E84" s="232"/>
      <c r="F84" s="338"/>
      <c r="G84" s="232"/>
      <c r="H84" s="241"/>
      <c r="I84" s="232"/>
      <c r="J84" s="242"/>
      <c r="K84" s="232"/>
      <c r="L84" s="232"/>
      <c r="M84" s="232"/>
      <c r="N84" s="232"/>
      <c r="O84" s="232"/>
      <c r="P84" s="232"/>
      <c r="Q84" s="232"/>
      <c r="R84" s="232"/>
      <c r="S84" s="232"/>
    </row>
    <row r="85" spans="2:19" ht="12.75" customHeight="1">
      <c r="B85" s="302"/>
      <c r="C85" s="303"/>
      <c r="D85" s="240"/>
      <c r="E85" s="232"/>
      <c r="F85" s="338"/>
      <c r="G85" s="232"/>
      <c r="H85" s="241"/>
      <c r="I85" s="232"/>
      <c r="J85" s="242"/>
      <c r="K85" s="232"/>
      <c r="L85" s="232"/>
      <c r="M85" s="232"/>
      <c r="N85" s="232"/>
      <c r="O85" s="232"/>
      <c r="P85" s="232"/>
      <c r="Q85" s="232"/>
      <c r="R85" s="232"/>
      <c r="S85" s="232"/>
    </row>
    <row r="86" spans="2:19" ht="12.75" customHeight="1">
      <c r="B86" s="302"/>
      <c r="C86" s="311" t="s">
        <v>37</v>
      </c>
      <c r="D86" s="240"/>
      <c r="F86" s="333">
        <f>+R125</f>
        <v>1005827170.884379</v>
      </c>
      <c r="G86" s="232" t="s">
        <v>283</v>
      </c>
      <c r="H86" s="241"/>
      <c r="I86" s="232"/>
      <c r="J86" s="242"/>
      <c r="K86" s="232"/>
      <c r="L86" s="232"/>
      <c r="M86" s="232"/>
      <c r="N86" s="232"/>
      <c r="O86" s="232"/>
      <c r="P86" s="232"/>
      <c r="Q86" s="232"/>
      <c r="R86" s="232"/>
      <c r="S86" s="232"/>
    </row>
    <row r="87" spans="2:19" ht="12.75" customHeight="1">
      <c r="B87" s="302"/>
      <c r="C87" s="311" t="s">
        <v>38</v>
      </c>
      <c r="D87" s="240"/>
      <c r="F87" s="340">
        <f>R126</f>
        <v>1048493679.4946201</v>
      </c>
      <c r="G87" s="232" t="s">
        <v>283</v>
      </c>
      <c r="H87" s="241"/>
      <c r="I87" s="232"/>
      <c r="J87" s="242"/>
      <c r="K87" s="232"/>
      <c r="L87" s="232"/>
      <c r="M87" s="232"/>
      <c r="N87" s="232"/>
      <c r="O87" s="232"/>
      <c r="P87" s="232"/>
      <c r="Q87" s="232"/>
      <c r="R87" s="232"/>
      <c r="S87" s="232"/>
    </row>
    <row r="88" spans="2:19" ht="12.5">
      <c r="B88" s="232"/>
      <c r="C88" s="311"/>
      <c r="D88" s="240"/>
      <c r="F88" s="241">
        <f>+F87+F86</f>
        <v>2054320850.3789992</v>
      </c>
      <c r="G88" s="296"/>
      <c r="H88" s="241"/>
      <c r="I88" s="232"/>
      <c r="J88" s="242"/>
      <c r="K88" s="232"/>
      <c r="L88" s="232"/>
      <c r="M88" s="232"/>
      <c r="N88" s="232"/>
      <c r="O88" s="232"/>
      <c r="P88" s="232"/>
      <c r="Q88" s="232"/>
      <c r="R88" s="232"/>
      <c r="S88" s="232"/>
    </row>
    <row r="89" spans="2:19" ht="12.5">
      <c r="B89" s="232"/>
      <c r="C89" s="311" t="str">
        <f>S127</f>
        <v>Transmission Plant Average Balance for 2021 (WS A-1 Ln 14 Col (d))</v>
      </c>
      <c r="D89" s="295"/>
      <c r="E89" s="155"/>
      <c r="F89" s="322">
        <f>+F88/2</f>
        <v>1027160425.1894996</v>
      </c>
      <c r="G89" s="341"/>
      <c r="H89" s="241"/>
      <c r="I89" s="232"/>
      <c r="J89" s="242"/>
      <c r="K89" s="232"/>
      <c r="L89" s="232"/>
      <c r="M89" s="232"/>
      <c r="N89" s="232"/>
      <c r="O89" s="232"/>
      <c r="P89" s="232"/>
      <c r="Q89" s="232"/>
      <c r="R89" s="232"/>
      <c r="S89" s="232"/>
    </row>
    <row r="90" spans="2:19" ht="12.5">
      <c r="B90" s="232"/>
      <c r="C90" s="247" t="str">
        <f>S128</f>
        <v>Annual Depreciation Expense  (TCOS, ln 86)</v>
      </c>
      <c r="D90" s="295"/>
      <c r="E90" s="329"/>
      <c r="F90" s="322">
        <f>R128</f>
        <v>23788860.355119601</v>
      </c>
      <c r="G90" s="232"/>
      <c r="H90" s="241"/>
      <c r="I90" s="232"/>
      <c r="J90" s="242"/>
      <c r="K90" s="232"/>
      <c r="L90" s="232"/>
      <c r="M90" s="232"/>
      <c r="N90" s="232"/>
      <c r="O90" s="232"/>
      <c r="P90" s="232"/>
      <c r="Q90" s="232"/>
      <c r="R90" s="232"/>
      <c r="S90" s="232"/>
    </row>
    <row r="91" spans="2:19" ht="12.5">
      <c r="B91" s="232"/>
      <c r="C91" s="311" t="s">
        <v>39</v>
      </c>
      <c r="D91" s="240"/>
      <c r="E91" s="232"/>
      <c r="F91" s="338">
        <f>IF(F89=0,0,F90/F89)</f>
        <v>2.3159829537563056E-2</v>
      </c>
      <c r="G91" s="232"/>
      <c r="H91" s="342"/>
      <c r="I91" s="232"/>
      <c r="J91" s="242"/>
      <c r="K91" s="232"/>
      <c r="L91" s="232"/>
      <c r="M91" s="232"/>
      <c r="N91" s="232"/>
      <c r="O91" s="232"/>
      <c r="P91" s="232"/>
      <c r="Q91" s="232"/>
      <c r="R91" s="232"/>
      <c r="S91" s="232"/>
    </row>
    <row r="92" spans="2:19" ht="12.5">
      <c r="B92" s="232"/>
      <c r="C92" s="311" t="s">
        <v>40</v>
      </c>
      <c r="D92" s="240"/>
      <c r="E92" s="232"/>
      <c r="F92" s="343">
        <f>IF(F91=0,0,1/F91)</f>
        <v>43.178210719474187</v>
      </c>
      <c r="H92" s="241"/>
      <c r="I92" s="232"/>
      <c r="J92" s="242"/>
      <c r="K92" s="232"/>
      <c r="L92" s="232"/>
      <c r="M92" s="232"/>
      <c r="N92" s="232"/>
      <c r="O92" s="232"/>
      <c r="P92" s="232"/>
      <c r="Q92" s="232"/>
      <c r="R92" s="232"/>
      <c r="S92" s="232"/>
    </row>
    <row r="93" spans="2:19" ht="12.5">
      <c r="B93" s="232"/>
      <c r="C93" s="311" t="s">
        <v>41</v>
      </c>
      <c r="D93" s="240"/>
      <c r="E93" s="232"/>
      <c r="F93" s="344">
        <f>ROUND(F92,0)</f>
        <v>43</v>
      </c>
      <c r="G93" s="232"/>
      <c r="H93" s="241"/>
      <c r="I93" s="232"/>
      <c r="J93" s="242"/>
      <c r="K93" s="232"/>
      <c r="L93" s="232"/>
      <c r="M93" s="232"/>
      <c r="N93" s="232"/>
      <c r="O93" s="232"/>
      <c r="P93" s="232"/>
      <c r="Q93" s="232"/>
      <c r="R93" s="232"/>
      <c r="S93" s="232"/>
    </row>
    <row r="94" spans="2:19" ht="12.5">
      <c r="C94" s="345"/>
      <c r="D94" s="346"/>
      <c r="E94" s="346"/>
      <c r="F94" s="346"/>
      <c r="G94" s="347"/>
      <c r="H94" s="347"/>
      <c r="I94" s="348"/>
      <c r="J94" s="348"/>
      <c r="K94" s="348"/>
      <c r="L94" s="348"/>
      <c r="M94" s="348"/>
      <c r="N94" s="348"/>
      <c r="O94" s="242"/>
      <c r="P94" s="242"/>
      <c r="Q94" s="232"/>
      <c r="R94" s="232"/>
      <c r="S94" s="232"/>
    </row>
    <row r="95" spans="2:19" ht="12.5">
      <c r="C95" s="345"/>
      <c r="D95" s="346"/>
      <c r="E95" s="346"/>
      <c r="F95" s="346"/>
      <c r="G95" s="347"/>
      <c r="H95" s="347"/>
      <c r="I95" s="348"/>
      <c r="J95" s="348"/>
      <c r="K95" s="348"/>
      <c r="L95" s="348"/>
      <c r="M95" s="348"/>
      <c r="N95" s="348"/>
      <c r="O95" s="242"/>
      <c r="P95" s="242"/>
      <c r="Q95" s="232"/>
      <c r="R95" s="232"/>
      <c r="S95" s="232"/>
    </row>
    <row r="96" spans="2:19" ht="12.5">
      <c r="J96" s="195"/>
      <c r="P96" s="232"/>
      <c r="Q96" s="232"/>
      <c r="R96" s="232"/>
      <c r="S96" s="232"/>
    </row>
    <row r="97" spans="3:19" ht="13">
      <c r="J97" s="195"/>
      <c r="P97" s="232"/>
      <c r="Q97" s="232"/>
      <c r="R97" s="349" t="s">
        <v>126</v>
      </c>
      <c r="S97" s="148" t="s">
        <v>127</v>
      </c>
    </row>
    <row r="98" spans="3:19" ht="12.5">
      <c r="J98" s="195"/>
      <c r="P98" s="232"/>
      <c r="Q98" s="232"/>
    </row>
    <row r="99" spans="3:19" ht="13">
      <c r="C99" s="239" t="s">
        <v>122</v>
      </c>
      <c r="J99" s="195"/>
      <c r="L99" s="239" t="s">
        <v>121</v>
      </c>
      <c r="P99" s="232"/>
      <c r="Q99" s="232"/>
    </row>
    <row r="100" spans="3:19" ht="12.5">
      <c r="J100" s="195"/>
      <c r="P100" s="232"/>
      <c r="Q100" s="232"/>
      <c r="S100" s="233" t="s">
        <v>119</v>
      </c>
    </row>
    <row r="101" spans="3:19" ht="13">
      <c r="J101" s="195"/>
      <c r="P101" s="232"/>
      <c r="Q101" s="232"/>
      <c r="R101" s="349" t="s">
        <v>115</v>
      </c>
      <c r="S101" s="203" t="s">
        <v>120</v>
      </c>
    </row>
    <row r="102" spans="3:19" ht="13.5" thickBot="1">
      <c r="J102" s="195"/>
      <c r="P102" s="232"/>
      <c r="Q102" s="232"/>
      <c r="R102" s="350" t="s">
        <v>142</v>
      </c>
    </row>
    <row r="103" spans="3:19" ht="12.5">
      <c r="J103" s="195"/>
      <c r="P103" s="232"/>
      <c r="Q103" s="232"/>
      <c r="R103" s="351" t="s">
        <v>289</v>
      </c>
      <c r="S103" s="352" t="s">
        <v>143</v>
      </c>
    </row>
    <row r="104" spans="3:19" ht="12.5">
      <c r="J104" s="195"/>
      <c r="P104" s="232"/>
      <c r="Q104" s="232"/>
      <c r="R104" s="353">
        <v>2021</v>
      </c>
      <c r="S104" s="354" t="s">
        <v>356</v>
      </c>
    </row>
    <row r="105" spans="3:19" ht="12.5">
      <c r="J105" s="195"/>
      <c r="P105" s="232"/>
      <c r="Q105" s="232"/>
      <c r="R105" s="355">
        <v>0.105</v>
      </c>
      <c r="S105" s="354" t="s">
        <v>357</v>
      </c>
    </row>
    <row r="106" spans="3:19" ht="12.5">
      <c r="J106" s="195"/>
      <c r="P106" s="232"/>
      <c r="Q106" s="232"/>
      <c r="R106" s="356">
        <v>0</v>
      </c>
      <c r="S106" s="354" t="s">
        <v>1</v>
      </c>
    </row>
    <row r="107" spans="3:19" ht="12.5">
      <c r="J107" s="195"/>
      <c r="P107" s="232"/>
      <c r="Q107" s="232"/>
      <c r="R107" s="357">
        <v>0.48700002095730677</v>
      </c>
      <c r="S107" s="358" t="s">
        <v>109</v>
      </c>
    </row>
    <row r="108" spans="3:19" ht="12.5">
      <c r="J108" s="195"/>
      <c r="P108" s="232"/>
      <c r="Q108" s="232"/>
      <c r="R108" s="357">
        <v>3.9188970344880877E-2</v>
      </c>
      <c r="S108" s="358" t="s">
        <v>110</v>
      </c>
    </row>
    <row r="109" spans="3:19" ht="12.5">
      <c r="J109" s="195"/>
      <c r="P109" s="232"/>
      <c r="Q109" s="232"/>
      <c r="R109" s="357">
        <v>0</v>
      </c>
      <c r="S109" s="358" t="s">
        <v>111</v>
      </c>
    </row>
    <row r="110" spans="3:19" ht="12.5">
      <c r="J110" s="195"/>
      <c r="P110" s="232"/>
      <c r="Q110" s="232"/>
      <c r="R110" s="357">
        <v>0</v>
      </c>
      <c r="S110" s="358" t="s">
        <v>112</v>
      </c>
    </row>
    <row r="111" spans="3:19" ht="12.5">
      <c r="J111" s="195"/>
      <c r="P111" s="232"/>
      <c r="Q111" s="232"/>
      <c r="R111" s="357">
        <v>0.51299997904269323</v>
      </c>
      <c r="S111" s="359" t="s">
        <v>113</v>
      </c>
    </row>
    <row r="112" spans="3:19" ht="12.5">
      <c r="J112" s="195"/>
      <c r="P112" s="232"/>
      <c r="Q112" s="232"/>
      <c r="R112" s="360">
        <v>556628976.87287569</v>
      </c>
      <c r="S112" s="361" t="s">
        <v>358</v>
      </c>
    </row>
    <row r="113" spans="3:19" ht="12.5">
      <c r="J113" s="195"/>
      <c r="P113" s="232"/>
      <c r="Q113" s="232"/>
      <c r="R113" s="362">
        <v>0.25289699999999993</v>
      </c>
      <c r="S113" s="363" t="s">
        <v>359</v>
      </c>
    </row>
    <row r="114" spans="3:19" ht="12.5">
      <c r="J114" s="195"/>
      <c r="P114" s="232"/>
      <c r="Q114" s="232"/>
      <c r="R114" s="360">
        <v>-415266.97593984439</v>
      </c>
      <c r="S114" s="363" t="s">
        <v>360</v>
      </c>
    </row>
    <row r="115" spans="3:19" ht="12.5">
      <c r="J115" s="195"/>
      <c r="P115" s="232"/>
      <c r="Q115" s="232"/>
      <c r="R115" s="360">
        <v>-4929458.7225590041</v>
      </c>
      <c r="S115" s="363" t="s">
        <v>324</v>
      </c>
    </row>
    <row r="116" spans="3:19" ht="12.5">
      <c r="J116" s="195"/>
      <c r="P116" s="232"/>
      <c r="Q116" s="232"/>
      <c r="R116" s="360">
        <v>82678.840802406077</v>
      </c>
      <c r="S116" s="363" t="s">
        <v>361</v>
      </c>
    </row>
    <row r="117" spans="3:19" ht="12.5">
      <c r="C117" s="232"/>
      <c r="D117" s="240"/>
      <c r="E117" s="232"/>
      <c r="F117" s="232"/>
      <c r="G117" s="232"/>
      <c r="H117" s="241"/>
      <c r="I117" s="232"/>
      <c r="J117" s="242"/>
      <c r="K117" s="232"/>
      <c r="L117" s="232"/>
      <c r="M117" s="232"/>
      <c r="N117" s="232"/>
      <c r="O117" s="232"/>
      <c r="P117" s="232"/>
      <c r="Q117" s="232"/>
      <c r="R117" s="360">
        <v>99008628.600466579</v>
      </c>
      <c r="S117" s="363" t="s">
        <v>362</v>
      </c>
    </row>
    <row r="118" spans="3:19" ht="12.5">
      <c r="C118" s="232"/>
      <c r="D118" s="240"/>
      <c r="E118" s="232"/>
      <c r="F118" s="232"/>
      <c r="G118" s="232"/>
      <c r="H118" s="241"/>
      <c r="I118" s="232"/>
      <c r="J118" s="242"/>
      <c r="K118" s="232"/>
      <c r="L118" s="232"/>
      <c r="M118" s="232"/>
      <c r="N118" s="232"/>
      <c r="O118" s="232"/>
      <c r="P118" s="232"/>
      <c r="Q118" s="232"/>
      <c r="R118" s="360">
        <v>40606098.991347767</v>
      </c>
      <c r="S118" s="363" t="s">
        <v>363</v>
      </c>
    </row>
    <row r="119" spans="3:19" ht="12.5">
      <c r="C119" s="232"/>
      <c r="D119" s="240"/>
      <c r="E119" s="232"/>
      <c r="F119" s="232"/>
      <c r="G119" s="232"/>
      <c r="H119" s="241"/>
      <c r="I119" s="232"/>
      <c r="J119" s="242"/>
      <c r="K119" s="232"/>
      <c r="L119" s="232"/>
      <c r="M119" s="232"/>
      <c r="N119" s="232"/>
      <c r="O119" s="232"/>
      <c r="P119" s="232"/>
      <c r="Q119" s="232"/>
      <c r="R119" s="360">
        <v>4887242.9713128451</v>
      </c>
      <c r="S119" s="363" t="s">
        <v>364</v>
      </c>
    </row>
    <row r="120" spans="3:19" ht="12.5">
      <c r="C120" s="232"/>
      <c r="D120" s="240"/>
      <c r="E120" s="232"/>
      <c r="F120" s="232"/>
      <c r="G120" s="232"/>
      <c r="H120" s="241"/>
      <c r="I120" s="232"/>
      <c r="J120" s="242"/>
      <c r="K120" s="232"/>
      <c r="L120" s="232"/>
      <c r="M120" s="232"/>
      <c r="N120" s="232"/>
      <c r="O120" s="232"/>
      <c r="P120" s="232"/>
      <c r="Q120" s="232"/>
      <c r="R120" s="360">
        <v>0</v>
      </c>
      <c r="S120" s="363" t="s">
        <v>365</v>
      </c>
    </row>
    <row r="121" spans="3:19" ht="12.5">
      <c r="C121" s="232"/>
      <c r="D121" s="240"/>
      <c r="E121" s="232"/>
      <c r="F121" s="232"/>
      <c r="G121" s="232"/>
      <c r="H121" s="241"/>
      <c r="I121" s="232"/>
      <c r="J121" s="242"/>
      <c r="K121" s="232"/>
      <c r="L121" s="232"/>
      <c r="M121" s="232"/>
      <c r="N121" s="232"/>
      <c r="O121" s="232"/>
      <c r="P121" s="232"/>
      <c r="Q121" s="232"/>
      <c r="R121" s="360">
        <v>21614844.06342693</v>
      </c>
      <c r="S121" s="363" t="s">
        <v>366</v>
      </c>
    </row>
    <row r="122" spans="3:19" ht="12.5">
      <c r="C122" s="232"/>
      <c r="D122" s="240"/>
      <c r="E122" s="232"/>
      <c r="F122" s="232"/>
      <c r="G122" s="232"/>
      <c r="H122" s="241"/>
      <c r="I122" s="232"/>
      <c r="J122" s="242"/>
      <c r="K122" s="232"/>
      <c r="L122" s="232"/>
      <c r="M122" s="232"/>
      <c r="N122" s="232"/>
      <c r="O122" s="232"/>
      <c r="P122" s="232"/>
      <c r="Q122" s="232"/>
      <c r="R122" s="362">
        <v>0</v>
      </c>
      <c r="S122" s="363" t="s">
        <v>118</v>
      </c>
    </row>
    <row r="123" spans="3:19" ht="12.5">
      <c r="C123" s="232"/>
      <c r="D123" s="240"/>
      <c r="E123" s="232"/>
      <c r="F123" s="232"/>
      <c r="G123" s="232"/>
      <c r="H123" s="241"/>
      <c r="I123" s="232"/>
      <c r="J123" s="242"/>
      <c r="K123" s="232"/>
      <c r="L123" s="232"/>
      <c r="M123" s="232"/>
      <c r="N123" s="232"/>
      <c r="O123" s="232"/>
      <c r="P123" s="232"/>
      <c r="Q123" s="232"/>
      <c r="R123" s="360">
        <v>717794461.26554775</v>
      </c>
      <c r="S123" s="363" t="s">
        <v>329</v>
      </c>
    </row>
    <row r="124" spans="3:19" ht="12.5">
      <c r="C124" s="232"/>
      <c r="D124" s="240"/>
      <c r="E124" s="232"/>
      <c r="F124" s="232"/>
      <c r="G124" s="232"/>
      <c r="H124" s="241"/>
      <c r="I124" s="232"/>
      <c r="J124" s="242"/>
      <c r="K124" s="232"/>
      <c r="L124" s="232"/>
      <c r="M124" s="232"/>
      <c r="N124" s="232"/>
      <c r="O124" s="232"/>
      <c r="P124" s="232"/>
      <c r="Q124" s="232"/>
      <c r="R124" s="364">
        <v>0.10782165189821359</v>
      </c>
      <c r="S124" s="365" t="s">
        <v>367</v>
      </c>
    </row>
    <row r="125" spans="3:19" ht="12.5">
      <c r="C125" s="232"/>
      <c r="D125" s="240"/>
      <c r="E125" s="232"/>
      <c r="F125" s="232"/>
      <c r="G125" s="232"/>
      <c r="H125" s="241"/>
      <c r="I125" s="232"/>
      <c r="J125" s="242"/>
      <c r="K125" s="232"/>
      <c r="L125" s="232"/>
      <c r="M125" s="232"/>
      <c r="N125" s="232"/>
      <c r="O125" s="232"/>
      <c r="P125" s="232"/>
      <c r="Q125" s="232"/>
      <c r="R125" s="366">
        <v>1005827170.884379</v>
      </c>
      <c r="S125" s="358" t="s">
        <v>37</v>
      </c>
    </row>
    <row r="126" spans="3:19" ht="12.5">
      <c r="C126" s="232"/>
      <c r="D126" s="240"/>
      <c r="E126" s="232"/>
      <c r="F126" s="232"/>
      <c r="G126" s="232"/>
      <c r="H126" s="241"/>
      <c r="I126" s="232"/>
      <c r="J126" s="242"/>
      <c r="K126" s="232"/>
      <c r="L126" s="232"/>
      <c r="M126" s="232"/>
      <c r="N126" s="232"/>
      <c r="O126" s="232"/>
      <c r="P126" s="232"/>
      <c r="Q126" s="232"/>
      <c r="R126" s="366">
        <v>1048493679.4946201</v>
      </c>
      <c r="S126" s="359" t="s">
        <v>38</v>
      </c>
    </row>
    <row r="127" spans="3:19" ht="12.5">
      <c r="C127" s="232"/>
      <c r="D127" s="240"/>
      <c r="E127" s="232"/>
      <c r="F127" s="232"/>
      <c r="G127" s="232"/>
      <c r="H127" s="241"/>
      <c r="I127" s="232"/>
      <c r="J127" s="242"/>
      <c r="K127" s="232"/>
      <c r="L127" s="232"/>
      <c r="M127" s="232"/>
      <c r="N127" s="232"/>
      <c r="O127" s="232"/>
      <c r="P127" s="232"/>
      <c r="Q127" s="232"/>
      <c r="R127" s="366">
        <v>1020048015.7467692</v>
      </c>
      <c r="S127" s="367" t="s">
        <v>368</v>
      </c>
    </row>
    <row r="128" spans="3:19" ht="13" thickBot="1">
      <c r="C128" s="232"/>
      <c r="D128" s="240"/>
      <c r="E128" s="232"/>
      <c r="F128" s="232"/>
      <c r="G128" s="232"/>
      <c r="H128" s="241"/>
      <c r="I128" s="232"/>
      <c r="J128" s="242"/>
      <c r="K128" s="232"/>
      <c r="L128" s="232"/>
      <c r="M128" s="232"/>
      <c r="N128" s="232"/>
      <c r="O128" s="232"/>
      <c r="P128" s="232"/>
      <c r="Q128" s="232"/>
      <c r="R128" s="368">
        <v>23788860.355119601</v>
      </c>
      <c r="S128" s="369" t="s">
        <v>369</v>
      </c>
    </row>
    <row r="129" spans="3:19" ht="12.5">
      <c r="C129" s="232"/>
      <c r="D129" s="240"/>
      <c r="E129" s="232"/>
      <c r="F129" s="232"/>
      <c r="G129" s="232"/>
      <c r="H129" s="241"/>
      <c r="I129" s="232"/>
      <c r="J129" s="242"/>
      <c r="K129" s="232"/>
      <c r="L129" s="232"/>
      <c r="M129" s="232"/>
      <c r="N129" s="232"/>
      <c r="O129" s="232"/>
      <c r="P129" s="232"/>
      <c r="Q129" s="232"/>
      <c r="R129" s="232"/>
      <c r="S129" s="232"/>
    </row>
    <row r="130" spans="3:19" ht="13">
      <c r="C130" s="232"/>
      <c r="D130" s="240"/>
      <c r="E130" s="232"/>
      <c r="F130" s="232"/>
      <c r="G130" s="232"/>
      <c r="H130" s="241"/>
      <c r="I130" s="232"/>
      <c r="J130" s="242"/>
      <c r="K130" s="232"/>
      <c r="L130" s="232"/>
      <c r="M130" s="232"/>
      <c r="N130" s="232"/>
      <c r="O130" s="232"/>
      <c r="P130" s="232"/>
      <c r="Q130" s="232"/>
      <c r="R130" s="349" t="s">
        <v>116</v>
      </c>
      <c r="S130" s="232" t="s">
        <v>130</v>
      </c>
    </row>
    <row r="131" spans="3:19" ht="13.5" thickBot="1">
      <c r="C131" s="311"/>
      <c r="D131" s="320"/>
      <c r="E131" s="311"/>
      <c r="F131" s="311"/>
      <c r="G131" s="311"/>
      <c r="H131" s="322"/>
      <c r="I131" s="232"/>
      <c r="J131" s="242"/>
      <c r="K131" s="232"/>
      <c r="L131" s="232"/>
      <c r="M131" s="232"/>
      <c r="N131" s="232"/>
      <c r="O131" s="232"/>
      <c r="P131" s="232"/>
      <c r="Q131" s="232"/>
      <c r="R131" s="350" t="s">
        <v>114</v>
      </c>
      <c r="S131" s="232"/>
    </row>
    <row r="132" spans="3:19" ht="12.5">
      <c r="C132" s="311"/>
      <c r="D132" s="320"/>
      <c r="E132" s="311"/>
      <c r="F132" s="311"/>
      <c r="G132" s="311"/>
      <c r="H132" s="322"/>
      <c r="I132" s="232"/>
      <c r="J132" s="242"/>
      <c r="K132" s="232"/>
      <c r="L132" s="232"/>
      <c r="M132" s="232"/>
      <c r="N132" s="232"/>
      <c r="O132" s="232"/>
      <c r="P132" s="232"/>
      <c r="Q132" s="232"/>
      <c r="R132" s="370">
        <f>+M19</f>
        <v>8270466.4672365077</v>
      </c>
      <c r="S132" s="232" t="str">
        <f>+K19&amp;" "&amp;M17</f>
        <v>PROJECTED YEAR Rev Require</v>
      </c>
    </row>
    <row r="133" spans="3:19" ht="12.5">
      <c r="C133" s="311"/>
      <c r="D133" s="320"/>
      <c r="E133" s="311"/>
      <c r="F133" s="311"/>
      <c r="G133" s="311"/>
      <c r="H133" s="322"/>
      <c r="I133" s="232"/>
      <c r="J133" s="242"/>
      <c r="K133" s="232"/>
      <c r="L133" s="232"/>
      <c r="M133" s="232"/>
      <c r="N133" s="232"/>
      <c r="O133" s="232"/>
      <c r="P133" s="232"/>
      <c r="Q133" s="232"/>
      <c r="R133" s="371">
        <f>+N19</f>
        <v>8270466.4672365077</v>
      </c>
      <c r="S133" s="232" t="str">
        <f>K19&amp;" "&amp;N17</f>
        <v>PROJECTED YEAR  W Incentives</v>
      </c>
    </row>
    <row r="134" spans="3:19" ht="13" thickBot="1">
      <c r="C134" s="311"/>
      <c r="D134" s="320"/>
      <c r="E134" s="311"/>
      <c r="F134" s="311"/>
      <c r="G134" s="311"/>
      <c r="H134" s="322"/>
      <c r="I134" s="232"/>
      <c r="J134" s="242"/>
      <c r="K134" s="232"/>
      <c r="L134" s="232"/>
      <c r="M134" s="232"/>
      <c r="N134" s="232"/>
      <c r="O134" s="232"/>
      <c r="P134" s="232"/>
      <c r="Q134" s="232"/>
      <c r="R134" s="372">
        <f>+O19</f>
        <v>0</v>
      </c>
      <c r="S134" s="232" t="str">
        <f>K19&amp;" "&amp;O17</f>
        <v>PROJECTED YEAR Incentive Amounts</v>
      </c>
    </row>
    <row r="135" spans="3:19" ht="12.5">
      <c r="C135" s="311"/>
      <c r="D135" s="320"/>
      <c r="E135" s="311"/>
      <c r="F135" s="311"/>
      <c r="G135" s="311"/>
      <c r="H135" s="322"/>
      <c r="I135" s="232"/>
      <c r="J135" s="242"/>
      <c r="K135" s="232"/>
      <c r="L135" s="232"/>
      <c r="M135" s="232"/>
      <c r="N135" s="232"/>
      <c r="O135" s="232"/>
      <c r="P135" s="232"/>
      <c r="Q135" s="232"/>
      <c r="R135" s="232"/>
      <c r="S135" s="232"/>
    </row>
    <row r="136" spans="3:19" ht="12.75" customHeight="1">
      <c r="R136" s="232"/>
      <c r="S136" s="232"/>
    </row>
    <row r="137" spans="3:19" ht="12.75" customHeight="1">
      <c r="R137" s="349" t="s">
        <v>128</v>
      </c>
      <c r="S137" s="233" t="s">
        <v>129</v>
      </c>
    </row>
  </sheetData>
  <mergeCells count="8">
    <mergeCell ref="K15:O16"/>
    <mergeCell ref="C8:H8"/>
    <mergeCell ref="C82:E83"/>
    <mergeCell ref="A1:J1"/>
    <mergeCell ref="A2:J2"/>
    <mergeCell ref="A3:J3"/>
    <mergeCell ref="A5:J5"/>
    <mergeCell ref="A4:J4"/>
  </mergeCells>
  <phoneticPr fontId="0" type="noConversion"/>
  <printOptions horizontalCentered="1"/>
  <pageMargins left="0.25" right="0.25" top="0.75" bottom="0.25" header="0.25" footer="0.5"/>
  <pageSetup scale="41" fitToHeight="2" orientation="landscape" horizontalDpi="1200" verticalDpi="1200" r:id="rId1"/>
  <headerFooter alignWithMargins="0">
    <oddHeader xml:space="preserve">&amp;R&amp;16AEP - SPP Formula Rate
PSO TCOS - WS F
Page: &amp;P of &amp;N
</oddHeader>
    <oddFooter xml:space="preserve">&amp;C &amp;R 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P162"/>
  <sheetViews>
    <sheetView view="pageBreakPreview" zoomScale="80" zoomScaleNormal="100" zoomScaleSheetLayoutView="80" workbookViewId="0">
      <selection activeCell="K22" sqref="K22:M22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17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196932.37209302327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196932.37209302327</v>
      </c>
      <c r="O6" s="232"/>
      <c r="P6" s="232"/>
    </row>
    <row r="7" spans="1:16" ht="13.5" thickBot="1">
      <c r="C7" s="431" t="s">
        <v>46</v>
      </c>
      <c r="D7" s="599" t="s">
        <v>265</v>
      </c>
      <c r="E7" s="600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290</v>
      </c>
      <c r="E9" s="577" t="s">
        <v>291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1692023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2015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39349.372093023259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2015</v>
      </c>
      <c r="D17" s="584">
        <v>1500000</v>
      </c>
      <c r="E17" s="608">
        <v>0</v>
      </c>
      <c r="F17" s="584">
        <v>1500000</v>
      </c>
      <c r="G17" s="608">
        <v>206807.48514960654</v>
      </c>
      <c r="H17" s="587">
        <v>206807.48514960654</v>
      </c>
      <c r="I17" s="475">
        <v>0</v>
      </c>
      <c r="J17" s="475"/>
      <c r="K17" s="476">
        <f t="shared" ref="K17:K22" si="0">G17</f>
        <v>206807.48514960654</v>
      </c>
      <c r="L17" s="603">
        <f t="shared" ref="L17:L22" si="1">IF(K17&lt;&gt;0,+G17-K17,0)</f>
        <v>0</v>
      </c>
      <c r="M17" s="476">
        <f t="shared" ref="M17:M22" si="2">H17</f>
        <v>206807.48514960654</v>
      </c>
      <c r="N17" s="478">
        <f>IF(M17&lt;&gt;0,+H17-M17,0)</f>
        <v>0</v>
      </c>
      <c r="O17" s="475">
        <f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2016</v>
      </c>
      <c r="D18" s="584">
        <v>1777912</v>
      </c>
      <c r="E18" s="585">
        <v>34190.615384615383</v>
      </c>
      <c r="F18" s="584">
        <v>1743721.3846153845</v>
      </c>
      <c r="G18" s="585">
        <v>262896.61538461538</v>
      </c>
      <c r="H18" s="587">
        <v>262896.61538461538</v>
      </c>
      <c r="I18" s="475">
        <f>H18-G18</f>
        <v>0</v>
      </c>
      <c r="J18" s="475"/>
      <c r="K18" s="476">
        <f t="shared" si="0"/>
        <v>262896.61538461538</v>
      </c>
      <c r="L18" s="603">
        <f t="shared" si="1"/>
        <v>0</v>
      </c>
      <c r="M18" s="476">
        <f t="shared" si="2"/>
        <v>262896.61538461538</v>
      </c>
      <c r="N18" s="478">
        <f>IF(M18&lt;&gt;0,+H18-M18,0)</f>
        <v>0</v>
      </c>
      <c r="O18" s="475">
        <f>+N18-L18</f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2017</v>
      </c>
      <c r="D19" s="584">
        <v>1657832.3846153845</v>
      </c>
      <c r="E19" s="585">
        <v>36783.108695652176</v>
      </c>
      <c r="F19" s="584">
        <v>1621049.2759197324</v>
      </c>
      <c r="G19" s="585">
        <v>243079.10869565216</v>
      </c>
      <c r="H19" s="587">
        <v>243079.10869565216</v>
      </c>
      <c r="I19" s="475">
        <f t="shared" ref="I19:I72" si="3">H19-G19</f>
        <v>0</v>
      </c>
      <c r="J19" s="475"/>
      <c r="K19" s="476">
        <f t="shared" si="0"/>
        <v>243079.10869565216</v>
      </c>
      <c r="L19" s="603">
        <f t="shared" si="1"/>
        <v>0</v>
      </c>
      <c r="M19" s="476">
        <f t="shared" si="2"/>
        <v>243079.10869565216</v>
      </c>
      <c r="N19" s="478">
        <f>IF(M19&lt;&gt;0,+H19-M19,0)</f>
        <v>0</v>
      </c>
      <c r="O19" s="475">
        <f>+N19-L19</f>
        <v>0</v>
      </c>
      <c r="P19" s="242"/>
    </row>
    <row r="20" spans="2:16" ht="12.5">
      <c r="B20" s="160" t="str">
        <f t="shared" ref="B20:B72" si="4">IF(D20=F19,"","IU")</f>
        <v/>
      </c>
      <c r="C20" s="472">
        <f>IF(D11="","-",+C19+1)</f>
        <v>2018</v>
      </c>
      <c r="D20" s="584">
        <v>1621049.2759197324</v>
      </c>
      <c r="E20" s="585">
        <v>37600.511111111111</v>
      </c>
      <c r="F20" s="584">
        <v>1583448.7648086213</v>
      </c>
      <c r="G20" s="585">
        <v>229484.15653998824</v>
      </c>
      <c r="H20" s="587">
        <v>229484.15653998824</v>
      </c>
      <c r="I20" s="475">
        <f t="shared" si="3"/>
        <v>0</v>
      </c>
      <c r="J20" s="475"/>
      <c r="K20" s="476">
        <f t="shared" si="0"/>
        <v>229484.15653998824</v>
      </c>
      <c r="L20" s="603">
        <f t="shared" si="1"/>
        <v>0</v>
      </c>
      <c r="M20" s="476">
        <f t="shared" si="2"/>
        <v>229484.15653998824</v>
      </c>
      <c r="N20" s="478">
        <f>IF(M20&lt;&gt;0,+H20-M20,0)</f>
        <v>0</v>
      </c>
      <c r="O20" s="475">
        <f>+N20-L20</f>
        <v>0</v>
      </c>
      <c r="P20" s="242"/>
    </row>
    <row r="21" spans="2:16" ht="12.5">
      <c r="B21" s="160" t="str">
        <f t="shared" si="4"/>
        <v/>
      </c>
      <c r="C21" s="472">
        <f>IF(D11="","-",+C20+1)</f>
        <v>2019</v>
      </c>
      <c r="D21" s="584">
        <v>1583448.7648086213</v>
      </c>
      <c r="E21" s="585">
        <v>42300.574999999997</v>
      </c>
      <c r="F21" s="584">
        <v>1541148.1898086213</v>
      </c>
      <c r="G21" s="585">
        <v>216741.56005757477</v>
      </c>
      <c r="H21" s="587">
        <v>216741.56005757477</v>
      </c>
      <c r="I21" s="475">
        <f t="shared" si="3"/>
        <v>0</v>
      </c>
      <c r="J21" s="475"/>
      <c r="K21" s="476">
        <f t="shared" si="0"/>
        <v>216741.56005757477</v>
      </c>
      <c r="L21" s="603">
        <f t="shared" si="1"/>
        <v>0</v>
      </c>
      <c r="M21" s="476">
        <f t="shared" si="2"/>
        <v>216741.56005757477</v>
      </c>
      <c r="N21" s="478">
        <f t="shared" ref="N21:N72" si="5">IF(M21&lt;&gt;0,+H21-M21,0)</f>
        <v>0</v>
      </c>
      <c r="O21" s="478">
        <f t="shared" ref="O21:O72" si="6">+N21-L21</f>
        <v>0</v>
      </c>
      <c r="P21" s="242"/>
    </row>
    <row r="22" spans="2:16" ht="12.5">
      <c r="B22" s="160" t="str">
        <f t="shared" si="4"/>
        <v>IU</v>
      </c>
      <c r="C22" s="472">
        <f>IF(D11="","-",+C21+1)</f>
        <v>2020</v>
      </c>
      <c r="D22" s="584">
        <v>1545848.2536975101</v>
      </c>
      <c r="E22" s="585">
        <v>40286.261904761908</v>
      </c>
      <c r="F22" s="584">
        <v>1505561.9917927482</v>
      </c>
      <c r="G22" s="585">
        <v>205069.7033172223</v>
      </c>
      <c r="H22" s="587">
        <v>205069.7033172223</v>
      </c>
      <c r="I22" s="475">
        <f t="shared" si="3"/>
        <v>0</v>
      </c>
      <c r="J22" s="475"/>
      <c r="K22" s="476">
        <f t="shared" si="0"/>
        <v>205069.7033172223</v>
      </c>
      <c r="L22" s="603">
        <f t="shared" si="1"/>
        <v>0</v>
      </c>
      <c r="M22" s="476">
        <f t="shared" si="2"/>
        <v>205069.7033172223</v>
      </c>
      <c r="N22" s="478">
        <f t="shared" si="5"/>
        <v>0</v>
      </c>
      <c r="O22" s="478">
        <f t="shared" si="6"/>
        <v>0</v>
      </c>
      <c r="P22" s="242"/>
    </row>
    <row r="23" spans="2:16" ht="12.5">
      <c r="B23" s="160" t="str">
        <f t="shared" si="4"/>
        <v>IU</v>
      </c>
      <c r="C23" s="472">
        <f>IF(D11="","-",+C22+1)</f>
        <v>2021</v>
      </c>
      <c r="D23" s="485">
        <f>IF(F22+SUM(E$17:E22)=D$10,F22,D$10-SUM(E$17:E22))</f>
        <v>1500861.9279038594</v>
      </c>
      <c r="E23" s="484">
        <f t="shared" ref="E23:E72" si="7">IF(+$I$14&lt;F22,$I$14,D23)</f>
        <v>39349.372093023259</v>
      </c>
      <c r="F23" s="485">
        <f t="shared" ref="F23:F72" si="8">+D23-E23</f>
        <v>1461512.5558108361</v>
      </c>
      <c r="G23" s="486">
        <f t="shared" ref="G23:G72" si="9">ROUND(I$12*F23,0)+E23</f>
        <v>196932.37209302327</v>
      </c>
      <c r="H23" s="455">
        <f t="shared" ref="H23:H72" si="10">ROUND(I$13*F23,0)+E23</f>
        <v>196932.37209302327</v>
      </c>
      <c r="I23" s="475">
        <f t="shared" si="3"/>
        <v>0</v>
      </c>
      <c r="J23" s="475"/>
      <c r="K23" s="487"/>
      <c r="L23" s="478">
        <f t="shared" ref="L23:L72" si="11">IF(K23&lt;&gt;0,+G23-K23,0)</f>
        <v>0</v>
      </c>
      <c r="M23" s="487"/>
      <c r="N23" s="478">
        <f t="shared" si="5"/>
        <v>0</v>
      </c>
      <c r="O23" s="478">
        <f t="shared" si="6"/>
        <v>0</v>
      </c>
      <c r="P23" s="242"/>
    </row>
    <row r="24" spans="2:16" ht="12.5">
      <c r="B24" s="160" t="str">
        <f t="shared" si="4"/>
        <v/>
      </c>
      <c r="C24" s="472">
        <f>IF(D11="","-",+C23+1)</f>
        <v>2022</v>
      </c>
      <c r="D24" s="485">
        <f>IF(F23+SUM(E$17:E23)=D$10,F23,D$10-SUM(E$17:E23))</f>
        <v>1461512.5558108361</v>
      </c>
      <c r="E24" s="484">
        <f t="shared" si="7"/>
        <v>39349.372093023259</v>
      </c>
      <c r="F24" s="485">
        <f t="shared" si="8"/>
        <v>1422163.1837178129</v>
      </c>
      <c r="G24" s="486">
        <f t="shared" si="9"/>
        <v>192689.37209302327</v>
      </c>
      <c r="H24" s="455">
        <f t="shared" si="10"/>
        <v>192689.37209302327</v>
      </c>
      <c r="I24" s="475">
        <f t="shared" si="3"/>
        <v>0</v>
      </c>
      <c r="J24" s="475"/>
      <c r="K24" s="487"/>
      <c r="L24" s="478">
        <f t="shared" si="11"/>
        <v>0</v>
      </c>
      <c r="M24" s="487"/>
      <c r="N24" s="478">
        <f t="shared" si="5"/>
        <v>0</v>
      </c>
      <c r="O24" s="478">
        <f t="shared" si="6"/>
        <v>0</v>
      </c>
      <c r="P24" s="242"/>
    </row>
    <row r="25" spans="2:16" ht="12.5">
      <c r="B25" s="160" t="str">
        <f t="shared" si="4"/>
        <v/>
      </c>
      <c r="C25" s="472">
        <f>IF(D11="","-",+C24+1)</f>
        <v>2023</v>
      </c>
      <c r="D25" s="485">
        <f>IF(F24+SUM(E$17:E24)=D$10,F24,D$10-SUM(E$17:E24))</f>
        <v>1422163.1837178129</v>
      </c>
      <c r="E25" s="484">
        <f t="shared" si="7"/>
        <v>39349.372093023259</v>
      </c>
      <c r="F25" s="485">
        <f t="shared" si="8"/>
        <v>1382813.8116247896</v>
      </c>
      <c r="G25" s="486">
        <f t="shared" si="9"/>
        <v>188446.37209302327</v>
      </c>
      <c r="H25" s="455">
        <f t="shared" si="10"/>
        <v>188446.37209302327</v>
      </c>
      <c r="I25" s="475">
        <f t="shared" si="3"/>
        <v>0</v>
      </c>
      <c r="J25" s="475"/>
      <c r="K25" s="487"/>
      <c r="L25" s="478">
        <f t="shared" si="11"/>
        <v>0</v>
      </c>
      <c r="M25" s="487"/>
      <c r="N25" s="478">
        <f t="shared" si="5"/>
        <v>0</v>
      </c>
      <c r="O25" s="478">
        <f t="shared" si="6"/>
        <v>0</v>
      </c>
      <c r="P25" s="242"/>
    </row>
    <row r="26" spans="2:16" ht="12.5">
      <c r="B26" s="160" t="str">
        <f t="shared" si="4"/>
        <v/>
      </c>
      <c r="C26" s="472">
        <f>IF(D11="","-",+C25+1)</f>
        <v>2024</v>
      </c>
      <c r="D26" s="485">
        <f>IF(F25+SUM(E$17:E25)=D$10,F25,D$10-SUM(E$17:E25))</f>
        <v>1382813.8116247896</v>
      </c>
      <c r="E26" s="484">
        <f t="shared" si="7"/>
        <v>39349.372093023259</v>
      </c>
      <c r="F26" s="485">
        <f t="shared" si="8"/>
        <v>1343464.4395317663</v>
      </c>
      <c r="G26" s="486">
        <f t="shared" si="9"/>
        <v>184204.37209302327</v>
      </c>
      <c r="H26" s="455">
        <f t="shared" si="10"/>
        <v>184204.37209302327</v>
      </c>
      <c r="I26" s="475">
        <f t="shared" si="3"/>
        <v>0</v>
      </c>
      <c r="J26" s="475"/>
      <c r="K26" s="487"/>
      <c r="L26" s="478">
        <f t="shared" si="11"/>
        <v>0</v>
      </c>
      <c r="M26" s="487"/>
      <c r="N26" s="478">
        <f t="shared" si="5"/>
        <v>0</v>
      </c>
      <c r="O26" s="478">
        <f t="shared" si="6"/>
        <v>0</v>
      </c>
      <c r="P26" s="242"/>
    </row>
    <row r="27" spans="2:16" ht="12.5">
      <c r="B27" s="160" t="str">
        <f t="shared" si="4"/>
        <v/>
      </c>
      <c r="C27" s="472">
        <f>IF(D11="","-",+C26+1)</f>
        <v>2025</v>
      </c>
      <c r="D27" s="485">
        <f>IF(F26+SUM(E$17:E26)=D$10,F26,D$10-SUM(E$17:E26))</f>
        <v>1343464.4395317663</v>
      </c>
      <c r="E27" s="484">
        <f t="shared" si="7"/>
        <v>39349.372093023259</v>
      </c>
      <c r="F27" s="485">
        <f t="shared" si="8"/>
        <v>1304115.0674387431</v>
      </c>
      <c r="G27" s="486">
        <f t="shared" si="9"/>
        <v>179961.37209302327</v>
      </c>
      <c r="H27" s="455">
        <f t="shared" si="10"/>
        <v>179961.37209302327</v>
      </c>
      <c r="I27" s="475">
        <f t="shared" si="3"/>
        <v>0</v>
      </c>
      <c r="J27" s="475"/>
      <c r="K27" s="487"/>
      <c r="L27" s="478">
        <f t="shared" si="11"/>
        <v>0</v>
      </c>
      <c r="M27" s="487"/>
      <c r="N27" s="478">
        <f t="shared" si="5"/>
        <v>0</v>
      </c>
      <c r="O27" s="478">
        <f t="shared" si="6"/>
        <v>0</v>
      </c>
      <c r="P27" s="242"/>
    </row>
    <row r="28" spans="2:16" ht="12.5">
      <c r="B28" s="160" t="str">
        <f t="shared" si="4"/>
        <v/>
      </c>
      <c r="C28" s="472">
        <f>IF(D11="","-",+C27+1)</f>
        <v>2026</v>
      </c>
      <c r="D28" s="485">
        <f>IF(F27+SUM(E$17:E27)=D$10,F27,D$10-SUM(E$17:E27))</f>
        <v>1304115.0674387431</v>
      </c>
      <c r="E28" s="484">
        <f t="shared" si="7"/>
        <v>39349.372093023259</v>
      </c>
      <c r="F28" s="485">
        <f t="shared" si="8"/>
        <v>1264765.6953457198</v>
      </c>
      <c r="G28" s="486">
        <f t="shared" si="9"/>
        <v>175718.37209302327</v>
      </c>
      <c r="H28" s="455">
        <f t="shared" si="10"/>
        <v>175718.37209302327</v>
      </c>
      <c r="I28" s="475">
        <f t="shared" si="3"/>
        <v>0</v>
      </c>
      <c r="J28" s="475"/>
      <c r="K28" s="487"/>
      <c r="L28" s="478">
        <f t="shared" si="11"/>
        <v>0</v>
      </c>
      <c r="M28" s="487"/>
      <c r="N28" s="478">
        <f t="shared" si="5"/>
        <v>0</v>
      </c>
      <c r="O28" s="478">
        <f t="shared" si="6"/>
        <v>0</v>
      </c>
      <c r="P28" s="242"/>
    </row>
    <row r="29" spans="2:16" ht="12.5">
      <c r="B29" s="160" t="str">
        <f t="shared" si="4"/>
        <v/>
      </c>
      <c r="C29" s="472">
        <f>IF(D11="","-",+C28+1)</f>
        <v>2027</v>
      </c>
      <c r="D29" s="485">
        <f>IF(F28+SUM(E$17:E28)=D$10,F28,D$10-SUM(E$17:E28))</f>
        <v>1264765.6953457198</v>
      </c>
      <c r="E29" s="484">
        <f t="shared" si="7"/>
        <v>39349.372093023259</v>
      </c>
      <c r="F29" s="485">
        <f t="shared" si="8"/>
        <v>1225416.3232526965</v>
      </c>
      <c r="G29" s="486">
        <f t="shared" si="9"/>
        <v>171475.37209302327</v>
      </c>
      <c r="H29" s="455">
        <f t="shared" si="10"/>
        <v>171475.37209302327</v>
      </c>
      <c r="I29" s="475">
        <f t="shared" si="3"/>
        <v>0</v>
      </c>
      <c r="J29" s="475"/>
      <c r="K29" s="487"/>
      <c r="L29" s="478">
        <f t="shared" si="11"/>
        <v>0</v>
      </c>
      <c r="M29" s="487"/>
      <c r="N29" s="478">
        <f t="shared" si="5"/>
        <v>0</v>
      </c>
      <c r="O29" s="478">
        <f t="shared" si="6"/>
        <v>0</v>
      </c>
      <c r="P29" s="242"/>
    </row>
    <row r="30" spans="2:16" ht="12.5">
      <c r="B30" s="160" t="str">
        <f t="shared" si="4"/>
        <v/>
      </c>
      <c r="C30" s="472">
        <f>IF(D11="","-",+C29+1)</f>
        <v>2028</v>
      </c>
      <c r="D30" s="485">
        <f>IF(F29+SUM(E$17:E29)=D$10,F29,D$10-SUM(E$17:E29))</f>
        <v>1225416.3232526965</v>
      </c>
      <c r="E30" s="484">
        <f t="shared" si="7"/>
        <v>39349.372093023259</v>
      </c>
      <c r="F30" s="485">
        <f t="shared" si="8"/>
        <v>1186066.9511596733</v>
      </c>
      <c r="G30" s="486">
        <f t="shared" si="9"/>
        <v>167233.37209302327</v>
      </c>
      <c r="H30" s="455">
        <f t="shared" si="10"/>
        <v>167233.37209302327</v>
      </c>
      <c r="I30" s="475">
        <f t="shared" si="3"/>
        <v>0</v>
      </c>
      <c r="J30" s="475"/>
      <c r="K30" s="487"/>
      <c r="L30" s="478">
        <f t="shared" si="11"/>
        <v>0</v>
      </c>
      <c r="M30" s="487"/>
      <c r="N30" s="478">
        <f t="shared" si="5"/>
        <v>0</v>
      </c>
      <c r="O30" s="478">
        <f t="shared" si="6"/>
        <v>0</v>
      </c>
      <c r="P30" s="242"/>
    </row>
    <row r="31" spans="2:16" ht="12.5">
      <c r="B31" s="160" t="str">
        <f t="shared" si="4"/>
        <v/>
      </c>
      <c r="C31" s="472">
        <f>IF(D11="","-",+C30+1)</f>
        <v>2029</v>
      </c>
      <c r="D31" s="485">
        <f>IF(F30+SUM(E$17:E30)=D$10,F30,D$10-SUM(E$17:E30))</f>
        <v>1186066.9511596733</v>
      </c>
      <c r="E31" s="484">
        <f t="shared" si="7"/>
        <v>39349.372093023259</v>
      </c>
      <c r="F31" s="485">
        <f t="shared" si="8"/>
        <v>1146717.57906665</v>
      </c>
      <c r="G31" s="486">
        <f t="shared" si="9"/>
        <v>162990.37209302327</v>
      </c>
      <c r="H31" s="455">
        <f t="shared" si="10"/>
        <v>162990.37209302327</v>
      </c>
      <c r="I31" s="475">
        <f t="shared" si="3"/>
        <v>0</v>
      </c>
      <c r="J31" s="475"/>
      <c r="K31" s="487"/>
      <c r="L31" s="478">
        <f t="shared" si="11"/>
        <v>0</v>
      </c>
      <c r="M31" s="487"/>
      <c r="N31" s="478">
        <f t="shared" si="5"/>
        <v>0</v>
      </c>
      <c r="O31" s="478">
        <f t="shared" si="6"/>
        <v>0</v>
      </c>
      <c r="P31" s="242"/>
    </row>
    <row r="32" spans="2:16" ht="12.5">
      <c r="B32" s="160" t="str">
        <f t="shared" si="4"/>
        <v/>
      </c>
      <c r="C32" s="472">
        <f>IF(D11="","-",+C31+1)</f>
        <v>2030</v>
      </c>
      <c r="D32" s="485">
        <f>IF(F31+SUM(E$17:E31)=D$10,F31,D$10-SUM(E$17:E31))</f>
        <v>1146717.57906665</v>
      </c>
      <c r="E32" s="484">
        <f t="shared" si="7"/>
        <v>39349.372093023259</v>
      </c>
      <c r="F32" s="485">
        <f t="shared" si="8"/>
        <v>1107368.2069736267</v>
      </c>
      <c r="G32" s="486">
        <f t="shared" si="9"/>
        <v>158747.37209302327</v>
      </c>
      <c r="H32" s="455">
        <f t="shared" si="10"/>
        <v>158747.37209302327</v>
      </c>
      <c r="I32" s="475">
        <f t="shared" si="3"/>
        <v>0</v>
      </c>
      <c r="J32" s="475"/>
      <c r="K32" s="487"/>
      <c r="L32" s="478">
        <f t="shared" si="11"/>
        <v>0</v>
      </c>
      <c r="M32" s="487"/>
      <c r="N32" s="478">
        <f t="shared" si="5"/>
        <v>0</v>
      </c>
      <c r="O32" s="478">
        <f t="shared" si="6"/>
        <v>0</v>
      </c>
      <c r="P32" s="242"/>
    </row>
    <row r="33" spans="2:16" ht="12.5">
      <c r="B33" s="160" t="str">
        <f t="shared" si="4"/>
        <v/>
      </c>
      <c r="C33" s="472">
        <f>IF(D11="","-",+C32+1)</f>
        <v>2031</v>
      </c>
      <c r="D33" s="485">
        <f>IF(F32+SUM(E$17:E32)=D$10,F32,D$10-SUM(E$17:E32))</f>
        <v>1107368.2069736267</v>
      </c>
      <c r="E33" s="484">
        <f t="shared" si="7"/>
        <v>39349.372093023259</v>
      </c>
      <c r="F33" s="485">
        <f t="shared" si="8"/>
        <v>1068018.8348806035</v>
      </c>
      <c r="G33" s="486">
        <f t="shared" si="9"/>
        <v>154505.37209302327</v>
      </c>
      <c r="H33" s="455">
        <f t="shared" si="10"/>
        <v>154505.37209302327</v>
      </c>
      <c r="I33" s="475">
        <f t="shared" si="3"/>
        <v>0</v>
      </c>
      <c r="J33" s="475"/>
      <c r="K33" s="487"/>
      <c r="L33" s="478">
        <f t="shared" si="11"/>
        <v>0</v>
      </c>
      <c r="M33" s="487"/>
      <c r="N33" s="478">
        <f t="shared" si="5"/>
        <v>0</v>
      </c>
      <c r="O33" s="478">
        <f t="shared" si="6"/>
        <v>0</v>
      </c>
      <c r="P33" s="242"/>
    </row>
    <row r="34" spans="2:16" ht="12.5">
      <c r="B34" s="160" t="str">
        <f t="shared" si="4"/>
        <v/>
      </c>
      <c r="C34" s="472">
        <f>IF(D11="","-",+C33+1)</f>
        <v>2032</v>
      </c>
      <c r="D34" s="485">
        <f>IF(F33+SUM(E$17:E33)=D$10,F33,D$10-SUM(E$17:E33))</f>
        <v>1068018.8348806035</v>
      </c>
      <c r="E34" s="484">
        <f t="shared" si="7"/>
        <v>39349.372093023259</v>
      </c>
      <c r="F34" s="485">
        <f t="shared" si="8"/>
        <v>1028669.4627875802</v>
      </c>
      <c r="G34" s="486">
        <f t="shared" si="9"/>
        <v>150262.37209302327</v>
      </c>
      <c r="H34" s="455">
        <f t="shared" si="10"/>
        <v>150262.37209302327</v>
      </c>
      <c r="I34" s="475">
        <f t="shared" si="3"/>
        <v>0</v>
      </c>
      <c r="J34" s="475"/>
      <c r="K34" s="487"/>
      <c r="L34" s="478">
        <f t="shared" si="11"/>
        <v>0</v>
      </c>
      <c r="M34" s="487"/>
      <c r="N34" s="478">
        <f t="shared" si="5"/>
        <v>0</v>
      </c>
      <c r="O34" s="478">
        <f t="shared" si="6"/>
        <v>0</v>
      </c>
      <c r="P34" s="242"/>
    </row>
    <row r="35" spans="2:16" ht="12.5">
      <c r="B35" s="160" t="str">
        <f t="shared" si="4"/>
        <v/>
      </c>
      <c r="C35" s="472">
        <f>IF(D11="","-",+C34+1)</f>
        <v>2033</v>
      </c>
      <c r="D35" s="485">
        <f>IF(F34+SUM(E$17:E34)=D$10,F34,D$10-SUM(E$17:E34))</f>
        <v>1028669.4627875802</v>
      </c>
      <c r="E35" s="484">
        <f t="shared" si="7"/>
        <v>39349.372093023259</v>
      </c>
      <c r="F35" s="485">
        <f t="shared" si="8"/>
        <v>989320.09069455694</v>
      </c>
      <c r="G35" s="486">
        <f t="shared" si="9"/>
        <v>146019.37209302327</v>
      </c>
      <c r="H35" s="455">
        <f t="shared" si="10"/>
        <v>146019.37209302327</v>
      </c>
      <c r="I35" s="475">
        <f t="shared" si="3"/>
        <v>0</v>
      </c>
      <c r="J35" s="475"/>
      <c r="K35" s="487"/>
      <c r="L35" s="478">
        <f t="shared" si="11"/>
        <v>0</v>
      </c>
      <c r="M35" s="487"/>
      <c r="N35" s="478">
        <f t="shared" si="5"/>
        <v>0</v>
      </c>
      <c r="O35" s="478">
        <f t="shared" si="6"/>
        <v>0</v>
      </c>
      <c r="P35" s="242"/>
    </row>
    <row r="36" spans="2:16" ht="12.5">
      <c r="B36" s="160" t="str">
        <f t="shared" si="4"/>
        <v/>
      </c>
      <c r="C36" s="472">
        <f>IF(D11="","-",+C35+1)</f>
        <v>2034</v>
      </c>
      <c r="D36" s="485">
        <f>IF(F35+SUM(E$17:E35)=D$10,F35,D$10-SUM(E$17:E35))</f>
        <v>989320.09069455694</v>
      </c>
      <c r="E36" s="484">
        <f t="shared" si="7"/>
        <v>39349.372093023259</v>
      </c>
      <c r="F36" s="485">
        <f t="shared" si="8"/>
        <v>949970.71860153368</v>
      </c>
      <c r="G36" s="486">
        <f t="shared" si="9"/>
        <v>141776.37209302327</v>
      </c>
      <c r="H36" s="455">
        <f t="shared" si="10"/>
        <v>141776.37209302327</v>
      </c>
      <c r="I36" s="475">
        <f t="shared" si="3"/>
        <v>0</v>
      </c>
      <c r="J36" s="475"/>
      <c r="K36" s="487"/>
      <c r="L36" s="478">
        <f t="shared" si="11"/>
        <v>0</v>
      </c>
      <c r="M36" s="487"/>
      <c r="N36" s="478">
        <f t="shared" si="5"/>
        <v>0</v>
      </c>
      <c r="O36" s="478">
        <f t="shared" si="6"/>
        <v>0</v>
      </c>
      <c r="P36" s="242"/>
    </row>
    <row r="37" spans="2:16" ht="12.5">
      <c r="B37" s="160" t="str">
        <f t="shared" si="4"/>
        <v/>
      </c>
      <c r="C37" s="472">
        <f>IF(D11="","-",+C36+1)</f>
        <v>2035</v>
      </c>
      <c r="D37" s="485">
        <f>IF(F36+SUM(E$17:E36)=D$10,F36,D$10-SUM(E$17:E36))</f>
        <v>949970.71860153368</v>
      </c>
      <c r="E37" s="484">
        <f t="shared" si="7"/>
        <v>39349.372093023259</v>
      </c>
      <c r="F37" s="485">
        <f t="shared" si="8"/>
        <v>910621.34650851041</v>
      </c>
      <c r="G37" s="486">
        <f t="shared" si="9"/>
        <v>137534.37209302327</v>
      </c>
      <c r="H37" s="455">
        <f t="shared" si="10"/>
        <v>137534.37209302327</v>
      </c>
      <c r="I37" s="475">
        <f t="shared" si="3"/>
        <v>0</v>
      </c>
      <c r="J37" s="475"/>
      <c r="K37" s="487"/>
      <c r="L37" s="478">
        <f t="shared" si="11"/>
        <v>0</v>
      </c>
      <c r="M37" s="487"/>
      <c r="N37" s="478">
        <f t="shared" si="5"/>
        <v>0</v>
      </c>
      <c r="O37" s="478">
        <f t="shared" si="6"/>
        <v>0</v>
      </c>
      <c r="P37" s="242"/>
    </row>
    <row r="38" spans="2:16" ht="12.5">
      <c r="B38" s="160" t="str">
        <f t="shared" si="4"/>
        <v/>
      </c>
      <c r="C38" s="472">
        <f>IF(D11="","-",+C37+1)</f>
        <v>2036</v>
      </c>
      <c r="D38" s="485">
        <f>IF(F37+SUM(E$17:E37)=D$10,F37,D$10-SUM(E$17:E37))</f>
        <v>910621.34650851041</v>
      </c>
      <c r="E38" s="484">
        <f t="shared" si="7"/>
        <v>39349.372093023259</v>
      </c>
      <c r="F38" s="485">
        <f t="shared" si="8"/>
        <v>871271.97441548714</v>
      </c>
      <c r="G38" s="486">
        <f t="shared" si="9"/>
        <v>133291.37209302327</v>
      </c>
      <c r="H38" s="455">
        <f t="shared" si="10"/>
        <v>133291.37209302327</v>
      </c>
      <c r="I38" s="475">
        <f t="shared" si="3"/>
        <v>0</v>
      </c>
      <c r="J38" s="475"/>
      <c r="K38" s="487"/>
      <c r="L38" s="478">
        <f t="shared" si="11"/>
        <v>0</v>
      </c>
      <c r="M38" s="487"/>
      <c r="N38" s="478">
        <f t="shared" si="5"/>
        <v>0</v>
      </c>
      <c r="O38" s="478">
        <f t="shared" si="6"/>
        <v>0</v>
      </c>
      <c r="P38" s="242"/>
    </row>
    <row r="39" spans="2:16" ht="12.5">
      <c r="B39" s="160" t="str">
        <f t="shared" si="4"/>
        <v/>
      </c>
      <c r="C39" s="472">
        <f>IF(D11="","-",+C38+1)</f>
        <v>2037</v>
      </c>
      <c r="D39" s="485">
        <f>IF(F38+SUM(E$17:E38)=D$10,F38,D$10-SUM(E$17:E38))</f>
        <v>871271.97441548714</v>
      </c>
      <c r="E39" s="484">
        <f t="shared" si="7"/>
        <v>39349.372093023259</v>
      </c>
      <c r="F39" s="485">
        <f t="shared" si="8"/>
        <v>831922.60232246388</v>
      </c>
      <c r="G39" s="486">
        <f t="shared" si="9"/>
        <v>129048.37209302327</v>
      </c>
      <c r="H39" s="455">
        <f t="shared" si="10"/>
        <v>129048.37209302327</v>
      </c>
      <c r="I39" s="475">
        <f t="shared" si="3"/>
        <v>0</v>
      </c>
      <c r="J39" s="475"/>
      <c r="K39" s="487"/>
      <c r="L39" s="478">
        <f t="shared" si="11"/>
        <v>0</v>
      </c>
      <c r="M39" s="487"/>
      <c r="N39" s="478">
        <f t="shared" si="5"/>
        <v>0</v>
      </c>
      <c r="O39" s="478">
        <f t="shared" si="6"/>
        <v>0</v>
      </c>
      <c r="P39" s="242"/>
    </row>
    <row r="40" spans="2:16" ht="12.5">
      <c r="B40" s="160" t="str">
        <f t="shared" si="4"/>
        <v/>
      </c>
      <c r="C40" s="472">
        <f>IF(D11="","-",+C39+1)</f>
        <v>2038</v>
      </c>
      <c r="D40" s="485">
        <f>IF(F39+SUM(E$17:E39)=D$10,F39,D$10-SUM(E$17:E39))</f>
        <v>831922.60232246388</v>
      </c>
      <c r="E40" s="484">
        <f t="shared" si="7"/>
        <v>39349.372093023259</v>
      </c>
      <c r="F40" s="485">
        <f t="shared" si="8"/>
        <v>792573.23022944061</v>
      </c>
      <c r="G40" s="486">
        <f t="shared" si="9"/>
        <v>124806.37209302327</v>
      </c>
      <c r="H40" s="455">
        <f t="shared" si="10"/>
        <v>124806.37209302327</v>
      </c>
      <c r="I40" s="475">
        <f t="shared" si="3"/>
        <v>0</v>
      </c>
      <c r="J40" s="475"/>
      <c r="K40" s="487"/>
      <c r="L40" s="478">
        <f t="shared" si="11"/>
        <v>0</v>
      </c>
      <c r="M40" s="487"/>
      <c r="N40" s="478">
        <f t="shared" si="5"/>
        <v>0</v>
      </c>
      <c r="O40" s="478">
        <f t="shared" si="6"/>
        <v>0</v>
      </c>
      <c r="P40" s="242"/>
    </row>
    <row r="41" spans="2:16" ht="12.5">
      <c r="B41" s="160" t="str">
        <f t="shared" si="4"/>
        <v/>
      </c>
      <c r="C41" s="472">
        <f>IF(D11="","-",+C40+1)</f>
        <v>2039</v>
      </c>
      <c r="D41" s="485">
        <f>IF(F40+SUM(E$17:E40)=D$10,F40,D$10-SUM(E$17:E40))</f>
        <v>792573.23022944061</v>
      </c>
      <c r="E41" s="484">
        <f t="shared" si="7"/>
        <v>39349.372093023259</v>
      </c>
      <c r="F41" s="485">
        <f t="shared" si="8"/>
        <v>753223.85813641734</v>
      </c>
      <c r="G41" s="486">
        <f t="shared" si="9"/>
        <v>120563.37209302327</v>
      </c>
      <c r="H41" s="455">
        <f t="shared" si="10"/>
        <v>120563.37209302327</v>
      </c>
      <c r="I41" s="475">
        <f t="shared" si="3"/>
        <v>0</v>
      </c>
      <c r="J41" s="475"/>
      <c r="K41" s="487"/>
      <c r="L41" s="478">
        <f t="shared" si="11"/>
        <v>0</v>
      </c>
      <c r="M41" s="487"/>
      <c r="N41" s="478">
        <f t="shared" si="5"/>
        <v>0</v>
      </c>
      <c r="O41" s="478">
        <f t="shared" si="6"/>
        <v>0</v>
      </c>
      <c r="P41" s="242"/>
    </row>
    <row r="42" spans="2:16" ht="12.5">
      <c r="B42" s="160" t="str">
        <f t="shared" si="4"/>
        <v/>
      </c>
      <c r="C42" s="472">
        <f>IF(D11="","-",+C41+1)</f>
        <v>2040</v>
      </c>
      <c r="D42" s="485">
        <f>IF(F41+SUM(E$17:E41)=D$10,F41,D$10-SUM(E$17:E41))</f>
        <v>753223.85813641734</v>
      </c>
      <c r="E42" s="484">
        <f t="shared" si="7"/>
        <v>39349.372093023259</v>
      </c>
      <c r="F42" s="485">
        <f t="shared" si="8"/>
        <v>713874.48604339408</v>
      </c>
      <c r="G42" s="486">
        <f t="shared" si="9"/>
        <v>116320.37209302327</v>
      </c>
      <c r="H42" s="455">
        <f t="shared" si="10"/>
        <v>116320.37209302327</v>
      </c>
      <c r="I42" s="475">
        <f t="shared" si="3"/>
        <v>0</v>
      </c>
      <c r="J42" s="475"/>
      <c r="K42" s="487"/>
      <c r="L42" s="478">
        <f t="shared" si="11"/>
        <v>0</v>
      </c>
      <c r="M42" s="487"/>
      <c r="N42" s="478">
        <f t="shared" si="5"/>
        <v>0</v>
      </c>
      <c r="O42" s="478">
        <f t="shared" si="6"/>
        <v>0</v>
      </c>
      <c r="P42" s="242"/>
    </row>
    <row r="43" spans="2:16" ht="12.5">
      <c r="B43" s="160" t="str">
        <f t="shared" si="4"/>
        <v/>
      </c>
      <c r="C43" s="472">
        <f>IF(D11="","-",+C42+1)</f>
        <v>2041</v>
      </c>
      <c r="D43" s="485">
        <f>IF(F42+SUM(E$17:E42)=D$10,F42,D$10-SUM(E$17:E42))</f>
        <v>713874.48604339408</v>
      </c>
      <c r="E43" s="484">
        <f t="shared" si="7"/>
        <v>39349.372093023259</v>
      </c>
      <c r="F43" s="485">
        <f t="shared" si="8"/>
        <v>674525.11395037081</v>
      </c>
      <c r="G43" s="486">
        <f t="shared" si="9"/>
        <v>112077.37209302327</v>
      </c>
      <c r="H43" s="455">
        <f t="shared" si="10"/>
        <v>112077.37209302327</v>
      </c>
      <c r="I43" s="475">
        <f t="shared" si="3"/>
        <v>0</v>
      </c>
      <c r="J43" s="475"/>
      <c r="K43" s="487"/>
      <c r="L43" s="478">
        <f t="shared" si="11"/>
        <v>0</v>
      </c>
      <c r="M43" s="487"/>
      <c r="N43" s="478">
        <f t="shared" si="5"/>
        <v>0</v>
      </c>
      <c r="O43" s="478">
        <f t="shared" si="6"/>
        <v>0</v>
      </c>
      <c r="P43" s="242"/>
    </row>
    <row r="44" spans="2:16" ht="12.5">
      <c r="B44" s="160" t="str">
        <f t="shared" si="4"/>
        <v/>
      </c>
      <c r="C44" s="472">
        <f>IF(D11="","-",+C43+1)</f>
        <v>2042</v>
      </c>
      <c r="D44" s="485">
        <f>IF(F43+SUM(E$17:E43)=D$10,F43,D$10-SUM(E$17:E43))</f>
        <v>674525.11395037081</v>
      </c>
      <c r="E44" s="484">
        <f t="shared" si="7"/>
        <v>39349.372093023259</v>
      </c>
      <c r="F44" s="485">
        <f t="shared" si="8"/>
        <v>635175.74185734754</v>
      </c>
      <c r="G44" s="486">
        <f t="shared" si="9"/>
        <v>107835.37209302327</v>
      </c>
      <c r="H44" s="455">
        <f t="shared" si="10"/>
        <v>107835.37209302327</v>
      </c>
      <c r="I44" s="475">
        <f t="shared" si="3"/>
        <v>0</v>
      </c>
      <c r="J44" s="475"/>
      <c r="K44" s="487"/>
      <c r="L44" s="478">
        <f t="shared" si="11"/>
        <v>0</v>
      </c>
      <c r="M44" s="487"/>
      <c r="N44" s="478">
        <f t="shared" si="5"/>
        <v>0</v>
      </c>
      <c r="O44" s="478">
        <f t="shared" si="6"/>
        <v>0</v>
      </c>
      <c r="P44" s="242"/>
    </row>
    <row r="45" spans="2:16" ht="12.5">
      <c r="B45" s="160" t="str">
        <f t="shared" si="4"/>
        <v/>
      </c>
      <c r="C45" s="472">
        <f>IF(D11="","-",+C44+1)</f>
        <v>2043</v>
      </c>
      <c r="D45" s="485">
        <f>IF(F44+SUM(E$17:E44)=D$10,F44,D$10-SUM(E$17:E44))</f>
        <v>635175.74185734754</v>
      </c>
      <c r="E45" s="484">
        <f t="shared" si="7"/>
        <v>39349.372093023259</v>
      </c>
      <c r="F45" s="485">
        <f t="shared" si="8"/>
        <v>595826.36976432428</v>
      </c>
      <c r="G45" s="486">
        <f t="shared" si="9"/>
        <v>103592.37209302327</v>
      </c>
      <c r="H45" s="455">
        <f t="shared" si="10"/>
        <v>103592.37209302327</v>
      </c>
      <c r="I45" s="475">
        <f t="shared" si="3"/>
        <v>0</v>
      </c>
      <c r="J45" s="475"/>
      <c r="K45" s="487"/>
      <c r="L45" s="478">
        <f t="shared" si="11"/>
        <v>0</v>
      </c>
      <c r="M45" s="487"/>
      <c r="N45" s="478">
        <f t="shared" si="5"/>
        <v>0</v>
      </c>
      <c r="O45" s="478">
        <f t="shared" si="6"/>
        <v>0</v>
      </c>
      <c r="P45" s="242"/>
    </row>
    <row r="46" spans="2:16" ht="12.5">
      <c r="B46" s="160" t="str">
        <f t="shared" si="4"/>
        <v/>
      </c>
      <c r="C46" s="472">
        <f>IF(D11="","-",+C45+1)</f>
        <v>2044</v>
      </c>
      <c r="D46" s="485">
        <f>IF(F45+SUM(E$17:E45)=D$10,F45,D$10-SUM(E$17:E45))</f>
        <v>595826.36976432428</v>
      </c>
      <c r="E46" s="484">
        <f t="shared" si="7"/>
        <v>39349.372093023259</v>
      </c>
      <c r="F46" s="485">
        <f t="shared" si="8"/>
        <v>556476.99767130101</v>
      </c>
      <c r="G46" s="486">
        <f t="shared" si="9"/>
        <v>99349.372093023267</v>
      </c>
      <c r="H46" s="455">
        <f t="shared" si="10"/>
        <v>99349.372093023267</v>
      </c>
      <c r="I46" s="475">
        <f t="shared" si="3"/>
        <v>0</v>
      </c>
      <c r="J46" s="475"/>
      <c r="K46" s="487"/>
      <c r="L46" s="478">
        <f t="shared" si="11"/>
        <v>0</v>
      </c>
      <c r="M46" s="487"/>
      <c r="N46" s="478">
        <f t="shared" si="5"/>
        <v>0</v>
      </c>
      <c r="O46" s="478">
        <f t="shared" si="6"/>
        <v>0</v>
      </c>
      <c r="P46" s="242"/>
    </row>
    <row r="47" spans="2:16" ht="12.5">
      <c r="B47" s="160" t="str">
        <f t="shared" si="4"/>
        <v/>
      </c>
      <c r="C47" s="472">
        <f>IF(D11="","-",+C46+1)</f>
        <v>2045</v>
      </c>
      <c r="D47" s="485">
        <f>IF(F46+SUM(E$17:E46)=D$10,F46,D$10-SUM(E$17:E46))</f>
        <v>556476.99767130101</v>
      </c>
      <c r="E47" s="484">
        <f t="shared" si="7"/>
        <v>39349.372093023259</v>
      </c>
      <c r="F47" s="485">
        <f t="shared" si="8"/>
        <v>517127.62557827774</v>
      </c>
      <c r="G47" s="486">
        <f t="shared" si="9"/>
        <v>95107.372093023267</v>
      </c>
      <c r="H47" s="455">
        <f t="shared" si="10"/>
        <v>95107.372093023267</v>
      </c>
      <c r="I47" s="475">
        <f t="shared" si="3"/>
        <v>0</v>
      </c>
      <c r="J47" s="475"/>
      <c r="K47" s="487"/>
      <c r="L47" s="478">
        <f t="shared" si="11"/>
        <v>0</v>
      </c>
      <c r="M47" s="487"/>
      <c r="N47" s="478">
        <f t="shared" si="5"/>
        <v>0</v>
      </c>
      <c r="O47" s="478">
        <f t="shared" si="6"/>
        <v>0</v>
      </c>
      <c r="P47" s="242"/>
    </row>
    <row r="48" spans="2:16" ht="12.5">
      <c r="B48" s="160" t="str">
        <f t="shared" si="4"/>
        <v/>
      </c>
      <c r="C48" s="472">
        <f>IF(D11="","-",+C47+1)</f>
        <v>2046</v>
      </c>
      <c r="D48" s="485">
        <f>IF(F47+SUM(E$17:E47)=D$10,F47,D$10-SUM(E$17:E47))</f>
        <v>517127.62557827774</v>
      </c>
      <c r="E48" s="484">
        <f t="shared" si="7"/>
        <v>39349.372093023259</v>
      </c>
      <c r="F48" s="485">
        <f t="shared" si="8"/>
        <v>477778.25348525448</v>
      </c>
      <c r="G48" s="486">
        <f t="shared" si="9"/>
        <v>90864.372093023267</v>
      </c>
      <c r="H48" s="455">
        <f t="shared" si="10"/>
        <v>90864.372093023267</v>
      </c>
      <c r="I48" s="475">
        <f t="shared" si="3"/>
        <v>0</v>
      </c>
      <c r="J48" s="475"/>
      <c r="K48" s="487"/>
      <c r="L48" s="478">
        <f t="shared" si="11"/>
        <v>0</v>
      </c>
      <c r="M48" s="487"/>
      <c r="N48" s="478">
        <f t="shared" si="5"/>
        <v>0</v>
      </c>
      <c r="O48" s="478">
        <f t="shared" si="6"/>
        <v>0</v>
      </c>
      <c r="P48" s="242"/>
    </row>
    <row r="49" spans="2:16" ht="12.5">
      <c r="B49" s="160" t="str">
        <f t="shared" si="4"/>
        <v/>
      </c>
      <c r="C49" s="472">
        <f>IF(D11="","-",+C48+1)</f>
        <v>2047</v>
      </c>
      <c r="D49" s="485">
        <f>IF(F48+SUM(E$17:E48)=D$10,F48,D$10-SUM(E$17:E48))</f>
        <v>477778.25348525448</v>
      </c>
      <c r="E49" s="484">
        <f t="shared" si="7"/>
        <v>39349.372093023259</v>
      </c>
      <c r="F49" s="485">
        <f t="shared" si="8"/>
        <v>438428.88139223121</v>
      </c>
      <c r="G49" s="486">
        <f t="shared" si="9"/>
        <v>86621.372093023267</v>
      </c>
      <c r="H49" s="455">
        <f t="shared" si="10"/>
        <v>86621.372093023267</v>
      </c>
      <c r="I49" s="475">
        <f t="shared" si="3"/>
        <v>0</v>
      </c>
      <c r="J49" s="475"/>
      <c r="K49" s="487"/>
      <c r="L49" s="478">
        <f t="shared" si="11"/>
        <v>0</v>
      </c>
      <c r="M49" s="487"/>
      <c r="N49" s="478">
        <f t="shared" si="5"/>
        <v>0</v>
      </c>
      <c r="O49" s="478">
        <f t="shared" si="6"/>
        <v>0</v>
      </c>
      <c r="P49" s="242"/>
    </row>
    <row r="50" spans="2:16" ht="12.5">
      <c r="B50" s="160" t="str">
        <f t="shared" si="4"/>
        <v/>
      </c>
      <c r="C50" s="472">
        <f>IF(D11="","-",+C49+1)</f>
        <v>2048</v>
      </c>
      <c r="D50" s="485">
        <f>IF(F49+SUM(E$17:E49)=D$10,F49,D$10-SUM(E$17:E49))</f>
        <v>438428.88139223121</v>
      </c>
      <c r="E50" s="484">
        <f t="shared" si="7"/>
        <v>39349.372093023259</v>
      </c>
      <c r="F50" s="485">
        <f t="shared" si="8"/>
        <v>399079.50929920794</v>
      </c>
      <c r="G50" s="486">
        <f t="shared" si="9"/>
        <v>82378.372093023267</v>
      </c>
      <c r="H50" s="455">
        <f t="shared" si="10"/>
        <v>82378.372093023267</v>
      </c>
      <c r="I50" s="475">
        <f t="shared" si="3"/>
        <v>0</v>
      </c>
      <c r="J50" s="475"/>
      <c r="K50" s="487"/>
      <c r="L50" s="478">
        <f t="shared" si="11"/>
        <v>0</v>
      </c>
      <c r="M50" s="487"/>
      <c r="N50" s="478">
        <f t="shared" si="5"/>
        <v>0</v>
      </c>
      <c r="O50" s="478">
        <f t="shared" si="6"/>
        <v>0</v>
      </c>
      <c r="P50" s="242"/>
    </row>
    <row r="51" spans="2:16" ht="12.5">
      <c r="B51" s="160" t="str">
        <f t="shared" si="4"/>
        <v/>
      </c>
      <c r="C51" s="472">
        <f>IF(D11="","-",+C50+1)</f>
        <v>2049</v>
      </c>
      <c r="D51" s="485">
        <f>IF(F50+SUM(E$17:E50)=D$10,F50,D$10-SUM(E$17:E50))</f>
        <v>399079.50929920794</v>
      </c>
      <c r="E51" s="484">
        <f t="shared" si="7"/>
        <v>39349.372093023259</v>
      </c>
      <c r="F51" s="485">
        <f t="shared" si="8"/>
        <v>359730.13720618468</v>
      </c>
      <c r="G51" s="486">
        <f t="shared" si="9"/>
        <v>78136.372093023267</v>
      </c>
      <c r="H51" s="455">
        <f t="shared" si="10"/>
        <v>78136.372093023267</v>
      </c>
      <c r="I51" s="475">
        <f t="shared" si="3"/>
        <v>0</v>
      </c>
      <c r="J51" s="475"/>
      <c r="K51" s="487"/>
      <c r="L51" s="478">
        <f t="shared" si="11"/>
        <v>0</v>
      </c>
      <c r="M51" s="487"/>
      <c r="N51" s="478">
        <f t="shared" si="5"/>
        <v>0</v>
      </c>
      <c r="O51" s="478">
        <f t="shared" si="6"/>
        <v>0</v>
      </c>
      <c r="P51" s="242"/>
    </row>
    <row r="52" spans="2:16" ht="12.5">
      <c r="B52" s="160" t="str">
        <f t="shared" si="4"/>
        <v/>
      </c>
      <c r="C52" s="472">
        <f>IF(D11="","-",+C51+1)</f>
        <v>2050</v>
      </c>
      <c r="D52" s="485">
        <f>IF(F51+SUM(E$17:E51)=D$10,F51,D$10-SUM(E$17:E51))</f>
        <v>359730.13720618468</v>
      </c>
      <c r="E52" s="484">
        <f t="shared" si="7"/>
        <v>39349.372093023259</v>
      </c>
      <c r="F52" s="485">
        <f t="shared" si="8"/>
        <v>320380.76511316141</v>
      </c>
      <c r="G52" s="486">
        <f t="shared" si="9"/>
        <v>73893.372093023267</v>
      </c>
      <c r="H52" s="455">
        <f t="shared" si="10"/>
        <v>73893.372093023267</v>
      </c>
      <c r="I52" s="475">
        <f t="shared" si="3"/>
        <v>0</v>
      </c>
      <c r="J52" s="475"/>
      <c r="K52" s="487"/>
      <c r="L52" s="478">
        <f t="shared" si="11"/>
        <v>0</v>
      </c>
      <c r="M52" s="487"/>
      <c r="N52" s="478">
        <f t="shared" si="5"/>
        <v>0</v>
      </c>
      <c r="O52" s="478">
        <f t="shared" si="6"/>
        <v>0</v>
      </c>
      <c r="P52" s="242"/>
    </row>
    <row r="53" spans="2:16" ht="12.5">
      <c r="B53" s="160" t="str">
        <f t="shared" si="4"/>
        <v/>
      </c>
      <c r="C53" s="472">
        <f>IF(D11="","-",+C52+1)</f>
        <v>2051</v>
      </c>
      <c r="D53" s="485">
        <f>IF(F52+SUM(E$17:E52)=D$10,F52,D$10-SUM(E$17:E52))</f>
        <v>320380.76511316141</v>
      </c>
      <c r="E53" s="484">
        <f t="shared" si="7"/>
        <v>39349.372093023259</v>
      </c>
      <c r="F53" s="485">
        <f t="shared" si="8"/>
        <v>281031.39302013814</v>
      </c>
      <c r="G53" s="486">
        <f t="shared" si="9"/>
        <v>69650.372093023267</v>
      </c>
      <c r="H53" s="455">
        <f t="shared" si="10"/>
        <v>69650.372093023267</v>
      </c>
      <c r="I53" s="475">
        <f t="shared" si="3"/>
        <v>0</v>
      </c>
      <c r="J53" s="475"/>
      <c r="K53" s="487"/>
      <c r="L53" s="478">
        <f t="shared" si="11"/>
        <v>0</v>
      </c>
      <c r="M53" s="487"/>
      <c r="N53" s="478">
        <f t="shared" si="5"/>
        <v>0</v>
      </c>
      <c r="O53" s="478">
        <f t="shared" si="6"/>
        <v>0</v>
      </c>
      <c r="P53" s="242"/>
    </row>
    <row r="54" spans="2:16" ht="12.5">
      <c r="B54" s="160" t="str">
        <f t="shared" si="4"/>
        <v/>
      </c>
      <c r="C54" s="472">
        <f>IF(D11="","-",+C53+1)</f>
        <v>2052</v>
      </c>
      <c r="D54" s="485">
        <f>IF(F53+SUM(E$17:E53)=D$10,F53,D$10-SUM(E$17:E53))</f>
        <v>281031.39302013814</v>
      </c>
      <c r="E54" s="484">
        <f t="shared" si="7"/>
        <v>39349.372093023259</v>
      </c>
      <c r="F54" s="485">
        <f t="shared" si="8"/>
        <v>241682.02092711488</v>
      </c>
      <c r="G54" s="486">
        <f t="shared" si="9"/>
        <v>65408.372093023259</v>
      </c>
      <c r="H54" s="455">
        <f t="shared" si="10"/>
        <v>65408.372093023259</v>
      </c>
      <c r="I54" s="475">
        <f t="shared" si="3"/>
        <v>0</v>
      </c>
      <c r="J54" s="475"/>
      <c r="K54" s="487"/>
      <c r="L54" s="478">
        <f t="shared" si="11"/>
        <v>0</v>
      </c>
      <c r="M54" s="487"/>
      <c r="N54" s="478">
        <f t="shared" si="5"/>
        <v>0</v>
      </c>
      <c r="O54" s="478">
        <f t="shared" si="6"/>
        <v>0</v>
      </c>
      <c r="P54" s="242"/>
    </row>
    <row r="55" spans="2:16" ht="12.5">
      <c r="B55" s="160" t="str">
        <f t="shared" si="4"/>
        <v/>
      </c>
      <c r="C55" s="472">
        <f>IF(D11="","-",+C54+1)</f>
        <v>2053</v>
      </c>
      <c r="D55" s="485">
        <f>IF(F54+SUM(E$17:E54)=D$10,F54,D$10-SUM(E$17:E54))</f>
        <v>241682.02092711488</v>
      </c>
      <c r="E55" s="484">
        <f t="shared" si="7"/>
        <v>39349.372093023259</v>
      </c>
      <c r="F55" s="485">
        <f t="shared" si="8"/>
        <v>202332.64883409161</v>
      </c>
      <c r="G55" s="486">
        <f t="shared" si="9"/>
        <v>61165.372093023259</v>
      </c>
      <c r="H55" s="455">
        <f t="shared" si="10"/>
        <v>61165.372093023259</v>
      </c>
      <c r="I55" s="475">
        <f t="shared" si="3"/>
        <v>0</v>
      </c>
      <c r="J55" s="475"/>
      <c r="K55" s="487"/>
      <c r="L55" s="478">
        <f t="shared" si="11"/>
        <v>0</v>
      </c>
      <c r="M55" s="487"/>
      <c r="N55" s="478">
        <f t="shared" si="5"/>
        <v>0</v>
      </c>
      <c r="O55" s="478">
        <f t="shared" si="6"/>
        <v>0</v>
      </c>
      <c r="P55" s="242"/>
    </row>
    <row r="56" spans="2:16" ht="12.5">
      <c r="B56" s="160" t="str">
        <f t="shared" si="4"/>
        <v/>
      </c>
      <c r="C56" s="472">
        <f>IF(D11="","-",+C55+1)</f>
        <v>2054</v>
      </c>
      <c r="D56" s="485">
        <f>IF(F55+SUM(E$17:E55)=D$10,F55,D$10-SUM(E$17:E55))</f>
        <v>202332.64883409161</v>
      </c>
      <c r="E56" s="484">
        <f t="shared" si="7"/>
        <v>39349.372093023259</v>
      </c>
      <c r="F56" s="485">
        <f t="shared" si="8"/>
        <v>162983.27674106834</v>
      </c>
      <c r="G56" s="486">
        <f t="shared" si="9"/>
        <v>56922.372093023259</v>
      </c>
      <c r="H56" s="455">
        <f t="shared" si="10"/>
        <v>56922.372093023259</v>
      </c>
      <c r="I56" s="475">
        <f t="shared" si="3"/>
        <v>0</v>
      </c>
      <c r="J56" s="475"/>
      <c r="K56" s="487"/>
      <c r="L56" s="478">
        <f t="shared" si="11"/>
        <v>0</v>
      </c>
      <c r="M56" s="487"/>
      <c r="N56" s="478">
        <f t="shared" si="5"/>
        <v>0</v>
      </c>
      <c r="O56" s="478">
        <f t="shared" si="6"/>
        <v>0</v>
      </c>
      <c r="P56" s="242"/>
    </row>
    <row r="57" spans="2:16" ht="12.5">
      <c r="B57" s="160" t="str">
        <f t="shared" si="4"/>
        <v/>
      </c>
      <c r="C57" s="472">
        <f>IF(D11="","-",+C56+1)</f>
        <v>2055</v>
      </c>
      <c r="D57" s="485">
        <f>IF(F56+SUM(E$17:E56)=D$10,F56,D$10-SUM(E$17:E56))</f>
        <v>162983.27674106834</v>
      </c>
      <c r="E57" s="484">
        <f t="shared" si="7"/>
        <v>39349.372093023259</v>
      </c>
      <c r="F57" s="485">
        <f t="shared" si="8"/>
        <v>123633.90464804508</v>
      </c>
      <c r="G57" s="486">
        <f t="shared" si="9"/>
        <v>52679.372093023259</v>
      </c>
      <c r="H57" s="455">
        <f t="shared" si="10"/>
        <v>52679.372093023259</v>
      </c>
      <c r="I57" s="475">
        <f t="shared" si="3"/>
        <v>0</v>
      </c>
      <c r="J57" s="475"/>
      <c r="K57" s="487"/>
      <c r="L57" s="478">
        <f t="shared" si="11"/>
        <v>0</v>
      </c>
      <c r="M57" s="487"/>
      <c r="N57" s="478">
        <f t="shared" si="5"/>
        <v>0</v>
      </c>
      <c r="O57" s="478">
        <f t="shared" si="6"/>
        <v>0</v>
      </c>
      <c r="P57" s="242"/>
    </row>
    <row r="58" spans="2:16" ht="12.5">
      <c r="B58" s="160" t="str">
        <f t="shared" si="4"/>
        <v/>
      </c>
      <c r="C58" s="472">
        <f>IF(D11="","-",+C57+1)</f>
        <v>2056</v>
      </c>
      <c r="D58" s="485">
        <f>IF(F57+SUM(E$17:E57)=D$10,F57,D$10-SUM(E$17:E57))</f>
        <v>123633.90464804508</v>
      </c>
      <c r="E58" s="484">
        <f t="shared" si="7"/>
        <v>39349.372093023259</v>
      </c>
      <c r="F58" s="485">
        <f t="shared" si="8"/>
        <v>84284.532555021811</v>
      </c>
      <c r="G58" s="486">
        <f t="shared" si="9"/>
        <v>48437.372093023259</v>
      </c>
      <c r="H58" s="455">
        <f t="shared" si="10"/>
        <v>48437.372093023259</v>
      </c>
      <c r="I58" s="475">
        <f t="shared" si="3"/>
        <v>0</v>
      </c>
      <c r="J58" s="475"/>
      <c r="K58" s="487"/>
      <c r="L58" s="478">
        <f t="shared" si="11"/>
        <v>0</v>
      </c>
      <c r="M58" s="487"/>
      <c r="N58" s="478">
        <f t="shared" si="5"/>
        <v>0</v>
      </c>
      <c r="O58" s="478">
        <f t="shared" si="6"/>
        <v>0</v>
      </c>
      <c r="P58" s="242"/>
    </row>
    <row r="59" spans="2:16" ht="12.5">
      <c r="B59" s="160" t="str">
        <f t="shared" si="4"/>
        <v/>
      </c>
      <c r="C59" s="472">
        <f>IF(D11="","-",+C58+1)</f>
        <v>2057</v>
      </c>
      <c r="D59" s="485">
        <f>IF(F58+SUM(E$17:E58)=D$10,F58,D$10-SUM(E$17:E58))</f>
        <v>84284.532555021811</v>
      </c>
      <c r="E59" s="484">
        <f t="shared" si="7"/>
        <v>39349.372093023259</v>
      </c>
      <c r="F59" s="485">
        <f t="shared" si="8"/>
        <v>44935.160461998552</v>
      </c>
      <c r="G59" s="486">
        <f t="shared" si="9"/>
        <v>44194.372093023259</v>
      </c>
      <c r="H59" s="455">
        <f t="shared" si="10"/>
        <v>44194.372093023259</v>
      </c>
      <c r="I59" s="475">
        <f t="shared" si="3"/>
        <v>0</v>
      </c>
      <c r="J59" s="475"/>
      <c r="K59" s="487"/>
      <c r="L59" s="478">
        <f t="shared" si="11"/>
        <v>0</v>
      </c>
      <c r="M59" s="487"/>
      <c r="N59" s="478">
        <f t="shared" si="5"/>
        <v>0</v>
      </c>
      <c r="O59" s="478">
        <f t="shared" si="6"/>
        <v>0</v>
      </c>
      <c r="P59" s="242"/>
    </row>
    <row r="60" spans="2:16" ht="12.5">
      <c r="B60" s="160" t="str">
        <f t="shared" si="4"/>
        <v/>
      </c>
      <c r="C60" s="472">
        <f>IF(D11="","-",+C59+1)</f>
        <v>2058</v>
      </c>
      <c r="D60" s="485">
        <f>IF(F59+SUM(E$17:E59)=D$10,F59,D$10-SUM(E$17:E59))</f>
        <v>44935.160461998552</v>
      </c>
      <c r="E60" s="484">
        <f t="shared" si="7"/>
        <v>39349.372093023259</v>
      </c>
      <c r="F60" s="485">
        <f t="shared" si="8"/>
        <v>5585.7883689752925</v>
      </c>
      <c r="G60" s="486">
        <f t="shared" si="9"/>
        <v>39951.372093023259</v>
      </c>
      <c r="H60" s="455">
        <f t="shared" si="10"/>
        <v>39951.372093023259</v>
      </c>
      <c r="I60" s="475">
        <f t="shared" si="3"/>
        <v>0</v>
      </c>
      <c r="J60" s="475"/>
      <c r="K60" s="487"/>
      <c r="L60" s="478">
        <f t="shared" si="11"/>
        <v>0</v>
      </c>
      <c r="M60" s="487"/>
      <c r="N60" s="478">
        <f t="shared" si="5"/>
        <v>0</v>
      </c>
      <c r="O60" s="478">
        <f t="shared" si="6"/>
        <v>0</v>
      </c>
      <c r="P60" s="242"/>
    </row>
    <row r="61" spans="2:16" ht="12.5">
      <c r="B61" s="160" t="str">
        <f t="shared" si="4"/>
        <v/>
      </c>
      <c r="C61" s="472">
        <f>IF(D11="","-",+C60+1)</f>
        <v>2059</v>
      </c>
      <c r="D61" s="485">
        <f>IF(F60+SUM(E$17:E60)=D$10,F60,D$10-SUM(E$17:E60))</f>
        <v>5585.7883689752925</v>
      </c>
      <c r="E61" s="484">
        <f t="shared" si="7"/>
        <v>5585.7883689752925</v>
      </c>
      <c r="F61" s="485">
        <f t="shared" si="8"/>
        <v>0</v>
      </c>
      <c r="G61" s="486">
        <f t="shared" si="9"/>
        <v>5585.7883689752925</v>
      </c>
      <c r="H61" s="455">
        <f t="shared" si="10"/>
        <v>5585.7883689752925</v>
      </c>
      <c r="I61" s="475">
        <f t="shared" si="3"/>
        <v>0</v>
      </c>
      <c r="J61" s="475"/>
      <c r="K61" s="487"/>
      <c r="L61" s="478">
        <f t="shared" si="11"/>
        <v>0</v>
      </c>
      <c r="M61" s="487"/>
      <c r="N61" s="478">
        <f t="shared" si="5"/>
        <v>0</v>
      </c>
      <c r="O61" s="478">
        <f t="shared" si="6"/>
        <v>0</v>
      </c>
      <c r="P61" s="242"/>
    </row>
    <row r="62" spans="2:16" ht="12.5">
      <c r="B62" s="160" t="str">
        <f t="shared" si="4"/>
        <v/>
      </c>
      <c r="C62" s="472">
        <f>IF(D11="","-",+C61+1)</f>
        <v>2060</v>
      </c>
      <c r="D62" s="485">
        <f>IF(F61+SUM(E$17:E61)=D$10,F61,D$10-SUM(E$17:E61))</f>
        <v>0</v>
      </c>
      <c r="E62" s="484">
        <f t="shared" si="7"/>
        <v>0</v>
      </c>
      <c r="F62" s="485">
        <f t="shared" si="8"/>
        <v>0</v>
      </c>
      <c r="G62" s="486">
        <f t="shared" si="9"/>
        <v>0</v>
      </c>
      <c r="H62" s="455">
        <f t="shared" si="10"/>
        <v>0</v>
      </c>
      <c r="I62" s="475">
        <f t="shared" si="3"/>
        <v>0</v>
      </c>
      <c r="J62" s="475"/>
      <c r="K62" s="487"/>
      <c r="L62" s="478">
        <f t="shared" si="11"/>
        <v>0</v>
      </c>
      <c r="M62" s="487"/>
      <c r="N62" s="478">
        <f t="shared" si="5"/>
        <v>0</v>
      </c>
      <c r="O62" s="478">
        <f t="shared" si="6"/>
        <v>0</v>
      </c>
      <c r="P62" s="242"/>
    </row>
    <row r="63" spans="2:16" ht="12.5">
      <c r="B63" s="160" t="str">
        <f t="shared" si="4"/>
        <v/>
      </c>
      <c r="C63" s="472">
        <f>IF(D11="","-",+C62+1)</f>
        <v>2061</v>
      </c>
      <c r="D63" s="485">
        <f>IF(F62+SUM(E$17:E62)=D$10,F62,D$10-SUM(E$17:E62))</f>
        <v>0</v>
      </c>
      <c r="E63" s="484">
        <f t="shared" si="7"/>
        <v>0</v>
      </c>
      <c r="F63" s="485">
        <f t="shared" si="8"/>
        <v>0</v>
      </c>
      <c r="G63" s="486">
        <f t="shared" si="9"/>
        <v>0</v>
      </c>
      <c r="H63" s="455">
        <f t="shared" si="10"/>
        <v>0</v>
      </c>
      <c r="I63" s="475">
        <f t="shared" si="3"/>
        <v>0</v>
      </c>
      <c r="J63" s="475"/>
      <c r="K63" s="487"/>
      <c r="L63" s="478">
        <f t="shared" si="11"/>
        <v>0</v>
      </c>
      <c r="M63" s="487"/>
      <c r="N63" s="478">
        <f t="shared" si="5"/>
        <v>0</v>
      </c>
      <c r="O63" s="478">
        <f t="shared" si="6"/>
        <v>0</v>
      </c>
      <c r="P63" s="242"/>
    </row>
    <row r="64" spans="2:16" ht="12.5">
      <c r="B64" s="160" t="str">
        <f t="shared" si="4"/>
        <v/>
      </c>
      <c r="C64" s="472">
        <f>IF(D11="","-",+C63+1)</f>
        <v>2062</v>
      </c>
      <c r="D64" s="485">
        <f>IF(F63+SUM(E$17:E63)=D$10,F63,D$10-SUM(E$17:E63))</f>
        <v>0</v>
      </c>
      <c r="E64" s="484">
        <f t="shared" si="7"/>
        <v>0</v>
      </c>
      <c r="F64" s="485">
        <f t="shared" si="8"/>
        <v>0</v>
      </c>
      <c r="G64" s="486">
        <f t="shared" si="9"/>
        <v>0</v>
      </c>
      <c r="H64" s="455">
        <f t="shared" si="10"/>
        <v>0</v>
      </c>
      <c r="I64" s="475">
        <f t="shared" si="3"/>
        <v>0</v>
      </c>
      <c r="J64" s="475"/>
      <c r="K64" s="487"/>
      <c r="L64" s="478">
        <f t="shared" si="11"/>
        <v>0</v>
      </c>
      <c r="M64" s="487"/>
      <c r="N64" s="478">
        <f t="shared" si="5"/>
        <v>0</v>
      </c>
      <c r="O64" s="478">
        <f t="shared" si="6"/>
        <v>0</v>
      </c>
      <c r="P64" s="242"/>
    </row>
    <row r="65" spans="2:16" ht="12.5">
      <c r="B65" s="160" t="str">
        <f t="shared" si="4"/>
        <v/>
      </c>
      <c r="C65" s="472">
        <f>IF(D11="","-",+C64+1)</f>
        <v>2063</v>
      </c>
      <c r="D65" s="485">
        <f>IF(F64+SUM(E$17:E64)=D$10,F64,D$10-SUM(E$17:E64))</f>
        <v>0</v>
      </c>
      <c r="E65" s="484">
        <f t="shared" si="7"/>
        <v>0</v>
      </c>
      <c r="F65" s="485">
        <f t="shared" si="8"/>
        <v>0</v>
      </c>
      <c r="G65" s="486">
        <f t="shared" si="9"/>
        <v>0</v>
      </c>
      <c r="H65" s="455">
        <f t="shared" si="10"/>
        <v>0</v>
      </c>
      <c r="I65" s="475">
        <f t="shared" si="3"/>
        <v>0</v>
      </c>
      <c r="J65" s="475"/>
      <c r="K65" s="487"/>
      <c r="L65" s="478">
        <f t="shared" si="11"/>
        <v>0</v>
      </c>
      <c r="M65" s="487"/>
      <c r="N65" s="478">
        <f t="shared" si="5"/>
        <v>0</v>
      </c>
      <c r="O65" s="478">
        <f t="shared" si="6"/>
        <v>0</v>
      </c>
      <c r="P65" s="242"/>
    </row>
    <row r="66" spans="2:16" ht="12.5">
      <c r="B66" s="160" t="str">
        <f t="shared" si="4"/>
        <v/>
      </c>
      <c r="C66" s="472">
        <f>IF(D11="","-",+C65+1)</f>
        <v>2064</v>
      </c>
      <c r="D66" s="485">
        <f>IF(F65+SUM(E$17:E65)=D$10,F65,D$10-SUM(E$17:E65))</f>
        <v>0</v>
      </c>
      <c r="E66" s="484">
        <f t="shared" si="7"/>
        <v>0</v>
      </c>
      <c r="F66" s="485">
        <f t="shared" si="8"/>
        <v>0</v>
      </c>
      <c r="G66" s="486">
        <f t="shared" si="9"/>
        <v>0</v>
      </c>
      <c r="H66" s="455">
        <f t="shared" si="10"/>
        <v>0</v>
      </c>
      <c r="I66" s="475">
        <f t="shared" si="3"/>
        <v>0</v>
      </c>
      <c r="J66" s="475"/>
      <c r="K66" s="487"/>
      <c r="L66" s="478">
        <f t="shared" si="11"/>
        <v>0</v>
      </c>
      <c r="M66" s="487"/>
      <c r="N66" s="478">
        <f t="shared" si="5"/>
        <v>0</v>
      </c>
      <c r="O66" s="478">
        <f t="shared" si="6"/>
        <v>0</v>
      </c>
      <c r="P66" s="242"/>
    </row>
    <row r="67" spans="2:16" ht="12.5">
      <c r="B67" s="160" t="str">
        <f t="shared" si="4"/>
        <v/>
      </c>
      <c r="C67" s="472">
        <f>IF(D11="","-",+C66+1)</f>
        <v>2065</v>
      </c>
      <c r="D67" s="485">
        <f>IF(F66+SUM(E$17:E66)=D$10,F66,D$10-SUM(E$17:E66))</f>
        <v>0</v>
      </c>
      <c r="E67" s="484">
        <f t="shared" si="7"/>
        <v>0</v>
      </c>
      <c r="F67" s="485">
        <f t="shared" si="8"/>
        <v>0</v>
      </c>
      <c r="G67" s="486">
        <f t="shared" si="9"/>
        <v>0</v>
      </c>
      <c r="H67" s="455">
        <f t="shared" si="10"/>
        <v>0</v>
      </c>
      <c r="I67" s="475">
        <f t="shared" si="3"/>
        <v>0</v>
      </c>
      <c r="J67" s="475"/>
      <c r="K67" s="487"/>
      <c r="L67" s="478">
        <f t="shared" si="11"/>
        <v>0</v>
      </c>
      <c r="M67" s="487"/>
      <c r="N67" s="478">
        <f t="shared" si="5"/>
        <v>0</v>
      </c>
      <c r="O67" s="478">
        <f t="shared" si="6"/>
        <v>0</v>
      </c>
      <c r="P67" s="242"/>
    </row>
    <row r="68" spans="2:16" ht="12.5">
      <c r="B68" s="160" t="str">
        <f t="shared" si="4"/>
        <v/>
      </c>
      <c r="C68" s="472">
        <f>IF(D11="","-",+C67+1)</f>
        <v>2066</v>
      </c>
      <c r="D68" s="485">
        <f>IF(F67+SUM(E$17:E67)=D$10,F67,D$10-SUM(E$17:E67))</f>
        <v>0</v>
      </c>
      <c r="E68" s="484">
        <f t="shared" si="7"/>
        <v>0</v>
      </c>
      <c r="F68" s="485">
        <f t="shared" si="8"/>
        <v>0</v>
      </c>
      <c r="G68" s="486">
        <f t="shared" si="9"/>
        <v>0</v>
      </c>
      <c r="H68" s="455">
        <f t="shared" si="10"/>
        <v>0</v>
      </c>
      <c r="I68" s="475">
        <f t="shared" si="3"/>
        <v>0</v>
      </c>
      <c r="J68" s="475"/>
      <c r="K68" s="487"/>
      <c r="L68" s="478">
        <f t="shared" si="11"/>
        <v>0</v>
      </c>
      <c r="M68" s="487"/>
      <c r="N68" s="478">
        <f t="shared" si="5"/>
        <v>0</v>
      </c>
      <c r="O68" s="478">
        <f t="shared" si="6"/>
        <v>0</v>
      </c>
      <c r="P68" s="242"/>
    </row>
    <row r="69" spans="2:16" ht="12.5">
      <c r="B69" s="160" t="str">
        <f t="shared" si="4"/>
        <v/>
      </c>
      <c r="C69" s="472">
        <f>IF(D11="","-",+C68+1)</f>
        <v>2067</v>
      </c>
      <c r="D69" s="485">
        <f>IF(F68+SUM(E$17:E68)=D$10,F68,D$10-SUM(E$17:E68))</f>
        <v>0</v>
      </c>
      <c r="E69" s="484">
        <f t="shared" si="7"/>
        <v>0</v>
      </c>
      <c r="F69" s="485">
        <f t="shared" si="8"/>
        <v>0</v>
      </c>
      <c r="G69" s="486">
        <f t="shared" si="9"/>
        <v>0</v>
      </c>
      <c r="H69" s="455">
        <f t="shared" si="10"/>
        <v>0</v>
      </c>
      <c r="I69" s="475">
        <f t="shared" si="3"/>
        <v>0</v>
      </c>
      <c r="J69" s="475"/>
      <c r="K69" s="487"/>
      <c r="L69" s="478">
        <f t="shared" si="11"/>
        <v>0</v>
      </c>
      <c r="M69" s="487"/>
      <c r="N69" s="478">
        <f t="shared" si="5"/>
        <v>0</v>
      </c>
      <c r="O69" s="478">
        <f t="shared" si="6"/>
        <v>0</v>
      </c>
      <c r="P69" s="242"/>
    </row>
    <row r="70" spans="2:16" ht="12.5">
      <c r="B70" s="160" t="str">
        <f t="shared" si="4"/>
        <v/>
      </c>
      <c r="C70" s="472">
        <f>IF(D11="","-",+C69+1)</f>
        <v>2068</v>
      </c>
      <c r="D70" s="485">
        <f>IF(F69+SUM(E$17:E69)=D$10,F69,D$10-SUM(E$17:E69))</f>
        <v>0</v>
      </c>
      <c r="E70" s="484">
        <f t="shared" si="7"/>
        <v>0</v>
      </c>
      <c r="F70" s="485">
        <f t="shared" si="8"/>
        <v>0</v>
      </c>
      <c r="G70" s="486">
        <f t="shared" si="9"/>
        <v>0</v>
      </c>
      <c r="H70" s="455">
        <f t="shared" si="10"/>
        <v>0</v>
      </c>
      <c r="I70" s="475">
        <f t="shared" si="3"/>
        <v>0</v>
      </c>
      <c r="J70" s="475"/>
      <c r="K70" s="487"/>
      <c r="L70" s="478">
        <f t="shared" si="11"/>
        <v>0</v>
      </c>
      <c r="M70" s="487"/>
      <c r="N70" s="478">
        <f t="shared" si="5"/>
        <v>0</v>
      </c>
      <c r="O70" s="478">
        <f t="shared" si="6"/>
        <v>0</v>
      </c>
      <c r="P70" s="242"/>
    </row>
    <row r="71" spans="2:16" ht="12.5">
      <c r="B71" s="160" t="str">
        <f t="shared" si="4"/>
        <v/>
      </c>
      <c r="C71" s="472">
        <f>IF(D11="","-",+C70+1)</f>
        <v>2069</v>
      </c>
      <c r="D71" s="485">
        <f>IF(F70+SUM(E$17:E70)=D$10,F70,D$10-SUM(E$17:E70))</f>
        <v>0</v>
      </c>
      <c r="E71" s="484">
        <f t="shared" si="7"/>
        <v>0</v>
      </c>
      <c r="F71" s="485">
        <f t="shared" si="8"/>
        <v>0</v>
      </c>
      <c r="G71" s="486">
        <f t="shared" si="9"/>
        <v>0</v>
      </c>
      <c r="H71" s="455">
        <f t="shared" si="10"/>
        <v>0</v>
      </c>
      <c r="I71" s="475">
        <f t="shared" si="3"/>
        <v>0</v>
      </c>
      <c r="J71" s="475"/>
      <c r="K71" s="487"/>
      <c r="L71" s="478">
        <f t="shared" si="11"/>
        <v>0</v>
      </c>
      <c r="M71" s="487"/>
      <c r="N71" s="478">
        <f t="shared" si="5"/>
        <v>0</v>
      </c>
      <c r="O71" s="478">
        <f t="shared" si="6"/>
        <v>0</v>
      </c>
      <c r="P71" s="242"/>
    </row>
    <row r="72" spans="2:16" ht="13" thickBot="1">
      <c r="B72" s="160" t="str">
        <f t="shared" si="4"/>
        <v/>
      </c>
      <c r="C72" s="489">
        <f>IF(D11="","-",+C71+1)</f>
        <v>2070</v>
      </c>
      <c r="D72" s="490">
        <f>IF(F71+SUM(E$17:E71)=D$10,F71,D$10-SUM(E$17:E71))</f>
        <v>0</v>
      </c>
      <c r="E72" s="491">
        <f t="shared" si="7"/>
        <v>0</v>
      </c>
      <c r="F72" s="490">
        <f t="shared" si="8"/>
        <v>0</v>
      </c>
      <c r="G72" s="544">
        <f t="shared" si="9"/>
        <v>0</v>
      </c>
      <c r="H72" s="435">
        <f t="shared" si="10"/>
        <v>0</v>
      </c>
      <c r="I72" s="493">
        <f t="shared" si="3"/>
        <v>0</v>
      </c>
      <c r="J72" s="475"/>
      <c r="K72" s="494"/>
      <c r="L72" s="495">
        <f t="shared" si="11"/>
        <v>0</v>
      </c>
      <c r="M72" s="494"/>
      <c r="N72" s="495">
        <f t="shared" si="5"/>
        <v>0</v>
      </c>
      <c r="O72" s="495">
        <f t="shared" si="6"/>
        <v>0</v>
      </c>
      <c r="P72" s="242"/>
    </row>
    <row r="73" spans="2:16" ht="12.5">
      <c r="C73" s="346" t="s">
        <v>77</v>
      </c>
      <c r="D73" s="347"/>
      <c r="E73" s="347">
        <f>SUM(E17:E72)</f>
        <v>1692023</v>
      </c>
      <c r="F73" s="347"/>
      <c r="G73" s="347">
        <f>SUM(G17:G72)</f>
        <v>5870455.557048521</v>
      </c>
      <c r="H73" s="347">
        <f>SUM(H17:H72)</f>
        <v>5870455.557048521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17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216741.56005757477</v>
      </c>
      <c r="N87" s="508">
        <f>IF(J92&lt;D11,0,VLOOKUP(J92,C17:O72,11))</f>
        <v>216741.56005757477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201969.47712497122</v>
      </c>
      <c r="N88" s="512">
        <f>IF(J92&lt;D11,0,VLOOKUP(J92,C99:P154,7))</f>
        <v>201969.47712497122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Grady Customer Connection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-14772.082932603545</v>
      </c>
      <c r="N89" s="517">
        <f>+N88-N87</f>
        <v>-14772.082932603545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TP2013002</v>
      </c>
      <c r="E91" s="522" t="str">
        <f>E9</f>
        <v xml:space="preserve">  SPP Project ID = 30748</v>
      </c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609">
        <v>1692023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2015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12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41269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2015</v>
      </c>
      <c r="D99" s="584">
        <v>0</v>
      </c>
      <c r="E99" s="608">
        <v>0</v>
      </c>
      <c r="F99" s="584">
        <v>1625288</v>
      </c>
      <c r="G99" s="608">
        <v>812644</v>
      </c>
      <c r="H99" s="587">
        <v>110878.7398202499</v>
      </c>
      <c r="I99" s="607">
        <v>110878.7398202499</v>
      </c>
      <c r="J99" s="478">
        <f>+I99-H99</f>
        <v>0</v>
      </c>
      <c r="K99" s="478"/>
      <c r="L99" s="554">
        <f>+H99</f>
        <v>110878.7398202499</v>
      </c>
      <c r="M99" s="477">
        <f t="shared" ref="M99:M130" si="12">IF(L99&lt;&gt;0,+H99-L99,0)</f>
        <v>0</v>
      </c>
      <c r="N99" s="554">
        <f>+I99</f>
        <v>110878.7398202499</v>
      </c>
      <c r="O99" s="477">
        <f t="shared" ref="O99:O130" si="13">IF(N99&lt;&gt;0,+I99-N99,0)</f>
        <v>0</v>
      </c>
      <c r="P99" s="477">
        <f t="shared" ref="P99:P130" si="14">+O99-M99</f>
        <v>0</v>
      </c>
    </row>
    <row r="100" spans="1:16" ht="12.5">
      <c r="B100" s="160" t="str">
        <f>IF(D100=F99,"","IU")</f>
        <v>IU</v>
      </c>
      <c r="C100" s="472">
        <f>IF(D93="","-",+C99+1)</f>
        <v>2016</v>
      </c>
      <c r="D100" s="584">
        <v>1692023</v>
      </c>
      <c r="E100" s="585">
        <v>36783</v>
      </c>
      <c r="F100" s="586">
        <v>1655240</v>
      </c>
      <c r="G100" s="586">
        <v>1673631.5</v>
      </c>
      <c r="H100" s="606">
        <v>252540.45816220198</v>
      </c>
      <c r="I100" s="607">
        <v>252540.45816220198</v>
      </c>
      <c r="J100" s="478">
        <f>+I100-H100</f>
        <v>0</v>
      </c>
      <c r="K100" s="478"/>
      <c r="L100" s="476">
        <f>H100</f>
        <v>252540.45816220198</v>
      </c>
      <c r="M100" s="603">
        <f>IF(L100&lt;&gt;0,+H100-L100,0)</f>
        <v>0</v>
      </c>
      <c r="N100" s="476">
        <f>I100</f>
        <v>252540.45816220198</v>
      </c>
      <c r="O100" s="478">
        <f>IF(N100&lt;&gt;0,+I100-N100,0)</f>
        <v>0</v>
      </c>
      <c r="P100" s="475">
        <f>+O100-M100</f>
        <v>0</v>
      </c>
    </row>
    <row r="101" spans="1:16" ht="12.5">
      <c r="B101" s="160" t="str">
        <f t="shared" ref="B101:B154" si="15">IF(D101=F100,"","IU")</f>
        <v/>
      </c>
      <c r="C101" s="472">
        <f>IF(D93="","-",+C100+1)</f>
        <v>2017</v>
      </c>
      <c r="D101" s="584">
        <v>1655240</v>
      </c>
      <c r="E101" s="585">
        <v>36783</v>
      </c>
      <c r="F101" s="586">
        <v>1618457</v>
      </c>
      <c r="G101" s="586">
        <v>1636848.5</v>
      </c>
      <c r="H101" s="606">
        <v>244421.35953995908</v>
      </c>
      <c r="I101" s="607">
        <v>244421.35953995908</v>
      </c>
      <c r="J101" s="478">
        <f t="shared" ref="J101:J154" si="16">+I101-H101</f>
        <v>0</v>
      </c>
      <c r="K101" s="478"/>
      <c r="L101" s="476">
        <f>H101</f>
        <v>244421.35953995908</v>
      </c>
      <c r="M101" s="603">
        <f>IF(L101&lt;&gt;0,+H101-L101,0)</f>
        <v>0</v>
      </c>
      <c r="N101" s="476">
        <f>I101</f>
        <v>244421.35953995908</v>
      </c>
      <c r="O101" s="478">
        <f>IF(N101&lt;&gt;0,+I101-N101,0)</f>
        <v>0</v>
      </c>
      <c r="P101" s="475">
        <f>+O101-M101</f>
        <v>0</v>
      </c>
    </row>
    <row r="102" spans="1:16" ht="12.5">
      <c r="B102" s="160" t="str">
        <f t="shared" si="15"/>
        <v/>
      </c>
      <c r="C102" s="472">
        <f>IF(D93="","-",+C101+1)</f>
        <v>2018</v>
      </c>
      <c r="D102" s="584">
        <v>1618457</v>
      </c>
      <c r="E102" s="585">
        <v>39349</v>
      </c>
      <c r="F102" s="586">
        <v>1579108</v>
      </c>
      <c r="G102" s="586">
        <v>1598782.5</v>
      </c>
      <c r="H102" s="606">
        <v>203600.82637045698</v>
      </c>
      <c r="I102" s="607">
        <v>203600.82637045698</v>
      </c>
      <c r="J102" s="478">
        <f t="shared" si="16"/>
        <v>0</v>
      </c>
      <c r="K102" s="478"/>
      <c r="L102" s="476">
        <f>H102</f>
        <v>203600.82637045698</v>
      </c>
      <c r="M102" s="603">
        <f>IF(L102&lt;&gt;0,+H102-L102,0)</f>
        <v>0</v>
      </c>
      <c r="N102" s="476">
        <f>I102</f>
        <v>203600.82637045698</v>
      </c>
      <c r="O102" s="478">
        <f>IF(N102&lt;&gt;0,+I102-N102,0)</f>
        <v>0</v>
      </c>
      <c r="P102" s="475">
        <f>+O102-M102</f>
        <v>0</v>
      </c>
    </row>
    <row r="103" spans="1:16" ht="12.5">
      <c r="B103" s="160" t="str">
        <f t="shared" si="15"/>
        <v/>
      </c>
      <c r="C103" s="472">
        <f>IF(D93="","-",+C102+1)</f>
        <v>2019</v>
      </c>
      <c r="D103" s="346">
        <f>IF(F102+SUM(E$99:E102)=D$92,F102,D$92-SUM(E$99:E102))</f>
        <v>1579108</v>
      </c>
      <c r="E103" s="484">
        <f t="shared" ref="E103:E154" si="17">IF(+J$96&lt;F102,J$96,D103)</f>
        <v>41269</v>
      </c>
      <c r="F103" s="485">
        <f t="shared" ref="F103:F154" si="18">+D103-E103</f>
        <v>1537839</v>
      </c>
      <c r="G103" s="485">
        <f t="shared" ref="G103:G154" si="19">+(F103+D103)/2</f>
        <v>1558473.5</v>
      </c>
      <c r="H103" s="488">
        <f t="shared" ref="H103:H154" si="20">+J$94*G103+E103</f>
        <v>201969.47712497122</v>
      </c>
      <c r="I103" s="542">
        <f t="shared" ref="I103:I154" si="21">+J$95*G103+E103</f>
        <v>201969.47712497122</v>
      </c>
      <c r="J103" s="478">
        <f t="shared" si="16"/>
        <v>0</v>
      </c>
      <c r="K103" s="478"/>
      <c r="L103" s="487"/>
      <c r="M103" s="478">
        <f t="shared" si="12"/>
        <v>0</v>
      </c>
      <c r="N103" s="487"/>
      <c r="O103" s="478">
        <f t="shared" si="13"/>
        <v>0</v>
      </c>
      <c r="P103" s="478">
        <f t="shared" si="14"/>
        <v>0</v>
      </c>
    </row>
    <row r="104" spans="1:16" ht="12.5">
      <c r="B104" s="160" t="str">
        <f t="shared" si="15"/>
        <v/>
      </c>
      <c r="C104" s="472">
        <f>IF(D93="","-",+C103+1)</f>
        <v>2020</v>
      </c>
      <c r="D104" s="346">
        <f>IF(F103+SUM(E$99:E103)=D$92,F103,D$92-SUM(E$99:E103))</f>
        <v>1537839</v>
      </c>
      <c r="E104" s="484">
        <f t="shared" si="17"/>
        <v>41269</v>
      </c>
      <c r="F104" s="485">
        <f t="shared" si="18"/>
        <v>1496570</v>
      </c>
      <c r="G104" s="485">
        <f t="shared" si="19"/>
        <v>1517204.5</v>
      </c>
      <c r="H104" s="488">
        <f t="shared" si="20"/>
        <v>197714.0643826497</v>
      </c>
      <c r="I104" s="542">
        <f t="shared" si="21"/>
        <v>197714.0643826497</v>
      </c>
      <c r="J104" s="478">
        <f t="shared" si="16"/>
        <v>0</v>
      </c>
      <c r="K104" s="478"/>
      <c r="L104" s="487"/>
      <c r="M104" s="478">
        <f t="shared" si="12"/>
        <v>0</v>
      </c>
      <c r="N104" s="487"/>
      <c r="O104" s="478">
        <f t="shared" si="13"/>
        <v>0</v>
      </c>
      <c r="P104" s="478">
        <f t="shared" si="14"/>
        <v>0</v>
      </c>
    </row>
    <row r="105" spans="1:16" ht="12.5">
      <c r="B105" s="160" t="str">
        <f t="shared" si="15"/>
        <v/>
      </c>
      <c r="C105" s="472">
        <f>IF(D93="","-",+C104+1)</f>
        <v>2021</v>
      </c>
      <c r="D105" s="346">
        <f>IF(F104+SUM(E$99:E104)=D$92,F104,D$92-SUM(E$99:E104))</f>
        <v>1496570</v>
      </c>
      <c r="E105" s="484">
        <f t="shared" si="17"/>
        <v>41269</v>
      </c>
      <c r="F105" s="485">
        <f t="shared" si="18"/>
        <v>1455301</v>
      </c>
      <c r="G105" s="485">
        <f t="shared" si="19"/>
        <v>1475935.5</v>
      </c>
      <c r="H105" s="488">
        <f t="shared" si="20"/>
        <v>193458.65164032814</v>
      </c>
      <c r="I105" s="542">
        <f t="shared" si="21"/>
        <v>193458.65164032814</v>
      </c>
      <c r="J105" s="478">
        <f t="shared" si="16"/>
        <v>0</v>
      </c>
      <c r="K105" s="478"/>
      <c r="L105" s="487"/>
      <c r="M105" s="478">
        <f t="shared" si="12"/>
        <v>0</v>
      </c>
      <c r="N105" s="487"/>
      <c r="O105" s="478">
        <f t="shared" si="13"/>
        <v>0</v>
      </c>
      <c r="P105" s="478">
        <f t="shared" si="14"/>
        <v>0</v>
      </c>
    </row>
    <row r="106" spans="1:16" ht="12.5">
      <c r="B106" s="160" t="str">
        <f t="shared" si="15"/>
        <v/>
      </c>
      <c r="C106" s="472">
        <f>IF(D93="","-",+C105+1)</f>
        <v>2022</v>
      </c>
      <c r="D106" s="346">
        <f>IF(F105+SUM(E$99:E105)=D$92,F105,D$92-SUM(E$99:E105))</f>
        <v>1455301</v>
      </c>
      <c r="E106" s="484">
        <f t="shared" si="17"/>
        <v>41269</v>
      </c>
      <c r="F106" s="485">
        <f t="shared" si="18"/>
        <v>1414032</v>
      </c>
      <c r="G106" s="485">
        <f t="shared" si="19"/>
        <v>1434666.5</v>
      </c>
      <c r="H106" s="488">
        <f t="shared" si="20"/>
        <v>189203.23889800662</v>
      </c>
      <c r="I106" s="542">
        <f t="shared" si="21"/>
        <v>189203.23889800662</v>
      </c>
      <c r="J106" s="478">
        <f t="shared" si="16"/>
        <v>0</v>
      </c>
      <c r="K106" s="478"/>
      <c r="L106" s="487"/>
      <c r="M106" s="478">
        <f t="shared" si="12"/>
        <v>0</v>
      </c>
      <c r="N106" s="487"/>
      <c r="O106" s="478">
        <f t="shared" si="13"/>
        <v>0</v>
      </c>
      <c r="P106" s="478">
        <f t="shared" si="14"/>
        <v>0</v>
      </c>
    </row>
    <row r="107" spans="1:16" ht="12.5">
      <c r="B107" s="160" t="str">
        <f t="shared" si="15"/>
        <v/>
      </c>
      <c r="C107" s="472">
        <f>IF(D93="","-",+C106+1)</f>
        <v>2023</v>
      </c>
      <c r="D107" s="346">
        <f>IF(F106+SUM(E$99:E106)=D$92,F106,D$92-SUM(E$99:E106))</f>
        <v>1414032</v>
      </c>
      <c r="E107" s="484">
        <f t="shared" si="17"/>
        <v>41269</v>
      </c>
      <c r="F107" s="485">
        <f t="shared" si="18"/>
        <v>1372763</v>
      </c>
      <c r="G107" s="485">
        <f t="shared" si="19"/>
        <v>1393397.5</v>
      </c>
      <c r="H107" s="488">
        <f t="shared" si="20"/>
        <v>184947.82615568509</v>
      </c>
      <c r="I107" s="542">
        <f t="shared" si="21"/>
        <v>184947.82615568509</v>
      </c>
      <c r="J107" s="478">
        <f t="shared" si="16"/>
        <v>0</v>
      </c>
      <c r="K107" s="478"/>
      <c r="L107" s="487"/>
      <c r="M107" s="478">
        <f t="shared" si="12"/>
        <v>0</v>
      </c>
      <c r="N107" s="487"/>
      <c r="O107" s="478">
        <f t="shared" si="13"/>
        <v>0</v>
      </c>
      <c r="P107" s="478">
        <f t="shared" si="14"/>
        <v>0</v>
      </c>
    </row>
    <row r="108" spans="1:16" ht="12.5">
      <c r="B108" s="160" t="str">
        <f t="shared" si="15"/>
        <v/>
      </c>
      <c r="C108" s="472">
        <f>IF(D93="","-",+C107+1)</f>
        <v>2024</v>
      </c>
      <c r="D108" s="346">
        <f>IF(F107+SUM(E$99:E107)=D$92,F107,D$92-SUM(E$99:E107))</f>
        <v>1372763</v>
      </c>
      <c r="E108" s="484">
        <f t="shared" si="17"/>
        <v>41269</v>
      </c>
      <c r="F108" s="485">
        <f t="shared" si="18"/>
        <v>1331494</v>
      </c>
      <c r="G108" s="485">
        <f t="shared" si="19"/>
        <v>1352128.5</v>
      </c>
      <c r="H108" s="488">
        <f t="shared" si="20"/>
        <v>180692.41341336357</v>
      </c>
      <c r="I108" s="542">
        <f t="shared" si="21"/>
        <v>180692.41341336357</v>
      </c>
      <c r="J108" s="478">
        <f t="shared" si="16"/>
        <v>0</v>
      </c>
      <c r="K108" s="478"/>
      <c r="L108" s="487"/>
      <c r="M108" s="478">
        <f t="shared" si="12"/>
        <v>0</v>
      </c>
      <c r="N108" s="487"/>
      <c r="O108" s="478">
        <f t="shared" si="13"/>
        <v>0</v>
      </c>
      <c r="P108" s="478">
        <f t="shared" si="14"/>
        <v>0</v>
      </c>
    </row>
    <row r="109" spans="1:16" ht="12.5">
      <c r="B109" s="160" t="str">
        <f t="shared" si="15"/>
        <v/>
      </c>
      <c r="C109" s="472">
        <f>IF(D93="","-",+C108+1)</f>
        <v>2025</v>
      </c>
      <c r="D109" s="346">
        <f>IF(F108+SUM(E$99:E108)=D$92,F108,D$92-SUM(E$99:E108))</f>
        <v>1331494</v>
      </c>
      <c r="E109" s="484">
        <f t="shared" si="17"/>
        <v>41269</v>
      </c>
      <c r="F109" s="485">
        <f t="shared" si="18"/>
        <v>1290225</v>
      </c>
      <c r="G109" s="485">
        <f t="shared" si="19"/>
        <v>1310859.5</v>
      </c>
      <c r="H109" s="488">
        <f t="shared" si="20"/>
        <v>176437.00067104201</v>
      </c>
      <c r="I109" s="542">
        <f t="shared" si="21"/>
        <v>176437.00067104201</v>
      </c>
      <c r="J109" s="478">
        <f t="shared" si="16"/>
        <v>0</v>
      </c>
      <c r="K109" s="478"/>
      <c r="L109" s="487"/>
      <c r="M109" s="478">
        <f t="shared" si="12"/>
        <v>0</v>
      </c>
      <c r="N109" s="487"/>
      <c r="O109" s="478">
        <f t="shared" si="13"/>
        <v>0</v>
      </c>
      <c r="P109" s="478">
        <f t="shared" si="14"/>
        <v>0</v>
      </c>
    </row>
    <row r="110" spans="1:16" ht="12.5">
      <c r="B110" s="160" t="str">
        <f t="shared" si="15"/>
        <v/>
      </c>
      <c r="C110" s="472">
        <f>IF(D93="","-",+C109+1)</f>
        <v>2026</v>
      </c>
      <c r="D110" s="346">
        <f>IF(F109+SUM(E$99:E109)=D$92,F109,D$92-SUM(E$99:E109))</f>
        <v>1290225</v>
      </c>
      <c r="E110" s="484">
        <f t="shared" si="17"/>
        <v>41269</v>
      </c>
      <c r="F110" s="485">
        <f t="shared" si="18"/>
        <v>1248956</v>
      </c>
      <c r="G110" s="485">
        <f t="shared" si="19"/>
        <v>1269590.5</v>
      </c>
      <c r="H110" s="488">
        <f t="shared" si="20"/>
        <v>172181.58792872049</v>
      </c>
      <c r="I110" s="542">
        <f t="shared" si="21"/>
        <v>172181.58792872049</v>
      </c>
      <c r="J110" s="478">
        <f t="shared" si="16"/>
        <v>0</v>
      </c>
      <c r="K110" s="478"/>
      <c r="L110" s="487"/>
      <c r="M110" s="478">
        <f t="shared" si="12"/>
        <v>0</v>
      </c>
      <c r="N110" s="487"/>
      <c r="O110" s="478">
        <f t="shared" si="13"/>
        <v>0</v>
      </c>
      <c r="P110" s="478">
        <f t="shared" si="14"/>
        <v>0</v>
      </c>
    </row>
    <row r="111" spans="1:16" ht="12.5">
      <c r="B111" s="160" t="str">
        <f t="shared" si="15"/>
        <v/>
      </c>
      <c r="C111" s="472">
        <f>IF(D93="","-",+C110+1)</f>
        <v>2027</v>
      </c>
      <c r="D111" s="346">
        <f>IF(F110+SUM(E$99:E110)=D$92,F110,D$92-SUM(E$99:E110))</f>
        <v>1248956</v>
      </c>
      <c r="E111" s="484">
        <f t="shared" si="17"/>
        <v>41269</v>
      </c>
      <c r="F111" s="485">
        <f t="shared" si="18"/>
        <v>1207687</v>
      </c>
      <c r="G111" s="485">
        <f t="shared" si="19"/>
        <v>1228321.5</v>
      </c>
      <c r="H111" s="488">
        <f t="shared" si="20"/>
        <v>167926.17518639896</v>
      </c>
      <c r="I111" s="542">
        <f t="shared" si="21"/>
        <v>167926.17518639896</v>
      </c>
      <c r="J111" s="478">
        <f t="shared" si="16"/>
        <v>0</v>
      </c>
      <c r="K111" s="478"/>
      <c r="L111" s="487"/>
      <c r="M111" s="478">
        <f t="shared" si="12"/>
        <v>0</v>
      </c>
      <c r="N111" s="487"/>
      <c r="O111" s="478">
        <f t="shared" si="13"/>
        <v>0</v>
      </c>
      <c r="P111" s="478">
        <f t="shared" si="14"/>
        <v>0</v>
      </c>
    </row>
    <row r="112" spans="1:16" ht="12.5">
      <c r="B112" s="160" t="str">
        <f t="shared" si="15"/>
        <v/>
      </c>
      <c r="C112" s="472">
        <f>IF(D93="","-",+C111+1)</f>
        <v>2028</v>
      </c>
      <c r="D112" s="346">
        <f>IF(F111+SUM(E$99:E111)=D$92,F111,D$92-SUM(E$99:E111))</f>
        <v>1207687</v>
      </c>
      <c r="E112" s="484">
        <f t="shared" si="17"/>
        <v>41269</v>
      </c>
      <c r="F112" s="485">
        <f t="shared" si="18"/>
        <v>1166418</v>
      </c>
      <c r="G112" s="485">
        <f t="shared" si="19"/>
        <v>1187052.5</v>
      </c>
      <c r="H112" s="488">
        <f t="shared" si="20"/>
        <v>163670.76244407741</v>
      </c>
      <c r="I112" s="542">
        <f t="shared" si="21"/>
        <v>163670.76244407741</v>
      </c>
      <c r="J112" s="478">
        <f t="shared" si="16"/>
        <v>0</v>
      </c>
      <c r="K112" s="478"/>
      <c r="L112" s="487"/>
      <c r="M112" s="478">
        <f t="shared" si="12"/>
        <v>0</v>
      </c>
      <c r="N112" s="487"/>
      <c r="O112" s="478">
        <f t="shared" si="13"/>
        <v>0</v>
      </c>
      <c r="P112" s="478">
        <f t="shared" si="14"/>
        <v>0</v>
      </c>
    </row>
    <row r="113" spans="2:16" ht="12.5">
      <c r="B113" s="160" t="str">
        <f t="shared" si="15"/>
        <v/>
      </c>
      <c r="C113" s="472">
        <f>IF(D93="","-",+C112+1)</f>
        <v>2029</v>
      </c>
      <c r="D113" s="346">
        <f>IF(F112+SUM(E$99:E112)=D$92,F112,D$92-SUM(E$99:E112))</f>
        <v>1166418</v>
      </c>
      <c r="E113" s="484">
        <f t="shared" si="17"/>
        <v>41269</v>
      </c>
      <c r="F113" s="485">
        <f t="shared" si="18"/>
        <v>1125149</v>
      </c>
      <c r="G113" s="485">
        <f t="shared" si="19"/>
        <v>1145783.5</v>
      </c>
      <c r="H113" s="488">
        <f t="shared" si="20"/>
        <v>159415.34970175588</v>
      </c>
      <c r="I113" s="542">
        <f t="shared" si="21"/>
        <v>159415.34970175588</v>
      </c>
      <c r="J113" s="478">
        <f t="shared" si="16"/>
        <v>0</v>
      </c>
      <c r="K113" s="478"/>
      <c r="L113" s="487"/>
      <c r="M113" s="478">
        <f t="shared" si="12"/>
        <v>0</v>
      </c>
      <c r="N113" s="487"/>
      <c r="O113" s="478">
        <f t="shared" si="13"/>
        <v>0</v>
      </c>
      <c r="P113" s="478">
        <f t="shared" si="14"/>
        <v>0</v>
      </c>
    </row>
    <row r="114" spans="2:16" ht="12.5">
      <c r="B114" s="160" t="str">
        <f t="shared" si="15"/>
        <v/>
      </c>
      <c r="C114" s="472">
        <f>IF(D93="","-",+C113+1)</f>
        <v>2030</v>
      </c>
      <c r="D114" s="346">
        <f>IF(F113+SUM(E$99:E113)=D$92,F113,D$92-SUM(E$99:E113))</f>
        <v>1125149</v>
      </c>
      <c r="E114" s="484">
        <f t="shared" si="17"/>
        <v>41269</v>
      </c>
      <c r="F114" s="485">
        <f t="shared" si="18"/>
        <v>1083880</v>
      </c>
      <c r="G114" s="485">
        <f t="shared" si="19"/>
        <v>1104514.5</v>
      </c>
      <c r="H114" s="488">
        <f t="shared" si="20"/>
        <v>155159.93695943436</v>
      </c>
      <c r="I114" s="542">
        <f t="shared" si="21"/>
        <v>155159.93695943436</v>
      </c>
      <c r="J114" s="478">
        <f t="shared" si="16"/>
        <v>0</v>
      </c>
      <c r="K114" s="478"/>
      <c r="L114" s="487"/>
      <c r="M114" s="478">
        <f t="shared" si="12"/>
        <v>0</v>
      </c>
      <c r="N114" s="487"/>
      <c r="O114" s="478">
        <f t="shared" si="13"/>
        <v>0</v>
      </c>
      <c r="P114" s="478">
        <f t="shared" si="14"/>
        <v>0</v>
      </c>
    </row>
    <row r="115" spans="2:16" ht="12.5">
      <c r="B115" s="160" t="str">
        <f t="shared" si="15"/>
        <v/>
      </c>
      <c r="C115" s="472">
        <f>IF(D93="","-",+C114+1)</f>
        <v>2031</v>
      </c>
      <c r="D115" s="346">
        <f>IF(F114+SUM(E$99:E114)=D$92,F114,D$92-SUM(E$99:E114))</f>
        <v>1083880</v>
      </c>
      <c r="E115" s="484">
        <f t="shared" si="17"/>
        <v>41269</v>
      </c>
      <c r="F115" s="485">
        <f t="shared" si="18"/>
        <v>1042611</v>
      </c>
      <c r="G115" s="485">
        <f t="shared" si="19"/>
        <v>1063245.5</v>
      </c>
      <c r="H115" s="488">
        <f t="shared" si="20"/>
        <v>150904.5242171128</v>
      </c>
      <c r="I115" s="542">
        <f t="shared" si="21"/>
        <v>150904.5242171128</v>
      </c>
      <c r="J115" s="478">
        <f t="shared" si="16"/>
        <v>0</v>
      </c>
      <c r="K115" s="478"/>
      <c r="L115" s="487"/>
      <c r="M115" s="478">
        <f t="shared" si="12"/>
        <v>0</v>
      </c>
      <c r="N115" s="487"/>
      <c r="O115" s="478">
        <f t="shared" si="13"/>
        <v>0</v>
      </c>
      <c r="P115" s="478">
        <f t="shared" si="14"/>
        <v>0</v>
      </c>
    </row>
    <row r="116" spans="2:16" ht="12.5">
      <c r="B116" s="160" t="str">
        <f t="shared" si="15"/>
        <v/>
      </c>
      <c r="C116" s="472">
        <f>IF(D93="","-",+C115+1)</f>
        <v>2032</v>
      </c>
      <c r="D116" s="346">
        <f>IF(F115+SUM(E$99:E115)=D$92,F115,D$92-SUM(E$99:E115))</f>
        <v>1042611</v>
      </c>
      <c r="E116" s="484">
        <f t="shared" si="17"/>
        <v>41269</v>
      </c>
      <c r="F116" s="485">
        <f t="shared" si="18"/>
        <v>1001342</v>
      </c>
      <c r="G116" s="485">
        <f t="shared" si="19"/>
        <v>1021976.5</v>
      </c>
      <c r="H116" s="488">
        <f t="shared" si="20"/>
        <v>146649.11147479131</v>
      </c>
      <c r="I116" s="542">
        <f t="shared" si="21"/>
        <v>146649.11147479131</v>
      </c>
      <c r="J116" s="478">
        <f t="shared" si="16"/>
        <v>0</v>
      </c>
      <c r="K116" s="478"/>
      <c r="L116" s="487"/>
      <c r="M116" s="478">
        <f t="shared" si="12"/>
        <v>0</v>
      </c>
      <c r="N116" s="487"/>
      <c r="O116" s="478">
        <f t="shared" si="13"/>
        <v>0</v>
      </c>
      <c r="P116" s="478">
        <f t="shared" si="14"/>
        <v>0</v>
      </c>
    </row>
    <row r="117" spans="2:16" ht="12.5">
      <c r="B117" s="160" t="str">
        <f t="shared" si="15"/>
        <v/>
      </c>
      <c r="C117" s="472">
        <f>IF(D93="","-",+C116+1)</f>
        <v>2033</v>
      </c>
      <c r="D117" s="346">
        <f>IF(F116+SUM(E$99:E116)=D$92,F116,D$92-SUM(E$99:E116))</f>
        <v>1001342</v>
      </c>
      <c r="E117" s="484">
        <f t="shared" si="17"/>
        <v>41269</v>
      </c>
      <c r="F117" s="485">
        <f t="shared" si="18"/>
        <v>960073</v>
      </c>
      <c r="G117" s="485">
        <f t="shared" si="19"/>
        <v>980707.5</v>
      </c>
      <c r="H117" s="488">
        <f t="shared" si="20"/>
        <v>142393.69873246975</v>
      </c>
      <c r="I117" s="542">
        <f t="shared" si="21"/>
        <v>142393.69873246975</v>
      </c>
      <c r="J117" s="478">
        <f t="shared" si="16"/>
        <v>0</v>
      </c>
      <c r="K117" s="478"/>
      <c r="L117" s="487"/>
      <c r="M117" s="478">
        <f t="shared" si="12"/>
        <v>0</v>
      </c>
      <c r="N117" s="487"/>
      <c r="O117" s="478">
        <f t="shared" si="13"/>
        <v>0</v>
      </c>
      <c r="P117" s="478">
        <f t="shared" si="14"/>
        <v>0</v>
      </c>
    </row>
    <row r="118" spans="2:16" ht="12.5">
      <c r="B118" s="160" t="str">
        <f t="shared" si="15"/>
        <v/>
      </c>
      <c r="C118" s="472">
        <f>IF(D93="","-",+C117+1)</f>
        <v>2034</v>
      </c>
      <c r="D118" s="346">
        <f>IF(F117+SUM(E$99:E117)=D$92,F117,D$92-SUM(E$99:E117))</f>
        <v>960073</v>
      </c>
      <c r="E118" s="484">
        <f t="shared" si="17"/>
        <v>41269</v>
      </c>
      <c r="F118" s="485">
        <f t="shared" si="18"/>
        <v>918804</v>
      </c>
      <c r="G118" s="485">
        <f t="shared" si="19"/>
        <v>939438.5</v>
      </c>
      <c r="H118" s="488">
        <f t="shared" si="20"/>
        <v>138138.28599014823</v>
      </c>
      <c r="I118" s="542">
        <f t="shared" si="21"/>
        <v>138138.28599014823</v>
      </c>
      <c r="J118" s="478">
        <f t="shared" si="16"/>
        <v>0</v>
      </c>
      <c r="K118" s="478"/>
      <c r="L118" s="487"/>
      <c r="M118" s="478">
        <f t="shared" si="12"/>
        <v>0</v>
      </c>
      <c r="N118" s="487"/>
      <c r="O118" s="478">
        <f t="shared" si="13"/>
        <v>0</v>
      </c>
      <c r="P118" s="478">
        <f t="shared" si="14"/>
        <v>0</v>
      </c>
    </row>
    <row r="119" spans="2:16" ht="12.5">
      <c r="B119" s="160" t="str">
        <f t="shared" si="15"/>
        <v/>
      </c>
      <c r="C119" s="472">
        <f>IF(D93="","-",+C118+1)</f>
        <v>2035</v>
      </c>
      <c r="D119" s="346">
        <f>IF(F118+SUM(E$99:E118)=D$92,F118,D$92-SUM(E$99:E118))</f>
        <v>918804</v>
      </c>
      <c r="E119" s="484">
        <f t="shared" si="17"/>
        <v>41269</v>
      </c>
      <c r="F119" s="485">
        <f t="shared" si="18"/>
        <v>877535</v>
      </c>
      <c r="G119" s="485">
        <f t="shared" si="19"/>
        <v>898169.5</v>
      </c>
      <c r="H119" s="488">
        <f t="shared" si="20"/>
        <v>133882.8732478267</v>
      </c>
      <c r="I119" s="542">
        <f t="shared" si="21"/>
        <v>133882.8732478267</v>
      </c>
      <c r="J119" s="478">
        <f t="shared" si="16"/>
        <v>0</v>
      </c>
      <c r="K119" s="478"/>
      <c r="L119" s="487"/>
      <c r="M119" s="478">
        <f t="shared" si="12"/>
        <v>0</v>
      </c>
      <c r="N119" s="487"/>
      <c r="O119" s="478">
        <f t="shared" si="13"/>
        <v>0</v>
      </c>
      <c r="P119" s="478">
        <f t="shared" si="14"/>
        <v>0</v>
      </c>
    </row>
    <row r="120" spans="2:16" ht="12.5">
      <c r="B120" s="160" t="str">
        <f t="shared" si="15"/>
        <v/>
      </c>
      <c r="C120" s="472">
        <f>IF(D93="","-",+C119+1)</f>
        <v>2036</v>
      </c>
      <c r="D120" s="346">
        <f>IF(F119+SUM(E$99:E119)=D$92,F119,D$92-SUM(E$99:E119))</f>
        <v>877535</v>
      </c>
      <c r="E120" s="484">
        <f t="shared" si="17"/>
        <v>41269</v>
      </c>
      <c r="F120" s="485">
        <f t="shared" si="18"/>
        <v>836266</v>
      </c>
      <c r="G120" s="485">
        <f t="shared" si="19"/>
        <v>856900.5</v>
      </c>
      <c r="H120" s="488">
        <f t="shared" si="20"/>
        <v>129627.46050550517</v>
      </c>
      <c r="I120" s="542">
        <f t="shared" si="21"/>
        <v>129627.46050550517</v>
      </c>
      <c r="J120" s="478">
        <f t="shared" si="16"/>
        <v>0</v>
      </c>
      <c r="K120" s="478"/>
      <c r="L120" s="487"/>
      <c r="M120" s="478">
        <f t="shared" si="12"/>
        <v>0</v>
      </c>
      <c r="N120" s="487"/>
      <c r="O120" s="478">
        <f t="shared" si="13"/>
        <v>0</v>
      </c>
      <c r="P120" s="478">
        <f t="shared" si="14"/>
        <v>0</v>
      </c>
    </row>
    <row r="121" spans="2:16" ht="12.5">
      <c r="B121" s="160" t="str">
        <f t="shared" si="15"/>
        <v/>
      </c>
      <c r="C121" s="472">
        <f>IF(D93="","-",+C120+1)</f>
        <v>2037</v>
      </c>
      <c r="D121" s="346">
        <f>IF(F120+SUM(E$99:E120)=D$92,F120,D$92-SUM(E$99:E120))</f>
        <v>836266</v>
      </c>
      <c r="E121" s="484">
        <f t="shared" si="17"/>
        <v>41269</v>
      </c>
      <c r="F121" s="485">
        <f t="shared" si="18"/>
        <v>794997</v>
      </c>
      <c r="G121" s="485">
        <f t="shared" si="19"/>
        <v>815631.5</v>
      </c>
      <c r="H121" s="488">
        <f t="shared" si="20"/>
        <v>125372.04776318363</v>
      </c>
      <c r="I121" s="542">
        <f t="shared" si="21"/>
        <v>125372.04776318363</v>
      </c>
      <c r="J121" s="478">
        <f t="shared" si="16"/>
        <v>0</v>
      </c>
      <c r="K121" s="478"/>
      <c r="L121" s="487"/>
      <c r="M121" s="478">
        <f t="shared" si="12"/>
        <v>0</v>
      </c>
      <c r="N121" s="487"/>
      <c r="O121" s="478">
        <f t="shared" si="13"/>
        <v>0</v>
      </c>
      <c r="P121" s="478">
        <f t="shared" si="14"/>
        <v>0</v>
      </c>
    </row>
    <row r="122" spans="2:16" ht="12.5">
      <c r="B122" s="160" t="str">
        <f t="shared" si="15"/>
        <v/>
      </c>
      <c r="C122" s="472">
        <f>IF(D93="","-",+C121+1)</f>
        <v>2038</v>
      </c>
      <c r="D122" s="346">
        <f>IF(F121+SUM(E$99:E121)=D$92,F121,D$92-SUM(E$99:E121))</f>
        <v>794997</v>
      </c>
      <c r="E122" s="484">
        <f t="shared" si="17"/>
        <v>41269</v>
      </c>
      <c r="F122" s="485">
        <f t="shared" si="18"/>
        <v>753728</v>
      </c>
      <c r="G122" s="485">
        <f t="shared" si="19"/>
        <v>774362.5</v>
      </c>
      <c r="H122" s="488">
        <f t="shared" si="20"/>
        <v>121116.6350208621</v>
      </c>
      <c r="I122" s="542">
        <f t="shared" si="21"/>
        <v>121116.6350208621</v>
      </c>
      <c r="J122" s="478">
        <f t="shared" si="16"/>
        <v>0</v>
      </c>
      <c r="K122" s="478"/>
      <c r="L122" s="487"/>
      <c r="M122" s="478">
        <f t="shared" si="12"/>
        <v>0</v>
      </c>
      <c r="N122" s="487"/>
      <c r="O122" s="478">
        <f t="shared" si="13"/>
        <v>0</v>
      </c>
      <c r="P122" s="478">
        <f t="shared" si="14"/>
        <v>0</v>
      </c>
    </row>
    <row r="123" spans="2:16" ht="12.5">
      <c r="B123" s="160" t="str">
        <f t="shared" si="15"/>
        <v/>
      </c>
      <c r="C123" s="472">
        <f>IF(D93="","-",+C122+1)</f>
        <v>2039</v>
      </c>
      <c r="D123" s="346">
        <f>IF(F122+SUM(E$99:E122)=D$92,F122,D$92-SUM(E$99:E122))</f>
        <v>753728</v>
      </c>
      <c r="E123" s="484">
        <f t="shared" si="17"/>
        <v>41269</v>
      </c>
      <c r="F123" s="485">
        <f t="shared" si="18"/>
        <v>712459</v>
      </c>
      <c r="G123" s="485">
        <f t="shared" si="19"/>
        <v>733093.5</v>
      </c>
      <c r="H123" s="488">
        <f t="shared" si="20"/>
        <v>116861.22227854056</v>
      </c>
      <c r="I123" s="542">
        <f t="shared" si="21"/>
        <v>116861.22227854056</v>
      </c>
      <c r="J123" s="478">
        <f t="shared" si="16"/>
        <v>0</v>
      </c>
      <c r="K123" s="478"/>
      <c r="L123" s="487"/>
      <c r="M123" s="478">
        <f t="shared" si="12"/>
        <v>0</v>
      </c>
      <c r="N123" s="487"/>
      <c r="O123" s="478">
        <f t="shared" si="13"/>
        <v>0</v>
      </c>
      <c r="P123" s="478">
        <f t="shared" si="14"/>
        <v>0</v>
      </c>
    </row>
    <row r="124" spans="2:16" ht="12.5">
      <c r="B124" s="160" t="str">
        <f t="shared" si="15"/>
        <v/>
      </c>
      <c r="C124" s="472">
        <f>IF(D93="","-",+C123+1)</f>
        <v>2040</v>
      </c>
      <c r="D124" s="346">
        <f>IF(F123+SUM(E$99:E123)=D$92,F123,D$92-SUM(E$99:E123))</f>
        <v>712459</v>
      </c>
      <c r="E124" s="484">
        <f t="shared" si="17"/>
        <v>41269</v>
      </c>
      <c r="F124" s="485">
        <f t="shared" si="18"/>
        <v>671190</v>
      </c>
      <c r="G124" s="485">
        <f t="shared" si="19"/>
        <v>691824.5</v>
      </c>
      <c r="H124" s="488">
        <f t="shared" si="20"/>
        <v>112605.80953621904</v>
      </c>
      <c r="I124" s="542">
        <f t="shared" si="21"/>
        <v>112605.80953621904</v>
      </c>
      <c r="J124" s="478">
        <f t="shared" si="16"/>
        <v>0</v>
      </c>
      <c r="K124" s="478"/>
      <c r="L124" s="487"/>
      <c r="M124" s="478">
        <f t="shared" si="12"/>
        <v>0</v>
      </c>
      <c r="N124" s="487"/>
      <c r="O124" s="478">
        <f t="shared" si="13"/>
        <v>0</v>
      </c>
      <c r="P124" s="478">
        <f t="shared" si="14"/>
        <v>0</v>
      </c>
    </row>
    <row r="125" spans="2:16" ht="12.5">
      <c r="B125" s="160" t="str">
        <f t="shared" si="15"/>
        <v/>
      </c>
      <c r="C125" s="472">
        <f>IF(D93="","-",+C124+1)</f>
        <v>2041</v>
      </c>
      <c r="D125" s="346">
        <f>IF(F124+SUM(E$99:E124)=D$92,F124,D$92-SUM(E$99:E124))</f>
        <v>671190</v>
      </c>
      <c r="E125" s="484">
        <f t="shared" si="17"/>
        <v>41269</v>
      </c>
      <c r="F125" s="485">
        <f t="shared" si="18"/>
        <v>629921</v>
      </c>
      <c r="G125" s="485">
        <f t="shared" si="19"/>
        <v>650555.5</v>
      </c>
      <c r="H125" s="488">
        <f t="shared" si="20"/>
        <v>108350.3967938975</v>
      </c>
      <c r="I125" s="542">
        <f t="shared" si="21"/>
        <v>108350.3967938975</v>
      </c>
      <c r="J125" s="478">
        <f t="shared" si="16"/>
        <v>0</v>
      </c>
      <c r="K125" s="478"/>
      <c r="L125" s="487"/>
      <c r="M125" s="478">
        <f t="shared" si="12"/>
        <v>0</v>
      </c>
      <c r="N125" s="487"/>
      <c r="O125" s="478">
        <f t="shared" si="13"/>
        <v>0</v>
      </c>
      <c r="P125" s="478">
        <f t="shared" si="14"/>
        <v>0</v>
      </c>
    </row>
    <row r="126" spans="2:16" ht="12.5">
      <c r="B126" s="160" t="str">
        <f t="shared" si="15"/>
        <v/>
      </c>
      <c r="C126" s="472">
        <f>IF(D93="","-",+C125+1)</f>
        <v>2042</v>
      </c>
      <c r="D126" s="346">
        <f>IF(F125+SUM(E$99:E125)=D$92,F125,D$92-SUM(E$99:E125))</f>
        <v>629921</v>
      </c>
      <c r="E126" s="484">
        <f t="shared" si="17"/>
        <v>41269</v>
      </c>
      <c r="F126" s="485">
        <f t="shared" si="18"/>
        <v>588652</v>
      </c>
      <c r="G126" s="485">
        <f t="shared" si="19"/>
        <v>609286.5</v>
      </c>
      <c r="H126" s="488">
        <f t="shared" si="20"/>
        <v>104094.98405157597</v>
      </c>
      <c r="I126" s="542">
        <f t="shared" si="21"/>
        <v>104094.98405157597</v>
      </c>
      <c r="J126" s="478">
        <f t="shared" si="16"/>
        <v>0</v>
      </c>
      <c r="K126" s="478"/>
      <c r="L126" s="487"/>
      <c r="M126" s="478">
        <f t="shared" si="12"/>
        <v>0</v>
      </c>
      <c r="N126" s="487"/>
      <c r="O126" s="478">
        <f t="shared" si="13"/>
        <v>0</v>
      </c>
      <c r="P126" s="478">
        <f t="shared" si="14"/>
        <v>0</v>
      </c>
    </row>
    <row r="127" spans="2:16" ht="12.5">
      <c r="B127" s="160" t="str">
        <f t="shared" si="15"/>
        <v/>
      </c>
      <c r="C127" s="472">
        <f>IF(D93="","-",+C126+1)</f>
        <v>2043</v>
      </c>
      <c r="D127" s="346">
        <f>IF(F126+SUM(E$99:E126)=D$92,F126,D$92-SUM(E$99:E126))</f>
        <v>588652</v>
      </c>
      <c r="E127" s="484">
        <f t="shared" si="17"/>
        <v>41269</v>
      </c>
      <c r="F127" s="485">
        <f t="shared" si="18"/>
        <v>547383</v>
      </c>
      <c r="G127" s="485">
        <f t="shared" si="19"/>
        <v>568017.5</v>
      </c>
      <c r="H127" s="488">
        <f t="shared" si="20"/>
        <v>99839.571309254432</v>
      </c>
      <c r="I127" s="542">
        <f t="shared" si="21"/>
        <v>99839.571309254432</v>
      </c>
      <c r="J127" s="478">
        <f t="shared" si="16"/>
        <v>0</v>
      </c>
      <c r="K127" s="478"/>
      <c r="L127" s="487"/>
      <c r="M127" s="478">
        <f t="shared" si="12"/>
        <v>0</v>
      </c>
      <c r="N127" s="487"/>
      <c r="O127" s="478">
        <f t="shared" si="13"/>
        <v>0</v>
      </c>
      <c r="P127" s="478">
        <f t="shared" si="14"/>
        <v>0</v>
      </c>
    </row>
    <row r="128" spans="2:16" ht="12.5">
      <c r="B128" s="160" t="str">
        <f t="shared" si="15"/>
        <v/>
      </c>
      <c r="C128" s="472">
        <f>IF(D93="","-",+C127+1)</f>
        <v>2044</v>
      </c>
      <c r="D128" s="346">
        <f>IF(F127+SUM(E$99:E127)=D$92,F127,D$92-SUM(E$99:E127))</f>
        <v>547383</v>
      </c>
      <c r="E128" s="484">
        <f t="shared" si="17"/>
        <v>41269</v>
      </c>
      <c r="F128" s="485">
        <f t="shared" si="18"/>
        <v>506114</v>
      </c>
      <c r="G128" s="485">
        <f t="shared" si="19"/>
        <v>526748.5</v>
      </c>
      <c r="H128" s="488">
        <f t="shared" si="20"/>
        <v>95584.158566932892</v>
      </c>
      <c r="I128" s="542">
        <f t="shared" si="21"/>
        <v>95584.158566932892</v>
      </c>
      <c r="J128" s="478">
        <f t="shared" si="16"/>
        <v>0</v>
      </c>
      <c r="K128" s="478"/>
      <c r="L128" s="487"/>
      <c r="M128" s="478">
        <f t="shared" si="12"/>
        <v>0</v>
      </c>
      <c r="N128" s="487"/>
      <c r="O128" s="478">
        <f t="shared" si="13"/>
        <v>0</v>
      </c>
      <c r="P128" s="478">
        <f t="shared" si="14"/>
        <v>0</v>
      </c>
    </row>
    <row r="129" spans="2:16" ht="12.5">
      <c r="B129" s="160" t="str">
        <f t="shared" si="15"/>
        <v/>
      </c>
      <c r="C129" s="472">
        <f>IF(D93="","-",+C128+1)</f>
        <v>2045</v>
      </c>
      <c r="D129" s="346">
        <f>IF(F128+SUM(E$99:E128)=D$92,F128,D$92-SUM(E$99:E128))</f>
        <v>506114</v>
      </c>
      <c r="E129" s="484">
        <f t="shared" si="17"/>
        <v>41269</v>
      </c>
      <c r="F129" s="485">
        <f t="shared" si="18"/>
        <v>464845</v>
      </c>
      <c r="G129" s="485">
        <f t="shared" si="19"/>
        <v>485479.5</v>
      </c>
      <c r="H129" s="488">
        <f t="shared" si="20"/>
        <v>91328.745824611367</v>
      </c>
      <c r="I129" s="542">
        <f t="shared" si="21"/>
        <v>91328.745824611367</v>
      </c>
      <c r="J129" s="478">
        <f t="shared" si="16"/>
        <v>0</v>
      </c>
      <c r="K129" s="478"/>
      <c r="L129" s="487"/>
      <c r="M129" s="478">
        <f t="shared" si="12"/>
        <v>0</v>
      </c>
      <c r="N129" s="487"/>
      <c r="O129" s="478">
        <f t="shared" si="13"/>
        <v>0</v>
      </c>
      <c r="P129" s="478">
        <f t="shared" si="14"/>
        <v>0</v>
      </c>
    </row>
    <row r="130" spans="2:16" ht="12.5">
      <c r="B130" s="160" t="str">
        <f t="shared" si="15"/>
        <v/>
      </c>
      <c r="C130" s="472">
        <f>IF(D93="","-",+C129+1)</f>
        <v>2046</v>
      </c>
      <c r="D130" s="346">
        <f>IF(F129+SUM(E$99:E129)=D$92,F129,D$92-SUM(E$99:E129))</f>
        <v>464845</v>
      </c>
      <c r="E130" s="484">
        <f t="shared" si="17"/>
        <v>41269</v>
      </c>
      <c r="F130" s="485">
        <f t="shared" si="18"/>
        <v>423576</v>
      </c>
      <c r="G130" s="485">
        <f t="shared" si="19"/>
        <v>444210.5</v>
      </c>
      <c r="H130" s="488">
        <f t="shared" si="20"/>
        <v>87073.333082289842</v>
      </c>
      <c r="I130" s="542">
        <f t="shared" si="21"/>
        <v>87073.333082289842</v>
      </c>
      <c r="J130" s="478">
        <f t="shared" si="16"/>
        <v>0</v>
      </c>
      <c r="K130" s="478"/>
      <c r="L130" s="487"/>
      <c r="M130" s="478">
        <f t="shared" si="12"/>
        <v>0</v>
      </c>
      <c r="N130" s="487"/>
      <c r="O130" s="478">
        <f t="shared" si="13"/>
        <v>0</v>
      </c>
      <c r="P130" s="478">
        <f t="shared" si="14"/>
        <v>0</v>
      </c>
    </row>
    <row r="131" spans="2:16" ht="12.5">
      <c r="B131" s="160" t="str">
        <f t="shared" si="15"/>
        <v/>
      </c>
      <c r="C131" s="472">
        <f>IF(D93="","-",+C130+1)</f>
        <v>2047</v>
      </c>
      <c r="D131" s="346">
        <f>IF(F130+SUM(E$99:E130)=D$92,F130,D$92-SUM(E$99:E130))</f>
        <v>423576</v>
      </c>
      <c r="E131" s="484">
        <f t="shared" si="17"/>
        <v>41269</v>
      </c>
      <c r="F131" s="485">
        <f t="shared" si="18"/>
        <v>382307</v>
      </c>
      <c r="G131" s="485">
        <f t="shared" si="19"/>
        <v>402941.5</v>
      </c>
      <c r="H131" s="488">
        <f t="shared" si="20"/>
        <v>82817.920339968303</v>
      </c>
      <c r="I131" s="542">
        <f t="shared" si="21"/>
        <v>82817.920339968303</v>
      </c>
      <c r="J131" s="478">
        <f t="shared" si="16"/>
        <v>0</v>
      </c>
      <c r="K131" s="478"/>
      <c r="L131" s="487"/>
      <c r="M131" s="478">
        <f t="shared" ref="M131:M154" si="22">IF(L541&lt;&gt;0,+H541-L541,0)</f>
        <v>0</v>
      </c>
      <c r="N131" s="487"/>
      <c r="O131" s="478">
        <f t="shared" ref="O131:O154" si="23">IF(N541&lt;&gt;0,+I541-N541,0)</f>
        <v>0</v>
      </c>
      <c r="P131" s="478">
        <f t="shared" ref="P131:P154" si="24">+O541-M541</f>
        <v>0</v>
      </c>
    </row>
    <row r="132" spans="2:16" ht="12.5">
      <c r="B132" s="160" t="str">
        <f t="shared" si="15"/>
        <v/>
      </c>
      <c r="C132" s="472">
        <f>IF(D93="","-",+C131+1)</f>
        <v>2048</v>
      </c>
      <c r="D132" s="346">
        <f>IF(F131+SUM(E$99:E131)=D$92,F131,D$92-SUM(E$99:E131))</f>
        <v>382307</v>
      </c>
      <c r="E132" s="484">
        <f t="shared" si="17"/>
        <v>41269</v>
      </c>
      <c r="F132" s="485">
        <f t="shared" si="18"/>
        <v>341038</v>
      </c>
      <c r="G132" s="485">
        <f t="shared" si="19"/>
        <v>361672.5</v>
      </c>
      <c r="H132" s="488">
        <f t="shared" si="20"/>
        <v>78562.507597646763</v>
      </c>
      <c r="I132" s="542">
        <f t="shared" si="21"/>
        <v>78562.507597646763</v>
      </c>
      <c r="J132" s="478">
        <f t="shared" si="16"/>
        <v>0</v>
      </c>
      <c r="K132" s="478"/>
      <c r="L132" s="487"/>
      <c r="M132" s="478">
        <f t="shared" si="22"/>
        <v>0</v>
      </c>
      <c r="N132" s="487"/>
      <c r="O132" s="478">
        <f t="shared" si="23"/>
        <v>0</v>
      </c>
      <c r="P132" s="478">
        <f t="shared" si="24"/>
        <v>0</v>
      </c>
    </row>
    <row r="133" spans="2:16" ht="12.5">
      <c r="B133" s="160" t="str">
        <f t="shared" si="15"/>
        <v/>
      </c>
      <c r="C133" s="472">
        <f>IF(D93="","-",+C132+1)</f>
        <v>2049</v>
      </c>
      <c r="D133" s="346">
        <f>IF(F132+SUM(E$99:E132)=D$92,F132,D$92-SUM(E$99:E132))</f>
        <v>341038</v>
      </c>
      <c r="E133" s="484">
        <f t="shared" si="17"/>
        <v>41269</v>
      </c>
      <c r="F133" s="485">
        <f t="shared" si="18"/>
        <v>299769</v>
      </c>
      <c r="G133" s="485">
        <f t="shared" si="19"/>
        <v>320403.5</v>
      </c>
      <c r="H133" s="488">
        <f t="shared" si="20"/>
        <v>74307.094855325238</v>
      </c>
      <c r="I133" s="542">
        <f t="shared" si="21"/>
        <v>74307.094855325238</v>
      </c>
      <c r="J133" s="478">
        <f t="shared" si="16"/>
        <v>0</v>
      </c>
      <c r="K133" s="478"/>
      <c r="L133" s="487"/>
      <c r="M133" s="478">
        <f t="shared" si="22"/>
        <v>0</v>
      </c>
      <c r="N133" s="487"/>
      <c r="O133" s="478">
        <f t="shared" si="23"/>
        <v>0</v>
      </c>
      <c r="P133" s="478">
        <f t="shared" si="24"/>
        <v>0</v>
      </c>
    </row>
    <row r="134" spans="2:16" ht="12.5">
      <c r="B134" s="160" t="str">
        <f t="shared" si="15"/>
        <v/>
      </c>
      <c r="C134" s="472">
        <f>IF(D93="","-",+C133+1)</f>
        <v>2050</v>
      </c>
      <c r="D134" s="346">
        <f>IF(F133+SUM(E$99:E133)=D$92,F133,D$92-SUM(E$99:E133))</f>
        <v>299769</v>
      </c>
      <c r="E134" s="484">
        <f t="shared" si="17"/>
        <v>41269</v>
      </c>
      <c r="F134" s="485">
        <f t="shared" si="18"/>
        <v>258500</v>
      </c>
      <c r="G134" s="485">
        <f t="shared" si="19"/>
        <v>279134.5</v>
      </c>
      <c r="H134" s="488">
        <f t="shared" si="20"/>
        <v>70051.682113003699</v>
      </c>
      <c r="I134" s="542">
        <f t="shared" si="21"/>
        <v>70051.682113003699</v>
      </c>
      <c r="J134" s="478">
        <f t="shared" si="16"/>
        <v>0</v>
      </c>
      <c r="K134" s="478"/>
      <c r="L134" s="487"/>
      <c r="M134" s="478">
        <f t="shared" si="22"/>
        <v>0</v>
      </c>
      <c r="N134" s="487"/>
      <c r="O134" s="478">
        <f t="shared" si="23"/>
        <v>0</v>
      </c>
      <c r="P134" s="478">
        <f t="shared" si="24"/>
        <v>0</v>
      </c>
    </row>
    <row r="135" spans="2:16" ht="12.5">
      <c r="B135" s="160" t="str">
        <f t="shared" si="15"/>
        <v/>
      </c>
      <c r="C135" s="472">
        <f>IF(D93="","-",+C134+1)</f>
        <v>2051</v>
      </c>
      <c r="D135" s="346">
        <f>IF(F134+SUM(E$99:E134)=D$92,F134,D$92-SUM(E$99:E134))</f>
        <v>258500</v>
      </c>
      <c r="E135" s="484">
        <f t="shared" si="17"/>
        <v>41269</v>
      </c>
      <c r="F135" s="485">
        <f t="shared" si="18"/>
        <v>217231</v>
      </c>
      <c r="G135" s="485">
        <f t="shared" si="19"/>
        <v>237865.5</v>
      </c>
      <c r="H135" s="488">
        <f t="shared" si="20"/>
        <v>65796.269370682174</v>
      </c>
      <c r="I135" s="542">
        <f t="shared" si="21"/>
        <v>65796.269370682174</v>
      </c>
      <c r="J135" s="478">
        <f t="shared" si="16"/>
        <v>0</v>
      </c>
      <c r="K135" s="478"/>
      <c r="L135" s="487"/>
      <c r="M135" s="478">
        <f t="shared" si="22"/>
        <v>0</v>
      </c>
      <c r="N135" s="487"/>
      <c r="O135" s="478">
        <f t="shared" si="23"/>
        <v>0</v>
      </c>
      <c r="P135" s="478">
        <f t="shared" si="24"/>
        <v>0</v>
      </c>
    </row>
    <row r="136" spans="2:16" ht="12.5">
      <c r="B136" s="160" t="str">
        <f t="shared" si="15"/>
        <v/>
      </c>
      <c r="C136" s="472">
        <f>IF(D93="","-",+C135+1)</f>
        <v>2052</v>
      </c>
      <c r="D136" s="346">
        <f>IF(F135+SUM(E$99:E135)=D$92,F135,D$92-SUM(E$99:E135))</f>
        <v>217231</v>
      </c>
      <c r="E136" s="484">
        <f t="shared" si="17"/>
        <v>41269</v>
      </c>
      <c r="F136" s="485">
        <f t="shared" si="18"/>
        <v>175962</v>
      </c>
      <c r="G136" s="485">
        <f t="shared" si="19"/>
        <v>196596.5</v>
      </c>
      <c r="H136" s="488">
        <f t="shared" si="20"/>
        <v>61540.856628360634</v>
      </c>
      <c r="I136" s="542">
        <f t="shared" si="21"/>
        <v>61540.856628360634</v>
      </c>
      <c r="J136" s="478">
        <f t="shared" si="16"/>
        <v>0</v>
      </c>
      <c r="K136" s="478"/>
      <c r="L136" s="487"/>
      <c r="M136" s="478">
        <f t="shared" si="22"/>
        <v>0</v>
      </c>
      <c r="N136" s="487"/>
      <c r="O136" s="478">
        <f t="shared" si="23"/>
        <v>0</v>
      </c>
      <c r="P136" s="478">
        <f t="shared" si="24"/>
        <v>0</v>
      </c>
    </row>
    <row r="137" spans="2:16" ht="12.5">
      <c r="B137" s="160" t="str">
        <f t="shared" si="15"/>
        <v/>
      </c>
      <c r="C137" s="472">
        <f>IF(D93="","-",+C136+1)</f>
        <v>2053</v>
      </c>
      <c r="D137" s="346">
        <f>IF(F136+SUM(E$99:E136)=D$92,F136,D$92-SUM(E$99:E136))</f>
        <v>175962</v>
      </c>
      <c r="E137" s="484">
        <f t="shared" si="17"/>
        <v>41269</v>
      </c>
      <c r="F137" s="485">
        <f t="shared" si="18"/>
        <v>134693</v>
      </c>
      <c r="G137" s="485">
        <f t="shared" si="19"/>
        <v>155327.5</v>
      </c>
      <c r="H137" s="488">
        <f t="shared" si="20"/>
        <v>57285.443886039109</v>
      </c>
      <c r="I137" s="542">
        <f t="shared" si="21"/>
        <v>57285.443886039109</v>
      </c>
      <c r="J137" s="478">
        <f t="shared" si="16"/>
        <v>0</v>
      </c>
      <c r="K137" s="478"/>
      <c r="L137" s="487"/>
      <c r="M137" s="478">
        <f t="shared" si="22"/>
        <v>0</v>
      </c>
      <c r="N137" s="487"/>
      <c r="O137" s="478">
        <f t="shared" si="23"/>
        <v>0</v>
      </c>
      <c r="P137" s="478">
        <f t="shared" si="24"/>
        <v>0</v>
      </c>
    </row>
    <row r="138" spans="2:16" ht="12.5">
      <c r="B138" s="160" t="str">
        <f t="shared" si="15"/>
        <v/>
      </c>
      <c r="C138" s="472">
        <f>IF(D93="","-",+C137+1)</f>
        <v>2054</v>
      </c>
      <c r="D138" s="346">
        <f>IF(F137+SUM(E$99:E137)=D$92,F137,D$92-SUM(E$99:E137))</f>
        <v>134693</v>
      </c>
      <c r="E138" s="484">
        <f t="shared" si="17"/>
        <v>41269</v>
      </c>
      <c r="F138" s="485">
        <f t="shared" si="18"/>
        <v>93424</v>
      </c>
      <c r="G138" s="485">
        <f t="shared" si="19"/>
        <v>114058.5</v>
      </c>
      <c r="H138" s="488">
        <f t="shared" si="20"/>
        <v>53030.03114371757</v>
      </c>
      <c r="I138" s="542">
        <f t="shared" si="21"/>
        <v>53030.03114371757</v>
      </c>
      <c r="J138" s="478">
        <f t="shared" si="16"/>
        <v>0</v>
      </c>
      <c r="K138" s="478"/>
      <c r="L138" s="487"/>
      <c r="M138" s="478">
        <f t="shared" si="22"/>
        <v>0</v>
      </c>
      <c r="N138" s="487"/>
      <c r="O138" s="478">
        <f t="shared" si="23"/>
        <v>0</v>
      </c>
      <c r="P138" s="478">
        <f t="shared" si="24"/>
        <v>0</v>
      </c>
    </row>
    <row r="139" spans="2:16" ht="12.5">
      <c r="B139" s="160" t="str">
        <f t="shared" si="15"/>
        <v/>
      </c>
      <c r="C139" s="472">
        <f>IF(D93="","-",+C138+1)</f>
        <v>2055</v>
      </c>
      <c r="D139" s="346">
        <f>IF(F138+SUM(E$99:E138)=D$92,F138,D$92-SUM(E$99:E138))</f>
        <v>93424</v>
      </c>
      <c r="E139" s="484">
        <f t="shared" si="17"/>
        <v>41269</v>
      </c>
      <c r="F139" s="485">
        <f t="shared" si="18"/>
        <v>52155</v>
      </c>
      <c r="G139" s="485">
        <f t="shared" si="19"/>
        <v>72789.5</v>
      </c>
      <c r="H139" s="488">
        <f t="shared" si="20"/>
        <v>48774.618401396045</v>
      </c>
      <c r="I139" s="542">
        <f t="shared" si="21"/>
        <v>48774.618401396045</v>
      </c>
      <c r="J139" s="478">
        <f t="shared" si="16"/>
        <v>0</v>
      </c>
      <c r="K139" s="478"/>
      <c r="L139" s="487"/>
      <c r="M139" s="478">
        <f t="shared" si="22"/>
        <v>0</v>
      </c>
      <c r="N139" s="487"/>
      <c r="O139" s="478">
        <f t="shared" si="23"/>
        <v>0</v>
      </c>
      <c r="P139" s="478">
        <f t="shared" si="24"/>
        <v>0</v>
      </c>
    </row>
    <row r="140" spans="2:16" ht="12.5">
      <c r="B140" s="160" t="str">
        <f t="shared" si="15"/>
        <v/>
      </c>
      <c r="C140" s="472">
        <f>IF(D93="","-",+C139+1)</f>
        <v>2056</v>
      </c>
      <c r="D140" s="346">
        <f>IF(F139+SUM(E$99:E139)=D$92,F139,D$92-SUM(E$99:E139))</f>
        <v>52155</v>
      </c>
      <c r="E140" s="484">
        <f t="shared" si="17"/>
        <v>41269</v>
      </c>
      <c r="F140" s="485">
        <f t="shared" si="18"/>
        <v>10886</v>
      </c>
      <c r="G140" s="485">
        <f t="shared" si="19"/>
        <v>31520.5</v>
      </c>
      <c r="H140" s="488">
        <f t="shared" si="20"/>
        <v>44519.205659074505</v>
      </c>
      <c r="I140" s="542">
        <f t="shared" si="21"/>
        <v>44519.205659074505</v>
      </c>
      <c r="J140" s="478">
        <f t="shared" si="16"/>
        <v>0</v>
      </c>
      <c r="K140" s="478"/>
      <c r="L140" s="487"/>
      <c r="M140" s="478">
        <f t="shared" si="22"/>
        <v>0</v>
      </c>
      <c r="N140" s="487"/>
      <c r="O140" s="478">
        <f t="shared" si="23"/>
        <v>0</v>
      </c>
      <c r="P140" s="478">
        <f t="shared" si="24"/>
        <v>0</v>
      </c>
    </row>
    <row r="141" spans="2:16" ht="12.5">
      <c r="B141" s="160" t="str">
        <f t="shared" si="15"/>
        <v/>
      </c>
      <c r="C141" s="472">
        <f>IF(D93="","-",+C140+1)</f>
        <v>2057</v>
      </c>
      <c r="D141" s="346">
        <f>IF(F140+SUM(E$99:E140)=D$92,F140,D$92-SUM(E$99:E140))</f>
        <v>10886</v>
      </c>
      <c r="E141" s="484">
        <f t="shared" si="17"/>
        <v>10886</v>
      </c>
      <c r="F141" s="485">
        <f t="shared" si="18"/>
        <v>0</v>
      </c>
      <c r="G141" s="485">
        <f t="shared" si="19"/>
        <v>5443</v>
      </c>
      <c r="H141" s="488">
        <f t="shared" si="20"/>
        <v>11447.249643956871</v>
      </c>
      <c r="I141" s="542">
        <f t="shared" si="21"/>
        <v>11447.249643956871</v>
      </c>
      <c r="J141" s="478">
        <f t="shared" si="16"/>
        <v>0</v>
      </c>
      <c r="K141" s="478"/>
      <c r="L141" s="487"/>
      <c r="M141" s="478">
        <f t="shared" si="22"/>
        <v>0</v>
      </c>
      <c r="N141" s="487"/>
      <c r="O141" s="478">
        <f t="shared" si="23"/>
        <v>0</v>
      </c>
      <c r="P141" s="478">
        <f t="shared" si="24"/>
        <v>0</v>
      </c>
    </row>
    <row r="142" spans="2:16" ht="12.5">
      <c r="B142" s="160" t="str">
        <f t="shared" si="15"/>
        <v/>
      </c>
      <c r="C142" s="472">
        <f>IF(D93="","-",+C141+1)</f>
        <v>2058</v>
      </c>
      <c r="D142" s="346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488">
        <f t="shared" si="20"/>
        <v>0</v>
      </c>
      <c r="I142" s="542">
        <f t="shared" si="21"/>
        <v>0</v>
      </c>
      <c r="J142" s="478">
        <f t="shared" si="16"/>
        <v>0</v>
      </c>
      <c r="K142" s="478"/>
      <c r="L142" s="487"/>
      <c r="M142" s="478">
        <f t="shared" si="22"/>
        <v>0</v>
      </c>
      <c r="N142" s="487"/>
      <c r="O142" s="478">
        <f t="shared" si="23"/>
        <v>0</v>
      </c>
      <c r="P142" s="478">
        <f t="shared" si="24"/>
        <v>0</v>
      </c>
    </row>
    <row r="143" spans="2:16" ht="12.5">
      <c r="B143" s="160" t="str">
        <f t="shared" si="15"/>
        <v/>
      </c>
      <c r="C143" s="472">
        <f>IF(D93="","-",+C142+1)</f>
        <v>2059</v>
      </c>
      <c r="D143" s="346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488">
        <f t="shared" si="20"/>
        <v>0</v>
      </c>
      <c r="I143" s="542">
        <f t="shared" si="21"/>
        <v>0</v>
      </c>
      <c r="J143" s="478">
        <f t="shared" si="16"/>
        <v>0</v>
      </c>
      <c r="K143" s="478"/>
      <c r="L143" s="487"/>
      <c r="M143" s="478">
        <f t="shared" si="22"/>
        <v>0</v>
      </c>
      <c r="N143" s="487"/>
      <c r="O143" s="478">
        <f t="shared" si="23"/>
        <v>0</v>
      </c>
      <c r="P143" s="478">
        <f t="shared" si="24"/>
        <v>0</v>
      </c>
    </row>
    <row r="144" spans="2:16" ht="12.5">
      <c r="B144" s="160" t="str">
        <f t="shared" si="15"/>
        <v/>
      </c>
      <c r="C144" s="472">
        <f>IF(D93="","-",+C143+1)</f>
        <v>2060</v>
      </c>
      <c r="D144" s="346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488">
        <f t="shared" si="20"/>
        <v>0</v>
      </c>
      <c r="I144" s="542">
        <f t="shared" si="21"/>
        <v>0</v>
      </c>
      <c r="J144" s="478">
        <f t="shared" si="16"/>
        <v>0</v>
      </c>
      <c r="K144" s="478"/>
      <c r="L144" s="487"/>
      <c r="M144" s="478">
        <f t="shared" si="22"/>
        <v>0</v>
      </c>
      <c r="N144" s="487"/>
      <c r="O144" s="478">
        <f t="shared" si="23"/>
        <v>0</v>
      </c>
      <c r="P144" s="478">
        <f t="shared" si="24"/>
        <v>0</v>
      </c>
    </row>
    <row r="145" spans="2:16" ht="12.5">
      <c r="B145" s="160" t="str">
        <f t="shared" si="15"/>
        <v/>
      </c>
      <c r="C145" s="472">
        <f>IF(D93="","-",+C144+1)</f>
        <v>2061</v>
      </c>
      <c r="D145" s="346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488">
        <f t="shared" si="20"/>
        <v>0</v>
      </c>
      <c r="I145" s="542">
        <f t="shared" si="21"/>
        <v>0</v>
      </c>
      <c r="J145" s="478">
        <f t="shared" si="16"/>
        <v>0</v>
      </c>
      <c r="K145" s="478"/>
      <c r="L145" s="487"/>
      <c r="M145" s="478">
        <f t="shared" si="22"/>
        <v>0</v>
      </c>
      <c r="N145" s="487"/>
      <c r="O145" s="478">
        <f t="shared" si="23"/>
        <v>0</v>
      </c>
      <c r="P145" s="478">
        <f t="shared" si="24"/>
        <v>0</v>
      </c>
    </row>
    <row r="146" spans="2:16" ht="12.5">
      <c r="B146" s="160" t="str">
        <f t="shared" si="15"/>
        <v/>
      </c>
      <c r="C146" s="472">
        <f>IF(D93="","-",+C145+1)</f>
        <v>2062</v>
      </c>
      <c r="D146" s="346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488">
        <f t="shared" si="20"/>
        <v>0</v>
      </c>
      <c r="I146" s="542">
        <f t="shared" si="21"/>
        <v>0</v>
      </c>
      <c r="J146" s="478">
        <f t="shared" si="16"/>
        <v>0</v>
      </c>
      <c r="K146" s="478"/>
      <c r="L146" s="487"/>
      <c r="M146" s="478">
        <f t="shared" si="22"/>
        <v>0</v>
      </c>
      <c r="N146" s="487"/>
      <c r="O146" s="478">
        <f t="shared" si="23"/>
        <v>0</v>
      </c>
      <c r="P146" s="478">
        <f t="shared" si="24"/>
        <v>0</v>
      </c>
    </row>
    <row r="147" spans="2:16" ht="12.5">
      <c r="B147" s="160" t="str">
        <f t="shared" si="15"/>
        <v/>
      </c>
      <c r="C147" s="472">
        <f>IF(D93="","-",+C146+1)</f>
        <v>2063</v>
      </c>
      <c r="D147" s="346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488">
        <f t="shared" si="20"/>
        <v>0</v>
      </c>
      <c r="I147" s="542">
        <f t="shared" si="21"/>
        <v>0</v>
      </c>
      <c r="J147" s="478">
        <f t="shared" si="16"/>
        <v>0</v>
      </c>
      <c r="K147" s="478"/>
      <c r="L147" s="487"/>
      <c r="M147" s="478">
        <f t="shared" si="22"/>
        <v>0</v>
      </c>
      <c r="N147" s="487"/>
      <c r="O147" s="478">
        <f t="shared" si="23"/>
        <v>0</v>
      </c>
      <c r="P147" s="478">
        <f t="shared" si="24"/>
        <v>0</v>
      </c>
    </row>
    <row r="148" spans="2:16" ht="12.5">
      <c r="B148" s="160" t="str">
        <f t="shared" si="15"/>
        <v/>
      </c>
      <c r="C148" s="472">
        <f>IF(D93="","-",+C147+1)</f>
        <v>2064</v>
      </c>
      <c r="D148" s="346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488">
        <f t="shared" si="20"/>
        <v>0</v>
      </c>
      <c r="I148" s="542">
        <f t="shared" si="21"/>
        <v>0</v>
      </c>
      <c r="J148" s="478">
        <f t="shared" si="16"/>
        <v>0</v>
      </c>
      <c r="K148" s="478"/>
      <c r="L148" s="487"/>
      <c r="M148" s="478">
        <f t="shared" si="22"/>
        <v>0</v>
      </c>
      <c r="N148" s="487"/>
      <c r="O148" s="478">
        <f t="shared" si="23"/>
        <v>0</v>
      </c>
      <c r="P148" s="478">
        <f t="shared" si="24"/>
        <v>0</v>
      </c>
    </row>
    <row r="149" spans="2:16" ht="12.5">
      <c r="B149" s="160" t="str">
        <f t="shared" si="15"/>
        <v/>
      </c>
      <c r="C149" s="472">
        <f>IF(D93="","-",+C148+1)</f>
        <v>2065</v>
      </c>
      <c r="D149" s="346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488">
        <f t="shared" si="20"/>
        <v>0</v>
      </c>
      <c r="I149" s="542">
        <f t="shared" si="21"/>
        <v>0</v>
      </c>
      <c r="J149" s="478">
        <f t="shared" si="16"/>
        <v>0</v>
      </c>
      <c r="K149" s="478"/>
      <c r="L149" s="487"/>
      <c r="M149" s="478">
        <f t="shared" si="22"/>
        <v>0</v>
      </c>
      <c r="N149" s="487"/>
      <c r="O149" s="478">
        <f t="shared" si="23"/>
        <v>0</v>
      </c>
      <c r="P149" s="478">
        <f t="shared" si="24"/>
        <v>0</v>
      </c>
    </row>
    <row r="150" spans="2:16" ht="12.5">
      <c r="B150" s="160" t="str">
        <f t="shared" si="15"/>
        <v/>
      </c>
      <c r="C150" s="472">
        <f>IF(D93="","-",+C149+1)</f>
        <v>2066</v>
      </c>
      <c r="D150" s="346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488">
        <f t="shared" si="20"/>
        <v>0</v>
      </c>
      <c r="I150" s="542">
        <f t="shared" si="21"/>
        <v>0</v>
      </c>
      <c r="J150" s="478">
        <f t="shared" si="16"/>
        <v>0</v>
      </c>
      <c r="K150" s="478"/>
      <c r="L150" s="487"/>
      <c r="M150" s="478">
        <f t="shared" si="22"/>
        <v>0</v>
      </c>
      <c r="N150" s="487"/>
      <c r="O150" s="478">
        <f t="shared" si="23"/>
        <v>0</v>
      </c>
      <c r="P150" s="478">
        <f t="shared" si="24"/>
        <v>0</v>
      </c>
    </row>
    <row r="151" spans="2:16" ht="12.5">
      <c r="B151" s="160" t="str">
        <f t="shared" si="15"/>
        <v/>
      </c>
      <c r="C151" s="472">
        <f>IF(D93="","-",+C150+1)</f>
        <v>2067</v>
      </c>
      <c r="D151" s="346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488">
        <f t="shared" si="20"/>
        <v>0</v>
      </c>
      <c r="I151" s="542">
        <f t="shared" si="21"/>
        <v>0</v>
      </c>
      <c r="J151" s="478">
        <f t="shared" si="16"/>
        <v>0</v>
      </c>
      <c r="K151" s="478"/>
      <c r="L151" s="487"/>
      <c r="M151" s="478">
        <f t="shared" si="22"/>
        <v>0</v>
      </c>
      <c r="N151" s="487"/>
      <c r="O151" s="478">
        <f t="shared" si="23"/>
        <v>0</v>
      </c>
      <c r="P151" s="478">
        <f t="shared" si="24"/>
        <v>0</v>
      </c>
    </row>
    <row r="152" spans="2:16" ht="12.5">
      <c r="B152" s="160" t="str">
        <f t="shared" si="15"/>
        <v/>
      </c>
      <c r="C152" s="472">
        <f>IF(D93="","-",+C151+1)</f>
        <v>2068</v>
      </c>
      <c r="D152" s="346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488">
        <f t="shared" si="20"/>
        <v>0</v>
      </c>
      <c r="I152" s="542">
        <f t="shared" si="21"/>
        <v>0</v>
      </c>
      <c r="J152" s="478">
        <f t="shared" si="16"/>
        <v>0</v>
      </c>
      <c r="K152" s="478"/>
      <c r="L152" s="487"/>
      <c r="M152" s="478">
        <f t="shared" si="22"/>
        <v>0</v>
      </c>
      <c r="N152" s="487"/>
      <c r="O152" s="478">
        <f t="shared" si="23"/>
        <v>0</v>
      </c>
      <c r="P152" s="478">
        <f t="shared" si="24"/>
        <v>0</v>
      </c>
    </row>
    <row r="153" spans="2:16" ht="12.5">
      <c r="B153" s="160" t="str">
        <f t="shared" si="15"/>
        <v/>
      </c>
      <c r="C153" s="472">
        <f>IF(D93="","-",+C152+1)</f>
        <v>2069</v>
      </c>
      <c r="D153" s="346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488">
        <f t="shared" si="20"/>
        <v>0</v>
      </c>
      <c r="I153" s="542">
        <f t="shared" si="21"/>
        <v>0</v>
      </c>
      <c r="J153" s="478">
        <f t="shared" si="16"/>
        <v>0</v>
      </c>
      <c r="K153" s="478"/>
      <c r="L153" s="487"/>
      <c r="M153" s="478">
        <f t="shared" si="22"/>
        <v>0</v>
      </c>
      <c r="N153" s="487"/>
      <c r="O153" s="478">
        <f t="shared" si="23"/>
        <v>0</v>
      </c>
      <c r="P153" s="478">
        <f t="shared" si="24"/>
        <v>0</v>
      </c>
    </row>
    <row r="154" spans="2:16" ht="13" thickBot="1">
      <c r="B154" s="160" t="str">
        <f t="shared" si="15"/>
        <v/>
      </c>
      <c r="C154" s="489">
        <f>IF(D93="","-",+C153+1)</f>
        <v>2070</v>
      </c>
      <c r="D154" s="576">
        <f>IF(F153+SUM(E$99:E153)=D$92,F153,D$92-SUM(E$99:E153))</f>
        <v>0</v>
      </c>
      <c r="E154" s="491">
        <f t="shared" si="17"/>
        <v>0</v>
      </c>
      <c r="F154" s="490">
        <f t="shared" si="18"/>
        <v>0</v>
      </c>
      <c r="G154" s="490">
        <f t="shared" si="19"/>
        <v>0</v>
      </c>
      <c r="H154" s="492">
        <f t="shared" si="20"/>
        <v>0</v>
      </c>
      <c r="I154" s="545">
        <f t="shared" si="21"/>
        <v>0</v>
      </c>
      <c r="J154" s="495">
        <f t="shared" si="16"/>
        <v>0</v>
      </c>
      <c r="K154" s="478"/>
      <c r="L154" s="494"/>
      <c r="M154" s="495">
        <f t="shared" si="22"/>
        <v>0</v>
      </c>
      <c r="N154" s="494"/>
      <c r="O154" s="495">
        <f t="shared" si="23"/>
        <v>0</v>
      </c>
      <c r="P154" s="495">
        <f t="shared" si="24"/>
        <v>0</v>
      </c>
    </row>
    <row r="155" spans="2:16" ht="12.5">
      <c r="C155" s="346" t="s">
        <v>77</v>
      </c>
      <c r="D155" s="347"/>
      <c r="E155" s="347">
        <f>SUM(E99:E154)</f>
        <v>1692023</v>
      </c>
      <c r="F155" s="347"/>
      <c r="G155" s="347"/>
      <c r="H155" s="347">
        <f>SUM(H99:H154)</f>
        <v>5506173.6064336933</v>
      </c>
      <c r="I155" s="347">
        <f>SUM(I99:I154)</f>
        <v>5506173.6064336933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25" priority="1" stopIfTrue="1" operator="equal">
      <formula>$I$10</formula>
    </cfRule>
  </conditionalFormatting>
  <conditionalFormatting sqref="C99:C154">
    <cfRule type="cellIs" dxfId="24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theme="9" tint="-0.249977111117893"/>
  </sheetPr>
  <dimension ref="A1:P162"/>
  <sheetViews>
    <sheetView view="pageBreakPreview" zoomScale="80" zoomScaleNormal="100" zoomScaleSheetLayoutView="80" workbookViewId="0">
      <selection activeCell="E10" sqref="E10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18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195063.32209302325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195063.32209302325</v>
      </c>
      <c r="O6" s="232"/>
      <c r="P6" s="232"/>
    </row>
    <row r="7" spans="1:16" ht="13.5" thickBot="1">
      <c r="C7" s="431" t="s">
        <v>46</v>
      </c>
      <c r="D7" s="599" t="s">
        <v>266</v>
      </c>
      <c r="E7" s="600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610" t="s">
        <v>269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273</v>
      </c>
      <c r="E9" s="577" t="s">
        <v>344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1725646.85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2014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4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40131.322093023256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2014</v>
      </c>
      <c r="D17" s="578">
        <v>1725646.85</v>
      </c>
      <c r="E17" s="601">
        <v>22123.677564102563</v>
      </c>
      <c r="F17" s="578">
        <v>1703523.1724358976</v>
      </c>
      <c r="G17" s="601">
        <v>256628.57821434946</v>
      </c>
      <c r="H17" s="602">
        <v>256628.57821434946</v>
      </c>
      <c r="I17" s="475">
        <v>0</v>
      </c>
      <c r="J17" s="475"/>
      <c r="K17" s="476">
        <f t="shared" ref="K17:K22" si="0">G17</f>
        <v>256628.57821434946</v>
      </c>
      <c r="L17" s="603">
        <f t="shared" ref="L17:L22" si="1">IF(K17&lt;&gt;0,+G17-K17,0)</f>
        <v>0</v>
      </c>
      <c r="M17" s="476">
        <f t="shared" ref="M17:M22" si="2">H17</f>
        <v>256628.57821434946</v>
      </c>
      <c r="N17" s="478">
        <f>IF(M17&lt;&gt;0,+H17-M17,0)</f>
        <v>0</v>
      </c>
      <c r="O17" s="475">
        <f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2015</v>
      </c>
      <c r="D18" s="578">
        <v>1703523.1724358976</v>
      </c>
      <c r="E18" s="579">
        <v>33185.516346153847</v>
      </c>
      <c r="F18" s="578">
        <v>1670337.6560897438</v>
      </c>
      <c r="G18" s="579">
        <v>263477.7363505594</v>
      </c>
      <c r="H18" s="602">
        <v>263477.7363505594</v>
      </c>
      <c r="I18" s="475">
        <v>0</v>
      </c>
      <c r="J18" s="475"/>
      <c r="K18" s="476">
        <f t="shared" si="0"/>
        <v>263477.7363505594</v>
      </c>
      <c r="L18" s="603">
        <f t="shared" si="1"/>
        <v>0</v>
      </c>
      <c r="M18" s="476">
        <f t="shared" si="2"/>
        <v>263477.7363505594</v>
      </c>
      <c r="N18" s="478">
        <f>IF(M18&lt;&gt;0,+H18-M18,0)</f>
        <v>0</v>
      </c>
      <c r="O18" s="475">
        <f>+N18-L18</f>
        <v>0</v>
      </c>
      <c r="P18" s="242"/>
    </row>
    <row r="19" spans="2:16" ht="12.5">
      <c r="B19" s="160" t="str">
        <f>IF(D19=F18,"","IU")</f>
        <v/>
      </c>
      <c r="C19" s="472">
        <f>IF(D11="","-",+C18+1)</f>
        <v>2016</v>
      </c>
      <c r="D19" s="578">
        <v>1670337.6560897438</v>
      </c>
      <c r="E19" s="579">
        <v>33185.516346153847</v>
      </c>
      <c r="F19" s="578">
        <v>1637152.13974359</v>
      </c>
      <c r="G19" s="579">
        <v>247913.51634615386</v>
      </c>
      <c r="H19" s="602">
        <v>247913.51634615386</v>
      </c>
      <c r="I19" s="475">
        <f>H19-G19</f>
        <v>0</v>
      </c>
      <c r="J19" s="475"/>
      <c r="K19" s="476">
        <f t="shared" si="0"/>
        <v>247913.51634615386</v>
      </c>
      <c r="L19" s="603">
        <f t="shared" si="1"/>
        <v>0</v>
      </c>
      <c r="M19" s="476">
        <f t="shared" si="2"/>
        <v>247913.51634615386</v>
      </c>
      <c r="N19" s="478">
        <f>IF(M19&lt;&gt;0,+H19-M19,0)</f>
        <v>0</v>
      </c>
      <c r="O19" s="475">
        <f>+N19-L19</f>
        <v>0</v>
      </c>
      <c r="P19" s="242"/>
    </row>
    <row r="20" spans="2:16" ht="12.5">
      <c r="B20" s="160" t="str">
        <f t="shared" ref="B20:B72" si="3">IF(D20=F19,"","IU")</f>
        <v>IU</v>
      </c>
      <c r="C20" s="472">
        <f>IF(D11="","-",+C19+1)</f>
        <v>2017</v>
      </c>
      <c r="D20" s="578">
        <v>1637152</v>
      </c>
      <c r="E20" s="579">
        <v>37514</v>
      </c>
      <c r="F20" s="578">
        <v>1599638</v>
      </c>
      <c r="G20" s="579">
        <v>241085</v>
      </c>
      <c r="H20" s="602">
        <v>241085</v>
      </c>
      <c r="I20" s="475">
        <f t="shared" ref="I20:I72" si="4">H20-G20</f>
        <v>0</v>
      </c>
      <c r="J20" s="475"/>
      <c r="K20" s="476">
        <f t="shared" si="0"/>
        <v>241085</v>
      </c>
      <c r="L20" s="603">
        <f t="shared" si="1"/>
        <v>0</v>
      </c>
      <c r="M20" s="476">
        <f t="shared" si="2"/>
        <v>241085</v>
      </c>
      <c r="N20" s="478">
        <f>IF(M20&lt;&gt;0,+H20-M20,0)</f>
        <v>0</v>
      </c>
      <c r="O20" s="475">
        <f>+N20-L20</f>
        <v>0</v>
      </c>
      <c r="P20" s="242"/>
    </row>
    <row r="21" spans="2:16" ht="12.5">
      <c r="B21" s="160" t="str">
        <f t="shared" si="3"/>
        <v>IU</v>
      </c>
      <c r="C21" s="472">
        <f>IF(D11="","-",+C20+1)</f>
        <v>2018</v>
      </c>
      <c r="D21" s="578">
        <v>1599638.0777870682</v>
      </c>
      <c r="E21" s="579">
        <v>38347.707777777781</v>
      </c>
      <c r="F21" s="578">
        <v>1561290.3700092905</v>
      </c>
      <c r="G21" s="579">
        <v>227622.42905835263</v>
      </c>
      <c r="H21" s="602">
        <v>227622.42905835263</v>
      </c>
      <c r="I21" s="475">
        <f t="shared" si="4"/>
        <v>0</v>
      </c>
      <c r="J21" s="475"/>
      <c r="K21" s="476">
        <f t="shared" si="0"/>
        <v>227622.42905835263</v>
      </c>
      <c r="L21" s="603">
        <f t="shared" si="1"/>
        <v>0</v>
      </c>
      <c r="M21" s="476">
        <f t="shared" si="2"/>
        <v>227622.42905835263</v>
      </c>
      <c r="N21" s="478">
        <f>IF(M21&lt;&gt;0,+H21-M21,0)</f>
        <v>0</v>
      </c>
      <c r="O21" s="475">
        <f>+N21-L21</f>
        <v>0</v>
      </c>
      <c r="P21" s="242"/>
    </row>
    <row r="22" spans="2:16" ht="12.5">
      <c r="B22" s="160" t="str">
        <f t="shared" si="3"/>
        <v/>
      </c>
      <c r="C22" s="472">
        <f>IF(D11="","-",+C21+1)</f>
        <v>2019</v>
      </c>
      <c r="D22" s="578">
        <v>1561290.3700092905</v>
      </c>
      <c r="E22" s="579">
        <v>43141.171249999999</v>
      </c>
      <c r="F22" s="578">
        <v>1518149.1987592906</v>
      </c>
      <c r="G22" s="579">
        <v>215061.09551654221</v>
      </c>
      <c r="H22" s="602">
        <v>215061.09551654221</v>
      </c>
      <c r="I22" s="475">
        <f t="shared" si="4"/>
        <v>0</v>
      </c>
      <c r="J22" s="475"/>
      <c r="K22" s="476">
        <f t="shared" si="0"/>
        <v>215061.09551654221</v>
      </c>
      <c r="L22" s="603">
        <f t="shared" si="1"/>
        <v>0</v>
      </c>
      <c r="M22" s="476">
        <f t="shared" si="2"/>
        <v>215061.09551654221</v>
      </c>
      <c r="N22" s="478">
        <f t="shared" ref="N22:N72" si="5">IF(M22&lt;&gt;0,+H22-M22,0)</f>
        <v>0</v>
      </c>
      <c r="O22" s="478">
        <f t="shared" ref="O22:O72" si="6">+N22-L22</f>
        <v>0</v>
      </c>
      <c r="P22" s="242"/>
    </row>
    <row r="23" spans="2:16" ht="12.5">
      <c r="B23" s="160" t="str">
        <f t="shared" si="3"/>
        <v>IU</v>
      </c>
      <c r="C23" s="472">
        <f>IF(D11="","-",+C22+1)</f>
        <v>2020</v>
      </c>
      <c r="D23" s="578">
        <v>1522942.7241880344</v>
      </c>
      <c r="E23" s="579">
        <v>41086.829761904766</v>
      </c>
      <c r="F23" s="578">
        <v>1481855.8944261298</v>
      </c>
      <c r="G23" s="579">
        <v>203353.13199328393</v>
      </c>
      <c r="H23" s="602">
        <v>203353.13199328393</v>
      </c>
      <c r="I23" s="475">
        <f t="shared" si="4"/>
        <v>0</v>
      </c>
      <c r="J23" s="475"/>
      <c r="K23" s="476">
        <f t="shared" ref="K23" si="7">G23</f>
        <v>203353.13199328393</v>
      </c>
      <c r="L23" s="603">
        <f t="shared" ref="L23" si="8">IF(K23&lt;&gt;0,+G23-K23,0)</f>
        <v>0</v>
      </c>
      <c r="M23" s="476">
        <f t="shared" ref="M23" si="9">H23</f>
        <v>203353.13199328393</v>
      </c>
      <c r="N23" s="478">
        <f t="shared" si="5"/>
        <v>0</v>
      </c>
      <c r="O23" s="478">
        <f t="shared" si="6"/>
        <v>0</v>
      </c>
      <c r="P23" s="242"/>
    </row>
    <row r="24" spans="2:16" ht="12.5">
      <c r="B24" s="160" t="str">
        <f t="shared" si="3"/>
        <v>IU</v>
      </c>
      <c r="C24" s="472">
        <f>IF(D11="","-",+C23+1)</f>
        <v>2021</v>
      </c>
      <c r="D24" s="485">
        <f>IF(F23+SUM(E$17:E23)=D$10,F23,D$10-SUM(E$17:E23))</f>
        <v>1477062.4309539073</v>
      </c>
      <c r="E24" s="484">
        <f t="shared" ref="E24:E72" si="10">IF(+$I$14&lt;F23,$I$14,D24)</f>
        <v>40131.322093023256</v>
      </c>
      <c r="F24" s="485">
        <f t="shared" ref="F24:F72" si="11">+D24-E24</f>
        <v>1436931.1088608841</v>
      </c>
      <c r="G24" s="486">
        <f t="shared" ref="G24:G72" si="12">ROUND(I$12*F24,0)+E24</f>
        <v>195063.32209302325</v>
      </c>
      <c r="H24" s="455">
        <f t="shared" ref="H24:H72" si="13">ROUND(I$13*F24,0)+E24</f>
        <v>195063.32209302325</v>
      </c>
      <c r="I24" s="475">
        <f t="shared" si="4"/>
        <v>0</v>
      </c>
      <c r="J24" s="475"/>
      <c r="K24" s="487"/>
      <c r="L24" s="478">
        <f t="shared" ref="L24:L72" si="14">IF(K24&lt;&gt;0,+G24-K24,0)</f>
        <v>0</v>
      </c>
      <c r="M24" s="487"/>
      <c r="N24" s="478">
        <f t="shared" si="5"/>
        <v>0</v>
      </c>
      <c r="O24" s="478">
        <f t="shared" si="6"/>
        <v>0</v>
      </c>
      <c r="P24" s="242"/>
    </row>
    <row r="25" spans="2:16" ht="12.5">
      <c r="B25" s="160" t="str">
        <f t="shared" si="3"/>
        <v/>
      </c>
      <c r="C25" s="472">
        <f>IF(D11="","-",+C24+1)</f>
        <v>2022</v>
      </c>
      <c r="D25" s="485">
        <f>IF(F24+SUM(E$17:E24)=D$10,F24,D$10-SUM(E$17:E24))</f>
        <v>1436931.1088608841</v>
      </c>
      <c r="E25" s="484">
        <f t="shared" si="10"/>
        <v>40131.322093023256</v>
      </c>
      <c r="F25" s="485">
        <f t="shared" si="11"/>
        <v>1396799.7867678609</v>
      </c>
      <c r="G25" s="486">
        <f t="shared" si="12"/>
        <v>190736.32209302325</v>
      </c>
      <c r="H25" s="455">
        <f t="shared" si="13"/>
        <v>190736.32209302325</v>
      </c>
      <c r="I25" s="475">
        <f t="shared" si="4"/>
        <v>0</v>
      </c>
      <c r="J25" s="475"/>
      <c r="K25" s="487"/>
      <c r="L25" s="478">
        <f t="shared" si="14"/>
        <v>0</v>
      </c>
      <c r="M25" s="487"/>
      <c r="N25" s="478">
        <f t="shared" si="5"/>
        <v>0</v>
      </c>
      <c r="O25" s="478">
        <f t="shared" si="6"/>
        <v>0</v>
      </c>
      <c r="P25" s="242"/>
    </row>
    <row r="26" spans="2:16" ht="12.5">
      <c r="B26" s="160" t="str">
        <f t="shared" si="3"/>
        <v/>
      </c>
      <c r="C26" s="472">
        <f>IF(D11="","-",+C25+1)</f>
        <v>2023</v>
      </c>
      <c r="D26" s="485">
        <f>IF(F25+SUM(E$17:E25)=D$10,F25,D$10-SUM(E$17:E25))</f>
        <v>1396799.7867678609</v>
      </c>
      <c r="E26" s="484">
        <f t="shared" si="10"/>
        <v>40131.322093023256</v>
      </c>
      <c r="F26" s="485">
        <f t="shared" si="11"/>
        <v>1356668.4646748377</v>
      </c>
      <c r="G26" s="486">
        <f t="shared" si="12"/>
        <v>186409.32209302325</v>
      </c>
      <c r="H26" s="455">
        <f t="shared" si="13"/>
        <v>186409.32209302325</v>
      </c>
      <c r="I26" s="475">
        <f t="shared" si="4"/>
        <v>0</v>
      </c>
      <c r="J26" s="475"/>
      <c r="K26" s="487"/>
      <c r="L26" s="478">
        <f t="shared" si="14"/>
        <v>0</v>
      </c>
      <c r="M26" s="487"/>
      <c r="N26" s="478">
        <f t="shared" si="5"/>
        <v>0</v>
      </c>
      <c r="O26" s="478">
        <f t="shared" si="6"/>
        <v>0</v>
      </c>
      <c r="P26" s="242"/>
    </row>
    <row r="27" spans="2:16" ht="12.5">
      <c r="B27" s="160" t="str">
        <f t="shared" si="3"/>
        <v/>
      </c>
      <c r="C27" s="472">
        <f>IF(D11="","-",+C26+1)</f>
        <v>2024</v>
      </c>
      <c r="D27" s="485">
        <f>IF(F26+SUM(E$17:E26)=D$10,F26,D$10-SUM(E$17:E26))</f>
        <v>1356668.4646748377</v>
      </c>
      <c r="E27" s="484">
        <f t="shared" si="10"/>
        <v>40131.322093023256</v>
      </c>
      <c r="F27" s="485">
        <f t="shared" si="11"/>
        <v>1316537.1425818144</v>
      </c>
      <c r="G27" s="486">
        <f t="shared" si="12"/>
        <v>182082.32209302325</v>
      </c>
      <c r="H27" s="455">
        <f t="shared" si="13"/>
        <v>182082.32209302325</v>
      </c>
      <c r="I27" s="475">
        <f t="shared" si="4"/>
        <v>0</v>
      </c>
      <c r="J27" s="475"/>
      <c r="K27" s="487"/>
      <c r="L27" s="478">
        <f t="shared" si="14"/>
        <v>0</v>
      </c>
      <c r="M27" s="487"/>
      <c r="N27" s="478">
        <f t="shared" si="5"/>
        <v>0</v>
      </c>
      <c r="O27" s="478">
        <f t="shared" si="6"/>
        <v>0</v>
      </c>
      <c r="P27" s="242"/>
    </row>
    <row r="28" spans="2:16" ht="12.5">
      <c r="B28" s="160" t="str">
        <f t="shared" si="3"/>
        <v/>
      </c>
      <c r="C28" s="472">
        <f>IF(D11="","-",+C27+1)</f>
        <v>2025</v>
      </c>
      <c r="D28" s="485">
        <f>IF(F27+SUM(E$17:E27)=D$10,F27,D$10-SUM(E$17:E27))</f>
        <v>1316537.1425818144</v>
      </c>
      <c r="E28" s="484">
        <f t="shared" si="10"/>
        <v>40131.322093023256</v>
      </c>
      <c r="F28" s="485">
        <f t="shared" si="11"/>
        <v>1276405.8204887912</v>
      </c>
      <c r="G28" s="486">
        <f t="shared" si="12"/>
        <v>177755.32209302325</v>
      </c>
      <c r="H28" s="455">
        <f t="shared" si="13"/>
        <v>177755.32209302325</v>
      </c>
      <c r="I28" s="475">
        <f t="shared" si="4"/>
        <v>0</v>
      </c>
      <c r="J28" s="475"/>
      <c r="K28" s="487"/>
      <c r="L28" s="478">
        <f t="shared" si="14"/>
        <v>0</v>
      </c>
      <c r="M28" s="487"/>
      <c r="N28" s="478">
        <f t="shared" si="5"/>
        <v>0</v>
      </c>
      <c r="O28" s="478">
        <f t="shared" si="6"/>
        <v>0</v>
      </c>
      <c r="P28" s="242"/>
    </row>
    <row r="29" spans="2:16" ht="12.5">
      <c r="B29" s="160" t="str">
        <f t="shared" si="3"/>
        <v/>
      </c>
      <c r="C29" s="472">
        <f>IF(D11="","-",+C28+1)</f>
        <v>2026</v>
      </c>
      <c r="D29" s="485">
        <f>IF(F28+SUM(E$17:E28)=D$10,F28,D$10-SUM(E$17:E28))</f>
        <v>1276405.8204887912</v>
      </c>
      <c r="E29" s="484">
        <f t="shared" si="10"/>
        <v>40131.322093023256</v>
      </c>
      <c r="F29" s="485">
        <f t="shared" si="11"/>
        <v>1236274.498395768</v>
      </c>
      <c r="G29" s="486">
        <f t="shared" si="12"/>
        <v>173428.32209302325</v>
      </c>
      <c r="H29" s="455">
        <f t="shared" si="13"/>
        <v>173428.32209302325</v>
      </c>
      <c r="I29" s="475">
        <f t="shared" si="4"/>
        <v>0</v>
      </c>
      <c r="J29" s="475"/>
      <c r="K29" s="487"/>
      <c r="L29" s="478">
        <f t="shared" si="14"/>
        <v>0</v>
      </c>
      <c r="M29" s="487"/>
      <c r="N29" s="478">
        <f t="shared" si="5"/>
        <v>0</v>
      </c>
      <c r="O29" s="478">
        <f t="shared" si="6"/>
        <v>0</v>
      </c>
      <c r="P29" s="242"/>
    </row>
    <row r="30" spans="2:16" ht="12.5">
      <c r="B30" s="160" t="str">
        <f t="shared" si="3"/>
        <v/>
      </c>
      <c r="C30" s="472">
        <f>IF(D11="","-",+C29+1)</f>
        <v>2027</v>
      </c>
      <c r="D30" s="485">
        <f>IF(F29+SUM(E$17:E29)=D$10,F29,D$10-SUM(E$17:E29))</f>
        <v>1236274.498395768</v>
      </c>
      <c r="E30" s="484">
        <f t="shared" si="10"/>
        <v>40131.322093023256</v>
      </c>
      <c r="F30" s="485">
        <f t="shared" si="11"/>
        <v>1196143.1763027448</v>
      </c>
      <c r="G30" s="486">
        <f t="shared" si="12"/>
        <v>169101.32209302325</v>
      </c>
      <c r="H30" s="455">
        <f t="shared" si="13"/>
        <v>169101.32209302325</v>
      </c>
      <c r="I30" s="475">
        <f t="shared" si="4"/>
        <v>0</v>
      </c>
      <c r="J30" s="475"/>
      <c r="K30" s="487"/>
      <c r="L30" s="478">
        <f t="shared" si="14"/>
        <v>0</v>
      </c>
      <c r="M30" s="487"/>
      <c r="N30" s="478">
        <f t="shared" si="5"/>
        <v>0</v>
      </c>
      <c r="O30" s="478">
        <f t="shared" si="6"/>
        <v>0</v>
      </c>
      <c r="P30" s="242"/>
    </row>
    <row r="31" spans="2:16" ht="12.5">
      <c r="B31" s="160" t="str">
        <f t="shared" si="3"/>
        <v/>
      </c>
      <c r="C31" s="472">
        <f>IF(D11="","-",+C30+1)</f>
        <v>2028</v>
      </c>
      <c r="D31" s="485">
        <f>IF(F30+SUM(E$17:E30)=D$10,F30,D$10-SUM(E$17:E30))</f>
        <v>1196143.1763027448</v>
      </c>
      <c r="E31" s="484">
        <f t="shared" si="10"/>
        <v>40131.322093023256</v>
      </c>
      <c r="F31" s="485">
        <f t="shared" si="11"/>
        <v>1156011.8542097216</v>
      </c>
      <c r="G31" s="486">
        <f t="shared" si="12"/>
        <v>164774.32209302325</v>
      </c>
      <c r="H31" s="455">
        <f t="shared" si="13"/>
        <v>164774.32209302325</v>
      </c>
      <c r="I31" s="475">
        <f t="shared" si="4"/>
        <v>0</v>
      </c>
      <c r="J31" s="475"/>
      <c r="K31" s="487"/>
      <c r="L31" s="478">
        <f t="shared" si="14"/>
        <v>0</v>
      </c>
      <c r="M31" s="487"/>
      <c r="N31" s="478">
        <f t="shared" si="5"/>
        <v>0</v>
      </c>
      <c r="O31" s="478">
        <f t="shared" si="6"/>
        <v>0</v>
      </c>
      <c r="P31" s="242"/>
    </row>
    <row r="32" spans="2:16" ht="12.5">
      <c r="B32" s="160" t="str">
        <f t="shared" si="3"/>
        <v/>
      </c>
      <c r="C32" s="472">
        <f>IF(D11="","-",+C31+1)</f>
        <v>2029</v>
      </c>
      <c r="D32" s="485">
        <f>IF(F31+SUM(E$17:E31)=D$10,F31,D$10-SUM(E$17:E31))</f>
        <v>1156011.8542097216</v>
      </c>
      <c r="E32" s="484">
        <f t="shared" si="10"/>
        <v>40131.322093023256</v>
      </c>
      <c r="F32" s="485">
        <f t="shared" si="11"/>
        <v>1115880.5321166983</v>
      </c>
      <c r="G32" s="486">
        <f t="shared" si="12"/>
        <v>160447.32209302325</v>
      </c>
      <c r="H32" s="455">
        <f t="shared" si="13"/>
        <v>160447.32209302325</v>
      </c>
      <c r="I32" s="475">
        <f t="shared" si="4"/>
        <v>0</v>
      </c>
      <c r="J32" s="475"/>
      <c r="K32" s="487"/>
      <c r="L32" s="478">
        <f t="shared" si="14"/>
        <v>0</v>
      </c>
      <c r="M32" s="487"/>
      <c r="N32" s="478">
        <f t="shared" si="5"/>
        <v>0</v>
      </c>
      <c r="O32" s="478">
        <f t="shared" si="6"/>
        <v>0</v>
      </c>
      <c r="P32" s="242"/>
    </row>
    <row r="33" spans="2:16" ht="12.5">
      <c r="B33" s="160" t="str">
        <f t="shared" si="3"/>
        <v/>
      </c>
      <c r="C33" s="472">
        <f>IF(D11="","-",+C32+1)</f>
        <v>2030</v>
      </c>
      <c r="D33" s="485">
        <f>IF(F32+SUM(E$17:E32)=D$10,F32,D$10-SUM(E$17:E32))</f>
        <v>1115880.5321166983</v>
      </c>
      <c r="E33" s="484">
        <f t="shared" si="10"/>
        <v>40131.322093023256</v>
      </c>
      <c r="F33" s="485">
        <f t="shared" si="11"/>
        <v>1075749.2100236751</v>
      </c>
      <c r="G33" s="486">
        <f t="shared" si="12"/>
        <v>156120.32209302325</v>
      </c>
      <c r="H33" s="455">
        <f t="shared" si="13"/>
        <v>156120.32209302325</v>
      </c>
      <c r="I33" s="475">
        <f t="shared" si="4"/>
        <v>0</v>
      </c>
      <c r="J33" s="475"/>
      <c r="K33" s="487"/>
      <c r="L33" s="478">
        <f t="shared" si="14"/>
        <v>0</v>
      </c>
      <c r="M33" s="487"/>
      <c r="N33" s="478">
        <f t="shared" si="5"/>
        <v>0</v>
      </c>
      <c r="O33" s="478">
        <f t="shared" si="6"/>
        <v>0</v>
      </c>
      <c r="P33" s="242"/>
    </row>
    <row r="34" spans="2:16" ht="12.5">
      <c r="B34" s="160" t="str">
        <f t="shared" si="3"/>
        <v/>
      </c>
      <c r="C34" s="472">
        <f>IF(D11="","-",+C33+1)</f>
        <v>2031</v>
      </c>
      <c r="D34" s="485">
        <f>IF(F33+SUM(E$17:E33)=D$10,F33,D$10-SUM(E$17:E33))</f>
        <v>1075749.2100236751</v>
      </c>
      <c r="E34" s="484">
        <f t="shared" si="10"/>
        <v>40131.322093023256</v>
      </c>
      <c r="F34" s="485">
        <f t="shared" si="11"/>
        <v>1035617.8879306519</v>
      </c>
      <c r="G34" s="486">
        <f t="shared" si="12"/>
        <v>151793.32209302325</v>
      </c>
      <c r="H34" s="455">
        <f t="shared" si="13"/>
        <v>151793.32209302325</v>
      </c>
      <c r="I34" s="475">
        <f t="shared" si="4"/>
        <v>0</v>
      </c>
      <c r="J34" s="475"/>
      <c r="K34" s="487"/>
      <c r="L34" s="478">
        <f t="shared" si="14"/>
        <v>0</v>
      </c>
      <c r="M34" s="487"/>
      <c r="N34" s="478">
        <f t="shared" si="5"/>
        <v>0</v>
      </c>
      <c r="O34" s="478">
        <f t="shared" si="6"/>
        <v>0</v>
      </c>
      <c r="P34" s="242"/>
    </row>
    <row r="35" spans="2:16" ht="12.5">
      <c r="B35" s="160" t="str">
        <f t="shared" si="3"/>
        <v/>
      </c>
      <c r="C35" s="472">
        <f>IF(D11="","-",+C34+1)</f>
        <v>2032</v>
      </c>
      <c r="D35" s="485">
        <f>IF(F34+SUM(E$17:E34)=D$10,F34,D$10-SUM(E$17:E34))</f>
        <v>1035617.8879306519</v>
      </c>
      <c r="E35" s="484">
        <f t="shared" si="10"/>
        <v>40131.322093023256</v>
      </c>
      <c r="F35" s="485">
        <f t="shared" si="11"/>
        <v>995486.56583762867</v>
      </c>
      <c r="G35" s="486">
        <f t="shared" si="12"/>
        <v>147466.32209302325</v>
      </c>
      <c r="H35" s="455">
        <f t="shared" si="13"/>
        <v>147466.32209302325</v>
      </c>
      <c r="I35" s="475">
        <f t="shared" si="4"/>
        <v>0</v>
      </c>
      <c r="J35" s="475"/>
      <c r="K35" s="487"/>
      <c r="L35" s="478">
        <f t="shared" si="14"/>
        <v>0</v>
      </c>
      <c r="M35" s="487"/>
      <c r="N35" s="478">
        <f t="shared" si="5"/>
        <v>0</v>
      </c>
      <c r="O35" s="478">
        <f t="shared" si="6"/>
        <v>0</v>
      </c>
      <c r="P35" s="242"/>
    </row>
    <row r="36" spans="2:16" ht="12.5">
      <c r="B36" s="160" t="str">
        <f t="shared" si="3"/>
        <v/>
      </c>
      <c r="C36" s="472">
        <f>IF(D11="","-",+C35+1)</f>
        <v>2033</v>
      </c>
      <c r="D36" s="485">
        <f>IF(F35+SUM(E$17:E35)=D$10,F35,D$10-SUM(E$17:E35))</f>
        <v>995486.56583762867</v>
      </c>
      <c r="E36" s="484">
        <f t="shared" si="10"/>
        <v>40131.322093023256</v>
      </c>
      <c r="F36" s="485">
        <f t="shared" si="11"/>
        <v>955355.24374460545</v>
      </c>
      <c r="G36" s="486">
        <f t="shared" si="12"/>
        <v>143139.32209302325</v>
      </c>
      <c r="H36" s="455">
        <f t="shared" si="13"/>
        <v>143139.32209302325</v>
      </c>
      <c r="I36" s="475">
        <f t="shared" si="4"/>
        <v>0</v>
      </c>
      <c r="J36" s="475"/>
      <c r="K36" s="487"/>
      <c r="L36" s="478">
        <f t="shared" si="14"/>
        <v>0</v>
      </c>
      <c r="M36" s="487"/>
      <c r="N36" s="478">
        <f t="shared" si="5"/>
        <v>0</v>
      </c>
      <c r="O36" s="478">
        <f t="shared" si="6"/>
        <v>0</v>
      </c>
      <c r="P36" s="242"/>
    </row>
    <row r="37" spans="2:16" ht="12.5">
      <c r="B37" s="160" t="str">
        <f t="shared" si="3"/>
        <v/>
      </c>
      <c r="C37" s="472">
        <f>IF(D11="","-",+C36+1)</f>
        <v>2034</v>
      </c>
      <c r="D37" s="485">
        <f>IF(F36+SUM(E$17:E36)=D$10,F36,D$10-SUM(E$17:E36))</f>
        <v>955355.24374460545</v>
      </c>
      <c r="E37" s="484">
        <f t="shared" si="10"/>
        <v>40131.322093023256</v>
      </c>
      <c r="F37" s="485">
        <f t="shared" si="11"/>
        <v>915223.92165158223</v>
      </c>
      <c r="G37" s="486">
        <f t="shared" si="12"/>
        <v>138812.32209302325</v>
      </c>
      <c r="H37" s="455">
        <f t="shared" si="13"/>
        <v>138812.32209302325</v>
      </c>
      <c r="I37" s="475">
        <f t="shared" si="4"/>
        <v>0</v>
      </c>
      <c r="J37" s="475"/>
      <c r="K37" s="487"/>
      <c r="L37" s="478">
        <f t="shared" si="14"/>
        <v>0</v>
      </c>
      <c r="M37" s="487"/>
      <c r="N37" s="478">
        <f t="shared" si="5"/>
        <v>0</v>
      </c>
      <c r="O37" s="478">
        <f t="shared" si="6"/>
        <v>0</v>
      </c>
      <c r="P37" s="242"/>
    </row>
    <row r="38" spans="2:16" ht="12.5">
      <c r="B38" s="160" t="str">
        <f t="shared" si="3"/>
        <v/>
      </c>
      <c r="C38" s="472">
        <f>IF(D11="","-",+C37+1)</f>
        <v>2035</v>
      </c>
      <c r="D38" s="485">
        <f>IF(F37+SUM(E$17:E37)=D$10,F37,D$10-SUM(E$17:E37))</f>
        <v>915223.92165158223</v>
      </c>
      <c r="E38" s="484">
        <f t="shared" si="10"/>
        <v>40131.322093023256</v>
      </c>
      <c r="F38" s="485">
        <f t="shared" si="11"/>
        <v>875092.59955855901</v>
      </c>
      <c r="G38" s="486">
        <f t="shared" si="12"/>
        <v>134485.32209302325</v>
      </c>
      <c r="H38" s="455">
        <f t="shared" si="13"/>
        <v>134485.32209302325</v>
      </c>
      <c r="I38" s="475">
        <f t="shared" si="4"/>
        <v>0</v>
      </c>
      <c r="J38" s="475"/>
      <c r="K38" s="487"/>
      <c r="L38" s="478">
        <f t="shared" si="14"/>
        <v>0</v>
      </c>
      <c r="M38" s="487"/>
      <c r="N38" s="478">
        <f t="shared" si="5"/>
        <v>0</v>
      </c>
      <c r="O38" s="478">
        <f t="shared" si="6"/>
        <v>0</v>
      </c>
      <c r="P38" s="242"/>
    </row>
    <row r="39" spans="2:16" ht="12.5">
      <c r="B39" s="160" t="str">
        <f t="shared" si="3"/>
        <v/>
      </c>
      <c r="C39" s="472">
        <f>IF(D11="","-",+C38+1)</f>
        <v>2036</v>
      </c>
      <c r="D39" s="485">
        <f>IF(F38+SUM(E$17:E38)=D$10,F38,D$10-SUM(E$17:E38))</f>
        <v>875092.59955855901</v>
      </c>
      <c r="E39" s="484">
        <f t="shared" si="10"/>
        <v>40131.322093023256</v>
      </c>
      <c r="F39" s="485">
        <f t="shared" si="11"/>
        <v>834961.27746553579</v>
      </c>
      <c r="G39" s="486">
        <f t="shared" si="12"/>
        <v>130158.32209302325</v>
      </c>
      <c r="H39" s="455">
        <f t="shared" si="13"/>
        <v>130158.32209302325</v>
      </c>
      <c r="I39" s="475">
        <f t="shared" si="4"/>
        <v>0</v>
      </c>
      <c r="J39" s="475"/>
      <c r="K39" s="487"/>
      <c r="L39" s="478">
        <f t="shared" si="14"/>
        <v>0</v>
      </c>
      <c r="M39" s="487"/>
      <c r="N39" s="478">
        <f t="shared" si="5"/>
        <v>0</v>
      </c>
      <c r="O39" s="478">
        <f t="shared" si="6"/>
        <v>0</v>
      </c>
      <c r="P39" s="242"/>
    </row>
    <row r="40" spans="2:16" ht="12.5">
      <c r="B40" s="160" t="str">
        <f t="shared" si="3"/>
        <v/>
      </c>
      <c r="C40" s="472">
        <f>IF(D11="","-",+C39+1)</f>
        <v>2037</v>
      </c>
      <c r="D40" s="485">
        <f>IF(F39+SUM(E$17:E39)=D$10,F39,D$10-SUM(E$17:E39))</f>
        <v>834961.27746553579</v>
      </c>
      <c r="E40" s="484">
        <f t="shared" si="10"/>
        <v>40131.322093023256</v>
      </c>
      <c r="F40" s="485">
        <f t="shared" si="11"/>
        <v>794829.95537251257</v>
      </c>
      <c r="G40" s="486">
        <f t="shared" si="12"/>
        <v>125831.32209302325</v>
      </c>
      <c r="H40" s="455">
        <f t="shared" si="13"/>
        <v>125831.32209302325</v>
      </c>
      <c r="I40" s="475">
        <f t="shared" si="4"/>
        <v>0</v>
      </c>
      <c r="J40" s="475"/>
      <c r="K40" s="487"/>
      <c r="L40" s="478">
        <f t="shared" si="14"/>
        <v>0</v>
      </c>
      <c r="M40" s="487"/>
      <c r="N40" s="478">
        <f t="shared" si="5"/>
        <v>0</v>
      </c>
      <c r="O40" s="478">
        <f t="shared" si="6"/>
        <v>0</v>
      </c>
      <c r="P40" s="242"/>
    </row>
    <row r="41" spans="2:16" ht="12.5">
      <c r="B41" s="160" t="str">
        <f t="shared" si="3"/>
        <v/>
      </c>
      <c r="C41" s="472">
        <f>IF(D11="","-",+C40+1)</f>
        <v>2038</v>
      </c>
      <c r="D41" s="485">
        <f>IF(F40+SUM(E$17:E40)=D$10,F40,D$10-SUM(E$17:E40))</f>
        <v>794829.95537251257</v>
      </c>
      <c r="E41" s="484">
        <f t="shared" si="10"/>
        <v>40131.322093023256</v>
      </c>
      <c r="F41" s="485">
        <f t="shared" si="11"/>
        <v>754698.63327948935</v>
      </c>
      <c r="G41" s="486">
        <f t="shared" si="12"/>
        <v>121504.32209302325</v>
      </c>
      <c r="H41" s="455">
        <f t="shared" si="13"/>
        <v>121504.32209302325</v>
      </c>
      <c r="I41" s="475">
        <f t="shared" si="4"/>
        <v>0</v>
      </c>
      <c r="J41" s="475"/>
      <c r="K41" s="487"/>
      <c r="L41" s="478">
        <f t="shared" si="14"/>
        <v>0</v>
      </c>
      <c r="M41" s="487"/>
      <c r="N41" s="478">
        <f t="shared" si="5"/>
        <v>0</v>
      </c>
      <c r="O41" s="478">
        <f t="shared" si="6"/>
        <v>0</v>
      </c>
      <c r="P41" s="242"/>
    </row>
    <row r="42" spans="2:16" ht="12.5">
      <c r="B42" s="160" t="str">
        <f t="shared" si="3"/>
        <v/>
      </c>
      <c r="C42" s="472">
        <f>IF(D11="","-",+C41+1)</f>
        <v>2039</v>
      </c>
      <c r="D42" s="485">
        <f>IF(F41+SUM(E$17:E41)=D$10,F41,D$10-SUM(E$17:E41))</f>
        <v>754698.63327948935</v>
      </c>
      <c r="E42" s="484">
        <f t="shared" si="10"/>
        <v>40131.322093023256</v>
      </c>
      <c r="F42" s="485">
        <f t="shared" si="11"/>
        <v>714567.31118646613</v>
      </c>
      <c r="G42" s="486">
        <f t="shared" si="12"/>
        <v>117177.32209302325</v>
      </c>
      <c r="H42" s="455">
        <f t="shared" si="13"/>
        <v>117177.32209302325</v>
      </c>
      <c r="I42" s="475">
        <f t="shared" si="4"/>
        <v>0</v>
      </c>
      <c r="J42" s="475"/>
      <c r="K42" s="487"/>
      <c r="L42" s="478">
        <f t="shared" si="14"/>
        <v>0</v>
      </c>
      <c r="M42" s="487"/>
      <c r="N42" s="478">
        <f t="shared" si="5"/>
        <v>0</v>
      </c>
      <c r="O42" s="478">
        <f t="shared" si="6"/>
        <v>0</v>
      </c>
      <c r="P42" s="242"/>
    </row>
    <row r="43" spans="2:16" ht="12.5">
      <c r="B43" s="160" t="str">
        <f t="shared" si="3"/>
        <v/>
      </c>
      <c r="C43" s="472">
        <f>IF(D11="","-",+C42+1)</f>
        <v>2040</v>
      </c>
      <c r="D43" s="485">
        <f>IF(F42+SUM(E$17:E42)=D$10,F42,D$10-SUM(E$17:E42))</f>
        <v>714567.31118646613</v>
      </c>
      <c r="E43" s="484">
        <f t="shared" si="10"/>
        <v>40131.322093023256</v>
      </c>
      <c r="F43" s="485">
        <f t="shared" si="11"/>
        <v>674435.98909344291</v>
      </c>
      <c r="G43" s="486">
        <f t="shared" si="12"/>
        <v>112850.32209302325</v>
      </c>
      <c r="H43" s="455">
        <f t="shared" si="13"/>
        <v>112850.32209302325</v>
      </c>
      <c r="I43" s="475">
        <f t="shared" si="4"/>
        <v>0</v>
      </c>
      <c r="J43" s="475"/>
      <c r="K43" s="487"/>
      <c r="L43" s="478">
        <f t="shared" si="14"/>
        <v>0</v>
      </c>
      <c r="M43" s="487"/>
      <c r="N43" s="478">
        <f t="shared" si="5"/>
        <v>0</v>
      </c>
      <c r="O43" s="478">
        <f t="shared" si="6"/>
        <v>0</v>
      </c>
      <c r="P43" s="242"/>
    </row>
    <row r="44" spans="2:16" ht="12.5">
      <c r="B44" s="160" t="str">
        <f t="shared" si="3"/>
        <v/>
      </c>
      <c r="C44" s="472">
        <f>IF(D11="","-",+C43+1)</f>
        <v>2041</v>
      </c>
      <c r="D44" s="485">
        <f>IF(F43+SUM(E$17:E43)=D$10,F43,D$10-SUM(E$17:E43))</f>
        <v>674435.98909344291</v>
      </c>
      <c r="E44" s="484">
        <f t="shared" si="10"/>
        <v>40131.322093023256</v>
      </c>
      <c r="F44" s="485">
        <f t="shared" si="11"/>
        <v>634304.66700041969</v>
      </c>
      <c r="G44" s="486">
        <f t="shared" si="12"/>
        <v>108523.32209302325</v>
      </c>
      <c r="H44" s="455">
        <f t="shared" si="13"/>
        <v>108523.32209302325</v>
      </c>
      <c r="I44" s="475">
        <f t="shared" si="4"/>
        <v>0</v>
      </c>
      <c r="J44" s="475"/>
      <c r="K44" s="487"/>
      <c r="L44" s="478">
        <f t="shared" si="14"/>
        <v>0</v>
      </c>
      <c r="M44" s="487"/>
      <c r="N44" s="478">
        <f t="shared" si="5"/>
        <v>0</v>
      </c>
      <c r="O44" s="478">
        <f t="shared" si="6"/>
        <v>0</v>
      </c>
      <c r="P44" s="242"/>
    </row>
    <row r="45" spans="2:16" ht="12.5">
      <c r="B45" s="160" t="str">
        <f t="shared" si="3"/>
        <v/>
      </c>
      <c r="C45" s="472">
        <f>IF(D11="","-",+C44+1)</f>
        <v>2042</v>
      </c>
      <c r="D45" s="485">
        <f>IF(F44+SUM(E$17:E44)=D$10,F44,D$10-SUM(E$17:E44))</f>
        <v>634304.66700041969</v>
      </c>
      <c r="E45" s="484">
        <f t="shared" si="10"/>
        <v>40131.322093023256</v>
      </c>
      <c r="F45" s="485">
        <f t="shared" si="11"/>
        <v>594173.34490739647</v>
      </c>
      <c r="G45" s="486">
        <f t="shared" si="12"/>
        <v>104196.32209302325</v>
      </c>
      <c r="H45" s="455">
        <f t="shared" si="13"/>
        <v>104196.32209302325</v>
      </c>
      <c r="I45" s="475">
        <f t="shared" si="4"/>
        <v>0</v>
      </c>
      <c r="J45" s="475"/>
      <c r="K45" s="487"/>
      <c r="L45" s="478">
        <f t="shared" si="14"/>
        <v>0</v>
      </c>
      <c r="M45" s="487"/>
      <c r="N45" s="478">
        <f t="shared" si="5"/>
        <v>0</v>
      </c>
      <c r="O45" s="478">
        <f t="shared" si="6"/>
        <v>0</v>
      </c>
      <c r="P45" s="242"/>
    </row>
    <row r="46" spans="2:16" ht="12.5">
      <c r="B46" s="160" t="str">
        <f t="shared" si="3"/>
        <v/>
      </c>
      <c r="C46" s="472">
        <f>IF(D11="","-",+C45+1)</f>
        <v>2043</v>
      </c>
      <c r="D46" s="485">
        <f>IF(F45+SUM(E$17:E45)=D$10,F45,D$10-SUM(E$17:E45))</f>
        <v>594173.34490739647</v>
      </c>
      <c r="E46" s="484">
        <f t="shared" si="10"/>
        <v>40131.322093023256</v>
      </c>
      <c r="F46" s="485">
        <f t="shared" si="11"/>
        <v>554042.02281437325</v>
      </c>
      <c r="G46" s="486">
        <f t="shared" si="12"/>
        <v>99869.322093023249</v>
      </c>
      <c r="H46" s="455">
        <f t="shared" si="13"/>
        <v>99869.322093023249</v>
      </c>
      <c r="I46" s="475">
        <f t="shared" si="4"/>
        <v>0</v>
      </c>
      <c r="J46" s="475"/>
      <c r="K46" s="487"/>
      <c r="L46" s="478">
        <f t="shared" si="14"/>
        <v>0</v>
      </c>
      <c r="M46" s="487"/>
      <c r="N46" s="478">
        <f t="shared" si="5"/>
        <v>0</v>
      </c>
      <c r="O46" s="478">
        <f t="shared" si="6"/>
        <v>0</v>
      </c>
      <c r="P46" s="242"/>
    </row>
    <row r="47" spans="2:16" ht="12.5">
      <c r="B47" s="160" t="str">
        <f t="shared" si="3"/>
        <v/>
      </c>
      <c r="C47" s="472">
        <f>IF(D11="","-",+C46+1)</f>
        <v>2044</v>
      </c>
      <c r="D47" s="485">
        <f>IF(F46+SUM(E$17:E46)=D$10,F46,D$10-SUM(E$17:E46))</f>
        <v>554042.02281437325</v>
      </c>
      <c r="E47" s="484">
        <f t="shared" si="10"/>
        <v>40131.322093023256</v>
      </c>
      <c r="F47" s="485">
        <f t="shared" si="11"/>
        <v>513910.70072134997</v>
      </c>
      <c r="G47" s="486">
        <f t="shared" si="12"/>
        <v>95542.322093023249</v>
      </c>
      <c r="H47" s="455">
        <f t="shared" si="13"/>
        <v>95542.322093023249</v>
      </c>
      <c r="I47" s="475">
        <f t="shared" si="4"/>
        <v>0</v>
      </c>
      <c r="J47" s="475"/>
      <c r="K47" s="487"/>
      <c r="L47" s="478">
        <f t="shared" si="14"/>
        <v>0</v>
      </c>
      <c r="M47" s="487"/>
      <c r="N47" s="478">
        <f t="shared" si="5"/>
        <v>0</v>
      </c>
      <c r="O47" s="478">
        <f t="shared" si="6"/>
        <v>0</v>
      </c>
      <c r="P47" s="242"/>
    </row>
    <row r="48" spans="2:16" ht="12.5">
      <c r="B48" s="160" t="str">
        <f t="shared" si="3"/>
        <v/>
      </c>
      <c r="C48" s="472">
        <f>IF(D11="","-",+C47+1)</f>
        <v>2045</v>
      </c>
      <c r="D48" s="485">
        <f>IF(F47+SUM(E$17:E47)=D$10,F47,D$10-SUM(E$17:E47))</f>
        <v>513910.70072134997</v>
      </c>
      <c r="E48" s="484">
        <f t="shared" si="10"/>
        <v>40131.322093023256</v>
      </c>
      <c r="F48" s="485">
        <f t="shared" si="11"/>
        <v>473779.3786283267</v>
      </c>
      <c r="G48" s="486">
        <f t="shared" si="12"/>
        <v>91215.322093023249</v>
      </c>
      <c r="H48" s="455">
        <f t="shared" si="13"/>
        <v>91215.322093023249</v>
      </c>
      <c r="I48" s="475">
        <f t="shared" si="4"/>
        <v>0</v>
      </c>
      <c r="J48" s="475"/>
      <c r="K48" s="487"/>
      <c r="L48" s="478">
        <f t="shared" si="14"/>
        <v>0</v>
      </c>
      <c r="M48" s="487"/>
      <c r="N48" s="478">
        <f t="shared" si="5"/>
        <v>0</v>
      </c>
      <c r="O48" s="478">
        <f t="shared" si="6"/>
        <v>0</v>
      </c>
      <c r="P48" s="242"/>
    </row>
    <row r="49" spans="2:16" ht="12.5">
      <c r="B49" s="160" t="str">
        <f t="shared" si="3"/>
        <v/>
      </c>
      <c r="C49" s="472">
        <f>IF(D11="","-",+C48+1)</f>
        <v>2046</v>
      </c>
      <c r="D49" s="485">
        <f>IF(F48+SUM(E$17:E48)=D$10,F48,D$10-SUM(E$17:E48))</f>
        <v>473779.3786283267</v>
      </c>
      <c r="E49" s="484">
        <f t="shared" si="10"/>
        <v>40131.322093023256</v>
      </c>
      <c r="F49" s="485">
        <f t="shared" si="11"/>
        <v>433648.05653530342</v>
      </c>
      <c r="G49" s="486">
        <f t="shared" si="12"/>
        <v>86888.322093023249</v>
      </c>
      <c r="H49" s="455">
        <f t="shared" si="13"/>
        <v>86888.322093023249</v>
      </c>
      <c r="I49" s="475">
        <f t="shared" si="4"/>
        <v>0</v>
      </c>
      <c r="J49" s="475"/>
      <c r="K49" s="487"/>
      <c r="L49" s="478">
        <f t="shared" si="14"/>
        <v>0</v>
      </c>
      <c r="M49" s="487"/>
      <c r="N49" s="478">
        <f t="shared" si="5"/>
        <v>0</v>
      </c>
      <c r="O49" s="478">
        <f t="shared" si="6"/>
        <v>0</v>
      </c>
      <c r="P49" s="242"/>
    </row>
    <row r="50" spans="2:16" ht="12.5">
      <c r="B50" s="160" t="str">
        <f t="shared" si="3"/>
        <v/>
      </c>
      <c r="C50" s="472">
        <f>IF(D11="","-",+C49+1)</f>
        <v>2047</v>
      </c>
      <c r="D50" s="485">
        <f>IF(F49+SUM(E$17:E49)=D$10,F49,D$10-SUM(E$17:E49))</f>
        <v>433648.05653530342</v>
      </c>
      <c r="E50" s="484">
        <f t="shared" si="10"/>
        <v>40131.322093023256</v>
      </c>
      <c r="F50" s="485">
        <f t="shared" si="11"/>
        <v>393516.73444228014</v>
      </c>
      <c r="G50" s="486">
        <f t="shared" si="12"/>
        <v>82561.322093023249</v>
      </c>
      <c r="H50" s="455">
        <f t="shared" si="13"/>
        <v>82561.322093023249</v>
      </c>
      <c r="I50" s="475">
        <f t="shared" si="4"/>
        <v>0</v>
      </c>
      <c r="J50" s="475"/>
      <c r="K50" s="487"/>
      <c r="L50" s="478">
        <f t="shared" si="14"/>
        <v>0</v>
      </c>
      <c r="M50" s="487"/>
      <c r="N50" s="478">
        <f t="shared" si="5"/>
        <v>0</v>
      </c>
      <c r="O50" s="478">
        <f t="shared" si="6"/>
        <v>0</v>
      </c>
      <c r="P50" s="242"/>
    </row>
    <row r="51" spans="2:16" ht="12.5">
      <c r="B51" s="160" t="str">
        <f t="shared" si="3"/>
        <v/>
      </c>
      <c r="C51" s="472">
        <f>IF(D11="","-",+C50+1)</f>
        <v>2048</v>
      </c>
      <c r="D51" s="485">
        <f>IF(F50+SUM(E$17:E50)=D$10,F50,D$10-SUM(E$17:E50))</f>
        <v>393516.73444228014</v>
      </c>
      <c r="E51" s="484">
        <f t="shared" si="10"/>
        <v>40131.322093023256</v>
      </c>
      <c r="F51" s="485">
        <f t="shared" si="11"/>
        <v>353385.41234925686</v>
      </c>
      <c r="G51" s="486">
        <f t="shared" si="12"/>
        <v>78234.322093023249</v>
      </c>
      <c r="H51" s="455">
        <f t="shared" si="13"/>
        <v>78234.322093023249</v>
      </c>
      <c r="I51" s="475">
        <f t="shared" si="4"/>
        <v>0</v>
      </c>
      <c r="J51" s="475"/>
      <c r="K51" s="487"/>
      <c r="L51" s="478">
        <f t="shared" si="14"/>
        <v>0</v>
      </c>
      <c r="M51" s="487"/>
      <c r="N51" s="478">
        <f t="shared" si="5"/>
        <v>0</v>
      </c>
      <c r="O51" s="478">
        <f t="shared" si="6"/>
        <v>0</v>
      </c>
      <c r="P51" s="242"/>
    </row>
    <row r="52" spans="2:16" ht="12.5">
      <c r="B52" s="160" t="str">
        <f t="shared" si="3"/>
        <v/>
      </c>
      <c r="C52" s="472">
        <f>IF(D11="","-",+C51+1)</f>
        <v>2049</v>
      </c>
      <c r="D52" s="485">
        <f>IF(F51+SUM(E$17:E51)=D$10,F51,D$10-SUM(E$17:E51))</f>
        <v>353385.41234925686</v>
      </c>
      <c r="E52" s="484">
        <f t="shared" si="10"/>
        <v>40131.322093023256</v>
      </c>
      <c r="F52" s="485">
        <f t="shared" si="11"/>
        <v>313254.09025623358</v>
      </c>
      <c r="G52" s="486">
        <f t="shared" si="12"/>
        <v>73907.322093023249</v>
      </c>
      <c r="H52" s="455">
        <f t="shared" si="13"/>
        <v>73907.322093023249</v>
      </c>
      <c r="I52" s="475">
        <f t="shared" si="4"/>
        <v>0</v>
      </c>
      <c r="J52" s="475"/>
      <c r="K52" s="487"/>
      <c r="L52" s="478">
        <f t="shared" si="14"/>
        <v>0</v>
      </c>
      <c r="M52" s="487"/>
      <c r="N52" s="478">
        <f t="shared" si="5"/>
        <v>0</v>
      </c>
      <c r="O52" s="478">
        <f t="shared" si="6"/>
        <v>0</v>
      </c>
      <c r="P52" s="242"/>
    </row>
    <row r="53" spans="2:16" ht="12.5">
      <c r="B53" s="160" t="str">
        <f t="shared" si="3"/>
        <v/>
      </c>
      <c r="C53" s="472">
        <f>IF(D11="","-",+C52+1)</f>
        <v>2050</v>
      </c>
      <c r="D53" s="485">
        <f>IF(F52+SUM(E$17:E52)=D$10,F52,D$10-SUM(E$17:E52))</f>
        <v>313254.09025623358</v>
      </c>
      <c r="E53" s="484">
        <f t="shared" si="10"/>
        <v>40131.322093023256</v>
      </c>
      <c r="F53" s="485">
        <f t="shared" si="11"/>
        <v>273122.7681632103</v>
      </c>
      <c r="G53" s="486">
        <f t="shared" si="12"/>
        <v>69580.322093023249</v>
      </c>
      <c r="H53" s="455">
        <f t="shared" si="13"/>
        <v>69580.322093023249</v>
      </c>
      <c r="I53" s="475">
        <f t="shared" si="4"/>
        <v>0</v>
      </c>
      <c r="J53" s="475"/>
      <c r="K53" s="487"/>
      <c r="L53" s="478">
        <f t="shared" si="14"/>
        <v>0</v>
      </c>
      <c r="M53" s="487"/>
      <c r="N53" s="478">
        <f t="shared" si="5"/>
        <v>0</v>
      </c>
      <c r="O53" s="478">
        <f t="shared" si="6"/>
        <v>0</v>
      </c>
      <c r="P53" s="242"/>
    </row>
    <row r="54" spans="2:16" ht="12.5">
      <c r="B54" s="160" t="str">
        <f t="shared" si="3"/>
        <v/>
      </c>
      <c r="C54" s="472">
        <f>IF(D11="","-",+C53+1)</f>
        <v>2051</v>
      </c>
      <c r="D54" s="485">
        <f>IF(F53+SUM(E$17:E53)=D$10,F53,D$10-SUM(E$17:E53))</f>
        <v>273122.7681632103</v>
      </c>
      <c r="E54" s="484">
        <f t="shared" si="10"/>
        <v>40131.322093023256</v>
      </c>
      <c r="F54" s="485">
        <f t="shared" si="11"/>
        <v>232991.44607018706</v>
      </c>
      <c r="G54" s="486">
        <f t="shared" si="12"/>
        <v>65253.322093023256</v>
      </c>
      <c r="H54" s="455">
        <f t="shared" si="13"/>
        <v>65253.322093023256</v>
      </c>
      <c r="I54" s="475">
        <f t="shared" si="4"/>
        <v>0</v>
      </c>
      <c r="J54" s="475"/>
      <c r="K54" s="487"/>
      <c r="L54" s="478">
        <f t="shared" si="14"/>
        <v>0</v>
      </c>
      <c r="M54" s="487"/>
      <c r="N54" s="478">
        <f t="shared" si="5"/>
        <v>0</v>
      </c>
      <c r="O54" s="478">
        <f t="shared" si="6"/>
        <v>0</v>
      </c>
      <c r="P54" s="242"/>
    </row>
    <row r="55" spans="2:16" ht="12.5">
      <c r="B55" s="160" t="str">
        <f t="shared" si="3"/>
        <v/>
      </c>
      <c r="C55" s="472">
        <f>IF(D11="","-",+C54+1)</f>
        <v>2052</v>
      </c>
      <c r="D55" s="485">
        <f>IF(F54+SUM(E$17:E54)=D$10,F54,D$10-SUM(E$17:E54))</f>
        <v>232991.44607018706</v>
      </c>
      <c r="E55" s="484">
        <f t="shared" si="10"/>
        <v>40131.322093023256</v>
      </c>
      <c r="F55" s="485">
        <f t="shared" si="11"/>
        <v>192860.12397716381</v>
      </c>
      <c r="G55" s="486">
        <f t="shared" si="12"/>
        <v>60925.322093023256</v>
      </c>
      <c r="H55" s="455">
        <f t="shared" si="13"/>
        <v>60925.322093023256</v>
      </c>
      <c r="I55" s="475">
        <f t="shared" si="4"/>
        <v>0</v>
      </c>
      <c r="J55" s="475"/>
      <c r="K55" s="487"/>
      <c r="L55" s="478">
        <f t="shared" si="14"/>
        <v>0</v>
      </c>
      <c r="M55" s="487"/>
      <c r="N55" s="478">
        <f t="shared" si="5"/>
        <v>0</v>
      </c>
      <c r="O55" s="478">
        <f t="shared" si="6"/>
        <v>0</v>
      </c>
      <c r="P55" s="242"/>
    </row>
    <row r="56" spans="2:16" ht="12.5">
      <c r="B56" s="160" t="str">
        <f t="shared" si="3"/>
        <v/>
      </c>
      <c r="C56" s="472">
        <f>IF(D11="","-",+C55+1)</f>
        <v>2053</v>
      </c>
      <c r="D56" s="485">
        <f>IF(F55+SUM(E$17:E55)=D$10,F55,D$10-SUM(E$17:E55))</f>
        <v>192860.12397716381</v>
      </c>
      <c r="E56" s="484">
        <f t="shared" si="10"/>
        <v>40131.322093023256</v>
      </c>
      <c r="F56" s="485">
        <f t="shared" si="11"/>
        <v>152728.80188414056</v>
      </c>
      <c r="G56" s="486">
        <f t="shared" si="12"/>
        <v>56598.322093023256</v>
      </c>
      <c r="H56" s="455">
        <f t="shared" si="13"/>
        <v>56598.322093023256</v>
      </c>
      <c r="I56" s="475">
        <f t="shared" si="4"/>
        <v>0</v>
      </c>
      <c r="J56" s="475"/>
      <c r="K56" s="487"/>
      <c r="L56" s="478">
        <f t="shared" si="14"/>
        <v>0</v>
      </c>
      <c r="M56" s="487"/>
      <c r="N56" s="478">
        <f t="shared" si="5"/>
        <v>0</v>
      </c>
      <c r="O56" s="478">
        <f t="shared" si="6"/>
        <v>0</v>
      </c>
      <c r="P56" s="242"/>
    </row>
    <row r="57" spans="2:16" ht="12.5">
      <c r="B57" s="160" t="str">
        <f t="shared" si="3"/>
        <v/>
      </c>
      <c r="C57" s="472">
        <f>IF(D11="","-",+C56+1)</f>
        <v>2054</v>
      </c>
      <c r="D57" s="485">
        <f>IF(F56+SUM(E$17:E56)=D$10,F56,D$10-SUM(E$17:E56))</f>
        <v>152728.80188414056</v>
      </c>
      <c r="E57" s="484">
        <f t="shared" si="10"/>
        <v>40131.322093023256</v>
      </c>
      <c r="F57" s="485">
        <f t="shared" si="11"/>
        <v>112597.47979111731</v>
      </c>
      <c r="G57" s="486">
        <f t="shared" si="12"/>
        <v>52271.322093023256</v>
      </c>
      <c r="H57" s="455">
        <f t="shared" si="13"/>
        <v>52271.322093023256</v>
      </c>
      <c r="I57" s="475">
        <f t="shared" si="4"/>
        <v>0</v>
      </c>
      <c r="J57" s="475"/>
      <c r="K57" s="487"/>
      <c r="L57" s="478">
        <f t="shared" si="14"/>
        <v>0</v>
      </c>
      <c r="M57" s="487"/>
      <c r="N57" s="478">
        <f t="shared" si="5"/>
        <v>0</v>
      </c>
      <c r="O57" s="478">
        <f t="shared" si="6"/>
        <v>0</v>
      </c>
      <c r="P57" s="242"/>
    </row>
    <row r="58" spans="2:16" ht="12.5">
      <c r="B58" s="160" t="str">
        <f t="shared" si="3"/>
        <v/>
      </c>
      <c r="C58" s="472">
        <f>IF(D11="","-",+C57+1)</f>
        <v>2055</v>
      </c>
      <c r="D58" s="485">
        <f>IF(F57+SUM(E$17:E57)=D$10,F57,D$10-SUM(E$17:E57))</f>
        <v>112597.47979111731</v>
      </c>
      <c r="E58" s="484">
        <f t="shared" si="10"/>
        <v>40131.322093023256</v>
      </c>
      <c r="F58" s="485">
        <f t="shared" si="11"/>
        <v>72466.157698094059</v>
      </c>
      <c r="G58" s="486">
        <f t="shared" si="12"/>
        <v>47944.322093023256</v>
      </c>
      <c r="H58" s="455">
        <f t="shared" si="13"/>
        <v>47944.322093023256</v>
      </c>
      <c r="I58" s="475">
        <f t="shared" si="4"/>
        <v>0</v>
      </c>
      <c r="J58" s="475"/>
      <c r="K58" s="487"/>
      <c r="L58" s="478">
        <f t="shared" si="14"/>
        <v>0</v>
      </c>
      <c r="M58" s="487"/>
      <c r="N58" s="478">
        <f t="shared" si="5"/>
        <v>0</v>
      </c>
      <c r="O58" s="478">
        <f t="shared" si="6"/>
        <v>0</v>
      </c>
      <c r="P58" s="242"/>
    </row>
    <row r="59" spans="2:16" ht="12.5">
      <c r="B59" s="160" t="str">
        <f t="shared" si="3"/>
        <v/>
      </c>
      <c r="C59" s="472">
        <f>IF(D11="","-",+C58+1)</f>
        <v>2056</v>
      </c>
      <c r="D59" s="485">
        <f>IF(F58+SUM(E$17:E58)=D$10,F58,D$10-SUM(E$17:E58))</f>
        <v>72466.157698094059</v>
      </c>
      <c r="E59" s="484">
        <f t="shared" si="10"/>
        <v>40131.322093023256</v>
      </c>
      <c r="F59" s="485">
        <f t="shared" si="11"/>
        <v>32334.835605070803</v>
      </c>
      <c r="G59" s="486">
        <f t="shared" si="12"/>
        <v>43617.322093023256</v>
      </c>
      <c r="H59" s="455">
        <f t="shared" si="13"/>
        <v>43617.322093023256</v>
      </c>
      <c r="I59" s="475">
        <f t="shared" si="4"/>
        <v>0</v>
      </c>
      <c r="J59" s="475"/>
      <c r="K59" s="487"/>
      <c r="L59" s="478">
        <f t="shared" si="14"/>
        <v>0</v>
      </c>
      <c r="M59" s="487"/>
      <c r="N59" s="478">
        <f t="shared" si="5"/>
        <v>0</v>
      </c>
      <c r="O59" s="478">
        <f t="shared" si="6"/>
        <v>0</v>
      </c>
      <c r="P59" s="242"/>
    </row>
    <row r="60" spans="2:16" ht="12.5">
      <c r="B60" s="160" t="str">
        <f t="shared" si="3"/>
        <v/>
      </c>
      <c r="C60" s="472">
        <f>IF(D11="","-",+C59+1)</f>
        <v>2057</v>
      </c>
      <c r="D60" s="485">
        <f>IF(F59+SUM(E$17:E59)=D$10,F59,D$10-SUM(E$17:E59))</f>
        <v>32334.835605070803</v>
      </c>
      <c r="E60" s="484">
        <f t="shared" si="10"/>
        <v>32334.835605070803</v>
      </c>
      <c r="F60" s="485">
        <f t="shared" si="11"/>
        <v>0</v>
      </c>
      <c r="G60" s="486">
        <f t="shared" si="12"/>
        <v>32334.835605070803</v>
      </c>
      <c r="H60" s="455">
        <f t="shared" si="13"/>
        <v>32334.835605070803</v>
      </c>
      <c r="I60" s="475">
        <f t="shared" si="4"/>
        <v>0</v>
      </c>
      <c r="J60" s="475"/>
      <c r="K60" s="487"/>
      <c r="L60" s="478">
        <f t="shared" si="14"/>
        <v>0</v>
      </c>
      <c r="M60" s="487"/>
      <c r="N60" s="478">
        <f t="shared" si="5"/>
        <v>0</v>
      </c>
      <c r="O60" s="478">
        <f t="shared" si="6"/>
        <v>0</v>
      </c>
      <c r="P60" s="242"/>
    </row>
    <row r="61" spans="2:16" ht="12.5">
      <c r="B61" s="160" t="str">
        <f t="shared" si="3"/>
        <v/>
      </c>
      <c r="C61" s="472">
        <f>IF(D11="","-",+C60+1)</f>
        <v>2058</v>
      </c>
      <c r="D61" s="485">
        <f>IF(F60+SUM(E$17:E60)=D$10,F60,D$10-SUM(E$17:E60))</f>
        <v>0</v>
      </c>
      <c r="E61" s="484">
        <f t="shared" si="10"/>
        <v>0</v>
      </c>
      <c r="F61" s="485">
        <f t="shared" si="11"/>
        <v>0</v>
      </c>
      <c r="G61" s="486">
        <f t="shared" si="12"/>
        <v>0</v>
      </c>
      <c r="H61" s="455">
        <f t="shared" si="13"/>
        <v>0</v>
      </c>
      <c r="I61" s="475">
        <f t="shared" si="4"/>
        <v>0</v>
      </c>
      <c r="J61" s="475"/>
      <c r="K61" s="487"/>
      <c r="L61" s="478">
        <f t="shared" si="14"/>
        <v>0</v>
      </c>
      <c r="M61" s="487"/>
      <c r="N61" s="478">
        <f t="shared" si="5"/>
        <v>0</v>
      </c>
      <c r="O61" s="478">
        <f t="shared" si="6"/>
        <v>0</v>
      </c>
      <c r="P61" s="242"/>
    </row>
    <row r="62" spans="2:16" ht="12.5">
      <c r="B62" s="160" t="str">
        <f t="shared" si="3"/>
        <v/>
      </c>
      <c r="C62" s="472">
        <f>IF(D11="","-",+C61+1)</f>
        <v>2059</v>
      </c>
      <c r="D62" s="485">
        <f>IF(F61+SUM(E$17:E61)=D$10,F61,D$10-SUM(E$17:E61))</f>
        <v>0</v>
      </c>
      <c r="E62" s="484">
        <f t="shared" si="10"/>
        <v>0</v>
      </c>
      <c r="F62" s="485">
        <f t="shared" si="11"/>
        <v>0</v>
      </c>
      <c r="G62" s="486">
        <f t="shared" si="12"/>
        <v>0</v>
      </c>
      <c r="H62" s="455">
        <f t="shared" si="13"/>
        <v>0</v>
      </c>
      <c r="I62" s="475">
        <f t="shared" si="4"/>
        <v>0</v>
      </c>
      <c r="J62" s="475"/>
      <c r="K62" s="487"/>
      <c r="L62" s="478">
        <f t="shared" si="14"/>
        <v>0</v>
      </c>
      <c r="M62" s="487"/>
      <c r="N62" s="478">
        <f t="shared" si="5"/>
        <v>0</v>
      </c>
      <c r="O62" s="478">
        <f t="shared" si="6"/>
        <v>0</v>
      </c>
      <c r="P62" s="242"/>
    </row>
    <row r="63" spans="2:16" ht="12.5">
      <c r="B63" s="160" t="str">
        <f t="shared" si="3"/>
        <v/>
      </c>
      <c r="C63" s="472">
        <f>IF(D11="","-",+C62+1)</f>
        <v>2060</v>
      </c>
      <c r="D63" s="485">
        <f>IF(F62+SUM(E$17:E62)=D$10,F62,D$10-SUM(E$17:E62))</f>
        <v>0</v>
      </c>
      <c r="E63" s="484">
        <f t="shared" si="10"/>
        <v>0</v>
      </c>
      <c r="F63" s="485">
        <f t="shared" si="11"/>
        <v>0</v>
      </c>
      <c r="G63" s="486">
        <f t="shared" si="12"/>
        <v>0</v>
      </c>
      <c r="H63" s="455">
        <f t="shared" si="13"/>
        <v>0</v>
      </c>
      <c r="I63" s="475">
        <f t="shared" si="4"/>
        <v>0</v>
      </c>
      <c r="J63" s="475"/>
      <c r="K63" s="487"/>
      <c r="L63" s="478">
        <f t="shared" si="14"/>
        <v>0</v>
      </c>
      <c r="M63" s="487"/>
      <c r="N63" s="478">
        <f t="shared" si="5"/>
        <v>0</v>
      </c>
      <c r="O63" s="478">
        <f t="shared" si="6"/>
        <v>0</v>
      </c>
      <c r="P63" s="242"/>
    </row>
    <row r="64" spans="2:16" ht="12.5">
      <c r="B64" s="160" t="str">
        <f t="shared" si="3"/>
        <v/>
      </c>
      <c r="C64" s="472">
        <f>IF(D11="","-",+C63+1)</f>
        <v>2061</v>
      </c>
      <c r="D64" s="485">
        <f>IF(F63+SUM(E$17:E63)=D$10,F63,D$10-SUM(E$17:E63))</f>
        <v>0</v>
      </c>
      <c r="E64" s="484">
        <f t="shared" si="10"/>
        <v>0</v>
      </c>
      <c r="F64" s="485">
        <f t="shared" si="11"/>
        <v>0</v>
      </c>
      <c r="G64" s="486">
        <f t="shared" si="12"/>
        <v>0</v>
      </c>
      <c r="H64" s="455">
        <f t="shared" si="13"/>
        <v>0</v>
      </c>
      <c r="I64" s="475">
        <f t="shared" si="4"/>
        <v>0</v>
      </c>
      <c r="J64" s="475"/>
      <c r="K64" s="487"/>
      <c r="L64" s="478">
        <f t="shared" si="14"/>
        <v>0</v>
      </c>
      <c r="M64" s="487"/>
      <c r="N64" s="478">
        <f t="shared" si="5"/>
        <v>0</v>
      </c>
      <c r="O64" s="478">
        <f t="shared" si="6"/>
        <v>0</v>
      </c>
      <c r="P64" s="242"/>
    </row>
    <row r="65" spans="2:16" ht="12.5">
      <c r="B65" s="160" t="str">
        <f t="shared" si="3"/>
        <v/>
      </c>
      <c r="C65" s="472">
        <f>IF(D11="","-",+C64+1)</f>
        <v>2062</v>
      </c>
      <c r="D65" s="485">
        <f>IF(F64+SUM(E$17:E64)=D$10,F64,D$10-SUM(E$17:E64))</f>
        <v>0</v>
      </c>
      <c r="E65" s="484">
        <f t="shared" si="10"/>
        <v>0</v>
      </c>
      <c r="F65" s="485">
        <f t="shared" si="11"/>
        <v>0</v>
      </c>
      <c r="G65" s="486">
        <f t="shared" si="12"/>
        <v>0</v>
      </c>
      <c r="H65" s="455">
        <f t="shared" si="13"/>
        <v>0</v>
      </c>
      <c r="I65" s="475">
        <f t="shared" si="4"/>
        <v>0</v>
      </c>
      <c r="J65" s="475"/>
      <c r="K65" s="487"/>
      <c r="L65" s="478">
        <f t="shared" si="14"/>
        <v>0</v>
      </c>
      <c r="M65" s="487"/>
      <c r="N65" s="478">
        <f t="shared" si="5"/>
        <v>0</v>
      </c>
      <c r="O65" s="478">
        <f t="shared" si="6"/>
        <v>0</v>
      </c>
      <c r="P65" s="242"/>
    </row>
    <row r="66" spans="2:16" ht="12.5">
      <c r="B66" s="160" t="str">
        <f t="shared" si="3"/>
        <v/>
      </c>
      <c r="C66" s="472">
        <f>IF(D11="","-",+C65+1)</f>
        <v>2063</v>
      </c>
      <c r="D66" s="485">
        <f>IF(F65+SUM(E$17:E65)=D$10,F65,D$10-SUM(E$17:E65))</f>
        <v>0</v>
      </c>
      <c r="E66" s="484">
        <f t="shared" si="10"/>
        <v>0</v>
      </c>
      <c r="F66" s="485">
        <f t="shared" si="11"/>
        <v>0</v>
      </c>
      <c r="G66" s="486">
        <f t="shared" si="12"/>
        <v>0</v>
      </c>
      <c r="H66" s="455">
        <f t="shared" si="13"/>
        <v>0</v>
      </c>
      <c r="I66" s="475">
        <f t="shared" si="4"/>
        <v>0</v>
      </c>
      <c r="J66" s="475"/>
      <c r="K66" s="487"/>
      <c r="L66" s="478">
        <f t="shared" si="14"/>
        <v>0</v>
      </c>
      <c r="M66" s="487"/>
      <c r="N66" s="478">
        <f t="shared" si="5"/>
        <v>0</v>
      </c>
      <c r="O66" s="478">
        <f t="shared" si="6"/>
        <v>0</v>
      </c>
      <c r="P66" s="242"/>
    </row>
    <row r="67" spans="2:16" ht="12.5">
      <c r="B67" s="160" t="str">
        <f t="shared" si="3"/>
        <v/>
      </c>
      <c r="C67" s="472">
        <f>IF(D11="","-",+C66+1)</f>
        <v>2064</v>
      </c>
      <c r="D67" s="485">
        <f>IF(F66+SUM(E$17:E66)=D$10,F66,D$10-SUM(E$17:E66))</f>
        <v>0</v>
      </c>
      <c r="E67" s="484">
        <f t="shared" si="10"/>
        <v>0</v>
      </c>
      <c r="F67" s="485">
        <f t="shared" si="11"/>
        <v>0</v>
      </c>
      <c r="G67" s="486">
        <f t="shared" si="12"/>
        <v>0</v>
      </c>
      <c r="H67" s="455">
        <f t="shared" si="13"/>
        <v>0</v>
      </c>
      <c r="I67" s="475">
        <f t="shared" si="4"/>
        <v>0</v>
      </c>
      <c r="J67" s="475"/>
      <c r="K67" s="487"/>
      <c r="L67" s="478">
        <f t="shared" si="14"/>
        <v>0</v>
      </c>
      <c r="M67" s="487"/>
      <c r="N67" s="478">
        <f t="shared" si="5"/>
        <v>0</v>
      </c>
      <c r="O67" s="478">
        <f t="shared" si="6"/>
        <v>0</v>
      </c>
      <c r="P67" s="242"/>
    </row>
    <row r="68" spans="2:16" ht="12.5">
      <c r="B68" s="160" t="str">
        <f t="shared" si="3"/>
        <v/>
      </c>
      <c r="C68" s="472">
        <f>IF(D11="","-",+C67+1)</f>
        <v>2065</v>
      </c>
      <c r="D68" s="485">
        <f>IF(F67+SUM(E$17:E67)=D$10,F67,D$10-SUM(E$17:E67))</f>
        <v>0</v>
      </c>
      <c r="E68" s="484">
        <f t="shared" si="10"/>
        <v>0</v>
      </c>
      <c r="F68" s="485">
        <f t="shared" si="11"/>
        <v>0</v>
      </c>
      <c r="G68" s="486">
        <f t="shared" si="12"/>
        <v>0</v>
      </c>
      <c r="H68" s="455">
        <f t="shared" si="13"/>
        <v>0</v>
      </c>
      <c r="I68" s="475">
        <f t="shared" si="4"/>
        <v>0</v>
      </c>
      <c r="J68" s="475"/>
      <c r="K68" s="487"/>
      <c r="L68" s="478">
        <f t="shared" si="14"/>
        <v>0</v>
      </c>
      <c r="M68" s="487"/>
      <c r="N68" s="478">
        <f t="shared" si="5"/>
        <v>0</v>
      </c>
      <c r="O68" s="478">
        <f t="shared" si="6"/>
        <v>0</v>
      </c>
      <c r="P68" s="242"/>
    </row>
    <row r="69" spans="2:16" ht="12.5">
      <c r="B69" s="160" t="str">
        <f t="shared" si="3"/>
        <v/>
      </c>
      <c r="C69" s="472">
        <f>IF(D11="","-",+C68+1)</f>
        <v>2066</v>
      </c>
      <c r="D69" s="485">
        <f>IF(F68+SUM(E$17:E68)=D$10,F68,D$10-SUM(E$17:E68))</f>
        <v>0</v>
      </c>
      <c r="E69" s="484">
        <f t="shared" si="10"/>
        <v>0</v>
      </c>
      <c r="F69" s="485">
        <f t="shared" si="11"/>
        <v>0</v>
      </c>
      <c r="G69" s="486">
        <f t="shared" si="12"/>
        <v>0</v>
      </c>
      <c r="H69" s="455">
        <f t="shared" si="13"/>
        <v>0</v>
      </c>
      <c r="I69" s="475">
        <f t="shared" si="4"/>
        <v>0</v>
      </c>
      <c r="J69" s="475"/>
      <c r="K69" s="487"/>
      <c r="L69" s="478">
        <f t="shared" si="14"/>
        <v>0</v>
      </c>
      <c r="M69" s="487"/>
      <c r="N69" s="478">
        <f t="shared" si="5"/>
        <v>0</v>
      </c>
      <c r="O69" s="478">
        <f t="shared" si="6"/>
        <v>0</v>
      </c>
      <c r="P69" s="242"/>
    </row>
    <row r="70" spans="2:16" ht="12.5">
      <c r="B70" s="160" t="str">
        <f t="shared" si="3"/>
        <v/>
      </c>
      <c r="C70" s="472">
        <f>IF(D11="","-",+C69+1)</f>
        <v>2067</v>
      </c>
      <c r="D70" s="485">
        <f>IF(F69+SUM(E$17:E69)=D$10,F69,D$10-SUM(E$17:E69))</f>
        <v>0</v>
      </c>
      <c r="E70" s="484">
        <f t="shared" si="10"/>
        <v>0</v>
      </c>
      <c r="F70" s="485">
        <f t="shared" si="11"/>
        <v>0</v>
      </c>
      <c r="G70" s="486">
        <f t="shared" si="12"/>
        <v>0</v>
      </c>
      <c r="H70" s="455">
        <f t="shared" si="13"/>
        <v>0</v>
      </c>
      <c r="I70" s="475">
        <f t="shared" si="4"/>
        <v>0</v>
      </c>
      <c r="J70" s="475"/>
      <c r="K70" s="487"/>
      <c r="L70" s="478">
        <f t="shared" si="14"/>
        <v>0</v>
      </c>
      <c r="M70" s="487"/>
      <c r="N70" s="478">
        <f t="shared" si="5"/>
        <v>0</v>
      </c>
      <c r="O70" s="478">
        <f t="shared" si="6"/>
        <v>0</v>
      </c>
      <c r="P70" s="242"/>
    </row>
    <row r="71" spans="2:16" ht="12.5">
      <c r="B71" s="160" t="str">
        <f t="shared" si="3"/>
        <v/>
      </c>
      <c r="C71" s="472">
        <f>IF(D11="","-",+C70+1)</f>
        <v>2068</v>
      </c>
      <c r="D71" s="485">
        <f>IF(F70+SUM(E$17:E70)=D$10,F70,D$10-SUM(E$17:E70))</f>
        <v>0</v>
      </c>
      <c r="E71" s="484">
        <f t="shared" si="10"/>
        <v>0</v>
      </c>
      <c r="F71" s="485">
        <f t="shared" si="11"/>
        <v>0</v>
      </c>
      <c r="G71" s="486">
        <f t="shared" si="12"/>
        <v>0</v>
      </c>
      <c r="H71" s="455">
        <f t="shared" si="13"/>
        <v>0</v>
      </c>
      <c r="I71" s="475">
        <f t="shared" si="4"/>
        <v>0</v>
      </c>
      <c r="J71" s="475"/>
      <c r="K71" s="487"/>
      <c r="L71" s="478">
        <f t="shared" si="14"/>
        <v>0</v>
      </c>
      <c r="M71" s="487"/>
      <c r="N71" s="478">
        <f t="shared" si="5"/>
        <v>0</v>
      </c>
      <c r="O71" s="478">
        <f t="shared" si="6"/>
        <v>0</v>
      </c>
      <c r="P71" s="242"/>
    </row>
    <row r="72" spans="2:16" ht="13" thickBot="1">
      <c r="B72" s="160" t="str">
        <f t="shared" si="3"/>
        <v/>
      </c>
      <c r="C72" s="489">
        <f>IF(D11="","-",+C71+1)</f>
        <v>2069</v>
      </c>
      <c r="D72" s="490">
        <f>IF(F71+SUM(E$17:E71)=D$10,F71,D$10-SUM(E$17:E71))</f>
        <v>0</v>
      </c>
      <c r="E72" s="491">
        <f t="shared" si="10"/>
        <v>0</v>
      </c>
      <c r="F72" s="490">
        <f t="shared" si="11"/>
        <v>0</v>
      </c>
      <c r="G72" s="544">
        <f t="shared" si="12"/>
        <v>0</v>
      </c>
      <c r="H72" s="435">
        <f t="shared" si="13"/>
        <v>0</v>
      </c>
      <c r="I72" s="493">
        <f t="shared" si="4"/>
        <v>0</v>
      </c>
      <c r="J72" s="475"/>
      <c r="K72" s="494"/>
      <c r="L72" s="495">
        <f t="shared" si="14"/>
        <v>0</v>
      </c>
      <c r="M72" s="494"/>
      <c r="N72" s="495">
        <f t="shared" si="5"/>
        <v>0</v>
      </c>
      <c r="O72" s="495">
        <f t="shared" si="6"/>
        <v>0</v>
      </c>
      <c r="P72" s="242"/>
    </row>
    <row r="73" spans="2:16" ht="12.5">
      <c r="C73" s="346" t="s">
        <v>77</v>
      </c>
      <c r="D73" s="347"/>
      <c r="E73" s="347">
        <f>SUM(E17:E72)</f>
        <v>1725646.8499999999</v>
      </c>
      <c r="F73" s="347"/>
      <c r="G73" s="347">
        <f>SUM(G17:G72)</f>
        <v>5983740.9184331466</v>
      </c>
      <c r="H73" s="347">
        <f>SUM(H17:H72)</f>
        <v>5983740.9184331466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18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215061.09551654221</v>
      </c>
      <c r="N87" s="508">
        <f>IF(J92&lt;D11,0,VLOOKUP(J92,C17:O72,11))</f>
        <v>215061.09551654221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202604.90301828689</v>
      </c>
      <c r="N88" s="512">
        <f>IF(J92&lt;D11,0,VLOOKUP(J92,C99:P154,7))</f>
        <v>202604.90301828689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Darlington-Red Rock 138 kV line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-12456.192498255317</v>
      </c>
      <c r="N89" s="517">
        <f>+N88-N87</f>
        <v>-12456.192498255317</v>
      </c>
      <c r="O89" s="518">
        <f>+O88-O87</f>
        <v>0</v>
      </c>
      <c r="P89" s="232"/>
    </row>
    <row r="90" spans="1:16" ht="13.5" thickBot="1">
      <c r="C90" s="496"/>
      <c r="D90" s="611" t="s">
        <v>274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TP2012112</v>
      </c>
      <c r="E91" s="522" t="str">
        <f>E9</f>
        <v xml:space="preserve">  SPP Project ID = 30746</v>
      </c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609">
        <v>1725647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2014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4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42089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2014</v>
      </c>
      <c r="D99" s="584"/>
      <c r="E99" s="585"/>
      <c r="F99" s="586"/>
      <c r="G99" s="605"/>
      <c r="H99" s="606"/>
      <c r="I99" s="607"/>
      <c r="J99" s="478">
        <v>0</v>
      </c>
      <c r="K99" s="478"/>
      <c r="L99" s="476">
        <f>H99</f>
        <v>0</v>
      </c>
      <c r="M99" s="348">
        <f>IF(L99&lt;&gt;0,+H99-L99,0)</f>
        <v>0</v>
      </c>
      <c r="N99" s="476">
        <f>I99</f>
        <v>0</v>
      </c>
      <c r="O99" s="475">
        <f>IF(N99&lt;&gt;0,+I99-N99,0)</f>
        <v>0</v>
      </c>
      <c r="P99" s="478">
        <f>+O99-M99</f>
        <v>0</v>
      </c>
    </row>
    <row r="100" spans="1:16" ht="12.5">
      <c r="B100" s="160" t="str">
        <f>IF(D100=F99,"","IU")</f>
        <v>IU</v>
      </c>
      <c r="C100" s="472">
        <f>IF(D93="","-",+C99+1)</f>
        <v>2015</v>
      </c>
      <c r="D100" s="578">
        <v>1703523.1724358976</v>
      </c>
      <c r="E100" s="579">
        <v>32760</v>
      </c>
      <c r="F100" s="578">
        <v>1670763.1724358976</v>
      </c>
      <c r="G100" s="579">
        <v>1687143.1724358976</v>
      </c>
      <c r="H100" s="602">
        <v>262957.1205792831</v>
      </c>
      <c r="I100" s="578">
        <v>262957.1205792831</v>
      </c>
      <c r="J100" s="478">
        <f>+I100-H100</f>
        <v>0</v>
      </c>
      <c r="K100" s="478"/>
      <c r="L100" s="476">
        <f>H100</f>
        <v>262957.1205792831</v>
      </c>
      <c r="M100" s="348">
        <f>IF(L100&lt;&gt;0,+H100-L100,0)</f>
        <v>0</v>
      </c>
      <c r="N100" s="476">
        <f>I100</f>
        <v>262957.1205792831</v>
      </c>
      <c r="O100" s="475">
        <f>IF(N100&lt;&gt;0,+I100-N100,0)</f>
        <v>0</v>
      </c>
      <c r="P100" s="478">
        <f>+O100-M100</f>
        <v>0</v>
      </c>
    </row>
    <row r="101" spans="1:16" ht="12.5">
      <c r="B101" s="160" t="str">
        <f t="shared" ref="B101:B154" si="15">IF(D101=F100,"","IU")</f>
        <v>IU</v>
      </c>
      <c r="C101" s="472">
        <f>IF(D93="","-",+C100+1)</f>
        <v>2016</v>
      </c>
      <c r="D101" s="578">
        <v>1692887</v>
      </c>
      <c r="E101" s="579">
        <v>37514</v>
      </c>
      <c r="F101" s="578">
        <v>1655373</v>
      </c>
      <c r="G101" s="579">
        <v>1674130</v>
      </c>
      <c r="H101" s="602">
        <v>250555.65084872485</v>
      </c>
      <c r="I101" s="578">
        <v>250555.65084872485</v>
      </c>
      <c r="J101" s="478">
        <f t="shared" ref="J101:J154" si="16">+I101-H101</f>
        <v>0</v>
      </c>
      <c r="K101" s="478"/>
      <c r="L101" s="476">
        <f>H101</f>
        <v>250555.65084872485</v>
      </c>
      <c r="M101" s="348">
        <f>IF(L101&lt;&gt;0,+H101-L101,0)</f>
        <v>0</v>
      </c>
      <c r="N101" s="476">
        <f>I101</f>
        <v>250555.65084872485</v>
      </c>
      <c r="O101" s="475">
        <f>IF(N101&lt;&gt;0,+I101-N101,0)</f>
        <v>0</v>
      </c>
      <c r="P101" s="478">
        <f>+O101-M101</f>
        <v>0</v>
      </c>
    </row>
    <row r="102" spans="1:16" ht="12.5">
      <c r="B102" s="160" t="str">
        <f t="shared" si="15"/>
        <v/>
      </c>
      <c r="C102" s="472">
        <f>IF(D93="","-",+C101+1)</f>
        <v>2017</v>
      </c>
      <c r="D102" s="578">
        <v>1655373</v>
      </c>
      <c r="E102" s="579">
        <v>37514</v>
      </c>
      <c r="F102" s="578">
        <v>1617859</v>
      </c>
      <c r="G102" s="579">
        <v>1636616</v>
      </c>
      <c r="H102" s="602">
        <v>245122.86632871011</v>
      </c>
      <c r="I102" s="578">
        <v>245122.86632871011</v>
      </c>
      <c r="J102" s="478">
        <f t="shared" si="16"/>
        <v>0</v>
      </c>
      <c r="K102" s="478"/>
      <c r="L102" s="476">
        <f>H102</f>
        <v>245122.86632871011</v>
      </c>
      <c r="M102" s="348">
        <f>IF(L102&lt;&gt;0,+H102-L102,0)</f>
        <v>0</v>
      </c>
      <c r="N102" s="476">
        <f>I102</f>
        <v>245122.86632871011</v>
      </c>
      <c r="O102" s="475">
        <f>IF(N102&lt;&gt;0,+I102-N102,0)</f>
        <v>0</v>
      </c>
      <c r="P102" s="478">
        <f>+O102-M102</f>
        <v>0</v>
      </c>
    </row>
    <row r="103" spans="1:16" ht="12.5">
      <c r="B103" s="160" t="str">
        <f t="shared" si="15"/>
        <v/>
      </c>
      <c r="C103" s="472">
        <f>IF(D93="","-",+C102+1)</f>
        <v>2018</v>
      </c>
      <c r="D103" s="578">
        <v>1617859</v>
      </c>
      <c r="E103" s="579">
        <v>40131</v>
      </c>
      <c r="F103" s="578">
        <v>1577728</v>
      </c>
      <c r="G103" s="579">
        <v>1597793.5</v>
      </c>
      <c r="H103" s="602">
        <v>204281.22089486517</v>
      </c>
      <c r="I103" s="578">
        <v>204281.22089486517</v>
      </c>
      <c r="J103" s="478">
        <f t="shared" si="16"/>
        <v>0</v>
      </c>
      <c r="K103" s="478"/>
      <c r="L103" s="476">
        <f>H103</f>
        <v>204281.22089486517</v>
      </c>
      <c r="M103" s="348">
        <f>IF(L103&lt;&gt;0,+H103-L103,0)</f>
        <v>0</v>
      </c>
      <c r="N103" s="476">
        <f>I103</f>
        <v>204281.22089486517</v>
      </c>
      <c r="O103" s="475">
        <f>IF(N103&lt;&gt;0,+I103-N103,0)</f>
        <v>0</v>
      </c>
      <c r="P103" s="478">
        <f>+O103-M103</f>
        <v>0</v>
      </c>
    </row>
    <row r="104" spans="1:16" ht="12.5">
      <c r="B104" s="160" t="str">
        <f t="shared" si="15"/>
        <v/>
      </c>
      <c r="C104" s="472">
        <f>IF(D93="","-",+C103+1)</f>
        <v>2019</v>
      </c>
      <c r="D104" s="346">
        <f>IF(F103+SUM(E$99:E103)=D$92,F103,D$92-SUM(E$99:E103))</f>
        <v>1577728</v>
      </c>
      <c r="E104" s="484">
        <f t="shared" ref="E104:E154" si="17">IF(+J$96&lt;F103,J$96,D104)</f>
        <v>42089</v>
      </c>
      <c r="F104" s="485">
        <f t="shared" ref="F104:F154" si="18">+D104-E104</f>
        <v>1535639</v>
      </c>
      <c r="G104" s="485">
        <f t="shared" ref="G104:G154" si="19">+(F104+D104)/2</f>
        <v>1556683.5</v>
      </c>
      <c r="H104" s="488">
        <f t="shared" ref="H104:H154" si="20">+J$94*G104+E104</f>
        <v>202604.90301828689</v>
      </c>
      <c r="I104" s="542">
        <f t="shared" ref="I104:I154" si="21">+J$95*G104+E104</f>
        <v>202604.90301828689</v>
      </c>
      <c r="J104" s="478">
        <f t="shared" si="16"/>
        <v>0</v>
      </c>
      <c r="K104" s="478"/>
      <c r="L104" s="487"/>
      <c r="M104" s="478">
        <f t="shared" ref="M104:M130" si="22">IF(L104&lt;&gt;0,+H104-L104,0)</f>
        <v>0</v>
      </c>
      <c r="N104" s="487"/>
      <c r="O104" s="478">
        <f t="shared" ref="O104:O130" si="23">IF(N104&lt;&gt;0,+I104-N104,0)</f>
        <v>0</v>
      </c>
      <c r="P104" s="478">
        <f t="shared" ref="P104:P130" si="24">+O104-M104</f>
        <v>0</v>
      </c>
    </row>
    <row r="105" spans="1:16" ht="12.5">
      <c r="B105" s="160" t="str">
        <f t="shared" si="15"/>
        <v/>
      </c>
      <c r="C105" s="472">
        <f>IF(D93="","-",+C104+1)</f>
        <v>2020</v>
      </c>
      <c r="D105" s="346">
        <f>IF(F104+SUM(E$99:E104)=D$92,F104,D$92-SUM(E$99:E104))</f>
        <v>1535639</v>
      </c>
      <c r="E105" s="484">
        <f t="shared" si="17"/>
        <v>42089</v>
      </c>
      <c r="F105" s="485">
        <f t="shared" si="18"/>
        <v>1493550</v>
      </c>
      <c r="G105" s="485">
        <f t="shared" si="19"/>
        <v>1514594.5</v>
      </c>
      <c r="H105" s="488">
        <f t="shared" si="20"/>
        <v>198264.93677457923</v>
      </c>
      <c r="I105" s="542">
        <f t="shared" si="21"/>
        <v>198264.93677457923</v>
      </c>
      <c r="J105" s="478">
        <f t="shared" si="16"/>
        <v>0</v>
      </c>
      <c r="K105" s="478"/>
      <c r="L105" s="487"/>
      <c r="M105" s="478">
        <f t="shared" si="22"/>
        <v>0</v>
      </c>
      <c r="N105" s="487"/>
      <c r="O105" s="478">
        <f t="shared" si="23"/>
        <v>0</v>
      </c>
      <c r="P105" s="478">
        <f t="shared" si="24"/>
        <v>0</v>
      </c>
    </row>
    <row r="106" spans="1:16" ht="12.5">
      <c r="B106" s="160" t="str">
        <f t="shared" si="15"/>
        <v/>
      </c>
      <c r="C106" s="472">
        <f>IF(D93="","-",+C105+1)</f>
        <v>2021</v>
      </c>
      <c r="D106" s="346">
        <f>IF(F105+SUM(E$99:E105)=D$92,F105,D$92-SUM(E$99:E105))</f>
        <v>1493550</v>
      </c>
      <c r="E106" s="484">
        <f t="shared" si="17"/>
        <v>42089</v>
      </c>
      <c r="F106" s="485">
        <f t="shared" si="18"/>
        <v>1451461</v>
      </c>
      <c r="G106" s="485">
        <f t="shared" si="19"/>
        <v>1472505.5</v>
      </c>
      <c r="H106" s="488">
        <f t="shared" si="20"/>
        <v>193924.97053087159</v>
      </c>
      <c r="I106" s="542">
        <f t="shared" si="21"/>
        <v>193924.97053087159</v>
      </c>
      <c r="J106" s="478">
        <f t="shared" si="16"/>
        <v>0</v>
      </c>
      <c r="K106" s="478"/>
      <c r="L106" s="487"/>
      <c r="M106" s="478">
        <f t="shared" si="22"/>
        <v>0</v>
      </c>
      <c r="N106" s="487"/>
      <c r="O106" s="478">
        <f t="shared" si="23"/>
        <v>0</v>
      </c>
      <c r="P106" s="478">
        <f t="shared" si="24"/>
        <v>0</v>
      </c>
    </row>
    <row r="107" spans="1:16" ht="12.5">
      <c r="B107" s="160" t="str">
        <f t="shared" si="15"/>
        <v/>
      </c>
      <c r="C107" s="472">
        <f>IF(D93="","-",+C106+1)</f>
        <v>2022</v>
      </c>
      <c r="D107" s="346">
        <f>IF(F106+SUM(E$99:E106)=D$92,F106,D$92-SUM(E$99:E106))</f>
        <v>1451461</v>
      </c>
      <c r="E107" s="484">
        <f t="shared" si="17"/>
        <v>42089</v>
      </c>
      <c r="F107" s="485">
        <f t="shared" si="18"/>
        <v>1409372</v>
      </c>
      <c r="G107" s="485">
        <f t="shared" si="19"/>
        <v>1430416.5</v>
      </c>
      <c r="H107" s="488">
        <f t="shared" si="20"/>
        <v>189585.00428716393</v>
      </c>
      <c r="I107" s="542">
        <f t="shared" si="21"/>
        <v>189585.00428716393</v>
      </c>
      <c r="J107" s="478">
        <f t="shared" si="16"/>
        <v>0</v>
      </c>
      <c r="K107" s="478"/>
      <c r="L107" s="487"/>
      <c r="M107" s="478">
        <f t="shared" si="22"/>
        <v>0</v>
      </c>
      <c r="N107" s="487"/>
      <c r="O107" s="478">
        <f t="shared" si="23"/>
        <v>0</v>
      </c>
      <c r="P107" s="478">
        <f t="shared" si="24"/>
        <v>0</v>
      </c>
    </row>
    <row r="108" spans="1:16" ht="12.5">
      <c r="B108" s="160" t="str">
        <f t="shared" si="15"/>
        <v/>
      </c>
      <c r="C108" s="472">
        <f>IF(D93="","-",+C107+1)</f>
        <v>2023</v>
      </c>
      <c r="D108" s="346">
        <f>IF(F107+SUM(E$99:E107)=D$92,F107,D$92-SUM(E$99:E107))</f>
        <v>1409372</v>
      </c>
      <c r="E108" s="484">
        <f t="shared" si="17"/>
        <v>42089</v>
      </c>
      <c r="F108" s="485">
        <f t="shared" si="18"/>
        <v>1367283</v>
      </c>
      <c r="G108" s="485">
        <f t="shared" si="19"/>
        <v>1388327.5</v>
      </c>
      <c r="H108" s="488">
        <f t="shared" si="20"/>
        <v>185245.0380434563</v>
      </c>
      <c r="I108" s="542">
        <f t="shared" si="21"/>
        <v>185245.0380434563</v>
      </c>
      <c r="J108" s="478">
        <f t="shared" si="16"/>
        <v>0</v>
      </c>
      <c r="K108" s="478"/>
      <c r="L108" s="487"/>
      <c r="M108" s="478">
        <f t="shared" si="22"/>
        <v>0</v>
      </c>
      <c r="N108" s="487"/>
      <c r="O108" s="478">
        <f t="shared" si="23"/>
        <v>0</v>
      </c>
      <c r="P108" s="478">
        <f t="shared" si="24"/>
        <v>0</v>
      </c>
    </row>
    <row r="109" spans="1:16" ht="12.5">
      <c r="B109" s="160" t="str">
        <f t="shared" si="15"/>
        <v/>
      </c>
      <c r="C109" s="472">
        <f>IF(D93="","-",+C108+1)</f>
        <v>2024</v>
      </c>
      <c r="D109" s="346">
        <f>IF(F108+SUM(E$99:E108)=D$92,F108,D$92-SUM(E$99:E108))</f>
        <v>1367283</v>
      </c>
      <c r="E109" s="484">
        <f t="shared" si="17"/>
        <v>42089</v>
      </c>
      <c r="F109" s="485">
        <f t="shared" si="18"/>
        <v>1325194</v>
      </c>
      <c r="G109" s="485">
        <f t="shared" si="19"/>
        <v>1346238.5</v>
      </c>
      <c r="H109" s="488">
        <f t="shared" si="20"/>
        <v>180905.07179974864</v>
      </c>
      <c r="I109" s="542">
        <f t="shared" si="21"/>
        <v>180905.07179974864</v>
      </c>
      <c r="J109" s="478">
        <f t="shared" si="16"/>
        <v>0</v>
      </c>
      <c r="K109" s="478"/>
      <c r="L109" s="487"/>
      <c r="M109" s="478">
        <f t="shared" si="22"/>
        <v>0</v>
      </c>
      <c r="N109" s="487"/>
      <c r="O109" s="478">
        <f t="shared" si="23"/>
        <v>0</v>
      </c>
      <c r="P109" s="478">
        <f t="shared" si="24"/>
        <v>0</v>
      </c>
    </row>
    <row r="110" spans="1:16" ht="12.5">
      <c r="B110" s="160" t="str">
        <f t="shared" si="15"/>
        <v/>
      </c>
      <c r="C110" s="472">
        <f>IF(D93="","-",+C109+1)</f>
        <v>2025</v>
      </c>
      <c r="D110" s="346">
        <f>IF(F109+SUM(E$99:E109)=D$92,F109,D$92-SUM(E$99:E109))</f>
        <v>1325194</v>
      </c>
      <c r="E110" s="484">
        <f t="shared" si="17"/>
        <v>42089</v>
      </c>
      <c r="F110" s="485">
        <f t="shared" si="18"/>
        <v>1283105</v>
      </c>
      <c r="G110" s="485">
        <f t="shared" si="19"/>
        <v>1304149.5</v>
      </c>
      <c r="H110" s="488">
        <f t="shared" si="20"/>
        <v>176565.105556041</v>
      </c>
      <c r="I110" s="542">
        <f t="shared" si="21"/>
        <v>176565.105556041</v>
      </c>
      <c r="J110" s="478">
        <f t="shared" si="16"/>
        <v>0</v>
      </c>
      <c r="K110" s="478"/>
      <c r="L110" s="487"/>
      <c r="M110" s="478">
        <f t="shared" si="22"/>
        <v>0</v>
      </c>
      <c r="N110" s="487"/>
      <c r="O110" s="478">
        <f t="shared" si="23"/>
        <v>0</v>
      </c>
      <c r="P110" s="478">
        <f t="shared" si="24"/>
        <v>0</v>
      </c>
    </row>
    <row r="111" spans="1:16" ht="12.5">
      <c r="B111" s="160" t="str">
        <f t="shared" si="15"/>
        <v/>
      </c>
      <c r="C111" s="472">
        <f>IF(D93="","-",+C110+1)</f>
        <v>2026</v>
      </c>
      <c r="D111" s="346">
        <f>IF(F110+SUM(E$99:E110)=D$92,F110,D$92-SUM(E$99:E110))</f>
        <v>1283105</v>
      </c>
      <c r="E111" s="484">
        <f t="shared" si="17"/>
        <v>42089</v>
      </c>
      <c r="F111" s="485">
        <f t="shared" si="18"/>
        <v>1241016</v>
      </c>
      <c r="G111" s="485">
        <f t="shared" si="19"/>
        <v>1262060.5</v>
      </c>
      <c r="H111" s="488">
        <f t="shared" si="20"/>
        <v>172225.13931233334</v>
      </c>
      <c r="I111" s="542">
        <f t="shared" si="21"/>
        <v>172225.13931233334</v>
      </c>
      <c r="J111" s="478">
        <f t="shared" si="16"/>
        <v>0</v>
      </c>
      <c r="K111" s="478"/>
      <c r="L111" s="487"/>
      <c r="M111" s="478">
        <f t="shared" si="22"/>
        <v>0</v>
      </c>
      <c r="N111" s="487"/>
      <c r="O111" s="478">
        <f t="shared" si="23"/>
        <v>0</v>
      </c>
      <c r="P111" s="478">
        <f t="shared" si="24"/>
        <v>0</v>
      </c>
    </row>
    <row r="112" spans="1:16" ht="12.5">
      <c r="B112" s="160" t="str">
        <f t="shared" si="15"/>
        <v/>
      </c>
      <c r="C112" s="472">
        <f>IF(D93="","-",+C111+1)</f>
        <v>2027</v>
      </c>
      <c r="D112" s="346">
        <f>IF(F111+SUM(E$99:E111)=D$92,F111,D$92-SUM(E$99:E111))</f>
        <v>1241016</v>
      </c>
      <c r="E112" s="484">
        <f t="shared" si="17"/>
        <v>42089</v>
      </c>
      <c r="F112" s="485">
        <f t="shared" si="18"/>
        <v>1198927</v>
      </c>
      <c r="G112" s="485">
        <f t="shared" si="19"/>
        <v>1219971.5</v>
      </c>
      <c r="H112" s="488">
        <f t="shared" si="20"/>
        <v>167885.17306862568</v>
      </c>
      <c r="I112" s="542">
        <f t="shared" si="21"/>
        <v>167885.17306862568</v>
      </c>
      <c r="J112" s="478">
        <f t="shared" si="16"/>
        <v>0</v>
      </c>
      <c r="K112" s="478"/>
      <c r="L112" s="487"/>
      <c r="M112" s="478">
        <f t="shared" si="22"/>
        <v>0</v>
      </c>
      <c r="N112" s="487"/>
      <c r="O112" s="478">
        <f t="shared" si="23"/>
        <v>0</v>
      </c>
      <c r="P112" s="478">
        <f t="shared" si="24"/>
        <v>0</v>
      </c>
    </row>
    <row r="113" spans="2:16" ht="12.5">
      <c r="B113" s="160" t="str">
        <f t="shared" si="15"/>
        <v/>
      </c>
      <c r="C113" s="472">
        <f>IF(D93="","-",+C112+1)</f>
        <v>2028</v>
      </c>
      <c r="D113" s="346">
        <f>IF(F112+SUM(E$99:E112)=D$92,F112,D$92-SUM(E$99:E112))</f>
        <v>1198927</v>
      </c>
      <c r="E113" s="484">
        <f t="shared" si="17"/>
        <v>42089</v>
      </c>
      <c r="F113" s="485">
        <f t="shared" si="18"/>
        <v>1156838</v>
      </c>
      <c r="G113" s="485">
        <f t="shared" si="19"/>
        <v>1177882.5</v>
      </c>
      <c r="H113" s="488">
        <f t="shared" si="20"/>
        <v>163545.20682491804</v>
      </c>
      <c r="I113" s="542">
        <f t="shared" si="21"/>
        <v>163545.20682491804</v>
      </c>
      <c r="J113" s="478">
        <f t="shared" si="16"/>
        <v>0</v>
      </c>
      <c r="K113" s="478"/>
      <c r="L113" s="487"/>
      <c r="M113" s="478">
        <f t="shared" si="22"/>
        <v>0</v>
      </c>
      <c r="N113" s="487"/>
      <c r="O113" s="478">
        <f t="shared" si="23"/>
        <v>0</v>
      </c>
      <c r="P113" s="478">
        <f t="shared" si="24"/>
        <v>0</v>
      </c>
    </row>
    <row r="114" spans="2:16" ht="12.5">
      <c r="B114" s="160" t="str">
        <f t="shared" si="15"/>
        <v/>
      </c>
      <c r="C114" s="472">
        <f>IF(D93="","-",+C113+1)</f>
        <v>2029</v>
      </c>
      <c r="D114" s="346">
        <f>IF(F113+SUM(E$99:E113)=D$92,F113,D$92-SUM(E$99:E113))</f>
        <v>1156838</v>
      </c>
      <c r="E114" s="484">
        <f t="shared" si="17"/>
        <v>42089</v>
      </c>
      <c r="F114" s="485">
        <f t="shared" si="18"/>
        <v>1114749</v>
      </c>
      <c r="G114" s="485">
        <f t="shared" si="19"/>
        <v>1135793.5</v>
      </c>
      <c r="H114" s="488">
        <f t="shared" si="20"/>
        <v>159205.24058121041</v>
      </c>
      <c r="I114" s="542">
        <f t="shared" si="21"/>
        <v>159205.24058121041</v>
      </c>
      <c r="J114" s="478">
        <f t="shared" si="16"/>
        <v>0</v>
      </c>
      <c r="K114" s="478"/>
      <c r="L114" s="487"/>
      <c r="M114" s="478">
        <f t="shared" si="22"/>
        <v>0</v>
      </c>
      <c r="N114" s="487"/>
      <c r="O114" s="478">
        <f t="shared" si="23"/>
        <v>0</v>
      </c>
      <c r="P114" s="478">
        <f t="shared" si="24"/>
        <v>0</v>
      </c>
    </row>
    <row r="115" spans="2:16" ht="12.5">
      <c r="B115" s="160" t="str">
        <f t="shared" si="15"/>
        <v/>
      </c>
      <c r="C115" s="472">
        <f>IF(D93="","-",+C114+1)</f>
        <v>2030</v>
      </c>
      <c r="D115" s="346">
        <f>IF(F114+SUM(E$99:E114)=D$92,F114,D$92-SUM(E$99:E114))</f>
        <v>1114749</v>
      </c>
      <c r="E115" s="484">
        <f t="shared" si="17"/>
        <v>42089</v>
      </c>
      <c r="F115" s="485">
        <f t="shared" si="18"/>
        <v>1072660</v>
      </c>
      <c r="G115" s="485">
        <f t="shared" si="19"/>
        <v>1093704.5</v>
      </c>
      <c r="H115" s="488">
        <f t="shared" si="20"/>
        <v>154865.27433750275</v>
      </c>
      <c r="I115" s="542">
        <f t="shared" si="21"/>
        <v>154865.27433750275</v>
      </c>
      <c r="J115" s="478">
        <f t="shared" si="16"/>
        <v>0</v>
      </c>
      <c r="K115" s="478"/>
      <c r="L115" s="487"/>
      <c r="M115" s="478">
        <f t="shared" si="22"/>
        <v>0</v>
      </c>
      <c r="N115" s="487"/>
      <c r="O115" s="478">
        <f t="shared" si="23"/>
        <v>0</v>
      </c>
      <c r="P115" s="478">
        <f t="shared" si="24"/>
        <v>0</v>
      </c>
    </row>
    <row r="116" spans="2:16" ht="12.5">
      <c r="B116" s="160" t="str">
        <f t="shared" si="15"/>
        <v/>
      </c>
      <c r="C116" s="472">
        <f>IF(D93="","-",+C115+1)</f>
        <v>2031</v>
      </c>
      <c r="D116" s="346">
        <f>IF(F115+SUM(E$99:E115)=D$92,F115,D$92-SUM(E$99:E115))</f>
        <v>1072660</v>
      </c>
      <c r="E116" s="484">
        <f t="shared" si="17"/>
        <v>42089</v>
      </c>
      <c r="F116" s="485">
        <f t="shared" si="18"/>
        <v>1030571</v>
      </c>
      <c r="G116" s="485">
        <f t="shared" si="19"/>
        <v>1051615.5</v>
      </c>
      <c r="H116" s="488">
        <f t="shared" si="20"/>
        <v>150525.30809379509</v>
      </c>
      <c r="I116" s="542">
        <f t="shared" si="21"/>
        <v>150525.30809379509</v>
      </c>
      <c r="J116" s="478">
        <f t="shared" si="16"/>
        <v>0</v>
      </c>
      <c r="K116" s="478"/>
      <c r="L116" s="487"/>
      <c r="M116" s="478">
        <f t="shared" si="22"/>
        <v>0</v>
      </c>
      <c r="N116" s="487"/>
      <c r="O116" s="478">
        <f t="shared" si="23"/>
        <v>0</v>
      </c>
      <c r="P116" s="478">
        <f t="shared" si="24"/>
        <v>0</v>
      </c>
    </row>
    <row r="117" spans="2:16" ht="12.5">
      <c r="B117" s="160" t="str">
        <f t="shared" si="15"/>
        <v/>
      </c>
      <c r="C117" s="472">
        <f>IF(D93="","-",+C116+1)</f>
        <v>2032</v>
      </c>
      <c r="D117" s="346">
        <f>IF(F116+SUM(E$99:E116)=D$92,F116,D$92-SUM(E$99:E116))</f>
        <v>1030571</v>
      </c>
      <c r="E117" s="484">
        <f t="shared" si="17"/>
        <v>42089</v>
      </c>
      <c r="F117" s="485">
        <f t="shared" si="18"/>
        <v>988482</v>
      </c>
      <c r="G117" s="485">
        <f t="shared" si="19"/>
        <v>1009526.5</v>
      </c>
      <c r="H117" s="488">
        <f t="shared" si="20"/>
        <v>146185.34185008745</v>
      </c>
      <c r="I117" s="542">
        <f t="shared" si="21"/>
        <v>146185.34185008745</v>
      </c>
      <c r="J117" s="478">
        <f t="shared" si="16"/>
        <v>0</v>
      </c>
      <c r="K117" s="478"/>
      <c r="L117" s="487"/>
      <c r="M117" s="478">
        <f t="shared" si="22"/>
        <v>0</v>
      </c>
      <c r="N117" s="487"/>
      <c r="O117" s="478">
        <f t="shared" si="23"/>
        <v>0</v>
      </c>
      <c r="P117" s="478">
        <f t="shared" si="24"/>
        <v>0</v>
      </c>
    </row>
    <row r="118" spans="2:16" ht="12.5">
      <c r="B118" s="160" t="str">
        <f t="shared" si="15"/>
        <v/>
      </c>
      <c r="C118" s="472">
        <f>IF(D93="","-",+C117+1)</f>
        <v>2033</v>
      </c>
      <c r="D118" s="346">
        <f>IF(F117+SUM(E$99:E117)=D$92,F117,D$92-SUM(E$99:E117))</f>
        <v>988482</v>
      </c>
      <c r="E118" s="484">
        <f t="shared" si="17"/>
        <v>42089</v>
      </c>
      <c r="F118" s="485">
        <f t="shared" si="18"/>
        <v>946393</v>
      </c>
      <c r="G118" s="485">
        <f t="shared" si="19"/>
        <v>967437.5</v>
      </c>
      <c r="H118" s="488">
        <f t="shared" si="20"/>
        <v>141845.37560637979</v>
      </c>
      <c r="I118" s="542">
        <f t="shared" si="21"/>
        <v>141845.37560637979</v>
      </c>
      <c r="J118" s="478">
        <f t="shared" si="16"/>
        <v>0</v>
      </c>
      <c r="K118" s="478"/>
      <c r="L118" s="487"/>
      <c r="M118" s="478">
        <f t="shared" si="22"/>
        <v>0</v>
      </c>
      <c r="N118" s="487"/>
      <c r="O118" s="478">
        <f t="shared" si="23"/>
        <v>0</v>
      </c>
      <c r="P118" s="478">
        <f t="shared" si="24"/>
        <v>0</v>
      </c>
    </row>
    <row r="119" spans="2:16" ht="12.5">
      <c r="B119" s="160" t="str">
        <f t="shared" si="15"/>
        <v/>
      </c>
      <c r="C119" s="472">
        <f>IF(D93="","-",+C118+1)</f>
        <v>2034</v>
      </c>
      <c r="D119" s="346">
        <f>IF(F118+SUM(E$99:E118)=D$92,F118,D$92-SUM(E$99:E118))</f>
        <v>946393</v>
      </c>
      <c r="E119" s="484">
        <f t="shared" si="17"/>
        <v>42089</v>
      </c>
      <c r="F119" s="485">
        <f t="shared" si="18"/>
        <v>904304</v>
      </c>
      <c r="G119" s="485">
        <f t="shared" si="19"/>
        <v>925348.5</v>
      </c>
      <c r="H119" s="488">
        <f t="shared" si="20"/>
        <v>137505.40936267213</v>
      </c>
      <c r="I119" s="542">
        <f t="shared" si="21"/>
        <v>137505.40936267213</v>
      </c>
      <c r="J119" s="478">
        <f t="shared" si="16"/>
        <v>0</v>
      </c>
      <c r="K119" s="478"/>
      <c r="L119" s="487"/>
      <c r="M119" s="478">
        <f t="shared" si="22"/>
        <v>0</v>
      </c>
      <c r="N119" s="487"/>
      <c r="O119" s="478">
        <f t="shared" si="23"/>
        <v>0</v>
      </c>
      <c r="P119" s="478">
        <f t="shared" si="24"/>
        <v>0</v>
      </c>
    </row>
    <row r="120" spans="2:16" ht="12.5">
      <c r="B120" s="160" t="str">
        <f t="shared" si="15"/>
        <v/>
      </c>
      <c r="C120" s="472">
        <f>IF(D93="","-",+C119+1)</f>
        <v>2035</v>
      </c>
      <c r="D120" s="346">
        <f>IF(F119+SUM(E$99:E119)=D$92,F119,D$92-SUM(E$99:E119))</f>
        <v>904304</v>
      </c>
      <c r="E120" s="484">
        <f t="shared" si="17"/>
        <v>42089</v>
      </c>
      <c r="F120" s="485">
        <f t="shared" si="18"/>
        <v>862215</v>
      </c>
      <c r="G120" s="485">
        <f t="shared" si="19"/>
        <v>883259.5</v>
      </c>
      <c r="H120" s="488">
        <f t="shared" si="20"/>
        <v>133165.4431189645</v>
      </c>
      <c r="I120" s="542">
        <f t="shared" si="21"/>
        <v>133165.4431189645</v>
      </c>
      <c r="J120" s="478">
        <f t="shared" si="16"/>
        <v>0</v>
      </c>
      <c r="K120" s="478"/>
      <c r="L120" s="487"/>
      <c r="M120" s="478">
        <f t="shared" si="22"/>
        <v>0</v>
      </c>
      <c r="N120" s="487"/>
      <c r="O120" s="478">
        <f t="shared" si="23"/>
        <v>0</v>
      </c>
      <c r="P120" s="478">
        <f t="shared" si="24"/>
        <v>0</v>
      </c>
    </row>
    <row r="121" spans="2:16" ht="12.5">
      <c r="B121" s="160" t="str">
        <f t="shared" si="15"/>
        <v/>
      </c>
      <c r="C121" s="472">
        <f>IF(D93="","-",+C120+1)</f>
        <v>2036</v>
      </c>
      <c r="D121" s="346">
        <f>IF(F120+SUM(E$99:E120)=D$92,F120,D$92-SUM(E$99:E120))</f>
        <v>862215</v>
      </c>
      <c r="E121" s="484">
        <f t="shared" si="17"/>
        <v>42089</v>
      </c>
      <c r="F121" s="485">
        <f t="shared" si="18"/>
        <v>820126</v>
      </c>
      <c r="G121" s="485">
        <f t="shared" si="19"/>
        <v>841170.5</v>
      </c>
      <c r="H121" s="488">
        <f t="shared" si="20"/>
        <v>128825.47687525685</v>
      </c>
      <c r="I121" s="542">
        <f t="shared" si="21"/>
        <v>128825.47687525685</v>
      </c>
      <c r="J121" s="478">
        <f t="shared" si="16"/>
        <v>0</v>
      </c>
      <c r="K121" s="478"/>
      <c r="L121" s="487"/>
      <c r="M121" s="478">
        <f t="shared" si="22"/>
        <v>0</v>
      </c>
      <c r="N121" s="487"/>
      <c r="O121" s="478">
        <f t="shared" si="23"/>
        <v>0</v>
      </c>
      <c r="P121" s="478">
        <f t="shared" si="24"/>
        <v>0</v>
      </c>
    </row>
    <row r="122" spans="2:16" ht="12.5">
      <c r="B122" s="160" t="str">
        <f t="shared" si="15"/>
        <v/>
      </c>
      <c r="C122" s="472">
        <f>IF(D93="","-",+C121+1)</f>
        <v>2037</v>
      </c>
      <c r="D122" s="346">
        <f>IF(F121+SUM(E$99:E121)=D$92,F121,D$92-SUM(E$99:E121))</f>
        <v>820126</v>
      </c>
      <c r="E122" s="484">
        <f t="shared" si="17"/>
        <v>42089</v>
      </c>
      <c r="F122" s="485">
        <f t="shared" si="18"/>
        <v>778037</v>
      </c>
      <c r="G122" s="485">
        <f t="shared" si="19"/>
        <v>799081.5</v>
      </c>
      <c r="H122" s="488">
        <f t="shared" si="20"/>
        <v>124485.5106315492</v>
      </c>
      <c r="I122" s="542">
        <f t="shared" si="21"/>
        <v>124485.5106315492</v>
      </c>
      <c r="J122" s="478">
        <f t="shared" si="16"/>
        <v>0</v>
      </c>
      <c r="K122" s="478"/>
      <c r="L122" s="487"/>
      <c r="M122" s="478">
        <f t="shared" si="22"/>
        <v>0</v>
      </c>
      <c r="N122" s="487"/>
      <c r="O122" s="478">
        <f t="shared" si="23"/>
        <v>0</v>
      </c>
      <c r="P122" s="478">
        <f t="shared" si="24"/>
        <v>0</v>
      </c>
    </row>
    <row r="123" spans="2:16" ht="12.5">
      <c r="B123" s="160" t="str">
        <f t="shared" si="15"/>
        <v/>
      </c>
      <c r="C123" s="472">
        <f>IF(D93="","-",+C122+1)</f>
        <v>2038</v>
      </c>
      <c r="D123" s="346">
        <f>IF(F122+SUM(E$99:E122)=D$92,F122,D$92-SUM(E$99:E122))</f>
        <v>778037</v>
      </c>
      <c r="E123" s="484">
        <f t="shared" si="17"/>
        <v>42089</v>
      </c>
      <c r="F123" s="485">
        <f t="shared" si="18"/>
        <v>735948</v>
      </c>
      <c r="G123" s="485">
        <f t="shared" si="19"/>
        <v>756992.5</v>
      </c>
      <c r="H123" s="488">
        <f t="shared" si="20"/>
        <v>120145.54438784155</v>
      </c>
      <c r="I123" s="542">
        <f t="shared" si="21"/>
        <v>120145.54438784155</v>
      </c>
      <c r="J123" s="478">
        <f t="shared" si="16"/>
        <v>0</v>
      </c>
      <c r="K123" s="478"/>
      <c r="L123" s="487"/>
      <c r="M123" s="478">
        <f t="shared" si="22"/>
        <v>0</v>
      </c>
      <c r="N123" s="487"/>
      <c r="O123" s="478">
        <f t="shared" si="23"/>
        <v>0</v>
      </c>
      <c r="P123" s="478">
        <f t="shared" si="24"/>
        <v>0</v>
      </c>
    </row>
    <row r="124" spans="2:16" ht="12.5">
      <c r="B124" s="160" t="str">
        <f t="shared" si="15"/>
        <v/>
      </c>
      <c r="C124" s="472">
        <f>IF(D93="","-",+C123+1)</f>
        <v>2039</v>
      </c>
      <c r="D124" s="346">
        <f>IF(F123+SUM(E$99:E123)=D$92,F123,D$92-SUM(E$99:E123))</f>
        <v>735948</v>
      </c>
      <c r="E124" s="484">
        <f t="shared" si="17"/>
        <v>42089</v>
      </c>
      <c r="F124" s="485">
        <f t="shared" si="18"/>
        <v>693859</v>
      </c>
      <c r="G124" s="485">
        <f t="shared" si="19"/>
        <v>714903.5</v>
      </c>
      <c r="H124" s="488">
        <f t="shared" si="20"/>
        <v>115805.57814413389</v>
      </c>
      <c r="I124" s="542">
        <f t="shared" si="21"/>
        <v>115805.57814413389</v>
      </c>
      <c r="J124" s="478">
        <f t="shared" si="16"/>
        <v>0</v>
      </c>
      <c r="K124" s="478"/>
      <c r="L124" s="487"/>
      <c r="M124" s="478">
        <f t="shared" si="22"/>
        <v>0</v>
      </c>
      <c r="N124" s="487"/>
      <c r="O124" s="478">
        <f t="shared" si="23"/>
        <v>0</v>
      </c>
      <c r="P124" s="478">
        <f t="shared" si="24"/>
        <v>0</v>
      </c>
    </row>
    <row r="125" spans="2:16" ht="12.5">
      <c r="B125" s="160" t="str">
        <f t="shared" si="15"/>
        <v/>
      </c>
      <c r="C125" s="472">
        <f>IF(D93="","-",+C124+1)</f>
        <v>2040</v>
      </c>
      <c r="D125" s="346">
        <f>IF(F124+SUM(E$99:E124)=D$92,F124,D$92-SUM(E$99:E124))</f>
        <v>693859</v>
      </c>
      <c r="E125" s="484">
        <f t="shared" si="17"/>
        <v>42089</v>
      </c>
      <c r="F125" s="485">
        <f t="shared" si="18"/>
        <v>651770</v>
      </c>
      <c r="G125" s="485">
        <f t="shared" si="19"/>
        <v>672814.5</v>
      </c>
      <c r="H125" s="488">
        <f t="shared" si="20"/>
        <v>111465.61190042624</v>
      </c>
      <c r="I125" s="542">
        <f t="shared" si="21"/>
        <v>111465.61190042624</v>
      </c>
      <c r="J125" s="478">
        <f t="shared" si="16"/>
        <v>0</v>
      </c>
      <c r="K125" s="478"/>
      <c r="L125" s="487"/>
      <c r="M125" s="478">
        <f t="shared" si="22"/>
        <v>0</v>
      </c>
      <c r="N125" s="487"/>
      <c r="O125" s="478">
        <f t="shared" si="23"/>
        <v>0</v>
      </c>
      <c r="P125" s="478">
        <f t="shared" si="24"/>
        <v>0</v>
      </c>
    </row>
    <row r="126" spans="2:16" ht="12.5">
      <c r="B126" s="160" t="str">
        <f t="shared" si="15"/>
        <v/>
      </c>
      <c r="C126" s="472">
        <f>IF(D93="","-",+C125+1)</f>
        <v>2041</v>
      </c>
      <c r="D126" s="346">
        <f>IF(F125+SUM(E$99:E125)=D$92,F125,D$92-SUM(E$99:E125))</f>
        <v>651770</v>
      </c>
      <c r="E126" s="484">
        <f t="shared" si="17"/>
        <v>42089</v>
      </c>
      <c r="F126" s="485">
        <f t="shared" si="18"/>
        <v>609681</v>
      </c>
      <c r="G126" s="485">
        <f t="shared" si="19"/>
        <v>630725.5</v>
      </c>
      <c r="H126" s="488">
        <f t="shared" si="20"/>
        <v>107125.6456567186</v>
      </c>
      <c r="I126" s="542">
        <f t="shared" si="21"/>
        <v>107125.6456567186</v>
      </c>
      <c r="J126" s="478">
        <f t="shared" si="16"/>
        <v>0</v>
      </c>
      <c r="K126" s="478"/>
      <c r="L126" s="487"/>
      <c r="M126" s="478">
        <f t="shared" si="22"/>
        <v>0</v>
      </c>
      <c r="N126" s="487"/>
      <c r="O126" s="478">
        <f t="shared" si="23"/>
        <v>0</v>
      </c>
      <c r="P126" s="478">
        <f t="shared" si="24"/>
        <v>0</v>
      </c>
    </row>
    <row r="127" spans="2:16" ht="12.5">
      <c r="B127" s="160" t="str">
        <f t="shared" si="15"/>
        <v/>
      </c>
      <c r="C127" s="472">
        <f>IF(D93="","-",+C126+1)</f>
        <v>2042</v>
      </c>
      <c r="D127" s="346">
        <f>IF(F126+SUM(E$99:E126)=D$92,F126,D$92-SUM(E$99:E126))</f>
        <v>609681</v>
      </c>
      <c r="E127" s="484">
        <f t="shared" si="17"/>
        <v>42089</v>
      </c>
      <c r="F127" s="485">
        <f t="shared" si="18"/>
        <v>567592</v>
      </c>
      <c r="G127" s="485">
        <f t="shared" si="19"/>
        <v>588636.5</v>
      </c>
      <c r="H127" s="488">
        <f t="shared" si="20"/>
        <v>102785.67941301095</v>
      </c>
      <c r="I127" s="542">
        <f t="shared" si="21"/>
        <v>102785.67941301095</v>
      </c>
      <c r="J127" s="478">
        <f t="shared" si="16"/>
        <v>0</v>
      </c>
      <c r="K127" s="478"/>
      <c r="L127" s="487"/>
      <c r="M127" s="478">
        <f t="shared" si="22"/>
        <v>0</v>
      </c>
      <c r="N127" s="487"/>
      <c r="O127" s="478">
        <f t="shared" si="23"/>
        <v>0</v>
      </c>
      <c r="P127" s="478">
        <f t="shared" si="24"/>
        <v>0</v>
      </c>
    </row>
    <row r="128" spans="2:16" ht="12.5">
      <c r="B128" s="160" t="str">
        <f t="shared" si="15"/>
        <v/>
      </c>
      <c r="C128" s="472">
        <f>IF(D93="","-",+C127+1)</f>
        <v>2043</v>
      </c>
      <c r="D128" s="346">
        <f>IF(F127+SUM(E$99:E127)=D$92,F127,D$92-SUM(E$99:E127))</f>
        <v>567592</v>
      </c>
      <c r="E128" s="484">
        <f t="shared" si="17"/>
        <v>42089</v>
      </c>
      <c r="F128" s="485">
        <f t="shared" si="18"/>
        <v>525503</v>
      </c>
      <c r="G128" s="485">
        <f t="shared" si="19"/>
        <v>546547.5</v>
      </c>
      <c r="H128" s="488">
        <f t="shared" si="20"/>
        <v>98445.713169303301</v>
      </c>
      <c r="I128" s="542">
        <f t="shared" si="21"/>
        <v>98445.713169303301</v>
      </c>
      <c r="J128" s="478">
        <f t="shared" si="16"/>
        <v>0</v>
      </c>
      <c r="K128" s="478"/>
      <c r="L128" s="487"/>
      <c r="M128" s="478">
        <f t="shared" si="22"/>
        <v>0</v>
      </c>
      <c r="N128" s="487"/>
      <c r="O128" s="478">
        <f t="shared" si="23"/>
        <v>0</v>
      </c>
      <c r="P128" s="478">
        <f t="shared" si="24"/>
        <v>0</v>
      </c>
    </row>
    <row r="129" spans="2:16" ht="12.5">
      <c r="B129" s="160" t="str">
        <f t="shared" si="15"/>
        <v/>
      </c>
      <c r="C129" s="472">
        <f>IF(D93="","-",+C128+1)</f>
        <v>2044</v>
      </c>
      <c r="D129" s="346">
        <f>IF(F128+SUM(E$99:E128)=D$92,F128,D$92-SUM(E$99:E128))</f>
        <v>525503</v>
      </c>
      <c r="E129" s="484">
        <f t="shared" si="17"/>
        <v>42089</v>
      </c>
      <c r="F129" s="485">
        <f t="shared" si="18"/>
        <v>483414</v>
      </c>
      <c r="G129" s="485">
        <f t="shared" si="19"/>
        <v>504458.5</v>
      </c>
      <c r="H129" s="488">
        <f t="shared" si="20"/>
        <v>94105.746925595653</v>
      </c>
      <c r="I129" s="542">
        <f t="shared" si="21"/>
        <v>94105.746925595653</v>
      </c>
      <c r="J129" s="478">
        <f t="shared" si="16"/>
        <v>0</v>
      </c>
      <c r="K129" s="478"/>
      <c r="L129" s="487"/>
      <c r="M129" s="478">
        <f t="shared" si="22"/>
        <v>0</v>
      </c>
      <c r="N129" s="487"/>
      <c r="O129" s="478">
        <f t="shared" si="23"/>
        <v>0</v>
      </c>
      <c r="P129" s="478">
        <f t="shared" si="24"/>
        <v>0</v>
      </c>
    </row>
    <row r="130" spans="2:16" ht="12.5">
      <c r="B130" s="160" t="str">
        <f t="shared" si="15"/>
        <v/>
      </c>
      <c r="C130" s="472">
        <f>IF(D93="","-",+C129+1)</f>
        <v>2045</v>
      </c>
      <c r="D130" s="346">
        <f>IF(F129+SUM(E$99:E129)=D$92,F129,D$92-SUM(E$99:E129))</f>
        <v>483414</v>
      </c>
      <c r="E130" s="484">
        <f t="shared" si="17"/>
        <v>42089</v>
      </c>
      <c r="F130" s="485">
        <f t="shared" si="18"/>
        <v>441325</v>
      </c>
      <c r="G130" s="485">
        <f t="shared" si="19"/>
        <v>462369.5</v>
      </c>
      <c r="H130" s="488">
        <f t="shared" si="20"/>
        <v>89765.780681887991</v>
      </c>
      <c r="I130" s="542">
        <f t="shared" si="21"/>
        <v>89765.780681887991</v>
      </c>
      <c r="J130" s="478">
        <f t="shared" si="16"/>
        <v>0</v>
      </c>
      <c r="K130" s="478"/>
      <c r="L130" s="487"/>
      <c r="M130" s="478">
        <f t="shared" si="22"/>
        <v>0</v>
      </c>
      <c r="N130" s="487"/>
      <c r="O130" s="478">
        <f t="shared" si="23"/>
        <v>0</v>
      </c>
      <c r="P130" s="478">
        <f t="shared" si="24"/>
        <v>0</v>
      </c>
    </row>
    <row r="131" spans="2:16" ht="12.5">
      <c r="B131" s="160" t="str">
        <f t="shared" si="15"/>
        <v/>
      </c>
      <c r="C131" s="472">
        <f>IF(D93="","-",+C130+1)</f>
        <v>2046</v>
      </c>
      <c r="D131" s="346">
        <f>IF(F130+SUM(E$99:E130)=D$92,F130,D$92-SUM(E$99:E130))</f>
        <v>441325</v>
      </c>
      <c r="E131" s="484">
        <f t="shared" si="17"/>
        <v>42089</v>
      </c>
      <c r="F131" s="485">
        <f t="shared" si="18"/>
        <v>399236</v>
      </c>
      <c r="G131" s="485">
        <f t="shared" si="19"/>
        <v>420280.5</v>
      </c>
      <c r="H131" s="488">
        <f t="shared" si="20"/>
        <v>85425.814438180358</v>
      </c>
      <c r="I131" s="542">
        <f t="shared" si="21"/>
        <v>85425.814438180358</v>
      </c>
      <c r="J131" s="478">
        <f t="shared" si="16"/>
        <v>0</v>
      </c>
      <c r="K131" s="478"/>
      <c r="L131" s="487"/>
      <c r="M131" s="478">
        <f t="shared" ref="M131:M154" si="25">IF(L541&lt;&gt;0,+H541-L541,0)</f>
        <v>0</v>
      </c>
      <c r="N131" s="487"/>
      <c r="O131" s="478">
        <f t="shared" ref="O131:O154" si="26">IF(N541&lt;&gt;0,+I541-N541,0)</f>
        <v>0</v>
      </c>
      <c r="P131" s="478">
        <f t="shared" ref="P131:P154" si="27">+O541-M541</f>
        <v>0</v>
      </c>
    </row>
    <row r="132" spans="2:16" ht="12.5">
      <c r="B132" s="160" t="str">
        <f t="shared" si="15"/>
        <v/>
      </c>
      <c r="C132" s="472">
        <f>IF(D93="","-",+C131+1)</f>
        <v>2047</v>
      </c>
      <c r="D132" s="346">
        <f>IF(F131+SUM(E$99:E131)=D$92,F131,D$92-SUM(E$99:E131))</f>
        <v>399236</v>
      </c>
      <c r="E132" s="484">
        <f t="shared" si="17"/>
        <v>42089</v>
      </c>
      <c r="F132" s="485">
        <f t="shared" si="18"/>
        <v>357147</v>
      </c>
      <c r="G132" s="485">
        <f t="shared" si="19"/>
        <v>378191.5</v>
      </c>
      <c r="H132" s="488">
        <f t="shared" si="20"/>
        <v>81085.848194472695</v>
      </c>
      <c r="I132" s="542">
        <f t="shared" si="21"/>
        <v>81085.848194472695</v>
      </c>
      <c r="J132" s="478">
        <f t="shared" si="16"/>
        <v>0</v>
      </c>
      <c r="K132" s="478"/>
      <c r="L132" s="487"/>
      <c r="M132" s="478">
        <f t="shared" si="25"/>
        <v>0</v>
      </c>
      <c r="N132" s="487"/>
      <c r="O132" s="478">
        <f t="shared" si="26"/>
        <v>0</v>
      </c>
      <c r="P132" s="478">
        <f t="shared" si="27"/>
        <v>0</v>
      </c>
    </row>
    <row r="133" spans="2:16" ht="12.5">
      <c r="B133" s="160" t="str">
        <f t="shared" si="15"/>
        <v/>
      </c>
      <c r="C133" s="472">
        <f>IF(D93="","-",+C132+1)</f>
        <v>2048</v>
      </c>
      <c r="D133" s="346">
        <f>IF(F132+SUM(E$99:E132)=D$92,F132,D$92-SUM(E$99:E132))</f>
        <v>357147</v>
      </c>
      <c r="E133" s="484">
        <f t="shared" si="17"/>
        <v>42089</v>
      </c>
      <c r="F133" s="485">
        <f t="shared" si="18"/>
        <v>315058</v>
      </c>
      <c r="G133" s="485">
        <f t="shared" si="19"/>
        <v>336102.5</v>
      </c>
      <c r="H133" s="488">
        <f t="shared" si="20"/>
        <v>76745.881950765062</v>
      </c>
      <c r="I133" s="542">
        <f t="shared" si="21"/>
        <v>76745.881950765062</v>
      </c>
      <c r="J133" s="478">
        <f t="shared" si="16"/>
        <v>0</v>
      </c>
      <c r="K133" s="478"/>
      <c r="L133" s="487"/>
      <c r="M133" s="478">
        <f t="shared" si="25"/>
        <v>0</v>
      </c>
      <c r="N133" s="487"/>
      <c r="O133" s="478">
        <f t="shared" si="26"/>
        <v>0</v>
      </c>
      <c r="P133" s="478">
        <f t="shared" si="27"/>
        <v>0</v>
      </c>
    </row>
    <row r="134" spans="2:16" ht="12.5">
      <c r="B134" s="160" t="str">
        <f t="shared" si="15"/>
        <v/>
      </c>
      <c r="C134" s="472">
        <f>IF(D93="","-",+C133+1)</f>
        <v>2049</v>
      </c>
      <c r="D134" s="346">
        <f>IF(F133+SUM(E$99:E133)=D$92,F133,D$92-SUM(E$99:E133))</f>
        <v>315058</v>
      </c>
      <c r="E134" s="484">
        <f t="shared" si="17"/>
        <v>42089</v>
      </c>
      <c r="F134" s="485">
        <f t="shared" si="18"/>
        <v>272969</v>
      </c>
      <c r="G134" s="485">
        <f t="shared" si="19"/>
        <v>294013.5</v>
      </c>
      <c r="H134" s="488">
        <f t="shared" si="20"/>
        <v>72405.9157070574</v>
      </c>
      <c r="I134" s="542">
        <f t="shared" si="21"/>
        <v>72405.9157070574</v>
      </c>
      <c r="J134" s="478">
        <f t="shared" si="16"/>
        <v>0</v>
      </c>
      <c r="K134" s="478"/>
      <c r="L134" s="487"/>
      <c r="M134" s="478">
        <f t="shared" si="25"/>
        <v>0</v>
      </c>
      <c r="N134" s="487"/>
      <c r="O134" s="478">
        <f t="shared" si="26"/>
        <v>0</v>
      </c>
      <c r="P134" s="478">
        <f t="shared" si="27"/>
        <v>0</v>
      </c>
    </row>
    <row r="135" spans="2:16" ht="12.5">
      <c r="B135" s="160" t="str">
        <f t="shared" si="15"/>
        <v/>
      </c>
      <c r="C135" s="472">
        <f>IF(D93="","-",+C134+1)</f>
        <v>2050</v>
      </c>
      <c r="D135" s="346">
        <f>IF(F134+SUM(E$99:E134)=D$92,F134,D$92-SUM(E$99:E134))</f>
        <v>272969</v>
      </c>
      <c r="E135" s="484">
        <f t="shared" si="17"/>
        <v>42089</v>
      </c>
      <c r="F135" s="485">
        <f t="shared" si="18"/>
        <v>230880</v>
      </c>
      <c r="G135" s="485">
        <f t="shared" si="19"/>
        <v>251924.5</v>
      </c>
      <c r="H135" s="488">
        <f t="shared" si="20"/>
        <v>68065.949463349752</v>
      </c>
      <c r="I135" s="542">
        <f t="shared" si="21"/>
        <v>68065.949463349752</v>
      </c>
      <c r="J135" s="478">
        <f t="shared" si="16"/>
        <v>0</v>
      </c>
      <c r="K135" s="478"/>
      <c r="L135" s="487"/>
      <c r="M135" s="478">
        <f t="shared" si="25"/>
        <v>0</v>
      </c>
      <c r="N135" s="487"/>
      <c r="O135" s="478">
        <f t="shared" si="26"/>
        <v>0</v>
      </c>
      <c r="P135" s="478">
        <f t="shared" si="27"/>
        <v>0</v>
      </c>
    </row>
    <row r="136" spans="2:16" ht="12.5">
      <c r="B136" s="160" t="str">
        <f t="shared" si="15"/>
        <v/>
      </c>
      <c r="C136" s="472">
        <f>IF(D93="","-",+C135+1)</f>
        <v>2051</v>
      </c>
      <c r="D136" s="346">
        <f>IF(F135+SUM(E$99:E135)=D$92,F135,D$92-SUM(E$99:E135))</f>
        <v>230880</v>
      </c>
      <c r="E136" s="484">
        <f t="shared" si="17"/>
        <v>42089</v>
      </c>
      <c r="F136" s="485">
        <f t="shared" si="18"/>
        <v>188791</v>
      </c>
      <c r="G136" s="485">
        <f t="shared" si="19"/>
        <v>209835.5</v>
      </c>
      <c r="H136" s="488">
        <f t="shared" si="20"/>
        <v>63725.983219642105</v>
      </c>
      <c r="I136" s="542">
        <f t="shared" si="21"/>
        <v>63725.983219642105</v>
      </c>
      <c r="J136" s="478">
        <f t="shared" si="16"/>
        <v>0</v>
      </c>
      <c r="K136" s="478"/>
      <c r="L136" s="487"/>
      <c r="M136" s="478">
        <f t="shared" si="25"/>
        <v>0</v>
      </c>
      <c r="N136" s="487"/>
      <c r="O136" s="478">
        <f t="shared" si="26"/>
        <v>0</v>
      </c>
      <c r="P136" s="478">
        <f t="shared" si="27"/>
        <v>0</v>
      </c>
    </row>
    <row r="137" spans="2:16" ht="12.5">
      <c r="B137" s="160" t="str">
        <f t="shared" si="15"/>
        <v/>
      </c>
      <c r="C137" s="472">
        <f>IF(D93="","-",+C136+1)</f>
        <v>2052</v>
      </c>
      <c r="D137" s="346">
        <f>IF(F136+SUM(E$99:E136)=D$92,F136,D$92-SUM(E$99:E136))</f>
        <v>188791</v>
      </c>
      <c r="E137" s="484">
        <f t="shared" si="17"/>
        <v>42089</v>
      </c>
      <c r="F137" s="485">
        <f t="shared" si="18"/>
        <v>146702</v>
      </c>
      <c r="G137" s="485">
        <f t="shared" si="19"/>
        <v>167746.5</v>
      </c>
      <c r="H137" s="488">
        <f t="shared" si="20"/>
        <v>59386.016975934457</v>
      </c>
      <c r="I137" s="542">
        <f t="shared" si="21"/>
        <v>59386.016975934457</v>
      </c>
      <c r="J137" s="478">
        <f t="shared" si="16"/>
        <v>0</v>
      </c>
      <c r="K137" s="478"/>
      <c r="L137" s="487"/>
      <c r="M137" s="478">
        <f t="shared" si="25"/>
        <v>0</v>
      </c>
      <c r="N137" s="487"/>
      <c r="O137" s="478">
        <f t="shared" si="26"/>
        <v>0</v>
      </c>
      <c r="P137" s="478">
        <f t="shared" si="27"/>
        <v>0</v>
      </c>
    </row>
    <row r="138" spans="2:16" ht="12.5">
      <c r="B138" s="160" t="str">
        <f t="shared" si="15"/>
        <v/>
      </c>
      <c r="C138" s="472">
        <f>IF(D93="","-",+C137+1)</f>
        <v>2053</v>
      </c>
      <c r="D138" s="346">
        <f>IF(F137+SUM(E$99:E137)=D$92,F137,D$92-SUM(E$99:E137))</f>
        <v>146702</v>
      </c>
      <c r="E138" s="484">
        <f t="shared" si="17"/>
        <v>42089</v>
      </c>
      <c r="F138" s="485">
        <f t="shared" si="18"/>
        <v>104613</v>
      </c>
      <c r="G138" s="485">
        <f t="shared" si="19"/>
        <v>125657.5</v>
      </c>
      <c r="H138" s="488">
        <f t="shared" si="20"/>
        <v>55046.050732226802</v>
      </c>
      <c r="I138" s="542">
        <f t="shared" si="21"/>
        <v>55046.050732226802</v>
      </c>
      <c r="J138" s="478">
        <f t="shared" si="16"/>
        <v>0</v>
      </c>
      <c r="K138" s="478"/>
      <c r="L138" s="487"/>
      <c r="M138" s="478">
        <f t="shared" si="25"/>
        <v>0</v>
      </c>
      <c r="N138" s="487"/>
      <c r="O138" s="478">
        <f t="shared" si="26"/>
        <v>0</v>
      </c>
      <c r="P138" s="478">
        <f t="shared" si="27"/>
        <v>0</v>
      </c>
    </row>
    <row r="139" spans="2:16" ht="12.5">
      <c r="B139" s="160" t="str">
        <f t="shared" si="15"/>
        <v/>
      </c>
      <c r="C139" s="472">
        <f>IF(D93="","-",+C138+1)</f>
        <v>2054</v>
      </c>
      <c r="D139" s="346">
        <f>IF(F138+SUM(E$99:E138)=D$92,F138,D$92-SUM(E$99:E138))</f>
        <v>104613</v>
      </c>
      <c r="E139" s="484">
        <f t="shared" si="17"/>
        <v>42089</v>
      </c>
      <c r="F139" s="485">
        <f t="shared" si="18"/>
        <v>62524</v>
      </c>
      <c r="G139" s="485">
        <f t="shared" si="19"/>
        <v>83568.5</v>
      </c>
      <c r="H139" s="488">
        <f t="shared" si="20"/>
        <v>50706.084488519155</v>
      </c>
      <c r="I139" s="542">
        <f t="shared" si="21"/>
        <v>50706.084488519155</v>
      </c>
      <c r="J139" s="478">
        <f t="shared" si="16"/>
        <v>0</v>
      </c>
      <c r="K139" s="478"/>
      <c r="L139" s="487"/>
      <c r="M139" s="478">
        <f t="shared" si="25"/>
        <v>0</v>
      </c>
      <c r="N139" s="487"/>
      <c r="O139" s="478">
        <f t="shared" si="26"/>
        <v>0</v>
      </c>
      <c r="P139" s="478">
        <f t="shared" si="27"/>
        <v>0</v>
      </c>
    </row>
    <row r="140" spans="2:16" ht="12.5">
      <c r="B140" s="160" t="str">
        <f t="shared" si="15"/>
        <v/>
      </c>
      <c r="C140" s="472">
        <f>IF(D93="","-",+C139+1)</f>
        <v>2055</v>
      </c>
      <c r="D140" s="346">
        <f>IF(F139+SUM(E$99:E139)=D$92,F139,D$92-SUM(E$99:E139))</f>
        <v>62524</v>
      </c>
      <c r="E140" s="484">
        <f t="shared" si="17"/>
        <v>42089</v>
      </c>
      <c r="F140" s="485">
        <f t="shared" si="18"/>
        <v>20435</v>
      </c>
      <c r="G140" s="485">
        <f t="shared" si="19"/>
        <v>41479.5</v>
      </c>
      <c r="H140" s="488">
        <f t="shared" si="20"/>
        <v>46366.118244811507</v>
      </c>
      <c r="I140" s="542">
        <f t="shared" si="21"/>
        <v>46366.118244811507</v>
      </c>
      <c r="J140" s="478">
        <f t="shared" si="16"/>
        <v>0</v>
      </c>
      <c r="K140" s="478"/>
      <c r="L140" s="487"/>
      <c r="M140" s="478">
        <f t="shared" si="25"/>
        <v>0</v>
      </c>
      <c r="N140" s="487"/>
      <c r="O140" s="478">
        <f t="shared" si="26"/>
        <v>0</v>
      </c>
      <c r="P140" s="478">
        <f t="shared" si="27"/>
        <v>0</v>
      </c>
    </row>
    <row r="141" spans="2:16" ht="12.5">
      <c r="B141" s="160" t="str">
        <f t="shared" si="15"/>
        <v/>
      </c>
      <c r="C141" s="472">
        <f>IF(D93="","-",+C140+1)</f>
        <v>2056</v>
      </c>
      <c r="D141" s="346">
        <f>IF(F140+SUM(E$99:E140)=D$92,F140,D$92-SUM(E$99:E140))</f>
        <v>20435</v>
      </c>
      <c r="E141" s="484">
        <f t="shared" si="17"/>
        <v>20435</v>
      </c>
      <c r="F141" s="485">
        <f t="shared" si="18"/>
        <v>0</v>
      </c>
      <c r="G141" s="485">
        <f t="shared" si="19"/>
        <v>10217.5</v>
      </c>
      <c r="H141" s="488">
        <f t="shared" si="20"/>
        <v>21488.567561478842</v>
      </c>
      <c r="I141" s="542">
        <f t="shared" si="21"/>
        <v>21488.567561478842</v>
      </c>
      <c r="J141" s="478">
        <f t="shared" si="16"/>
        <v>0</v>
      </c>
      <c r="K141" s="478"/>
      <c r="L141" s="487"/>
      <c r="M141" s="478">
        <f t="shared" si="25"/>
        <v>0</v>
      </c>
      <c r="N141" s="487"/>
      <c r="O141" s="478">
        <f t="shared" si="26"/>
        <v>0</v>
      </c>
      <c r="P141" s="478">
        <f t="shared" si="27"/>
        <v>0</v>
      </c>
    </row>
    <row r="142" spans="2:16" ht="12.5">
      <c r="B142" s="160" t="str">
        <f t="shared" si="15"/>
        <v/>
      </c>
      <c r="C142" s="472">
        <f>IF(D93="","-",+C141+1)</f>
        <v>2057</v>
      </c>
      <c r="D142" s="346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488">
        <f t="shared" si="20"/>
        <v>0</v>
      </c>
      <c r="I142" s="542">
        <f t="shared" si="21"/>
        <v>0</v>
      </c>
      <c r="J142" s="478">
        <f t="shared" si="16"/>
        <v>0</v>
      </c>
      <c r="K142" s="478"/>
      <c r="L142" s="487"/>
      <c r="M142" s="478">
        <f t="shared" si="25"/>
        <v>0</v>
      </c>
      <c r="N142" s="487"/>
      <c r="O142" s="478">
        <f t="shared" si="26"/>
        <v>0</v>
      </c>
      <c r="P142" s="478">
        <f t="shared" si="27"/>
        <v>0</v>
      </c>
    </row>
    <row r="143" spans="2:16" ht="12.5">
      <c r="B143" s="160" t="str">
        <f t="shared" si="15"/>
        <v/>
      </c>
      <c r="C143" s="472">
        <f>IF(D93="","-",+C142+1)</f>
        <v>2058</v>
      </c>
      <c r="D143" s="346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488">
        <f t="shared" si="20"/>
        <v>0</v>
      </c>
      <c r="I143" s="542">
        <f t="shared" si="21"/>
        <v>0</v>
      </c>
      <c r="J143" s="478">
        <f t="shared" si="16"/>
        <v>0</v>
      </c>
      <c r="K143" s="478"/>
      <c r="L143" s="487"/>
      <c r="M143" s="478">
        <f t="shared" si="25"/>
        <v>0</v>
      </c>
      <c r="N143" s="487"/>
      <c r="O143" s="478">
        <f t="shared" si="26"/>
        <v>0</v>
      </c>
      <c r="P143" s="478">
        <f t="shared" si="27"/>
        <v>0</v>
      </c>
    </row>
    <row r="144" spans="2:16" ht="12.5">
      <c r="B144" s="160" t="str">
        <f t="shared" si="15"/>
        <v/>
      </c>
      <c r="C144" s="472">
        <f>IF(D93="","-",+C143+1)</f>
        <v>2059</v>
      </c>
      <c r="D144" s="346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488">
        <f t="shared" si="20"/>
        <v>0</v>
      </c>
      <c r="I144" s="542">
        <f t="shared" si="21"/>
        <v>0</v>
      </c>
      <c r="J144" s="478">
        <f t="shared" si="16"/>
        <v>0</v>
      </c>
      <c r="K144" s="478"/>
      <c r="L144" s="487"/>
      <c r="M144" s="478">
        <f t="shared" si="25"/>
        <v>0</v>
      </c>
      <c r="N144" s="487"/>
      <c r="O144" s="478">
        <f t="shared" si="26"/>
        <v>0</v>
      </c>
      <c r="P144" s="478">
        <f t="shared" si="27"/>
        <v>0</v>
      </c>
    </row>
    <row r="145" spans="2:16" ht="12.5">
      <c r="B145" s="160" t="str">
        <f t="shared" si="15"/>
        <v/>
      </c>
      <c r="C145" s="472">
        <f>IF(D93="","-",+C144+1)</f>
        <v>2060</v>
      </c>
      <c r="D145" s="346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488">
        <f t="shared" si="20"/>
        <v>0</v>
      </c>
      <c r="I145" s="542">
        <f t="shared" si="21"/>
        <v>0</v>
      </c>
      <c r="J145" s="478">
        <f t="shared" si="16"/>
        <v>0</v>
      </c>
      <c r="K145" s="478"/>
      <c r="L145" s="487"/>
      <c r="M145" s="478">
        <f t="shared" si="25"/>
        <v>0</v>
      </c>
      <c r="N145" s="487"/>
      <c r="O145" s="478">
        <f t="shared" si="26"/>
        <v>0</v>
      </c>
      <c r="P145" s="478">
        <f t="shared" si="27"/>
        <v>0</v>
      </c>
    </row>
    <row r="146" spans="2:16" ht="12.5">
      <c r="B146" s="160" t="str">
        <f t="shared" si="15"/>
        <v/>
      </c>
      <c r="C146" s="472">
        <f>IF(D93="","-",+C145+1)</f>
        <v>2061</v>
      </c>
      <c r="D146" s="346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488">
        <f t="shared" si="20"/>
        <v>0</v>
      </c>
      <c r="I146" s="542">
        <f t="shared" si="21"/>
        <v>0</v>
      </c>
      <c r="J146" s="478">
        <f t="shared" si="16"/>
        <v>0</v>
      </c>
      <c r="K146" s="478"/>
      <c r="L146" s="487"/>
      <c r="M146" s="478">
        <f t="shared" si="25"/>
        <v>0</v>
      </c>
      <c r="N146" s="487"/>
      <c r="O146" s="478">
        <f t="shared" si="26"/>
        <v>0</v>
      </c>
      <c r="P146" s="478">
        <f t="shared" si="27"/>
        <v>0</v>
      </c>
    </row>
    <row r="147" spans="2:16" ht="12.5">
      <c r="B147" s="160" t="str">
        <f t="shared" si="15"/>
        <v/>
      </c>
      <c r="C147" s="472">
        <f>IF(D93="","-",+C146+1)</f>
        <v>2062</v>
      </c>
      <c r="D147" s="346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488">
        <f t="shared" si="20"/>
        <v>0</v>
      </c>
      <c r="I147" s="542">
        <f t="shared" si="21"/>
        <v>0</v>
      </c>
      <c r="J147" s="478">
        <f t="shared" si="16"/>
        <v>0</v>
      </c>
      <c r="K147" s="478"/>
      <c r="L147" s="487"/>
      <c r="M147" s="478">
        <f t="shared" si="25"/>
        <v>0</v>
      </c>
      <c r="N147" s="487"/>
      <c r="O147" s="478">
        <f t="shared" si="26"/>
        <v>0</v>
      </c>
      <c r="P147" s="478">
        <f t="shared" si="27"/>
        <v>0</v>
      </c>
    </row>
    <row r="148" spans="2:16" ht="12.5">
      <c r="B148" s="160" t="str">
        <f t="shared" si="15"/>
        <v/>
      </c>
      <c r="C148" s="472">
        <f>IF(D93="","-",+C147+1)</f>
        <v>2063</v>
      </c>
      <c r="D148" s="346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488">
        <f t="shared" si="20"/>
        <v>0</v>
      </c>
      <c r="I148" s="542">
        <f t="shared" si="21"/>
        <v>0</v>
      </c>
      <c r="J148" s="478">
        <f t="shared" si="16"/>
        <v>0</v>
      </c>
      <c r="K148" s="478"/>
      <c r="L148" s="487"/>
      <c r="M148" s="478">
        <f t="shared" si="25"/>
        <v>0</v>
      </c>
      <c r="N148" s="487"/>
      <c r="O148" s="478">
        <f t="shared" si="26"/>
        <v>0</v>
      </c>
      <c r="P148" s="478">
        <f t="shared" si="27"/>
        <v>0</v>
      </c>
    </row>
    <row r="149" spans="2:16" ht="12.5">
      <c r="B149" s="160" t="str">
        <f t="shared" si="15"/>
        <v/>
      </c>
      <c r="C149" s="472">
        <f>IF(D93="","-",+C148+1)</f>
        <v>2064</v>
      </c>
      <c r="D149" s="346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488">
        <f t="shared" si="20"/>
        <v>0</v>
      </c>
      <c r="I149" s="542">
        <f t="shared" si="21"/>
        <v>0</v>
      </c>
      <c r="J149" s="478">
        <f t="shared" si="16"/>
        <v>0</v>
      </c>
      <c r="K149" s="478"/>
      <c r="L149" s="487"/>
      <c r="M149" s="478">
        <f t="shared" si="25"/>
        <v>0</v>
      </c>
      <c r="N149" s="487"/>
      <c r="O149" s="478">
        <f t="shared" si="26"/>
        <v>0</v>
      </c>
      <c r="P149" s="478">
        <f t="shared" si="27"/>
        <v>0</v>
      </c>
    </row>
    <row r="150" spans="2:16" ht="12.5">
      <c r="B150" s="160" t="str">
        <f t="shared" si="15"/>
        <v/>
      </c>
      <c r="C150" s="472">
        <f>IF(D93="","-",+C149+1)</f>
        <v>2065</v>
      </c>
      <c r="D150" s="346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488">
        <f t="shared" si="20"/>
        <v>0</v>
      </c>
      <c r="I150" s="542">
        <f t="shared" si="21"/>
        <v>0</v>
      </c>
      <c r="J150" s="478">
        <f t="shared" si="16"/>
        <v>0</v>
      </c>
      <c r="K150" s="478"/>
      <c r="L150" s="487"/>
      <c r="M150" s="478">
        <f t="shared" si="25"/>
        <v>0</v>
      </c>
      <c r="N150" s="487"/>
      <c r="O150" s="478">
        <f t="shared" si="26"/>
        <v>0</v>
      </c>
      <c r="P150" s="478">
        <f t="shared" si="27"/>
        <v>0</v>
      </c>
    </row>
    <row r="151" spans="2:16" ht="12.5">
      <c r="B151" s="160" t="str">
        <f t="shared" si="15"/>
        <v/>
      </c>
      <c r="C151" s="472">
        <f>IF(D93="","-",+C150+1)</f>
        <v>2066</v>
      </c>
      <c r="D151" s="346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488">
        <f t="shared" si="20"/>
        <v>0</v>
      </c>
      <c r="I151" s="542">
        <f t="shared" si="21"/>
        <v>0</v>
      </c>
      <c r="J151" s="478">
        <f t="shared" si="16"/>
        <v>0</v>
      </c>
      <c r="K151" s="478"/>
      <c r="L151" s="487"/>
      <c r="M151" s="478">
        <f t="shared" si="25"/>
        <v>0</v>
      </c>
      <c r="N151" s="487"/>
      <c r="O151" s="478">
        <f t="shared" si="26"/>
        <v>0</v>
      </c>
      <c r="P151" s="478">
        <f t="shared" si="27"/>
        <v>0</v>
      </c>
    </row>
    <row r="152" spans="2:16" ht="12.5">
      <c r="B152" s="160" t="str">
        <f t="shared" si="15"/>
        <v/>
      </c>
      <c r="C152" s="472">
        <f>IF(D93="","-",+C151+1)</f>
        <v>2067</v>
      </c>
      <c r="D152" s="346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488">
        <f t="shared" si="20"/>
        <v>0</v>
      </c>
      <c r="I152" s="542">
        <f t="shared" si="21"/>
        <v>0</v>
      </c>
      <c r="J152" s="478">
        <f t="shared" si="16"/>
        <v>0</v>
      </c>
      <c r="K152" s="478"/>
      <c r="L152" s="487"/>
      <c r="M152" s="478">
        <f t="shared" si="25"/>
        <v>0</v>
      </c>
      <c r="N152" s="487"/>
      <c r="O152" s="478">
        <f t="shared" si="26"/>
        <v>0</v>
      </c>
      <c r="P152" s="478">
        <f t="shared" si="27"/>
        <v>0</v>
      </c>
    </row>
    <row r="153" spans="2:16" ht="12.5">
      <c r="B153" s="160" t="str">
        <f t="shared" si="15"/>
        <v/>
      </c>
      <c r="C153" s="472">
        <f>IF(D93="","-",+C152+1)</f>
        <v>2068</v>
      </c>
      <c r="D153" s="346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488">
        <f t="shared" si="20"/>
        <v>0</v>
      </c>
      <c r="I153" s="542">
        <f t="shared" si="21"/>
        <v>0</v>
      </c>
      <c r="J153" s="478">
        <f t="shared" si="16"/>
        <v>0</v>
      </c>
      <c r="K153" s="478"/>
      <c r="L153" s="487"/>
      <c r="M153" s="478">
        <f t="shared" si="25"/>
        <v>0</v>
      </c>
      <c r="N153" s="487"/>
      <c r="O153" s="478">
        <f t="shared" si="26"/>
        <v>0</v>
      </c>
      <c r="P153" s="478">
        <f t="shared" si="27"/>
        <v>0</v>
      </c>
    </row>
    <row r="154" spans="2:16" ht="13" thickBot="1">
      <c r="B154" s="160" t="str">
        <f t="shared" si="15"/>
        <v/>
      </c>
      <c r="C154" s="489">
        <f>IF(D93="","-",+C153+1)</f>
        <v>2069</v>
      </c>
      <c r="D154" s="576">
        <f>IF(F153+SUM(E$99:E153)=D$92,F153,D$92-SUM(E$99:E153))</f>
        <v>0</v>
      </c>
      <c r="E154" s="491">
        <f t="shared" si="17"/>
        <v>0</v>
      </c>
      <c r="F154" s="490">
        <f t="shared" si="18"/>
        <v>0</v>
      </c>
      <c r="G154" s="490">
        <f t="shared" si="19"/>
        <v>0</v>
      </c>
      <c r="H154" s="492">
        <f t="shared" si="20"/>
        <v>0</v>
      </c>
      <c r="I154" s="545">
        <f t="shared" si="21"/>
        <v>0</v>
      </c>
      <c r="J154" s="495">
        <f t="shared" si="16"/>
        <v>0</v>
      </c>
      <c r="K154" s="478"/>
      <c r="L154" s="494"/>
      <c r="M154" s="495">
        <f t="shared" si="25"/>
        <v>0</v>
      </c>
      <c r="N154" s="494"/>
      <c r="O154" s="495">
        <f t="shared" si="26"/>
        <v>0</v>
      </c>
      <c r="P154" s="495">
        <f t="shared" si="27"/>
        <v>0</v>
      </c>
    </row>
    <row r="155" spans="2:16" ht="12.5">
      <c r="C155" s="346" t="s">
        <v>77</v>
      </c>
      <c r="D155" s="347"/>
      <c r="E155" s="347">
        <f>SUM(E99:E154)</f>
        <v>1725647</v>
      </c>
      <c r="F155" s="347"/>
      <c r="G155" s="347"/>
      <c r="H155" s="347">
        <f>SUM(H99:H154)</f>
        <v>5590369.3195803845</v>
      </c>
      <c r="I155" s="347">
        <f>SUM(I99:I154)</f>
        <v>5590369.3195803845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23" priority="1" stopIfTrue="1" operator="equal">
      <formula>$I$10</formula>
    </cfRule>
  </conditionalFormatting>
  <conditionalFormatting sqref="C99:C154">
    <cfRule type="cellIs" dxfId="22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P162"/>
  <sheetViews>
    <sheetView view="pageBreakPreview" zoomScale="78" zoomScaleNormal="100" zoomScaleSheetLayoutView="78" workbookViewId="0">
      <selection activeCell="D19" sqref="D1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19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161222.32913848371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161222.32913848371</v>
      </c>
      <c r="O6" s="232"/>
      <c r="P6" s="232"/>
    </row>
    <row r="7" spans="1:16" ht="13.5" thickBot="1">
      <c r="C7" s="431" t="s">
        <v>46</v>
      </c>
      <c r="D7" s="599" t="s">
        <v>281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295</v>
      </c>
      <c r="E9" s="577" t="s">
        <v>296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1338978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2017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3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31139.023255813954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2017</v>
      </c>
      <c r="D17" s="584">
        <v>0</v>
      </c>
      <c r="E17" s="608">
        <v>21831.16304347826</v>
      </c>
      <c r="F17" s="584">
        <v>1317146.8369565217</v>
      </c>
      <c r="G17" s="608">
        <v>105641.6474528401</v>
      </c>
      <c r="H17" s="587">
        <v>105641.6474528401</v>
      </c>
      <c r="I17" s="475">
        <f t="shared" ref="I17:I72" si="0">H17-G17</f>
        <v>0</v>
      </c>
      <c r="J17" s="475"/>
      <c r="K17" s="477">
        <f>+G17</f>
        <v>105641.6474528401</v>
      </c>
      <c r="L17" s="477">
        <f t="shared" ref="L17:L72" si="1">IF(K17&lt;&gt;0,+G17-K17,0)</f>
        <v>0</v>
      </c>
      <c r="M17" s="477">
        <f>+H17</f>
        <v>105641.6474528401</v>
      </c>
      <c r="N17" s="477">
        <f t="shared" ref="N17:N72" si="2">IF(M17&lt;&gt;0,+H17-M17,0)</f>
        <v>0</v>
      </c>
      <c r="O17" s="478">
        <f t="shared" ref="O17:O72" si="3"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2018</v>
      </c>
      <c r="D18" s="584">
        <v>1317146.8369565217</v>
      </c>
      <c r="E18" s="585">
        <v>29755.066666666666</v>
      </c>
      <c r="F18" s="584">
        <v>1287391.7702898551</v>
      </c>
      <c r="G18" s="585">
        <v>185713.45898482588</v>
      </c>
      <c r="H18" s="587">
        <v>185713.45898482588</v>
      </c>
      <c r="I18" s="475">
        <f t="shared" si="0"/>
        <v>0</v>
      </c>
      <c r="J18" s="475"/>
      <c r="K18" s="478">
        <f>+G18</f>
        <v>185713.45898482588</v>
      </c>
      <c r="L18" s="478">
        <f t="shared" si="1"/>
        <v>0</v>
      </c>
      <c r="M18" s="478">
        <f>+H18</f>
        <v>185713.45898482588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/>
      </c>
      <c r="C19" s="472">
        <f>IF(D11="","-",+C18+1)</f>
        <v>2019</v>
      </c>
      <c r="D19" s="584">
        <v>1287391.7702898551</v>
      </c>
      <c r="E19" s="585">
        <v>33474.449999999997</v>
      </c>
      <c r="F19" s="584">
        <v>1253917.3202898551</v>
      </c>
      <c r="G19" s="585">
        <v>175351.45606998727</v>
      </c>
      <c r="H19" s="587">
        <v>175351.45606998727</v>
      </c>
      <c r="I19" s="475">
        <f t="shared" si="0"/>
        <v>0</v>
      </c>
      <c r="J19" s="475"/>
      <c r="K19" s="478">
        <f>+G19</f>
        <v>175351.45606998727</v>
      </c>
      <c r="L19" s="478">
        <f t="shared" ref="L19" si="4">IF(K19&lt;&gt;0,+G19-K19,0)</f>
        <v>0</v>
      </c>
      <c r="M19" s="478">
        <f>+H19</f>
        <v>175351.45606998727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5">IF(D20=F19,"","IU")</f>
        <v>IU</v>
      </c>
      <c r="C20" s="472">
        <f>IF(D11="","-",+C19+1)</f>
        <v>2020</v>
      </c>
      <c r="D20" s="584">
        <v>1257636.7036231884</v>
      </c>
      <c r="E20" s="585">
        <v>31880.428571428572</v>
      </c>
      <c r="F20" s="584">
        <v>1225756.2750517598</v>
      </c>
      <c r="G20" s="585">
        <v>165989.58089219453</v>
      </c>
      <c r="H20" s="587">
        <v>165989.58089219453</v>
      </c>
      <c r="I20" s="475">
        <f t="shared" si="0"/>
        <v>0</v>
      </c>
      <c r="J20" s="475"/>
      <c r="K20" s="478">
        <f>+G20</f>
        <v>165989.58089219453</v>
      </c>
      <c r="L20" s="478">
        <f t="shared" ref="L20" si="6">IF(K20&lt;&gt;0,+G20-K20,0)</f>
        <v>0</v>
      </c>
      <c r="M20" s="478">
        <f>+H20</f>
        <v>165989.58089219453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5"/>
        <v>IU</v>
      </c>
      <c r="C21" s="472">
        <f>IF(D11="","-",+C20+1)</f>
        <v>2021</v>
      </c>
      <c r="D21" s="483">
        <f>IF(F20+SUM(E$17:E20)=D$10,F20,D$10-SUM(E$17:E20))</f>
        <v>1222036.8917184265</v>
      </c>
      <c r="E21" s="484">
        <f t="shared" ref="E21:E72" si="7">IF(+I$14&lt;F20,I$14,D21)</f>
        <v>31139.023255813954</v>
      </c>
      <c r="F21" s="485">
        <f t="shared" ref="F21:F72" si="8">+D21-E21</f>
        <v>1190897.8684626126</v>
      </c>
      <c r="G21" s="486">
        <f t="shared" ref="G21:G72" si="9">(D21+F21)/2*I$12+E21</f>
        <v>161222.32913848371</v>
      </c>
      <c r="H21" s="455">
        <f t="shared" ref="H21:H72" si="10">+(D21+F21)/2*I$13+E21</f>
        <v>161222.32913848371</v>
      </c>
      <c r="I21" s="475">
        <f t="shared" si="0"/>
        <v>0</v>
      </c>
      <c r="J21" s="475"/>
      <c r="K21" s="487"/>
      <c r="L21" s="478">
        <f t="shared" si="1"/>
        <v>0</v>
      </c>
      <c r="M21" s="487"/>
      <c r="N21" s="478">
        <f t="shared" si="2"/>
        <v>0</v>
      </c>
      <c r="O21" s="478">
        <f t="shared" si="3"/>
        <v>0</v>
      </c>
      <c r="P21" s="242"/>
    </row>
    <row r="22" spans="2:16" ht="12.5">
      <c r="B22" s="160" t="str">
        <f t="shared" si="5"/>
        <v/>
      </c>
      <c r="C22" s="472">
        <f>IF(D11="","-",+C21+1)</f>
        <v>2022</v>
      </c>
      <c r="D22" s="483">
        <f>IF(F21+SUM(E$17:E21)=D$10,F21,D$10-SUM(E$17:E21))</f>
        <v>1190897.8684626126</v>
      </c>
      <c r="E22" s="484">
        <f t="shared" si="7"/>
        <v>31139.023255813954</v>
      </c>
      <c r="F22" s="485">
        <f t="shared" si="8"/>
        <v>1159758.8452067988</v>
      </c>
      <c r="G22" s="486">
        <f t="shared" si="9"/>
        <v>157864.86821254494</v>
      </c>
      <c r="H22" s="455">
        <f t="shared" si="10"/>
        <v>157864.86821254494</v>
      </c>
      <c r="I22" s="475">
        <f t="shared" si="0"/>
        <v>0</v>
      </c>
      <c r="J22" s="475"/>
      <c r="K22" s="487"/>
      <c r="L22" s="478">
        <f t="shared" si="1"/>
        <v>0</v>
      </c>
      <c r="M22" s="487"/>
      <c r="N22" s="478">
        <f t="shared" si="2"/>
        <v>0</v>
      </c>
      <c r="O22" s="478">
        <f t="shared" si="3"/>
        <v>0</v>
      </c>
      <c r="P22" s="242"/>
    </row>
    <row r="23" spans="2:16" ht="12.5">
      <c r="B23" s="160" t="str">
        <f t="shared" si="5"/>
        <v/>
      </c>
      <c r="C23" s="472">
        <f>IF(D11="","-",+C22+1)</f>
        <v>2023</v>
      </c>
      <c r="D23" s="483">
        <f>IF(F22+SUM(E$17:E22)=D$10,F22,D$10-SUM(E$17:E22))</f>
        <v>1159758.8452067988</v>
      </c>
      <c r="E23" s="484">
        <f t="shared" si="7"/>
        <v>31139.023255813954</v>
      </c>
      <c r="F23" s="485">
        <f t="shared" si="8"/>
        <v>1128619.8219509849</v>
      </c>
      <c r="G23" s="486">
        <f t="shared" si="9"/>
        <v>154507.40728660621</v>
      </c>
      <c r="H23" s="455">
        <f t="shared" si="10"/>
        <v>154507.40728660621</v>
      </c>
      <c r="I23" s="475">
        <f t="shared" si="0"/>
        <v>0</v>
      </c>
      <c r="J23" s="475"/>
      <c r="K23" s="487"/>
      <c r="L23" s="478">
        <f t="shared" si="1"/>
        <v>0</v>
      </c>
      <c r="M23" s="487"/>
      <c r="N23" s="478">
        <f t="shared" si="2"/>
        <v>0</v>
      </c>
      <c r="O23" s="478">
        <f t="shared" si="3"/>
        <v>0</v>
      </c>
      <c r="P23" s="242"/>
    </row>
    <row r="24" spans="2:16" ht="12.5">
      <c r="B24" s="160" t="str">
        <f t="shared" si="5"/>
        <v/>
      </c>
      <c r="C24" s="472">
        <f>IF(D11="","-",+C23+1)</f>
        <v>2024</v>
      </c>
      <c r="D24" s="483">
        <f>IF(F23+SUM(E$17:E23)=D$10,F23,D$10-SUM(E$17:E23))</f>
        <v>1128619.8219509849</v>
      </c>
      <c r="E24" s="484">
        <f t="shared" si="7"/>
        <v>31139.023255813954</v>
      </c>
      <c r="F24" s="485">
        <f t="shared" si="8"/>
        <v>1097480.798695171</v>
      </c>
      <c r="G24" s="486">
        <f t="shared" si="9"/>
        <v>151149.94636066747</v>
      </c>
      <c r="H24" s="455">
        <f t="shared" si="10"/>
        <v>151149.94636066747</v>
      </c>
      <c r="I24" s="475">
        <f t="shared" si="0"/>
        <v>0</v>
      </c>
      <c r="J24" s="475"/>
      <c r="K24" s="487"/>
      <c r="L24" s="478">
        <f t="shared" si="1"/>
        <v>0</v>
      </c>
      <c r="M24" s="487"/>
      <c r="N24" s="478">
        <f t="shared" si="2"/>
        <v>0</v>
      </c>
      <c r="O24" s="478">
        <f t="shared" si="3"/>
        <v>0</v>
      </c>
      <c r="P24" s="242"/>
    </row>
    <row r="25" spans="2:16" ht="12.5">
      <c r="B25" s="160" t="str">
        <f t="shared" si="5"/>
        <v/>
      </c>
      <c r="C25" s="472">
        <f>IF(D11="","-",+C24+1)</f>
        <v>2025</v>
      </c>
      <c r="D25" s="483">
        <f>IF(F24+SUM(E$17:E24)=D$10,F24,D$10-SUM(E$17:E24))</f>
        <v>1097480.798695171</v>
      </c>
      <c r="E25" s="484">
        <f t="shared" si="7"/>
        <v>31139.023255813954</v>
      </c>
      <c r="F25" s="485">
        <f t="shared" si="8"/>
        <v>1066341.7754393572</v>
      </c>
      <c r="G25" s="486">
        <f t="shared" si="9"/>
        <v>147792.48543472873</v>
      </c>
      <c r="H25" s="455">
        <f t="shared" si="10"/>
        <v>147792.48543472873</v>
      </c>
      <c r="I25" s="475">
        <f t="shared" si="0"/>
        <v>0</v>
      </c>
      <c r="J25" s="475"/>
      <c r="K25" s="487"/>
      <c r="L25" s="478">
        <f t="shared" si="1"/>
        <v>0</v>
      </c>
      <c r="M25" s="487"/>
      <c r="N25" s="478">
        <f t="shared" si="2"/>
        <v>0</v>
      </c>
      <c r="O25" s="478">
        <f t="shared" si="3"/>
        <v>0</v>
      </c>
      <c r="P25" s="242"/>
    </row>
    <row r="26" spans="2:16" ht="12.5">
      <c r="B26" s="160" t="str">
        <f t="shared" si="5"/>
        <v/>
      </c>
      <c r="C26" s="472">
        <f>IF(D11="","-",+C25+1)</f>
        <v>2026</v>
      </c>
      <c r="D26" s="483">
        <f>IF(F25+SUM(E$17:E25)=D$10,F25,D$10-SUM(E$17:E25))</f>
        <v>1066341.7754393572</v>
      </c>
      <c r="E26" s="484">
        <f t="shared" si="7"/>
        <v>31139.023255813954</v>
      </c>
      <c r="F26" s="485">
        <f t="shared" si="8"/>
        <v>1035202.7521835432</v>
      </c>
      <c r="G26" s="486">
        <f t="shared" si="9"/>
        <v>144435.02450879</v>
      </c>
      <c r="H26" s="455">
        <f t="shared" si="10"/>
        <v>144435.02450879</v>
      </c>
      <c r="I26" s="475">
        <f t="shared" si="0"/>
        <v>0</v>
      </c>
      <c r="J26" s="475"/>
      <c r="K26" s="487"/>
      <c r="L26" s="478">
        <f t="shared" si="1"/>
        <v>0</v>
      </c>
      <c r="M26" s="487"/>
      <c r="N26" s="478">
        <f t="shared" si="2"/>
        <v>0</v>
      </c>
      <c r="O26" s="478">
        <f t="shared" si="3"/>
        <v>0</v>
      </c>
      <c r="P26" s="242"/>
    </row>
    <row r="27" spans="2:16" ht="12.5">
      <c r="B27" s="160" t="str">
        <f t="shared" si="5"/>
        <v/>
      </c>
      <c r="C27" s="472">
        <f>IF(D11="","-",+C26+1)</f>
        <v>2027</v>
      </c>
      <c r="D27" s="483">
        <f>IF(F26+SUM(E$17:E26)=D$10,F26,D$10-SUM(E$17:E26))</f>
        <v>1035202.7521835432</v>
      </c>
      <c r="E27" s="484">
        <f t="shared" si="7"/>
        <v>31139.023255813954</v>
      </c>
      <c r="F27" s="485">
        <f t="shared" si="8"/>
        <v>1004063.7289277292</v>
      </c>
      <c r="G27" s="486">
        <f t="shared" si="9"/>
        <v>141077.56358285123</v>
      </c>
      <c r="H27" s="455">
        <f t="shared" si="10"/>
        <v>141077.56358285123</v>
      </c>
      <c r="I27" s="475">
        <f t="shared" si="0"/>
        <v>0</v>
      </c>
      <c r="J27" s="475"/>
      <c r="K27" s="487"/>
      <c r="L27" s="478">
        <f t="shared" si="1"/>
        <v>0</v>
      </c>
      <c r="M27" s="487"/>
      <c r="N27" s="478">
        <f t="shared" si="2"/>
        <v>0</v>
      </c>
      <c r="O27" s="478">
        <f t="shared" si="3"/>
        <v>0</v>
      </c>
      <c r="P27" s="242"/>
    </row>
    <row r="28" spans="2:16" ht="12.5">
      <c r="B28" s="160" t="str">
        <f t="shared" si="5"/>
        <v/>
      </c>
      <c r="C28" s="472">
        <f>IF(D11="","-",+C27+1)</f>
        <v>2028</v>
      </c>
      <c r="D28" s="483">
        <f>IF(F27+SUM(E$17:E27)=D$10,F27,D$10-SUM(E$17:E27))</f>
        <v>1004063.7289277292</v>
      </c>
      <c r="E28" s="484">
        <f t="shared" si="7"/>
        <v>31139.023255813954</v>
      </c>
      <c r="F28" s="485">
        <f t="shared" si="8"/>
        <v>972924.7056719152</v>
      </c>
      <c r="G28" s="486">
        <f t="shared" si="9"/>
        <v>137720.1026569125</v>
      </c>
      <c r="H28" s="455">
        <f t="shared" si="10"/>
        <v>137720.1026569125</v>
      </c>
      <c r="I28" s="475">
        <f t="shared" si="0"/>
        <v>0</v>
      </c>
      <c r="J28" s="475"/>
      <c r="K28" s="487"/>
      <c r="L28" s="478">
        <f t="shared" si="1"/>
        <v>0</v>
      </c>
      <c r="M28" s="487"/>
      <c r="N28" s="478">
        <f t="shared" si="2"/>
        <v>0</v>
      </c>
      <c r="O28" s="478">
        <f t="shared" si="3"/>
        <v>0</v>
      </c>
      <c r="P28" s="242"/>
    </row>
    <row r="29" spans="2:16" ht="12.5">
      <c r="B29" s="160" t="str">
        <f t="shared" si="5"/>
        <v/>
      </c>
      <c r="C29" s="472">
        <f>IF(D11="","-",+C28+1)</f>
        <v>2029</v>
      </c>
      <c r="D29" s="483">
        <f>IF(F28+SUM(E$17:E28)=D$10,F28,D$10-SUM(E$17:E28))</f>
        <v>972924.7056719152</v>
      </c>
      <c r="E29" s="484">
        <f t="shared" si="7"/>
        <v>31139.023255813954</v>
      </c>
      <c r="F29" s="485">
        <f t="shared" si="8"/>
        <v>941785.68241610122</v>
      </c>
      <c r="G29" s="486">
        <f t="shared" si="9"/>
        <v>134362.64173097373</v>
      </c>
      <c r="H29" s="455">
        <f t="shared" si="10"/>
        <v>134362.64173097373</v>
      </c>
      <c r="I29" s="475">
        <f t="shared" si="0"/>
        <v>0</v>
      </c>
      <c r="J29" s="475"/>
      <c r="K29" s="487"/>
      <c r="L29" s="478">
        <f t="shared" si="1"/>
        <v>0</v>
      </c>
      <c r="M29" s="487"/>
      <c r="N29" s="478">
        <f t="shared" si="2"/>
        <v>0</v>
      </c>
      <c r="O29" s="478">
        <f t="shared" si="3"/>
        <v>0</v>
      </c>
      <c r="P29" s="242"/>
    </row>
    <row r="30" spans="2:16" ht="12.5">
      <c r="B30" s="160" t="str">
        <f t="shared" si="5"/>
        <v/>
      </c>
      <c r="C30" s="472">
        <f>IF(D11="","-",+C29+1)</f>
        <v>2030</v>
      </c>
      <c r="D30" s="483">
        <f>IF(F29+SUM(E$17:E29)=D$10,F29,D$10-SUM(E$17:E29))</f>
        <v>941785.68241610122</v>
      </c>
      <c r="E30" s="484">
        <f t="shared" si="7"/>
        <v>31139.023255813954</v>
      </c>
      <c r="F30" s="485">
        <f t="shared" si="8"/>
        <v>910646.65916028724</v>
      </c>
      <c r="G30" s="486">
        <f t="shared" si="9"/>
        <v>131005.18080503499</v>
      </c>
      <c r="H30" s="455">
        <f t="shared" si="10"/>
        <v>131005.18080503499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2"/>
    </row>
    <row r="31" spans="2:16" ht="12.5">
      <c r="B31" s="160" t="str">
        <f t="shared" si="5"/>
        <v/>
      </c>
      <c r="C31" s="472">
        <f>IF(D11="","-",+C30+1)</f>
        <v>2031</v>
      </c>
      <c r="D31" s="483">
        <f>IF(F30+SUM(E$17:E30)=D$10,F30,D$10-SUM(E$17:E30))</f>
        <v>910646.65916028724</v>
      </c>
      <c r="E31" s="484">
        <f t="shared" si="7"/>
        <v>31139.023255813954</v>
      </c>
      <c r="F31" s="485">
        <f t="shared" si="8"/>
        <v>879507.63590447325</v>
      </c>
      <c r="G31" s="486">
        <f t="shared" si="9"/>
        <v>127647.71987909621</v>
      </c>
      <c r="H31" s="455">
        <f t="shared" si="10"/>
        <v>127647.71987909621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5"/>
        <v/>
      </c>
      <c r="C32" s="472">
        <f>IF(D11="","-",+C31+1)</f>
        <v>2032</v>
      </c>
      <c r="D32" s="483">
        <f>IF(F31+SUM(E$17:E31)=D$10,F31,D$10-SUM(E$17:E31))</f>
        <v>879507.63590447325</v>
      </c>
      <c r="E32" s="484">
        <f t="shared" si="7"/>
        <v>31139.023255813954</v>
      </c>
      <c r="F32" s="485">
        <f t="shared" si="8"/>
        <v>848368.61264865927</v>
      </c>
      <c r="G32" s="486">
        <f t="shared" si="9"/>
        <v>124290.25895315748</v>
      </c>
      <c r="H32" s="455">
        <f t="shared" si="10"/>
        <v>124290.25895315748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5"/>
        <v/>
      </c>
      <c r="C33" s="472">
        <f>IF(D11="","-",+C32+1)</f>
        <v>2033</v>
      </c>
      <c r="D33" s="483">
        <f>IF(F32+SUM(E$17:E32)=D$10,F32,D$10-SUM(E$17:E32))</f>
        <v>848368.61264865927</v>
      </c>
      <c r="E33" s="484">
        <f t="shared" si="7"/>
        <v>31139.023255813954</v>
      </c>
      <c r="F33" s="485">
        <f t="shared" si="8"/>
        <v>817229.58939284529</v>
      </c>
      <c r="G33" s="486">
        <f t="shared" si="9"/>
        <v>120932.79802721871</v>
      </c>
      <c r="H33" s="455">
        <f t="shared" si="10"/>
        <v>120932.79802721871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5"/>
        <v/>
      </c>
      <c r="C34" s="472">
        <f>IF(D11="","-",+C33+1)</f>
        <v>2034</v>
      </c>
      <c r="D34" s="483">
        <f>IF(F33+SUM(E$17:E33)=D$10,F33,D$10-SUM(E$17:E33))</f>
        <v>817229.58939284529</v>
      </c>
      <c r="E34" s="484">
        <f t="shared" si="7"/>
        <v>31139.023255813954</v>
      </c>
      <c r="F34" s="485">
        <f t="shared" si="8"/>
        <v>786090.5661370313</v>
      </c>
      <c r="G34" s="486">
        <f t="shared" si="9"/>
        <v>117575.33710127998</v>
      </c>
      <c r="H34" s="455">
        <f t="shared" si="10"/>
        <v>117575.33710127998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5"/>
        <v/>
      </c>
      <c r="C35" s="472">
        <f>IF(D11="","-",+C34+1)</f>
        <v>2035</v>
      </c>
      <c r="D35" s="483">
        <f>IF(F34+SUM(E$17:E34)=D$10,F34,D$10-SUM(E$17:E34))</f>
        <v>786090.5661370313</v>
      </c>
      <c r="E35" s="484">
        <f t="shared" si="7"/>
        <v>31139.023255813954</v>
      </c>
      <c r="F35" s="485">
        <f t="shared" si="8"/>
        <v>754951.54288121732</v>
      </c>
      <c r="G35" s="486">
        <f t="shared" si="9"/>
        <v>114217.87617534121</v>
      </c>
      <c r="H35" s="455">
        <f t="shared" si="10"/>
        <v>114217.87617534121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5"/>
        <v/>
      </c>
      <c r="C36" s="472">
        <f>IF(D11="","-",+C35+1)</f>
        <v>2036</v>
      </c>
      <c r="D36" s="483">
        <f>IF(F35+SUM(E$17:E35)=D$10,F35,D$10-SUM(E$17:E35))</f>
        <v>754951.54288121732</v>
      </c>
      <c r="E36" s="484">
        <f t="shared" si="7"/>
        <v>31139.023255813954</v>
      </c>
      <c r="F36" s="485">
        <f t="shared" si="8"/>
        <v>723812.51962540334</v>
      </c>
      <c r="G36" s="486">
        <f t="shared" si="9"/>
        <v>110860.41524940247</v>
      </c>
      <c r="H36" s="455">
        <f t="shared" si="10"/>
        <v>110860.41524940247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5"/>
        <v/>
      </c>
      <c r="C37" s="472">
        <f>IF(D11="","-",+C36+1)</f>
        <v>2037</v>
      </c>
      <c r="D37" s="483">
        <f>IF(F36+SUM(E$17:E36)=D$10,F36,D$10-SUM(E$17:E36))</f>
        <v>723812.51962540334</v>
      </c>
      <c r="E37" s="484">
        <f t="shared" si="7"/>
        <v>31139.023255813954</v>
      </c>
      <c r="F37" s="485">
        <f t="shared" si="8"/>
        <v>692673.49636958935</v>
      </c>
      <c r="G37" s="486">
        <f t="shared" si="9"/>
        <v>107502.95432346371</v>
      </c>
      <c r="H37" s="455">
        <f t="shared" si="10"/>
        <v>107502.95432346371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5"/>
        <v/>
      </c>
      <c r="C38" s="472">
        <f>IF(D11="","-",+C37+1)</f>
        <v>2038</v>
      </c>
      <c r="D38" s="483">
        <f>IF(F37+SUM(E$17:E37)=D$10,F37,D$10-SUM(E$17:E37))</f>
        <v>692673.49636958935</v>
      </c>
      <c r="E38" s="484">
        <f t="shared" si="7"/>
        <v>31139.023255813954</v>
      </c>
      <c r="F38" s="485">
        <f t="shared" si="8"/>
        <v>661534.47311377537</v>
      </c>
      <c r="G38" s="486">
        <f t="shared" si="9"/>
        <v>104145.49339752496</v>
      </c>
      <c r="H38" s="455">
        <f t="shared" si="10"/>
        <v>104145.49339752496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5"/>
        <v/>
      </c>
      <c r="C39" s="472">
        <f>IF(D11="","-",+C38+1)</f>
        <v>2039</v>
      </c>
      <c r="D39" s="483">
        <f>IF(F38+SUM(E$17:E38)=D$10,F38,D$10-SUM(E$17:E38))</f>
        <v>661534.47311377537</v>
      </c>
      <c r="E39" s="484">
        <f t="shared" si="7"/>
        <v>31139.023255813954</v>
      </c>
      <c r="F39" s="485">
        <f t="shared" si="8"/>
        <v>630395.44985796139</v>
      </c>
      <c r="G39" s="486">
        <f t="shared" si="9"/>
        <v>100788.03247158619</v>
      </c>
      <c r="H39" s="455">
        <f t="shared" si="10"/>
        <v>100788.03247158619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5"/>
        <v/>
      </c>
      <c r="C40" s="472">
        <f>IF(D11="","-",+C39+1)</f>
        <v>2040</v>
      </c>
      <c r="D40" s="483">
        <f>IF(F39+SUM(E$17:E39)=D$10,F39,D$10-SUM(E$17:E39))</f>
        <v>630395.44985796139</v>
      </c>
      <c r="E40" s="484">
        <f t="shared" si="7"/>
        <v>31139.023255813954</v>
      </c>
      <c r="F40" s="485">
        <f t="shared" si="8"/>
        <v>599256.4266021474</v>
      </c>
      <c r="G40" s="486">
        <f t="shared" si="9"/>
        <v>97430.571545647457</v>
      </c>
      <c r="H40" s="455">
        <f t="shared" si="10"/>
        <v>97430.571545647457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5"/>
        <v/>
      </c>
      <c r="C41" s="472">
        <f>IF(D11="","-",+C40+1)</f>
        <v>2041</v>
      </c>
      <c r="D41" s="483">
        <f>IF(F40+SUM(E$17:E40)=D$10,F40,D$10-SUM(E$17:E40))</f>
        <v>599256.4266021474</v>
      </c>
      <c r="E41" s="484">
        <f t="shared" si="7"/>
        <v>31139.023255813954</v>
      </c>
      <c r="F41" s="485">
        <f t="shared" si="8"/>
        <v>568117.40334633342</v>
      </c>
      <c r="G41" s="486">
        <f t="shared" si="9"/>
        <v>94073.110619708692</v>
      </c>
      <c r="H41" s="455">
        <f t="shared" si="10"/>
        <v>94073.110619708692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5"/>
        <v/>
      </c>
      <c r="C42" s="472">
        <f>IF(D11="","-",+C41+1)</f>
        <v>2042</v>
      </c>
      <c r="D42" s="483">
        <f>IF(F41+SUM(E$17:E41)=D$10,F41,D$10-SUM(E$17:E41))</f>
        <v>568117.40334633342</v>
      </c>
      <c r="E42" s="484">
        <f t="shared" si="7"/>
        <v>31139.023255813954</v>
      </c>
      <c r="F42" s="485">
        <f t="shared" si="8"/>
        <v>536978.38009051944</v>
      </c>
      <c r="G42" s="486">
        <f t="shared" si="9"/>
        <v>90715.649693769956</v>
      </c>
      <c r="H42" s="455">
        <f t="shared" si="10"/>
        <v>90715.649693769956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5"/>
        <v/>
      </c>
      <c r="C43" s="472">
        <f>IF(D11="","-",+C42+1)</f>
        <v>2043</v>
      </c>
      <c r="D43" s="483">
        <f>IF(F42+SUM(E$17:E42)=D$10,F42,D$10-SUM(E$17:E42))</f>
        <v>536978.38009051944</v>
      </c>
      <c r="E43" s="484">
        <f t="shared" si="7"/>
        <v>31139.023255813954</v>
      </c>
      <c r="F43" s="485">
        <f t="shared" si="8"/>
        <v>505839.35683470545</v>
      </c>
      <c r="G43" s="486">
        <f t="shared" si="9"/>
        <v>87358.18876783119</v>
      </c>
      <c r="H43" s="455">
        <f t="shared" si="10"/>
        <v>87358.18876783119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5"/>
        <v/>
      </c>
      <c r="C44" s="472">
        <f>IF(D11="","-",+C43+1)</f>
        <v>2044</v>
      </c>
      <c r="D44" s="483">
        <f>IF(F43+SUM(E$17:E43)=D$10,F43,D$10-SUM(E$17:E43))</f>
        <v>505839.35683470545</v>
      </c>
      <c r="E44" s="484">
        <f t="shared" si="7"/>
        <v>31139.023255813954</v>
      </c>
      <c r="F44" s="485">
        <f t="shared" si="8"/>
        <v>474700.33357889147</v>
      </c>
      <c r="G44" s="486">
        <f t="shared" si="9"/>
        <v>84000.72784189244</v>
      </c>
      <c r="H44" s="455">
        <f t="shared" si="10"/>
        <v>84000.72784189244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5"/>
        <v/>
      </c>
      <c r="C45" s="472">
        <f>IF(D11="","-",+C44+1)</f>
        <v>2045</v>
      </c>
      <c r="D45" s="483">
        <f>IF(F44+SUM(E$17:E44)=D$10,F44,D$10-SUM(E$17:E44))</f>
        <v>474700.33357889147</v>
      </c>
      <c r="E45" s="484">
        <f t="shared" si="7"/>
        <v>31139.023255813954</v>
      </c>
      <c r="F45" s="485">
        <f t="shared" si="8"/>
        <v>443561.31032307749</v>
      </c>
      <c r="G45" s="486">
        <f t="shared" si="9"/>
        <v>80643.266915953689</v>
      </c>
      <c r="H45" s="455">
        <f t="shared" si="10"/>
        <v>80643.266915953689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5"/>
        <v/>
      </c>
      <c r="C46" s="472">
        <f>IF(D11="","-",+C45+1)</f>
        <v>2046</v>
      </c>
      <c r="D46" s="483">
        <f>IF(F45+SUM(E$17:E45)=D$10,F45,D$10-SUM(E$17:E45))</f>
        <v>443561.31032307749</v>
      </c>
      <c r="E46" s="484">
        <f t="shared" si="7"/>
        <v>31139.023255813954</v>
      </c>
      <c r="F46" s="485">
        <f t="shared" si="8"/>
        <v>412422.2870672635</v>
      </c>
      <c r="G46" s="486">
        <f t="shared" si="9"/>
        <v>77285.805990014924</v>
      </c>
      <c r="H46" s="455">
        <f t="shared" si="10"/>
        <v>77285.805990014924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5"/>
        <v/>
      </c>
      <c r="C47" s="472">
        <f>IF(D11="","-",+C46+1)</f>
        <v>2047</v>
      </c>
      <c r="D47" s="483">
        <f>IF(F46+SUM(E$17:E46)=D$10,F46,D$10-SUM(E$17:E46))</f>
        <v>412422.2870672635</v>
      </c>
      <c r="E47" s="484">
        <f t="shared" si="7"/>
        <v>31139.023255813954</v>
      </c>
      <c r="F47" s="485">
        <f t="shared" si="8"/>
        <v>381283.26381144952</v>
      </c>
      <c r="G47" s="486">
        <f t="shared" si="9"/>
        <v>73928.345064076188</v>
      </c>
      <c r="H47" s="455">
        <f t="shared" si="10"/>
        <v>73928.345064076188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5"/>
        <v/>
      </c>
      <c r="C48" s="472">
        <f>IF(D11="","-",+C47+1)</f>
        <v>2048</v>
      </c>
      <c r="D48" s="483">
        <f>IF(F47+SUM(E$17:E47)=D$10,F47,D$10-SUM(E$17:E47))</f>
        <v>381283.26381144952</v>
      </c>
      <c r="E48" s="484">
        <f t="shared" si="7"/>
        <v>31139.023255813954</v>
      </c>
      <c r="F48" s="485">
        <f t="shared" si="8"/>
        <v>350144.24055563554</v>
      </c>
      <c r="G48" s="486">
        <f t="shared" si="9"/>
        <v>70570.884138137422</v>
      </c>
      <c r="H48" s="455">
        <f t="shared" si="10"/>
        <v>70570.884138137422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5"/>
        <v/>
      </c>
      <c r="C49" s="472">
        <f>IF(D11="","-",+C48+1)</f>
        <v>2049</v>
      </c>
      <c r="D49" s="483">
        <f>IF(F48+SUM(E$17:E48)=D$10,F48,D$10-SUM(E$17:E48))</f>
        <v>350144.24055563554</v>
      </c>
      <c r="E49" s="484">
        <f t="shared" si="7"/>
        <v>31139.023255813954</v>
      </c>
      <c r="F49" s="485">
        <f t="shared" si="8"/>
        <v>319005.21729982155</v>
      </c>
      <c r="G49" s="486">
        <f t="shared" si="9"/>
        <v>67213.423212198672</v>
      </c>
      <c r="H49" s="455">
        <f t="shared" si="10"/>
        <v>67213.423212198672</v>
      </c>
      <c r="I49" s="475">
        <f t="shared" si="0"/>
        <v>0</v>
      </c>
      <c r="J49" s="475"/>
      <c r="K49" s="487"/>
      <c r="L49" s="478">
        <f t="shared" si="1"/>
        <v>0</v>
      </c>
      <c r="M49" s="487"/>
      <c r="N49" s="478">
        <f t="shared" si="2"/>
        <v>0</v>
      </c>
      <c r="O49" s="478">
        <f t="shared" si="3"/>
        <v>0</v>
      </c>
      <c r="P49" s="242"/>
    </row>
    <row r="50" spans="2:16" ht="12.5">
      <c r="B50" s="160" t="str">
        <f t="shared" si="5"/>
        <v/>
      </c>
      <c r="C50" s="472">
        <f>IF(D11="","-",+C49+1)</f>
        <v>2050</v>
      </c>
      <c r="D50" s="483">
        <f>IF(F49+SUM(E$17:E49)=D$10,F49,D$10-SUM(E$17:E49))</f>
        <v>319005.21729982155</v>
      </c>
      <c r="E50" s="484">
        <f t="shared" si="7"/>
        <v>31139.023255813954</v>
      </c>
      <c r="F50" s="485">
        <f t="shared" si="8"/>
        <v>287866.19404400757</v>
      </c>
      <c r="G50" s="486">
        <f t="shared" si="9"/>
        <v>63855.962286259921</v>
      </c>
      <c r="H50" s="455">
        <f t="shared" si="10"/>
        <v>63855.962286259921</v>
      </c>
      <c r="I50" s="475">
        <f t="shared" si="0"/>
        <v>0</v>
      </c>
      <c r="J50" s="475"/>
      <c r="K50" s="487"/>
      <c r="L50" s="478">
        <f t="shared" si="1"/>
        <v>0</v>
      </c>
      <c r="M50" s="487"/>
      <c r="N50" s="478">
        <f t="shared" si="2"/>
        <v>0</v>
      </c>
      <c r="O50" s="478">
        <f t="shared" si="3"/>
        <v>0</v>
      </c>
      <c r="P50" s="242"/>
    </row>
    <row r="51" spans="2:16" ht="12.5">
      <c r="B51" s="160" t="str">
        <f t="shared" si="5"/>
        <v/>
      </c>
      <c r="C51" s="472">
        <f>IF(D11="","-",+C50+1)</f>
        <v>2051</v>
      </c>
      <c r="D51" s="483">
        <f>IF(F50+SUM(E$17:E50)=D$10,F50,D$10-SUM(E$17:E50))</f>
        <v>287866.19404400757</v>
      </c>
      <c r="E51" s="484">
        <f t="shared" si="7"/>
        <v>31139.023255813954</v>
      </c>
      <c r="F51" s="485">
        <f t="shared" si="8"/>
        <v>256727.17078819362</v>
      </c>
      <c r="G51" s="486">
        <f t="shared" si="9"/>
        <v>60498.50136032117</v>
      </c>
      <c r="H51" s="455">
        <f t="shared" si="10"/>
        <v>60498.50136032117</v>
      </c>
      <c r="I51" s="475">
        <f t="shared" si="0"/>
        <v>0</v>
      </c>
      <c r="J51" s="475"/>
      <c r="K51" s="487"/>
      <c r="L51" s="478">
        <f t="shared" si="1"/>
        <v>0</v>
      </c>
      <c r="M51" s="487"/>
      <c r="N51" s="478">
        <f t="shared" si="2"/>
        <v>0</v>
      </c>
      <c r="O51" s="478">
        <f t="shared" si="3"/>
        <v>0</v>
      </c>
      <c r="P51" s="242"/>
    </row>
    <row r="52" spans="2:16" ht="12.5">
      <c r="B52" s="160" t="str">
        <f t="shared" si="5"/>
        <v/>
      </c>
      <c r="C52" s="472">
        <f>IF(D11="","-",+C51+1)</f>
        <v>2052</v>
      </c>
      <c r="D52" s="483">
        <f>IF(F51+SUM(E$17:E51)=D$10,F51,D$10-SUM(E$17:E51))</f>
        <v>256727.17078819362</v>
      </c>
      <c r="E52" s="484">
        <f t="shared" si="7"/>
        <v>31139.023255813954</v>
      </c>
      <c r="F52" s="485">
        <f t="shared" si="8"/>
        <v>225588.14753237966</v>
      </c>
      <c r="G52" s="486">
        <f t="shared" si="9"/>
        <v>57141.040434382419</v>
      </c>
      <c r="H52" s="455">
        <f t="shared" si="10"/>
        <v>57141.040434382419</v>
      </c>
      <c r="I52" s="475">
        <f t="shared" si="0"/>
        <v>0</v>
      </c>
      <c r="J52" s="475"/>
      <c r="K52" s="487"/>
      <c r="L52" s="478">
        <f t="shared" si="1"/>
        <v>0</v>
      </c>
      <c r="M52" s="487"/>
      <c r="N52" s="478">
        <f t="shared" si="2"/>
        <v>0</v>
      </c>
      <c r="O52" s="478">
        <f t="shared" si="3"/>
        <v>0</v>
      </c>
      <c r="P52" s="242"/>
    </row>
    <row r="53" spans="2:16" ht="12.5">
      <c r="B53" s="160" t="str">
        <f t="shared" si="5"/>
        <v/>
      </c>
      <c r="C53" s="472">
        <f>IF(D11="","-",+C52+1)</f>
        <v>2053</v>
      </c>
      <c r="D53" s="483">
        <f>IF(F52+SUM(E$17:E52)=D$10,F52,D$10-SUM(E$17:E52))</f>
        <v>225588.14753237966</v>
      </c>
      <c r="E53" s="484">
        <f t="shared" si="7"/>
        <v>31139.023255813954</v>
      </c>
      <c r="F53" s="485">
        <f t="shared" si="8"/>
        <v>194449.12427656571</v>
      </c>
      <c r="G53" s="486">
        <f t="shared" si="9"/>
        <v>53783.579508443669</v>
      </c>
      <c r="H53" s="455">
        <f t="shared" si="10"/>
        <v>53783.579508443669</v>
      </c>
      <c r="I53" s="475">
        <f t="shared" si="0"/>
        <v>0</v>
      </c>
      <c r="J53" s="475"/>
      <c r="K53" s="487"/>
      <c r="L53" s="478">
        <f t="shared" si="1"/>
        <v>0</v>
      </c>
      <c r="M53" s="487"/>
      <c r="N53" s="478">
        <f t="shared" si="2"/>
        <v>0</v>
      </c>
      <c r="O53" s="478">
        <f t="shared" si="3"/>
        <v>0</v>
      </c>
      <c r="P53" s="242"/>
    </row>
    <row r="54" spans="2:16" ht="12.5">
      <c r="B54" s="160" t="str">
        <f t="shared" si="5"/>
        <v/>
      </c>
      <c r="C54" s="472">
        <f>IF(D11="","-",+C53+1)</f>
        <v>2054</v>
      </c>
      <c r="D54" s="483">
        <f>IF(F53+SUM(E$17:E53)=D$10,F53,D$10-SUM(E$17:E53))</f>
        <v>194449.12427656571</v>
      </c>
      <c r="E54" s="484">
        <f t="shared" si="7"/>
        <v>31139.023255813954</v>
      </c>
      <c r="F54" s="485">
        <f t="shared" si="8"/>
        <v>163310.10102075175</v>
      </c>
      <c r="G54" s="486">
        <f t="shared" si="9"/>
        <v>50426.118582504918</v>
      </c>
      <c r="H54" s="455">
        <f t="shared" si="10"/>
        <v>50426.118582504918</v>
      </c>
      <c r="I54" s="475">
        <f t="shared" si="0"/>
        <v>0</v>
      </c>
      <c r="J54" s="475"/>
      <c r="K54" s="487"/>
      <c r="L54" s="478">
        <f t="shared" si="1"/>
        <v>0</v>
      </c>
      <c r="M54" s="487"/>
      <c r="N54" s="478">
        <f t="shared" si="2"/>
        <v>0</v>
      </c>
      <c r="O54" s="478">
        <f t="shared" si="3"/>
        <v>0</v>
      </c>
      <c r="P54" s="242"/>
    </row>
    <row r="55" spans="2:16" ht="12.5">
      <c r="B55" s="160" t="str">
        <f t="shared" si="5"/>
        <v/>
      </c>
      <c r="C55" s="472">
        <f>IF(D11="","-",+C54+1)</f>
        <v>2055</v>
      </c>
      <c r="D55" s="483">
        <f>IF(F54+SUM(E$17:E54)=D$10,F54,D$10-SUM(E$17:E54))</f>
        <v>163310.10102075175</v>
      </c>
      <c r="E55" s="484">
        <f t="shared" si="7"/>
        <v>31139.023255813954</v>
      </c>
      <c r="F55" s="485">
        <f t="shared" si="8"/>
        <v>132171.0777649378</v>
      </c>
      <c r="G55" s="486">
        <f t="shared" si="9"/>
        <v>47068.657656566167</v>
      </c>
      <c r="H55" s="455">
        <f t="shared" si="10"/>
        <v>47068.657656566167</v>
      </c>
      <c r="I55" s="475">
        <f t="shared" si="0"/>
        <v>0</v>
      </c>
      <c r="J55" s="475"/>
      <c r="K55" s="487"/>
      <c r="L55" s="478">
        <f t="shared" si="1"/>
        <v>0</v>
      </c>
      <c r="M55" s="487"/>
      <c r="N55" s="478">
        <f t="shared" si="2"/>
        <v>0</v>
      </c>
      <c r="O55" s="478">
        <f t="shared" si="3"/>
        <v>0</v>
      </c>
      <c r="P55" s="242"/>
    </row>
    <row r="56" spans="2:16" ht="12.5">
      <c r="B56" s="160" t="str">
        <f t="shared" si="5"/>
        <v/>
      </c>
      <c r="C56" s="472">
        <f>IF(D11="","-",+C55+1)</f>
        <v>2056</v>
      </c>
      <c r="D56" s="483">
        <f>IF(F55+SUM(E$17:E55)=D$10,F55,D$10-SUM(E$17:E55))</f>
        <v>132171.0777649378</v>
      </c>
      <c r="E56" s="484">
        <f t="shared" si="7"/>
        <v>31139.023255813954</v>
      </c>
      <c r="F56" s="485">
        <f t="shared" si="8"/>
        <v>101032.05450912385</v>
      </c>
      <c r="G56" s="486">
        <f t="shared" si="9"/>
        <v>43711.196730627424</v>
      </c>
      <c r="H56" s="455">
        <f t="shared" si="10"/>
        <v>43711.196730627424</v>
      </c>
      <c r="I56" s="475">
        <f t="shared" si="0"/>
        <v>0</v>
      </c>
      <c r="J56" s="475"/>
      <c r="K56" s="487"/>
      <c r="L56" s="478">
        <f t="shared" si="1"/>
        <v>0</v>
      </c>
      <c r="M56" s="487"/>
      <c r="N56" s="478">
        <f t="shared" si="2"/>
        <v>0</v>
      </c>
      <c r="O56" s="478">
        <f t="shared" si="3"/>
        <v>0</v>
      </c>
      <c r="P56" s="242"/>
    </row>
    <row r="57" spans="2:16" ht="12.5">
      <c r="B57" s="160" t="str">
        <f t="shared" si="5"/>
        <v/>
      </c>
      <c r="C57" s="472">
        <f>IF(D11="","-",+C56+1)</f>
        <v>2057</v>
      </c>
      <c r="D57" s="483">
        <f>IF(F56+SUM(E$17:E56)=D$10,F56,D$10-SUM(E$17:E56))</f>
        <v>101032.05450912385</v>
      </c>
      <c r="E57" s="484">
        <f t="shared" si="7"/>
        <v>31139.023255813954</v>
      </c>
      <c r="F57" s="485">
        <f t="shared" si="8"/>
        <v>69893.031253309891</v>
      </c>
      <c r="G57" s="486">
        <f t="shared" si="9"/>
        <v>40353.735804688673</v>
      </c>
      <c r="H57" s="455">
        <f t="shared" si="10"/>
        <v>40353.735804688673</v>
      </c>
      <c r="I57" s="475">
        <f t="shared" si="0"/>
        <v>0</v>
      </c>
      <c r="J57" s="475"/>
      <c r="K57" s="487"/>
      <c r="L57" s="478">
        <f t="shared" si="1"/>
        <v>0</v>
      </c>
      <c r="M57" s="487"/>
      <c r="N57" s="478">
        <f t="shared" si="2"/>
        <v>0</v>
      </c>
      <c r="O57" s="478">
        <f t="shared" si="3"/>
        <v>0</v>
      </c>
      <c r="P57" s="242"/>
    </row>
    <row r="58" spans="2:16" ht="12.5">
      <c r="B58" s="160" t="str">
        <f t="shared" si="5"/>
        <v/>
      </c>
      <c r="C58" s="472">
        <f>IF(D11="","-",+C57+1)</f>
        <v>2058</v>
      </c>
      <c r="D58" s="483">
        <f>IF(F57+SUM(E$17:E57)=D$10,F57,D$10-SUM(E$17:E57))</f>
        <v>69893.031253309891</v>
      </c>
      <c r="E58" s="484">
        <f t="shared" si="7"/>
        <v>31139.023255813954</v>
      </c>
      <c r="F58" s="485">
        <f t="shared" si="8"/>
        <v>38754.007997495937</v>
      </c>
      <c r="G58" s="486">
        <f t="shared" si="9"/>
        <v>36996.274878749922</v>
      </c>
      <c r="H58" s="455">
        <f t="shared" si="10"/>
        <v>36996.274878749922</v>
      </c>
      <c r="I58" s="475">
        <f t="shared" si="0"/>
        <v>0</v>
      </c>
      <c r="J58" s="475"/>
      <c r="K58" s="487"/>
      <c r="L58" s="478">
        <f t="shared" si="1"/>
        <v>0</v>
      </c>
      <c r="M58" s="487"/>
      <c r="N58" s="478">
        <f t="shared" si="2"/>
        <v>0</v>
      </c>
      <c r="O58" s="478">
        <f t="shared" si="3"/>
        <v>0</v>
      </c>
      <c r="P58" s="242"/>
    </row>
    <row r="59" spans="2:16" ht="12.5">
      <c r="B59" s="160" t="str">
        <f t="shared" si="5"/>
        <v/>
      </c>
      <c r="C59" s="472">
        <f>IF(D11="","-",+C58+1)</f>
        <v>2059</v>
      </c>
      <c r="D59" s="483">
        <f>IF(F58+SUM(E$17:E58)=D$10,F58,D$10-SUM(E$17:E58))</f>
        <v>38754.007997495937</v>
      </c>
      <c r="E59" s="484">
        <f t="shared" si="7"/>
        <v>31139.023255813954</v>
      </c>
      <c r="F59" s="485">
        <f t="shared" si="8"/>
        <v>7614.984741681983</v>
      </c>
      <c r="G59" s="486">
        <f t="shared" si="9"/>
        <v>33638.813952811171</v>
      </c>
      <c r="H59" s="455">
        <f t="shared" si="10"/>
        <v>33638.813952811171</v>
      </c>
      <c r="I59" s="475">
        <f t="shared" si="0"/>
        <v>0</v>
      </c>
      <c r="J59" s="475"/>
      <c r="K59" s="487"/>
      <c r="L59" s="478">
        <f t="shared" si="1"/>
        <v>0</v>
      </c>
      <c r="M59" s="487"/>
      <c r="N59" s="478">
        <f t="shared" si="2"/>
        <v>0</v>
      </c>
      <c r="O59" s="478">
        <f t="shared" si="3"/>
        <v>0</v>
      </c>
      <c r="P59" s="242"/>
    </row>
    <row r="60" spans="2:16" ht="12.5">
      <c r="B60" s="160" t="str">
        <f t="shared" si="5"/>
        <v/>
      </c>
      <c r="C60" s="472">
        <f>IF(D11="","-",+C59+1)</f>
        <v>2060</v>
      </c>
      <c r="D60" s="483">
        <f>IF(F59+SUM(E$17:E59)=D$10,F59,D$10-SUM(E$17:E59))</f>
        <v>7614.984741681983</v>
      </c>
      <c r="E60" s="484">
        <f t="shared" si="7"/>
        <v>7614.984741681983</v>
      </c>
      <c r="F60" s="485">
        <f t="shared" si="8"/>
        <v>0</v>
      </c>
      <c r="G60" s="486">
        <f t="shared" si="9"/>
        <v>8025.514858695904</v>
      </c>
      <c r="H60" s="455">
        <f t="shared" si="10"/>
        <v>8025.514858695904</v>
      </c>
      <c r="I60" s="475">
        <f t="shared" si="0"/>
        <v>0</v>
      </c>
      <c r="J60" s="475"/>
      <c r="K60" s="487"/>
      <c r="L60" s="478">
        <f t="shared" si="1"/>
        <v>0</v>
      </c>
      <c r="M60" s="487"/>
      <c r="N60" s="478">
        <f t="shared" si="2"/>
        <v>0</v>
      </c>
      <c r="O60" s="478">
        <f t="shared" si="3"/>
        <v>0</v>
      </c>
      <c r="P60" s="242"/>
    </row>
    <row r="61" spans="2:16" ht="12.5">
      <c r="B61" s="160" t="str">
        <f t="shared" si="5"/>
        <v/>
      </c>
      <c r="C61" s="472">
        <f>IF(D11="","-",+C60+1)</f>
        <v>2061</v>
      </c>
      <c r="D61" s="483">
        <f>IF(F60+SUM(E$17:E60)=D$10,F60,D$10-SUM(E$17:E60))</f>
        <v>0</v>
      </c>
      <c r="E61" s="484">
        <f t="shared" si="7"/>
        <v>0</v>
      </c>
      <c r="F61" s="485">
        <f t="shared" si="8"/>
        <v>0</v>
      </c>
      <c r="G61" s="486">
        <f t="shared" si="9"/>
        <v>0</v>
      </c>
      <c r="H61" s="455">
        <f t="shared" si="10"/>
        <v>0</v>
      </c>
      <c r="I61" s="475">
        <f t="shared" si="0"/>
        <v>0</v>
      </c>
      <c r="J61" s="475"/>
      <c r="K61" s="487"/>
      <c r="L61" s="478">
        <f t="shared" si="1"/>
        <v>0</v>
      </c>
      <c r="M61" s="487"/>
      <c r="N61" s="478">
        <f t="shared" si="2"/>
        <v>0</v>
      </c>
      <c r="O61" s="478">
        <f t="shared" si="3"/>
        <v>0</v>
      </c>
      <c r="P61" s="242"/>
    </row>
    <row r="62" spans="2:16" ht="12.5">
      <c r="B62" s="160" t="str">
        <f t="shared" si="5"/>
        <v/>
      </c>
      <c r="C62" s="472">
        <f>IF(D11="","-",+C61+1)</f>
        <v>2062</v>
      </c>
      <c r="D62" s="483">
        <f>IF(F61+SUM(E$17:E61)=D$10,F61,D$10-SUM(E$17:E61))</f>
        <v>0</v>
      </c>
      <c r="E62" s="484">
        <f t="shared" si="7"/>
        <v>0</v>
      </c>
      <c r="F62" s="485">
        <f t="shared" si="8"/>
        <v>0</v>
      </c>
      <c r="G62" s="486">
        <f t="shared" si="9"/>
        <v>0</v>
      </c>
      <c r="H62" s="455">
        <f t="shared" si="10"/>
        <v>0</v>
      </c>
      <c r="I62" s="475">
        <f t="shared" si="0"/>
        <v>0</v>
      </c>
      <c r="J62" s="475"/>
      <c r="K62" s="487"/>
      <c r="L62" s="478">
        <f t="shared" si="1"/>
        <v>0</v>
      </c>
      <c r="M62" s="487"/>
      <c r="N62" s="478">
        <f t="shared" si="2"/>
        <v>0</v>
      </c>
      <c r="O62" s="478">
        <f t="shared" si="3"/>
        <v>0</v>
      </c>
      <c r="P62" s="242"/>
    </row>
    <row r="63" spans="2:16" ht="12.5">
      <c r="B63" s="160" t="str">
        <f t="shared" si="5"/>
        <v/>
      </c>
      <c r="C63" s="472">
        <f>IF(D11="","-",+C62+1)</f>
        <v>2063</v>
      </c>
      <c r="D63" s="483">
        <f>IF(F62+SUM(E$17:E62)=D$10,F62,D$10-SUM(E$17:E62))</f>
        <v>0</v>
      </c>
      <c r="E63" s="484">
        <f t="shared" si="7"/>
        <v>0</v>
      </c>
      <c r="F63" s="485">
        <f t="shared" si="8"/>
        <v>0</v>
      </c>
      <c r="G63" s="486">
        <f t="shared" si="9"/>
        <v>0</v>
      </c>
      <c r="H63" s="455">
        <f t="shared" si="10"/>
        <v>0</v>
      </c>
      <c r="I63" s="475">
        <f t="shared" si="0"/>
        <v>0</v>
      </c>
      <c r="J63" s="475"/>
      <c r="K63" s="487"/>
      <c r="L63" s="478">
        <f t="shared" si="1"/>
        <v>0</v>
      </c>
      <c r="M63" s="487"/>
      <c r="N63" s="478">
        <f t="shared" si="2"/>
        <v>0</v>
      </c>
      <c r="O63" s="478">
        <f t="shared" si="3"/>
        <v>0</v>
      </c>
      <c r="P63" s="242"/>
    </row>
    <row r="64" spans="2:16" ht="12.5">
      <c r="B64" s="160" t="str">
        <f t="shared" si="5"/>
        <v/>
      </c>
      <c r="C64" s="472">
        <f>IF(D11="","-",+C63+1)</f>
        <v>2064</v>
      </c>
      <c r="D64" s="483">
        <f>IF(F63+SUM(E$17:E63)=D$10,F63,D$10-SUM(E$17:E63))</f>
        <v>0</v>
      </c>
      <c r="E64" s="484">
        <f t="shared" si="7"/>
        <v>0</v>
      </c>
      <c r="F64" s="485">
        <f t="shared" si="8"/>
        <v>0</v>
      </c>
      <c r="G64" s="486">
        <f t="shared" si="9"/>
        <v>0</v>
      </c>
      <c r="H64" s="455">
        <f t="shared" si="10"/>
        <v>0</v>
      </c>
      <c r="I64" s="475">
        <f t="shared" si="0"/>
        <v>0</v>
      </c>
      <c r="J64" s="475"/>
      <c r="K64" s="487"/>
      <c r="L64" s="478">
        <f t="shared" si="1"/>
        <v>0</v>
      </c>
      <c r="M64" s="487"/>
      <c r="N64" s="478">
        <f t="shared" si="2"/>
        <v>0</v>
      </c>
      <c r="O64" s="478">
        <f t="shared" si="3"/>
        <v>0</v>
      </c>
      <c r="P64" s="242"/>
    </row>
    <row r="65" spans="2:16" ht="12.5">
      <c r="B65" s="160" t="str">
        <f t="shared" si="5"/>
        <v/>
      </c>
      <c r="C65" s="472">
        <f>IF(D11="","-",+C64+1)</f>
        <v>2065</v>
      </c>
      <c r="D65" s="483">
        <f>IF(F64+SUM(E$17:E64)=D$10,F64,D$10-SUM(E$17:E64))</f>
        <v>0</v>
      </c>
      <c r="E65" s="484">
        <f t="shared" si="7"/>
        <v>0</v>
      </c>
      <c r="F65" s="485">
        <f t="shared" si="8"/>
        <v>0</v>
      </c>
      <c r="G65" s="486">
        <f t="shared" si="9"/>
        <v>0</v>
      </c>
      <c r="H65" s="455">
        <f t="shared" si="10"/>
        <v>0</v>
      </c>
      <c r="I65" s="475">
        <f t="shared" si="0"/>
        <v>0</v>
      </c>
      <c r="J65" s="475"/>
      <c r="K65" s="487"/>
      <c r="L65" s="478">
        <f t="shared" si="1"/>
        <v>0</v>
      </c>
      <c r="M65" s="487"/>
      <c r="N65" s="478">
        <f t="shared" si="2"/>
        <v>0</v>
      </c>
      <c r="O65" s="478">
        <f t="shared" si="3"/>
        <v>0</v>
      </c>
      <c r="P65" s="242"/>
    </row>
    <row r="66" spans="2:16" ht="12.5">
      <c r="B66" s="160" t="str">
        <f t="shared" si="5"/>
        <v/>
      </c>
      <c r="C66" s="472">
        <f>IF(D11="","-",+C65+1)</f>
        <v>2066</v>
      </c>
      <c r="D66" s="483">
        <f>IF(F65+SUM(E$17:E65)=D$10,F65,D$10-SUM(E$17:E65))</f>
        <v>0</v>
      </c>
      <c r="E66" s="484">
        <f t="shared" si="7"/>
        <v>0</v>
      </c>
      <c r="F66" s="485">
        <f t="shared" si="8"/>
        <v>0</v>
      </c>
      <c r="G66" s="486">
        <f t="shared" si="9"/>
        <v>0</v>
      </c>
      <c r="H66" s="455">
        <f t="shared" si="10"/>
        <v>0</v>
      </c>
      <c r="I66" s="475">
        <f t="shared" si="0"/>
        <v>0</v>
      </c>
      <c r="J66" s="475"/>
      <c r="K66" s="487"/>
      <c r="L66" s="478">
        <f t="shared" si="1"/>
        <v>0</v>
      </c>
      <c r="M66" s="487"/>
      <c r="N66" s="478">
        <f t="shared" si="2"/>
        <v>0</v>
      </c>
      <c r="O66" s="478">
        <f t="shared" si="3"/>
        <v>0</v>
      </c>
      <c r="P66" s="242"/>
    </row>
    <row r="67" spans="2:16" ht="12.5">
      <c r="B67" s="160" t="str">
        <f t="shared" si="5"/>
        <v/>
      </c>
      <c r="C67" s="472">
        <f>IF(D11="","-",+C66+1)</f>
        <v>2067</v>
      </c>
      <c r="D67" s="483">
        <f>IF(F66+SUM(E$17:E66)=D$10,F66,D$10-SUM(E$17:E66))</f>
        <v>0</v>
      </c>
      <c r="E67" s="484">
        <f t="shared" si="7"/>
        <v>0</v>
      </c>
      <c r="F67" s="485">
        <f t="shared" si="8"/>
        <v>0</v>
      </c>
      <c r="G67" s="486">
        <f t="shared" si="9"/>
        <v>0</v>
      </c>
      <c r="H67" s="455">
        <f t="shared" si="10"/>
        <v>0</v>
      </c>
      <c r="I67" s="475">
        <f t="shared" si="0"/>
        <v>0</v>
      </c>
      <c r="J67" s="475"/>
      <c r="K67" s="487"/>
      <c r="L67" s="478">
        <f t="shared" si="1"/>
        <v>0</v>
      </c>
      <c r="M67" s="487"/>
      <c r="N67" s="478">
        <f t="shared" si="2"/>
        <v>0</v>
      </c>
      <c r="O67" s="478">
        <f t="shared" si="3"/>
        <v>0</v>
      </c>
      <c r="P67" s="242"/>
    </row>
    <row r="68" spans="2:16" ht="12.5">
      <c r="B68" s="160" t="str">
        <f t="shared" si="5"/>
        <v/>
      </c>
      <c r="C68" s="472">
        <f>IF(D11="","-",+C67+1)</f>
        <v>2068</v>
      </c>
      <c r="D68" s="483">
        <f>IF(F67+SUM(E$17:E67)=D$10,F67,D$10-SUM(E$17:E67))</f>
        <v>0</v>
      </c>
      <c r="E68" s="484">
        <f t="shared" si="7"/>
        <v>0</v>
      </c>
      <c r="F68" s="485">
        <f t="shared" si="8"/>
        <v>0</v>
      </c>
      <c r="G68" s="486">
        <f t="shared" si="9"/>
        <v>0</v>
      </c>
      <c r="H68" s="455">
        <f t="shared" si="10"/>
        <v>0</v>
      </c>
      <c r="I68" s="475">
        <f t="shared" si="0"/>
        <v>0</v>
      </c>
      <c r="J68" s="475"/>
      <c r="K68" s="487"/>
      <c r="L68" s="478">
        <f t="shared" si="1"/>
        <v>0</v>
      </c>
      <c r="M68" s="487"/>
      <c r="N68" s="478">
        <f t="shared" si="2"/>
        <v>0</v>
      </c>
      <c r="O68" s="478">
        <f t="shared" si="3"/>
        <v>0</v>
      </c>
      <c r="P68" s="242"/>
    </row>
    <row r="69" spans="2:16" ht="12.5">
      <c r="B69" s="160" t="str">
        <f t="shared" si="5"/>
        <v/>
      </c>
      <c r="C69" s="472">
        <f>IF(D11="","-",+C68+1)</f>
        <v>2069</v>
      </c>
      <c r="D69" s="483">
        <f>IF(F68+SUM(E$17:E68)=D$10,F68,D$10-SUM(E$17:E68))</f>
        <v>0</v>
      </c>
      <c r="E69" s="484">
        <f t="shared" si="7"/>
        <v>0</v>
      </c>
      <c r="F69" s="485">
        <f t="shared" si="8"/>
        <v>0</v>
      </c>
      <c r="G69" s="486">
        <f t="shared" si="9"/>
        <v>0</v>
      </c>
      <c r="H69" s="455">
        <f t="shared" si="10"/>
        <v>0</v>
      </c>
      <c r="I69" s="475">
        <f t="shared" si="0"/>
        <v>0</v>
      </c>
      <c r="J69" s="475"/>
      <c r="K69" s="487"/>
      <c r="L69" s="478">
        <f t="shared" si="1"/>
        <v>0</v>
      </c>
      <c r="M69" s="487"/>
      <c r="N69" s="478">
        <f t="shared" si="2"/>
        <v>0</v>
      </c>
      <c r="O69" s="478">
        <f t="shared" si="3"/>
        <v>0</v>
      </c>
      <c r="P69" s="242"/>
    </row>
    <row r="70" spans="2:16" ht="12.5">
      <c r="B70" s="160" t="str">
        <f t="shared" si="5"/>
        <v/>
      </c>
      <c r="C70" s="472">
        <f>IF(D11="","-",+C69+1)</f>
        <v>2070</v>
      </c>
      <c r="D70" s="483">
        <f>IF(F69+SUM(E$17:E69)=D$10,F69,D$10-SUM(E$17:E69))</f>
        <v>0</v>
      </c>
      <c r="E70" s="484">
        <f t="shared" si="7"/>
        <v>0</v>
      </c>
      <c r="F70" s="485">
        <f t="shared" si="8"/>
        <v>0</v>
      </c>
      <c r="G70" s="486">
        <f t="shared" si="9"/>
        <v>0</v>
      </c>
      <c r="H70" s="455">
        <f t="shared" si="10"/>
        <v>0</v>
      </c>
      <c r="I70" s="475">
        <f t="shared" si="0"/>
        <v>0</v>
      </c>
      <c r="J70" s="475"/>
      <c r="K70" s="487"/>
      <c r="L70" s="478">
        <f t="shared" si="1"/>
        <v>0</v>
      </c>
      <c r="M70" s="487"/>
      <c r="N70" s="478">
        <f t="shared" si="2"/>
        <v>0</v>
      </c>
      <c r="O70" s="478">
        <f t="shared" si="3"/>
        <v>0</v>
      </c>
      <c r="P70" s="242"/>
    </row>
    <row r="71" spans="2:16" ht="12.5">
      <c r="B71" s="160" t="str">
        <f t="shared" si="5"/>
        <v/>
      </c>
      <c r="C71" s="472">
        <f>IF(D11="","-",+C70+1)</f>
        <v>2071</v>
      </c>
      <c r="D71" s="483">
        <f>IF(F70+SUM(E$17:E70)=D$10,F70,D$10-SUM(E$17:E70))</f>
        <v>0</v>
      </c>
      <c r="E71" s="484">
        <f t="shared" si="7"/>
        <v>0</v>
      </c>
      <c r="F71" s="485">
        <f t="shared" si="8"/>
        <v>0</v>
      </c>
      <c r="G71" s="486">
        <f t="shared" si="9"/>
        <v>0</v>
      </c>
      <c r="H71" s="455">
        <f t="shared" si="10"/>
        <v>0</v>
      </c>
      <c r="I71" s="475">
        <f t="shared" si="0"/>
        <v>0</v>
      </c>
      <c r="J71" s="475"/>
      <c r="K71" s="487"/>
      <c r="L71" s="478">
        <f t="shared" si="1"/>
        <v>0</v>
      </c>
      <c r="M71" s="487"/>
      <c r="N71" s="478">
        <f t="shared" si="2"/>
        <v>0</v>
      </c>
      <c r="O71" s="478">
        <f t="shared" si="3"/>
        <v>0</v>
      </c>
      <c r="P71" s="242"/>
    </row>
    <row r="72" spans="2:16" ht="13" thickBot="1">
      <c r="B72" s="160" t="str">
        <f t="shared" si="5"/>
        <v/>
      </c>
      <c r="C72" s="489">
        <f>IF(D11="","-",+C71+1)</f>
        <v>2072</v>
      </c>
      <c r="D72" s="612">
        <f>IF(F71+SUM(E$17:E71)=D$10,F71,D$10-SUM(E$17:E71))</f>
        <v>0</v>
      </c>
      <c r="E72" s="491">
        <f t="shared" si="7"/>
        <v>0</v>
      </c>
      <c r="F72" s="490">
        <f t="shared" si="8"/>
        <v>0</v>
      </c>
      <c r="G72" s="544">
        <f t="shared" si="9"/>
        <v>0</v>
      </c>
      <c r="H72" s="435">
        <f t="shared" si="10"/>
        <v>0</v>
      </c>
      <c r="I72" s="493">
        <f t="shared" si="0"/>
        <v>0</v>
      </c>
      <c r="J72" s="475"/>
      <c r="K72" s="494"/>
      <c r="L72" s="495">
        <f t="shared" si="1"/>
        <v>0</v>
      </c>
      <c r="M72" s="494"/>
      <c r="N72" s="495">
        <f t="shared" si="2"/>
        <v>0</v>
      </c>
      <c r="O72" s="495">
        <f t="shared" si="3"/>
        <v>0</v>
      </c>
      <c r="P72" s="242"/>
    </row>
    <row r="73" spans="2:16" ht="12.5">
      <c r="C73" s="346" t="s">
        <v>77</v>
      </c>
      <c r="D73" s="347"/>
      <c r="E73" s="347">
        <f>SUM(E17:E72)</f>
        <v>1338977.9999999995</v>
      </c>
      <c r="F73" s="347"/>
      <c r="G73" s="347">
        <f>SUM(G17:G72)</f>
        <v>4440513.9485387942</v>
      </c>
      <c r="H73" s="347">
        <f>SUM(H17:H72)</f>
        <v>4440513.9485387942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19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175351.45606998727</v>
      </c>
      <c r="N87" s="508">
        <f>IF(J92&lt;D11,0,VLOOKUP(J92,C17:O72,11))</f>
        <v>175351.45606998727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163579.71352002863</v>
      </c>
      <c r="N88" s="512">
        <f>IF(J92&lt;D11,0,VLOOKUP(J92,C99:P154,7))</f>
        <v>163579.71352002863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Valliant-NW Texarkana 345 kV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-11771.742549958639</v>
      </c>
      <c r="N89" s="517">
        <f>+N88-N87</f>
        <v>-11771.742549958639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TP2009089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f>IF(D11=I10,0,D10)</f>
        <v>1338978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2017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3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32658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2017</v>
      </c>
      <c r="D99" s="584">
        <v>0</v>
      </c>
      <c r="E99" s="608">
        <v>21831</v>
      </c>
      <c r="F99" s="584">
        <v>1317147</v>
      </c>
      <c r="G99" s="608">
        <v>658573.5</v>
      </c>
      <c r="H99" s="587">
        <v>105372.70906867021</v>
      </c>
      <c r="I99" s="607">
        <v>105372.70906867021</v>
      </c>
      <c r="J99" s="478">
        <f t="shared" ref="J99:J130" si="11">+I99-H99</f>
        <v>0</v>
      </c>
      <c r="K99" s="478"/>
      <c r="L99" s="477">
        <f>+H99</f>
        <v>105372.70906867021</v>
      </c>
      <c r="M99" s="477">
        <f t="shared" ref="M99:M130" si="12">IF(L99&lt;&gt;0,+H99-L99,0)</f>
        <v>0</v>
      </c>
      <c r="N99" s="477">
        <f>+I99</f>
        <v>105372.70906867021</v>
      </c>
      <c r="O99" s="477">
        <f t="shared" ref="O99:O130" si="13">IF(N99&lt;&gt;0,+I99-N99,0)</f>
        <v>0</v>
      </c>
      <c r="P99" s="477">
        <f t="shared" ref="P99:P130" si="14">+O99-M99</f>
        <v>0</v>
      </c>
    </row>
    <row r="100" spans="1:16" ht="12.5">
      <c r="B100" s="160" t="str">
        <f>IF(D100=F99,"","IU")</f>
        <v/>
      </c>
      <c r="C100" s="472">
        <f>IF(D93="","-",+C99+1)</f>
        <v>2018</v>
      </c>
      <c r="D100" s="578">
        <v>1317147</v>
      </c>
      <c r="E100" s="579">
        <v>31139</v>
      </c>
      <c r="F100" s="578">
        <v>1286008</v>
      </c>
      <c r="G100" s="579">
        <v>1301577.5</v>
      </c>
      <c r="H100" s="602">
        <v>164857.30223166285</v>
      </c>
      <c r="I100" s="578">
        <v>164857.30223166285</v>
      </c>
      <c r="J100" s="478">
        <f t="shared" si="11"/>
        <v>0</v>
      </c>
      <c r="K100" s="478"/>
      <c r="L100" s="476">
        <f>H100</f>
        <v>164857.30223166285</v>
      </c>
      <c r="M100" s="348">
        <f>IF(L100&lt;&gt;0,+H100-L100,0)</f>
        <v>0</v>
      </c>
      <c r="N100" s="476">
        <f>I100</f>
        <v>164857.30223166285</v>
      </c>
      <c r="O100" s="475">
        <f>IF(N100&lt;&gt;0,+I100-N100,0)</f>
        <v>0</v>
      </c>
      <c r="P100" s="478">
        <f>+O100-M100</f>
        <v>0</v>
      </c>
    </row>
    <row r="101" spans="1:16" ht="12.5">
      <c r="B101" s="160" t="str">
        <f t="shared" ref="B101:B154" si="15">IF(D101=F100,"","IU")</f>
        <v/>
      </c>
      <c r="C101" s="472">
        <f>IF(D93="","-",+C100+1)</f>
        <v>2019</v>
      </c>
      <c r="D101" s="346">
        <f>IF(F100+SUM(E$99:E100)=D$92,F100,D$92-SUM(E$99:E100))</f>
        <v>1286008</v>
      </c>
      <c r="E101" s="484">
        <f t="shared" ref="E101:E154" si="16">IF(+J$96&lt;F100,J$96,D101)</f>
        <v>32658</v>
      </c>
      <c r="F101" s="485">
        <f t="shared" ref="F101:F154" si="17">+D101-E101</f>
        <v>1253350</v>
      </c>
      <c r="G101" s="485">
        <f t="shared" ref="G101:G154" si="18">+(F101+D101)/2</f>
        <v>1269679</v>
      </c>
      <c r="H101" s="613">
        <f t="shared" ref="H101:H154" si="19">+J$94*G101+E101</f>
        <v>163579.71352002863</v>
      </c>
      <c r="I101" s="614">
        <f t="shared" ref="I101:I154" si="20">+J$95*G101+E101</f>
        <v>163579.71352002863</v>
      </c>
      <c r="J101" s="478">
        <f t="shared" si="11"/>
        <v>0</v>
      </c>
      <c r="K101" s="478"/>
      <c r="L101" s="487"/>
      <c r="M101" s="478">
        <f t="shared" si="12"/>
        <v>0</v>
      </c>
      <c r="N101" s="487"/>
      <c r="O101" s="478">
        <f t="shared" si="13"/>
        <v>0</v>
      </c>
      <c r="P101" s="478">
        <f t="shared" si="14"/>
        <v>0</v>
      </c>
    </row>
    <row r="102" spans="1:16" ht="12.5">
      <c r="B102" s="160" t="str">
        <f t="shared" si="15"/>
        <v/>
      </c>
      <c r="C102" s="472">
        <f>IF(D93="","-",+C101+1)</f>
        <v>2020</v>
      </c>
      <c r="D102" s="346">
        <f>IF(F101+SUM(E$99:E101)=D$92,F101,D$92-SUM(E$99:E101))</f>
        <v>1253350</v>
      </c>
      <c r="E102" s="484">
        <f t="shared" si="16"/>
        <v>32658</v>
      </c>
      <c r="F102" s="485">
        <f t="shared" si="17"/>
        <v>1220692</v>
      </c>
      <c r="G102" s="485">
        <f t="shared" si="18"/>
        <v>1237021</v>
      </c>
      <c r="H102" s="613">
        <f t="shared" si="19"/>
        <v>160212.21565628739</v>
      </c>
      <c r="I102" s="614">
        <f t="shared" si="20"/>
        <v>160212.21565628739</v>
      </c>
      <c r="J102" s="478">
        <f t="shared" si="11"/>
        <v>0</v>
      </c>
      <c r="K102" s="478"/>
      <c r="L102" s="487"/>
      <c r="M102" s="478">
        <f t="shared" si="12"/>
        <v>0</v>
      </c>
      <c r="N102" s="487"/>
      <c r="O102" s="478">
        <f t="shared" si="13"/>
        <v>0</v>
      </c>
      <c r="P102" s="478">
        <f t="shared" si="14"/>
        <v>0</v>
      </c>
    </row>
    <row r="103" spans="1:16" ht="12.5">
      <c r="B103" s="160" t="str">
        <f t="shared" si="15"/>
        <v/>
      </c>
      <c r="C103" s="472">
        <f>IF(D93="","-",+C102+1)</f>
        <v>2021</v>
      </c>
      <c r="D103" s="346">
        <f>IF(F102+SUM(E$99:E102)=D$92,F102,D$92-SUM(E$99:E102))</f>
        <v>1220692</v>
      </c>
      <c r="E103" s="484">
        <f t="shared" si="16"/>
        <v>32658</v>
      </c>
      <c r="F103" s="485">
        <f t="shared" si="17"/>
        <v>1188034</v>
      </c>
      <c r="G103" s="485">
        <f t="shared" si="18"/>
        <v>1204363</v>
      </c>
      <c r="H103" s="613">
        <f t="shared" si="19"/>
        <v>156844.71779254617</v>
      </c>
      <c r="I103" s="614">
        <f t="shared" si="20"/>
        <v>156844.71779254617</v>
      </c>
      <c r="J103" s="478">
        <f t="shared" si="11"/>
        <v>0</v>
      </c>
      <c r="K103" s="478"/>
      <c r="L103" s="487"/>
      <c r="M103" s="478">
        <f t="shared" si="12"/>
        <v>0</v>
      </c>
      <c r="N103" s="487"/>
      <c r="O103" s="478">
        <f t="shared" si="13"/>
        <v>0</v>
      </c>
      <c r="P103" s="478">
        <f t="shared" si="14"/>
        <v>0</v>
      </c>
    </row>
    <row r="104" spans="1:16" ht="12.5">
      <c r="B104" s="160" t="str">
        <f t="shared" si="15"/>
        <v/>
      </c>
      <c r="C104" s="472">
        <f>IF(D93="","-",+C103+1)</f>
        <v>2022</v>
      </c>
      <c r="D104" s="346">
        <f>IF(F103+SUM(E$99:E103)=D$92,F103,D$92-SUM(E$99:E103))</f>
        <v>1188034</v>
      </c>
      <c r="E104" s="484">
        <f t="shared" si="16"/>
        <v>32658</v>
      </c>
      <c r="F104" s="485">
        <f t="shared" si="17"/>
        <v>1155376</v>
      </c>
      <c r="G104" s="485">
        <f t="shared" si="18"/>
        <v>1171705</v>
      </c>
      <c r="H104" s="613">
        <f t="shared" si="19"/>
        <v>153477.21992880496</v>
      </c>
      <c r="I104" s="614">
        <f t="shared" si="20"/>
        <v>153477.21992880496</v>
      </c>
      <c r="J104" s="478">
        <f t="shared" si="11"/>
        <v>0</v>
      </c>
      <c r="K104" s="478"/>
      <c r="L104" s="487"/>
      <c r="M104" s="478">
        <f t="shared" si="12"/>
        <v>0</v>
      </c>
      <c r="N104" s="487"/>
      <c r="O104" s="478">
        <f t="shared" si="13"/>
        <v>0</v>
      </c>
      <c r="P104" s="478">
        <f t="shared" si="14"/>
        <v>0</v>
      </c>
    </row>
    <row r="105" spans="1:16" ht="12.5">
      <c r="B105" s="160" t="str">
        <f t="shared" si="15"/>
        <v/>
      </c>
      <c r="C105" s="472">
        <f>IF(D93="","-",+C104+1)</f>
        <v>2023</v>
      </c>
      <c r="D105" s="346">
        <f>IF(F104+SUM(E$99:E104)=D$92,F104,D$92-SUM(E$99:E104))</f>
        <v>1155376</v>
      </c>
      <c r="E105" s="484">
        <f t="shared" si="16"/>
        <v>32658</v>
      </c>
      <c r="F105" s="485">
        <f t="shared" si="17"/>
        <v>1122718</v>
      </c>
      <c r="G105" s="485">
        <f t="shared" si="18"/>
        <v>1139047</v>
      </c>
      <c r="H105" s="613">
        <f t="shared" si="19"/>
        <v>150109.72206506372</v>
      </c>
      <c r="I105" s="614">
        <f t="shared" si="20"/>
        <v>150109.72206506372</v>
      </c>
      <c r="J105" s="478">
        <f t="shared" si="11"/>
        <v>0</v>
      </c>
      <c r="K105" s="478"/>
      <c r="L105" s="487"/>
      <c r="M105" s="478">
        <f t="shared" si="12"/>
        <v>0</v>
      </c>
      <c r="N105" s="487"/>
      <c r="O105" s="478">
        <f t="shared" si="13"/>
        <v>0</v>
      </c>
      <c r="P105" s="478">
        <f t="shared" si="14"/>
        <v>0</v>
      </c>
    </row>
    <row r="106" spans="1:16" ht="12.5">
      <c r="B106" s="160" t="str">
        <f t="shared" si="15"/>
        <v/>
      </c>
      <c r="C106" s="472">
        <f>IF(D93="","-",+C105+1)</f>
        <v>2024</v>
      </c>
      <c r="D106" s="346">
        <f>IF(F105+SUM(E$99:E105)=D$92,F105,D$92-SUM(E$99:E105))</f>
        <v>1122718</v>
      </c>
      <c r="E106" s="484">
        <f t="shared" si="16"/>
        <v>32658</v>
      </c>
      <c r="F106" s="485">
        <f t="shared" si="17"/>
        <v>1090060</v>
      </c>
      <c r="G106" s="485">
        <f t="shared" si="18"/>
        <v>1106389</v>
      </c>
      <c r="H106" s="613">
        <f t="shared" si="19"/>
        <v>146742.2242013225</v>
      </c>
      <c r="I106" s="614">
        <f t="shared" si="20"/>
        <v>146742.2242013225</v>
      </c>
      <c r="J106" s="478">
        <f t="shared" si="11"/>
        <v>0</v>
      </c>
      <c r="K106" s="478"/>
      <c r="L106" s="487"/>
      <c r="M106" s="478">
        <f t="shared" si="12"/>
        <v>0</v>
      </c>
      <c r="N106" s="487"/>
      <c r="O106" s="478">
        <f t="shared" si="13"/>
        <v>0</v>
      </c>
      <c r="P106" s="478">
        <f t="shared" si="14"/>
        <v>0</v>
      </c>
    </row>
    <row r="107" spans="1:16" ht="12.5">
      <c r="B107" s="160" t="str">
        <f t="shared" si="15"/>
        <v/>
      </c>
      <c r="C107" s="472">
        <f>IF(D93="","-",+C106+1)</f>
        <v>2025</v>
      </c>
      <c r="D107" s="346">
        <f>IF(F106+SUM(E$99:E106)=D$92,F106,D$92-SUM(E$99:E106))</f>
        <v>1090060</v>
      </c>
      <c r="E107" s="484">
        <f t="shared" si="16"/>
        <v>32658</v>
      </c>
      <c r="F107" s="485">
        <f t="shared" si="17"/>
        <v>1057402</v>
      </c>
      <c r="G107" s="485">
        <f t="shared" si="18"/>
        <v>1073731</v>
      </c>
      <c r="H107" s="613">
        <f t="shared" si="19"/>
        <v>143374.72633758129</v>
      </c>
      <c r="I107" s="614">
        <f t="shared" si="20"/>
        <v>143374.72633758129</v>
      </c>
      <c r="J107" s="478">
        <f t="shared" si="11"/>
        <v>0</v>
      </c>
      <c r="K107" s="478"/>
      <c r="L107" s="487"/>
      <c r="M107" s="478">
        <f t="shared" si="12"/>
        <v>0</v>
      </c>
      <c r="N107" s="487"/>
      <c r="O107" s="478">
        <f t="shared" si="13"/>
        <v>0</v>
      </c>
      <c r="P107" s="478">
        <f t="shared" si="14"/>
        <v>0</v>
      </c>
    </row>
    <row r="108" spans="1:16" ht="12.5">
      <c r="B108" s="160" t="str">
        <f t="shared" si="15"/>
        <v/>
      </c>
      <c r="C108" s="472">
        <f>IF(D93="","-",+C107+1)</f>
        <v>2026</v>
      </c>
      <c r="D108" s="346">
        <f>IF(F107+SUM(E$99:E107)=D$92,F107,D$92-SUM(E$99:E107))</f>
        <v>1057402</v>
      </c>
      <c r="E108" s="484">
        <f t="shared" si="16"/>
        <v>32658</v>
      </c>
      <c r="F108" s="485">
        <f t="shared" si="17"/>
        <v>1024744</v>
      </c>
      <c r="G108" s="485">
        <f t="shared" si="18"/>
        <v>1041073</v>
      </c>
      <c r="H108" s="613">
        <f t="shared" si="19"/>
        <v>140007.22847384005</v>
      </c>
      <c r="I108" s="614">
        <f t="shared" si="20"/>
        <v>140007.22847384005</v>
      </c>
      <c r="J108" s="478">
        <f t="shared" si="11"/>
        <v>0</v>
      </c>
      <c r="K108" s="478"/>
      <c r="L108" s="487"/>
      <c r="M108" s="478">
        <f t="shared" si="12"/>
        <v>0</v>
      </c>
      <c r="N108" s="487"/>
      <c r="O108" s="478">
        <f t="shared" si="13"/>
        <v>0</v>
      </c>
      <c r="P108" s="478">
        <f t="shared" si="14"/>
        <v>0</v>
      </c>
    </row>
    <row r="109" spans="1:16" ht="12.5">
      <c r="B109" s="160" t="str">
        <f t="shared" si="15"/>
        <v/>
      </c>
      <c r="C109" s="472">
        <f>IF(D93="","-",+C108+1)</f>
        <v>2027</v>
      </c>
      <c r="D109" s="346">
        <f>IF(F108+SUM(E$99:E108)=D$92,F108,D$92-SUM(E$99:E108))</f>
        <v>1024744</v>
      </c>
      <c r="E109" s="484">
        <f t="shared" si="16"/>
        <v>32658</v>
      </c>
      <c r="F109" s="485">
        <f t="shared" si="17"/>
        <v>992086</v>
      </c>
      <c r="G109" s="485">
        <f t="shared" si="18"/>
        <v>1008415</v>
      </c>
      <c r="H109" s="613">
        <f t="shared" si="19"/>
        <v>136639.73061009881</v>
      </c>
      <c r="I109" s="614">
        <f t="shared" si="20"/>
        <v>136639.73061009881</v>
      </c>
      <c r="J109" s="478">
        <f t="shared" si="11"/>
        <v>0</v>
      </c>
      <c r="K109" s="478"/>
      <c r="L109" s="487"/>
      <c r="M109" s="478">
        <f t="shared" si="12"/>
        <v>0</v>
      </c>
      <c r="N109" s="487"/>
      <c r="O109" s="478">
        <f t="shared" si="13"/>
        <v>0</v>
      </c>
      <c r="P109" s="478">
        <f t="shared" si="14"/>
        <v>0</v>
      </c>
    </row>
    <row r="110" spans="1:16" ht="12.5">
      <c r="B110" s="160" t="str">
        <f t="shared" si="15"/>
        <v/>
      </c>
      <c r="C110" s="472">
        <f>IF(D93="","-",+C109+1)</f>
        <v>2028</v>
      </c>
      <c r="D110" s="346">
        <f>IF(F109+SUM(E$99:E109)=D$92,F109,D$92-SUM(E$99:E109))</f>
        <v>992086</v>
      </c>
      <c r="E110" s="484">
        <f t="shared" si="16"/>
        <v>32658</v>
      </c>
      <c r="F110" s="485">
        <f t="shared" si="17"/>
        <v>959428</v>
      </c>
      <c r="G110" s="485">
        <f t="shared" si="18"/>
        <v>975757</v>
      </c>
      <c r="H110" s="613">
        <f t="shared" si="19"/>
        <v>133272.23274635759</v>
      </c>
      <c r="I110" s="614">
        <f t="shared" si="20"/>
        <v>133272.23274635759</v>
      </c>
      <c r="J110" s="478">
        <f t="shared" si="11"/>
        <v>0</v>
      </c>
      <c r="K110" s="478"/>
      <c r="L110" s="487"/>
      <c r="M110" s="478">
        <f t="shared" si="12"/>
        <v>0</v>
      </c>
      <c r="N110" s="487"/>
      <c r="O110" s="478">
        <f t="shared" si="13"/>
        <v>0</v>
      </c>
      <c r="P110" s="478">
        <f t="shared" si="14"/>
        <v>0</v>
      </c>
    </row>
    <row r="111" spans="1:16" ht="12.5">
      <c r="B111" s="160" t="str">
        <f t="shared" si="15"/>
        <v/>
      </c>
      <c r="C111" s="472">
        <f>IF(D93="","-",+C110+1)</f>
        <v>2029</v>
      </c>
      <c r="D111" s="346">
        <f>IF(F110+SUM(E$99:E110)=D$92,F110,D$92-SUM(E$99:E110))</f>
        <v>959428</v>
      </c>
      <c r="E111" s="484">
        <f t="shared" si="16"/>
        <v>32658</v>
      </c>
      <c r="F111" s="485">
        <f t="shared" si="17"/>
        <v>926770</v>
      </c>
      <c r="G111" s="485">
        <f t="shared" si="18"/>
        <v>943099</v>
      </c>
      <c r="H111" s="613">
        <f t="shared" si="19"/>
        <v>129904.73488261638</v>
      </c>
      <c r="I111" s="614">
        <f t="shared" si="20"/>
        <v>129904.73488261638</v>
      </c>
      <c r="J111" s="478">
        <f t="shared" si="11"/>
        <v>0</v>
      </c>
      <c r="K111" s="478"/>
      <c r="L111" s="487"/>
      <c r="M111" s="478">
        <f t="shared" si="12"/>
        <v>0</v>
      </c>
      <c r="N111" s="487"/>
      <c r="O111" s="478">
        <f t="shared" si="13"/>
        <v>0</v>
      </c>
      <c r="P111" s="478">
        <f t="shared" si="14"/>
        <v>0</v>
      </c>
    </row>
    <row r="112" spans="1:16" ht="12.5">
      <c r="B112" s="160" t="str">
        <f t="shared" si="15"/>
        <v/>
      </c>
      <c r="C112" s="472">
        <f>IF(D93="","-",+C111+1)</f>
        <v>2030</v>
      </c>
      <c r="D112" s="346">
        <f>IF(F111+SUM(E$99:E111)=D$92,F111,D$92-SUM(E$99:E111))</f>
        <v>926770</v>
      </c>
      <c r="E112" s="484">
        <f t="shared" si="16"/>
        <v>32658</v>
      </c>
      <c r="F112" s="485">
        <f t="shared" si="17"/>
        <v>894112</v>
      </c>
      <c r="G112" s="485">
        <f t="shared" si="18"/>
        <v>910441</v>
      </c>
      <c r="H112" s="613">
        <f t="shared" si="19"/>
        <v>126537.23701887515</v>
      </c>
      <c r="I112" s="614">
        <f t="shared" si="20"/>
        <v>126537.23701887515</v>
      </c>
      <c r="J112" s="478">
        <f t="shared" si="11"/>
        <v>0</v>
      </c>
      <c r="K112" s="478"/>
      <c r="L112" s="487"/>
      <c r="M112" s="478">
        <f t="shared" si="12"/>
        <v>0</v>
      </c>
      <c r="N112" s="487"/>
      <c r="O112" s="478">
        <f t="shared" si="13"/>
        <v>0</v>
      </c>
      <c r="P112" s="478">
        <f t="shared" si="14"/>
        <v>0</v>
      </c>
    </row>
    <row r="113" spans="2:16" ht="12.5">
      <c r="B113" s="160" t="str">
        <f t="shared" si="15"/>
        <v/>
      </c>
      <c r="C113" s="472">
        <f>IF(D93="","-",+C112+1)</f>
        <v>2031</v>
      </c>
      <c r="D113" s="346">
        <f>IF(F112+SUM(E$99:E112)=D$92,F112,D$92-SUM(E$99:E112))</f>
        <v>894112</v>
      </c>
      <c r="E113" s="484">
        <f t="shared" si="16"/>
        <v>32658</v>
      </c>
      <c r="F113" s="485">
        <f t="shared" si="17"/>
        <v>861454</v>
      </c>
      <c r="G113" s="485">
        <f t="shared" si="18"/>
        <v>877783</v>
      </c>
      <c r="H113" s="613">
        <f t="shared" si="19"/>
        <v>123169.73915513392</v>
      </c>
      <c r="I113" s="614">
        <f t="shared" si="20"/>
        <v>123169.73915513392</v>
      </c>
      <c r="J113" s="478">
        <f t="shared" si="11"/>
        <v>0</v>
      </c>
      <c r="K113" s="478"/>
      <c r="L113" s="487"/>
      <c r="M113" s="478">
        <f t="shared" si="12"/>
        <v>0</v>
      </c>
      <c r="N113" s="487"/>
      <c r="O113" s="478">
        <f t="shared" si="13"/>
        <v>0</v>
      </c>
      <c r="P113" s="478">
        <f t="shared" si="14"/>
        <v>0</v>
      </c>
    </row>
    <row r="114" spans="2:16" ht="12.5">
      <c r="B114" s="160" t="str">
        <f t="shared" si="15"/>
        <v/>
      </c>
      <c r="C114" s="472">
        <f>IF(D93="","-",+C113+1)</f>
        <v>2032</v>
      </c>
      <c r="D114" s="346">
        <f>IF(F113+SUM(E$99:E113)=D$92,F113,D$92-SUM(E$99:E113))</f>
        <v>861454</v>
      </c>
      <c r="E114" s="484">
        <f t="shared" si="16"/>
        <v>32658</v>
      </c>
      <c r="F114" s="485">
        <f t="shared" si="17"/>
        <v>828796</v>
      </c>
      <c r="G114" s="485">
        <f t="shared" si="18"/>
        <v>845125</v>
      </c>
      <c r="H114" s="613">
        <f t="shared" si="19"/>
        <v>119802.2412913927</v>
      </c>
      <c r="I114" s="614">
        <f t="shared" si="20"/>
        <v>119802.2412913927</v>
      </c>
      <c r="J114" s="478">
        <f t="shared" si="11"/>
        <v>0</v>
      </c>
      <c r="K114" s="478"/>
      <c r="L114" s="487"/>
      <c r="M114" s="478">
        <f t="shared" si="12"/>
        <v>0</v>
      </c>
      <c r="N114" s="487"/>
      <c r="O114" s="478">
        <f t="shared" si="13"/>
        <v>0</v>
      </c>
      <c r="P114" s="478">
        <f t="shared" si="14"/>
        <v>0</v>
      </c>
    </row>
    <row r="115" spans="2:16" ht="12.5">
      <c r="B115" s="160" t="str">
        <f t="shared" si="15"/>
        <v/>
      </c>
      <c r="C115" s="472">
        <f>IF(D93="","-",+C114+1)</f>
        <v>2033</v>
      </c>
      <c r="D115" s="346">
        <f>IF(F114+SUM(E$99:E114)=D$92,F114,D$92-SUM(E$99:E114))</f>
        <v>828796</v>
      </c>
      <c r="E115" s="484">
        <f t="shared" si="16"/>
        <v>32658</v>
      </c>
      <c r="F115" s="485">
        <f t="shared" si="17"/>
        <v>796138</v>
      </c>
      <c r="G115" s="485">
        <f t="shared" si="18"/>
        <v>812467</v>
      </c>
      <c r="H115" s="613">
        <f t="shared" si="19"/>
        <v>116434.74342765147</v>
      </c>
      <c r="I115" s="614">
        <f t="shared" si="20"/>
        <v>116434.74342765147</v>
      </c>
      <c r="J115" s="478">
        <f t="shared" si="11"/>
        <v>0</v>
      </c>
      <c r="K115" s="478"/>
      <c r="L115" s="487"/>
      <c r="M115" s="478">
        <f t="shared" si="12"/>
        <v>0</v>
      </c>
      <c r="N115" s="487"/>
      <c r="O115" s="478">
        <f t="shared" si="13"/>
        <v>0</v>
      </c>
      <c r="P115" s="478">
        <f t="shared" si="14"/>
        <v>0</v>
      </c>
    </row>
    <row r="116" spans="2:16" ht="12.5">
      <c r="B116" s="160" t="str">
        <f t="shared" si="15"/>
        <v/>
      </c>
      <c r="C116" s="472">
        <f>IF(D93="","-",+C115+1)</f>
        <v>2034</v>
      </c>
      <c r="D116" s="346">
        <f>IF(F115+SUM(E$99:E115)=D$92,F115,D$92-SUM(E$99:E115))</f>
        <v>796138</v>
      </c>
      <c r="E116" s="484">
        <f t="shared" si="16"/>
        <v>32658</v>
      </c>
      <c r="F116" s="485">
        <f t="shared" si="17"/>
        <v>763480</v>
      </c>
      <c r="G116" s="485">
        <f t="shared" si="18"/>
        <v>779809</v>
      </c>
      <c r="H116" s="613">
        <f t="shared" si="19"/>
        <v>113067.24556391026</v>
      </c>
      <c r="I116" s="614">
        <f t="shared" si="20"/>
        <v>113067.24556391026</v>
      </c>
      <c r="J116" s="478">
        <f t="shared" si="11"/>
        <v>0</v>
      </c>
      <c r="K116" s="478"/>
      <c r="L116" s="487"/>
      <c r="M116" s="478">
        <f t="shared" si="12"/>
        <v>0</v>
      </c>
      <c r="N116" s="487"/>
      <c r="O116" s="478">
        <f t="shared" si="13"/>
        <v>0</v>
      </c>
      <c r="P116" s="478">
        <f t="shared" si="14"/>
        <v>0</v>
      </c>
    </row>
    <row r="117" spans="2:16" ht="12.5">
      <c r="B117" s="160" t="str">
        <f t="shared" si="15"/>
        <v/>
      </c>
      <c r="C117" s="472">
        <f>IF(D93="","-",+C116+1)</f>
        <v>2035</v>
      </c>
      <c r="D117" s="346">
        <f>IF(F116+SUM(E$99:E116)=D$92,F116,D$92-SUM(E$99:E116))</f>
        <v>763480</v>
      </c>
      <c r="E117" s="484">
        <f t="shared" si="16"/>
        <v>32658</v>
      </c>
      <c r="F117" s="485">
        <f t="shared" si="17"/>
        <v>730822</v>
      </c>
      <c r="G117" s="485">
        <f t="shared" si="18"/>
        <v>747151</v>
      </c>
      <c r="H117" s="613">
        <f t="shared" si="19"/>
        <v>109699.74770016903</v>
      </c>
      <c r="I117" s="614">
        <f t="shared" si="20"/>
        <v>109699.74770016903</v>
      </c>
      <c r="J117" s="478">
        <f t="shared" si="11"/>
        <v>0</v>
      </c>
      <c r="K117" s="478"/>
      <c r="L117" s="487"/>
      <c r="M117" s="478">
        <f t="shared" si="12"/>
        <v>0</v>
      </c>
      <c r="N117" s="487"/>
      <c r="O117" s="478">
        <f t="shared" si="13"/>
        <v>0</v>
      </c>
      <c r="P117" s="478">
        <f t="shared" si="14"/>
        <v>0</v>
      </c>
    </row>
    <row r="118" spans="2:16" ht="12.5">
      <c r="B118" s="160" t="str">
        <f t="shared" si="15"/>
        <v/>
      </c>
      <c r="C118" s="472">
        <f>IF(D93="","-",+C117+1)</f>
        <v>2036</v>
      </c>
      <c r="D118" s="346">
        <f>IF(F117+SUM(E$99:E117)=D$92,F117,D$92-SUM(E$99:E117))</f>
        <v>730822</v>
      </c>
      <c r="E118" s="484">
        <f t="shared" si="16"/>
        <v>32658</v>
      </c>
      <c r="F118" s="485">
        <f t="shared" si="17"/>
        <v>698164</v>
      </c>
      <c r="G118" s="485">
        <f t="shared" si="18"/>
        <v>714493</v>
      </c>
      <c r="H118" s="613">
        <f t="shared" si="19"/>
        <v>106332.2498364278</v>
      </c>
      <c r="I118" s="614">
        <f t="shared" si="20"/>
        <v>106332.2498364278</v>
      </c>
      <c r="J118" s="478">
        <f t="shared" si="11"/>
        <v>0</v>
      </c>
      <c r="K118" s="478"/>
      <c r="L118" s="487"/>
      <c r="M118" s="478">
        <f t="shared" si="12"/>
        <v>0</v>
      </c>
      <c r="N118" s="487"/>
      <c r="O118" s="478">
        <f t="shared" si="13"/>
        <v>0</v>
      </c>
      <c r="P118" s="478">
        <f t="shared" si="14"/>
        <v>0</v>
      </c>
    </row>
    <row r="119" spans="2:16" ht="12.5">
      <c r="B119" s="160" t="str">
        <f t="shared" si="15"/>
        <v/>
      </c>
      <c r="C119" s="472">
        <f>IF(D93="","-",+C118+1)</f>
        <v>2037</v>
      </c>
      <c r="D119" s="346">
        <f>IF(F118+SUM(E$99:E118)=D$92,F118,D$92-SUM(E$99:E118))</f>
        <v>698164</v>
      </c>
      <c r="E119" s="484">
        <f t="shared" si="16"/>
        <v>32658</v>
      </c>
      <c r="F119" s="485">
        <f t="shared" si="17"/>
        <v>665506</v>
      </c>
      <c r="G119" s="485">
        <f t="shared" si="18"/>
        <v>681835</v>
      </c>
      <c r="H119" s="613">
        <f t="shared" si="19"/>
        <v>102964.75197268657</v>
      </c>
      <c r="I119" s="614">
        <f t="shared" si="20"/>
        <v>102964.75197268657</v>
      </c>
      <c r="J119" s="478">
        <f t="shared" si="11"/>
        <v>0</v>
      </c>
      <c r="K119" s="478"/>
      <c r="L119" s="487"/>
      <c r="M119" s="478">
        <f t="shared" si="12"/>
        <v>0</v>
      </c>
      <c r="N119" s="487"/>
      <c r="O119" s="478">
        <f t="shared" si="13"/>
        <v>0</v>
      </c>
      <c r="P119" s="478">
        <f t="shared" si="14"/>
        <v>0</v>
      </c>
    </row>
    <row r="120" spans="2:16" ht="12.5">
      <c r="B120" s="160" t="str">
        <f t="shared" si="15"/>
        <v/>
      </c>
      <c r="C120" s="472">
        <f>IF(D93="","-",+C119+1)</f>
        <v>2038</v>
      </c>
      <c r="D120" s="346">
        <f>IF(F119+SUM(E$99:E119)=D$92,F119,D$92-SUM(E$99:E119))</f>
        <v>665506</v>
      </c>
      <c r="E120" s="484">
        <f t="shared" si="16"/>
        <v>32658</v>
      </c>
      <c r="F120" s="485">
        <f t="shared" si="17"/>
        <v>632848</v>
      </c>
      <c r="G120" s="485">
        <f t="shared" si="18"/>
        <v>649177</v>
      </c>
      <c r="H120" s="613">
        <f t="shared" si="19"/>
        <v>99597.254108945344</v>
      </c>
      <c r="I120" s="614">
        <f t="shared" si="20"/>
        <v>99597.254108945344</v>
      </c>
      <c r="J120" s="478">
        <f t="shared" si="11"/>
        <v>0</v>
      </c>
      <c r="K120" s="478"/>
      <c r="L120" s="487"/>
      <c r="M120" s="478">
        <f t="shared" si="12"/>
        <v>0</v>
      </c>
      <c r="N120" s="487"/>
      <c r="O120" s="478">
        <f t="shared" si="13"/>
        <v>0</v>
      </c>
      <c r="P120" s="478">
        <f t="shared" si="14"/>
        <v>0</v>
      </c>
    </row>
    <row r="121" spans="2:16" ht="12.5">
      <c r="B121" s="160" t="str">
        <f t="shared" si="15"/>
        <v/>
      </c>
      <c r="C121" s="472">
        <f>IF(D93="","-",+C120+1)</f>
        <v>2039</v>
      </c>
      <c r="D121" s="346">
        <f>IF(F120+SUM(E$99:E120)=D$92,F120,D$92-SUM(E$99:E120))</f>
        <v>632848</v>
      </c>
      <c r="E121" s="484">
        <f t="shared" si="16"/>
        <v>32658</v>
      </c>
      <c r="F121" s="485">
        <f t="shared" si="17"/>
        <v>600190</v>
      </c>
      <c r="G121" s="485">
        <f t="shared" si="18"/>
        <v>616519</v>
      </c>
      <c r="H121" s="613">
        <f t="shared" si="19"/>
        <v>96229.756245204131</v>
      </c>
      <c r="I121" s="614">
        <f t="shared" si="20"/>
        <v>96229.756245204131</v>
      </c>
      <c r="J121" s="478">
        <f t="shared" si="11"/>
        <v>0</v>
      </c>
      <c r="K121" s="478"/>
      <c r="L121" s="487"/>
      <c r="M121" s="478">
        <f t="shared" si="12"/>
        <v>0</v>
      </c>
      <c r="N121" s="487"/>
      <c r="O121" s="478">
        <f t="shared" si="13"/>
        <v>0</v>
      </c>
      <c r="P121" s="478">
        <f t="shared" si="14"/>
        <v>0</v>
      </c>
    </row>
    <row r="122" spans="2:16" ht="12.5">
      <c r="B122" s="160" t="str">
        <f t="shared" si="15"/>
        <v/>
      </c>
      <c r="C122" s="472">
        <f>IF(D93="","-",+C121+1)</f>
        <v>2040</v>
      </c>
      <c r="D122" s="346">
        <f>IF(F121+SUM(E$99:E121)=D$92,F121,D$92-SUM(E$99:E121))</f>
        <v>600190</v>
      </c>
      <c r="E122" s="484">
        <f t="shared" si="16"/>
        <v>32658</v>
      </c>
      <c r="F122" s="485">
        <f t="shared" si="17"/>
        <v>567532</v>
      </c>
      <c r="G122" s="485">
        <f t="shared" si="18"/>
        <v>583861</v>
      </c>
      <c r="H122" s="613">
        <f t="shared" si="19"/>
        <v>92862.258381462889</v>
      </c>
      <c r="I122" s="614">
        <f t="shared" si="20"/>
        <v>92862.258381462889</v>
      </c>
      <c r="J122" s="478">
        <f t="shared" si="11"/>
        <v>0</v>
      </c>
      <c r="K122" s="478"/>
      <c r="L122" s="487"/>
      <c r="M122" s="478">
        <f t="shared" si="12"/>
        <v>0</v>
      </c>
      <c r="N122" s="487"/>
      <c r="O122" s="478">
        <f t="shared" si="13"/>
        <v>0</v>
      </c>
      <c r="P122" s="478">
        <f t="shared" si="14"/>
        <v>0</v>
      </c>
    </row>
    <row r="123" spans="2:16" ht="12.5">
      <c r="B123" s="160" t="str">
        <f t="shared" si="15"/>
        <v/>
      </c>
      <c r="C123" s="472">
        <f>IF(D93="","-",+C122+1)</f>
        <v>2041</v>
      </c>
      <c r="D123" s="346">
        <f>IF(F122+SUM(E$99:E122)=D$92,F122,D$92-SUM(E$99:E122))</f>
        <v>567532</v>
      </c>
      <c r="E123" s="484">
        <f t="shared" si="16"/>
        <v>32658</v>
      </c>
      <c r="F123" s="485">
        <f t="shared" si="17"/>
        <v>534874</v>
      </c>
      <c r="G123" s="485">
        <f t="shared" si="18"/>
        <v>551203</v>
      </c>
      <c r="H123" s="613">
        <f t="shared" si="19"/>
        <v>89494.760517721676</v>
      </c>
      <c r="I123" s="614">
        <f t="shared" si="20"/>
        <v>89494.760517721676</v>
      </c>
      <c r="J123" s="478">
        <f t="shared" si="11"/>
        <v>0</v>
      </c>
      <c r="K123" s="478"/>
      <c r="L123" s="487"/>
      <c r="M123" s="478">
        <f t="shared" si="12"/>
        <v>0</v>
      </c>
      <c r="N123" s="487"/>
      <c r="O123" s="478">
        <f t="shared" si="13"/>
        <v>0</v>
      </c>
      <c r="P123" s="478">
        <f t="shared" si="14"/>
        <v>0</v>
      </c>
    </row>
    <row r="124" spans="2:16" ht="12.5">
      <c r="B124" s="160" t="str">
        <f t="shared" si="15"/>
        <v/>
      </c>
      <c r="C124" s="472">
        <f>IF(D93="","-",+C123+1)</f>
        <v>2042</v>
      </c>
      <c r="D124" s="346">
        <f>IF(F123+SUM(E$99:E123)=D$92,F123,D$92-SUM(E$99:E123))</f>
        <v>534874</v>
      </c>
      <c r="E124" s="484">
        <f t="shared" si="16"/>
        <v>32658</v>
      </c>
      <c r="F124" s="485">
        <f t="shared" si="17"/>
        <v>502216</v>
      </c>
      <c r="G124" s="485">
        <f t="shared" si="18"/>
        <v>518545</v>
      </c>
      <c r="H124" s="613">
        <f t="shared" si="19"/>
        <v>86127.262653980448</v>
      </c>
      <c r="I124" s="614">
        <f t="shared" si="20"/>
        <v>86127.262653980448</v>
      </c>
      <c r="J124" s="478">
        <f t="shared" si="11"/>
        <v>0</v>
      </c>
      <c r="K124" s="478"/>
      <c r="L124" s="487"/>
      <c r="M124" s="478">
        <f t="shared" si="12"/>
        <v>0</v>
      </c>
      <c r="N124" s="487"/>
      <c r="O124" s="478">
        <f t="shared" si="13"/>
        <v>0</v>
      </c>
      <c r="P124" s="478">
        <f t="shared" si="14"/>
        <v>0</v>
      </c>
    </row>
    <row r="125" spans="2:16" ht="12.5">
      <c r="B125" s="160" t="str">
        <f t="shared" si="15"/>
        <v/>
      </c>
      <c r="C125" s="472">
        <f>IF(D93="","-",+C124+1)</f>
        <v>2043</v>
      </c>
      <c r="D125" s="346">
        <f>IF(F124+SUM(E$99:E124)=D$92,F124,D$92-SUM(E$99:E124))</f>
        <v>502216</v>
      </c>
      <c r="E125" s="484">
        <f t="shared" si="16"/>
        <v>32658</v>
      </c>
      <c r="F125" s="485">
        <f t="shared" si="17"/>
        <v>469558</v>
      </c>
      <c r="G125" s="485">
        <f t="shared" si="18"/>
        <v>485887</v>
      </c>
      <c r="H125" s="613">
        <f t="shared" si="19"/>
        <v>82759.76479023922</v>
      </c>
      <c r="I125" s="614">
        <f t="shared" si="20"/>
        <v>82759.76479023922</v>
      </c>
      <c r="J125" s="478">
        <f t="shared" si="11"/>
        <v>0</v>
      </c>
      <c r="K125" s="478"/>
      <c r="L125" s="487"/>
      <c r="M125" s="478">
        <f t="shared" si="12"/>
        <v>0</v>
      </c>
      <c r="N125" s="487"/>
      <c r="O125" s="478">
        <f t="shared" si="13"/>
        <v>0</v>
      </c>
      <c r="P125" s="478">
        <f t="shared" si="14"/>
        <v>0</v>
      </c>
    </row>
    <row r="126" spans="2:16" ht="12.5">
      <c r="B126" s="160" t="str">
        <f t="shared" si="15"/>
        <v/>
      </c>
      <c r="C126" s="472">
        <f>IF(D93="","-",+C125+1)</f>
        <v>2044</v>
      </c>
      <c r="D126" s="346">
        <f>IF(F125+SUM(E$99:E125)=D$92,F125,D$92-SUM(E$99:E125))</f>
        <v>469558</v>
      </c>
      <c r="E126" s="484">
        <f t="shared" si="16"/>
        <v>32658</v>
      </c>
      <c r="F126" s="485">
        <f t="shared" si="17"/>
        <v>436900</v>
      </c>
      <c r="G126" s="485">
        <f t="shared" si="18"/>
        <v>453229</v>
      </c>
      <c r="H126" s="613">
        <f t="shared" si="19"/>
        <v>79392.266926498007</v>
      </c>
      <c r="I126" s="614">
        <f t="shared" si="20"/>
        <v>79392.266926498007</v>
      </c>
      <c r="J126" s="478">
        <f t="shared" si="11"/>
        <v>0</v>
      </c>
      <c r="K126" s="478"/>
      <c r="L126" s="487"/>
      <c r="M126" s="478">
        <f t="shared" si="12"/>
        <v>0</v>
      </c>
      <c r="N126" s="487"/>
      <c r="O126" s="478">
        <f t="shared" si="13"/>
        <v>0</v>
      </c>
      <c r="P126" s="478">
        <f t="shared" si="14"/>
        <v>0</v>
      </c>
    </row>
    <row r="127" spans="2:16" ht="12.5">
      <c r="B127" s="160" t="str">
        <f t="shared" si="15"/>
        <v/>
      </c>
      <c r="C127" s="472">
        <f>IF(D93="","-",+C126+1)</f>
        <v>2045</v>
      </c>
      <c r="D127" s="346">
        <f>IF(F126+SUM(E$99:E126)=D$92,F126,D$92-SUM(E$99:E126))</f>
        <v>436900</v>
      </c>
      <c r="E127" s="484">
        <f t="shared" si="16"/>
        <v>32658</v>
      </c>
      <c r="F127" s="485">
        <f t="shared" si="17"/>
        <v>404242</v>
      </c>
      <c r="G127" s="485">
        <f t="shared" si="18"/>
        <v>420571</v>
      </c>
      <c r="H127" s="613">
        <f t="shared" si="19"/>
        <v>76024.769062756764</v>
      </c>
      <c r="I127" s="614">
        <f t="shared" si="20"/>
        <v>76024.769062756764</v>
      </c>
      <c r="J127" s="478">
        <f t="shared" si="11"/>
        <v>0</v>
      </c>
      <c r="K127" s="478"/>
      <c r="L127" s="487"/>
      <c r="M127" s="478">
        <f t="shared" si="12"/>
        <v>0</v>
      </c>
      <c r="N127" s="487"/>
      <c r="O127" s="478">
        <f t="shared" si="13"/>
        <v>0</v>
      </c>
      <c r="P127" s="478">
        <f t="shared" si="14"/>
        <v>0</v>
      </c>
    </row>
    <row r="128" spans="2:16" ht="12.5">
      <c r="B128" s="160" t="str">
        <f t="shared" si="15"/>
        <v/>
      </c>
      <c r="C128" s="472">
        <f>IF(D93="","-",+C127+1)</f>
        <v>2046</v>
      </c>
      <c r="D128" s="346">
        <f>IF(F127+SUM(E$99:E127)=D$92,F127,D$92-SUM(E$99:E127))</f>
        <v>404242</v>
      </c>
      <c r="E128" s="484">
        <f t="shared" si="16"/>
        <v>32658</v>
      </c>
      <c r="F128" s="485">
        <f t="shared" si="17"/>
        <v>371584</v>
      </c>
      <c r="G128" s="485">
        <f t="shared" si="18"/>
        <v>387913</v>
      </c>
      <c r="H128" s="613">
        <f t="shared" si="19"/>
        <v>72657.271199015551</v>
      </c>
      <c r="I128" s="614">
        <f t="shared" si="20"/>
        <v>72657.271199015551</v>
      </c>
      <c r="J128" s="478">
        <f t="shared" si="11"/>
        <v>0</v>
      </c>
      <c r="K128" s="478"/>
      <c r="L128" s="487"/>
      <c r="M128" s="478">
        <f t="shared" si="12"/>
        <v>0</v>
      </c>
      <c r="N128" s="487"/>
      <c r="O128" s="478">
        <f t="shared" si="13"/>
        <v>0</v>
      </c>
      <c r="P128" s="478">
        <f t="shared" si="14"/>
        <v>0</v>
      </c>
    </row>
    <row r="129" spans="2:16" ht="12.5">
      <c r="B129" s="160" t="str">
        <f t="shared" si="15"/>
        <v/>
      </c>
      <c r="C129" s="472">
        <f>IF(D93="","-",+C128+1)</f>
        <v>2047</v>
      </c>
      <c r="D129" s="346">
        <f>IF(F128+SUM(E$99:E128)=D$92,F128,D$92-SUM(E$99:E128))</f>
        <v>371584</v>
      </c>
      <c r="E129" s="484">
        <f t="shared" si="16"/>
        <v>32658</v>
      </c>
      <c r="F129" s="485">
        <f t="shared" si="17"/>
        <v>338926</v>
      </c>
      <c r="G129" s="485">
        <f t="shared" si="18"/>
        <v>355255</v>
      </c>
      <c r="H129" s="613">
        <f t="shared" si="19"/>
        <v>69289.773335274323</v>
      </c>
      <c r="I129" s="614">
        <f t="shared" si="20"/>
        <v>69289.773335274323</v>
      </c>
      <c r="J129" s="478">
        <f t="shared" si="11"/>
        <v>0</v>
      </c>
      <c r="K129" s="478"/>
      <c r="L129" s="487"/>
      <c r="M129" s="478">
        <f t="shared" si="12"/>
        <v>0</v>
      </c>
      <c r="N129" s="487"/>
      <c r="O129" s="478">
        <f t="shared" si="13"/>
        <v>0</v>
      </c>
      <c r="P129" s="478">
        <f t="shared" si="14"/>
        <v>0</v>
      </c>
    </row>
    <row r="130" spans="2:16" ht="12.5">
      <c r="B130" s="160" t="str">
        <f t="shared" si="15"/>
        <v/>
      </c>
      <c r="C130" s="472">
        <f>IF(D93="","-",+C129+1)</f>
        <v>2048</v>
      </c>
      <c r="D130" s="346">
        <f>IF(F129+SUM(E$99:E129)=D$92,F129,D$92-SUM(E$99:E129))</f>
        <v>338926</v>
      </c>
      <c r="E130" s="484">
        <f t="shared" si="16"/>
        <v>32658</v>
      </c>
      <c r="F130" s="485">
        <f t="shared" si="17"/>
        <v>306268</v>
      </c>
      <c r="G130" s="485">
        <f t="shared" si="18"/>
        <v>322597</v>
      </c>
      <c r="H130" s="613">
        <f t="shared" si="19"/>
        <v>65922.275471533096</v>
      </c>
      <c r="I130" s="614">
        <f t="shared" si="20"/>
        <v>65922.275471533096</v>
      </c>
      <c r="J130" s="478">
        <f t="shared" si="11"/>
        <v>0</v>
      </c>
      <c r="K130" s="478"/>
      <c r="L130" s="487"/>
      <c r="M130" s="478">
        <f t="shared" si="12"/>
        <v>0</v>
      </c>
      <c r="N130" s="487"/>
      <c r="O130" s="478">
        <f t="shared" si="13"/>
        <v>0</v>
      </c>
      <c r="P130" s="478">
        <f t="shared" si="14"/>
        <v>0</v>
      </c>
    </row>
    <row r="131" spans="2:16" ht="12.5">
      <c r="B131" s="160" t="str">
        <f t="shared" si="15"/>
        <v/>
      </c>
      <c r="C131" s="472">
        <f>IF(D93="","-",+C130+1)</f>
        <v>2049</v>
      </c>
      <c r="D131" s="346">
        <f>IF(F130+SUM(E$99:E130)=D$92,F130,D$92-SUM(E$99:E130))</f>
        <v>306268</v>
      </c>
      <c r="E131" s="484">
        <f t="shared" si="16"/>
        <v>32658</v>
      </c>
      <c r="F131" s="485">
        <f t="shared" si="17"/>
        <v>273610</v>
      </c>
      <c r="G131" s="485">
        <f t="shared" si="18"/>
        <v>289939</v>
      </c>
      <c r="H131" s="613">
        <f t="shared" si="19"/>
        <v>62554.777607791875</v>
      </c>
      <c r="I131" s="614">
        <f t="shared" si="20"/>
        <v>62554.777607791875</v>
      </c>
      <c r="J131" s="478">
        <f t="shared" ref="J131:J154" si="21">+I541-H541</f>
        <v>0</v>
      </c>
      <c r="K131" s="478"/>
      <c r="L131" s="487"/>
      <c r="M131" s="478">
        <f t="shared" ref="M131:M154" si="22">IF(L541&lt;&gt;0,+H541-L541,0)</f>
        <v>0</v>
      </c>
      <c r="N131" s="487"/>
      <c r="O131" s="478">
        <f t="shared" ref="O131:O154" si="23">IF(N541&lt;&gt;0,+I541-N541,0)</f>
        <v>0</v>
      </c>
      <c r="P131" s="478">
        <f t="shared" ref="P131:P154" si="24">+O541-M541</f>
        <v>0</v>
      </c>
    </row>
    <row r="132" spans="2:16" ht="12.5">
      <c r="B132" s="160" t="str">
        <f t="shared" si="15"/>
        <v/>
      </c>
      <c r="C132" s="472">
        <f>IF(D93="","-",+C131+1)</f>
        <v>2050</v>
      </c>
      <c r="D132" s="346">
        <f>IF(F131+SUM(E$99:E131)=D$92,F131,D$92-SUM(E$99:E131))</f>
        <v>273610</v>
      </c>
      <c r="E132" s="484">
        <f t="shared" si="16"/>
        <v>32658</v>
      </c>
      <c r="F132" s="485">
        <f t="shared" si="17"/>
        <v>240952</v>
      </c>
      <c r="G132" s="485">
        <f t="shared" si="18"/>
        <v>257281</v>
      </c>
      <c r="H132" s="613">
        <f t="shared" si="19"/>
        <v>59187.279744050647</v>
      </c>
      <c r="I132" s="614">
        <f t="shared" si="20"/>
        <v>59187.279744050647</v>
      </c>
      <c r="J132" s="478">
        <f t="shared" si="21"/>
        <v>0</v>
      </c>
      <c r="K132" s="478"/>
      <c r="L132" s="487"/>
      <c r="M132" s="478">
        <f t="shared" si="22"/>
        <v>0</v>
      </c>
      <c r="N132" s="487"/>
      <c r="O132" s="478">
        <f t="shared" si="23"/>
        <v>0</v>
      </c>
      <c r="P132" s="478">
        <f t="shared" si="24"/>
        <v>0</v>
      </c>
    </row>
    <row r="133" spans="2:16" ht="12.5">
      <c r="B133" s="160" t="str">
        <f t="shared" si="15"/>
        <v/>
      </c>
      <c r="C133" s="472">
        <f>IF(D93="","-",+C132+1)</f>
        <v>2051</v>
      </c>
      <c r="D133" s="346">
        <f>IF(F132+SUM(E$99:E132)=D$92,F132,D$92-SUM(E$99:E132))</f>
        <v>240952</v>
      </c>
      <c r="E133" s="484">
        <f t="shared" si="16"/>
        <v>32658</v>
      </c>
      <c r="F133" s="485">
        <f t="shared" si="17"/>
        <v>208294</v>
      </c>
      <c r="G133" s="485">
        <f t="shared" si="18"/>
        <v>224623</v>
      </c>
      <c r="H133" s="613">
        <f t="shared" si="19"/>
        <v>55819.781880309427</v>
      </c>
      <c r="I133" s="614">
        <f t="shared" si="20"/>
        <v>55819.781880309427</v>
      </c>
      <c r="J133" s="478">
        <f t="shared" si="21"/>
        <v>0</v>
      </c>
      <c r="K133" s="478"/>
      <c r="L133" s="487"/>
      <c r="M133" s="478">
        <f t="shared" si="22"/>
        <v>0</v>
      </c>
      <c r="N133" s="487"/>
      <c r="O133" s="478">
        <f t="shared" si="23"/>
        <v>0</v>
      </c>
      <c r="P133" s="478">
        <f t="shared" si="24"/>
        <v>0</v>
      </c>
    </row>
    <row r="134" spans="2:16" ht="12.5">
      <c r="B134" s="160" t="str">
        <f t="shared" si="15"/>
        <v/>
      </c>
      <c r="C134" s="472">
        <f>IF(D93="","-",+C133+1)</f>
        <v>2052</v>
      </c>
      <c r="D134" s="346">
        <f>IF(F133+SUM(E$99:E133)=D$92,F133,D$92-SUM(E$99:E133))</f>
        <v>208294</v>
      </c>
      <c r="E134" s="484">
        <f t="shared" si="16"/>
        <v>32658</v>
      </c>
      <c r="F134" s="485">
        <f t="shared" si="17"/>
        <v>175636</v>
      </c>
      <c r="G134" s="485">
        <f t="shared" si="18"/>
        <v>191965</v>
      </c>
      <c r="H134" s="613">
        <f t="shared" si="19"/>
        <v>52452.284016568199</v>
      </c>
      <c r="I134" s="614">
        <f t="shared" si="20"/>
        <v>52452.284016568199</v>
      </c>
      <c r="J134" s="478">
        <f t="shared" si="21"/>
        <v>0</v>
      </c>
      <c r="K134" s="478"/>
      <c r="L134" s="487"/>
      <c r="M134" s="478">
        <f t="shared" si="22"/>
        <v>0</v>
      </c>
      <c r="N134" s="487"/>
      <c r="O134" s="478">
        <f t="shared" si="23"/>
        <v>0</v>
      </c>
      <c r="P134" s="478">
        <f t="shared" si="24"/>
        <v>0</v>
      </c>
    </row>
    <row r="135" spans="2:16" ht="12.5">
      <c r="B135" s="160" t="str">
        <f t="shared" si="15"/>
        <v/>
      </c>
      <c r="C135" s="472">
        <f>IF(D93="","-",+C134+1)</f>
        <v>2053</v>
      </c>
      <c r="D135" s="346">
        <f>IF(F134+SUM(E$99:E134)=D$92,F134,D$92-SUM(E$99:E134))</f>
        <v>175636</v>
      </c>
      <c r="E135" s="484">
        <f t="shared" si="16"/>
        <v>32658</v>
      </c>
      <c r="F135" s="485">
        <f t="shared" si="17"/>
        <v>142978</v>
      </c>
      <c r="G135" s="485">
        <f t="shared" si="18"/>
        <v>159307</v>
      </c>
      <c r="H135" s="613">
        <f t="shared" si="19"/>
        <v>49084.786152826971</v>
      </c>
      <c r="I135" s="614">
        <f t="shared" si="20"/>
        <v>49084.786152826971</v>
      </c>
      <c r="J135" s="478">
        <f t="shared" si="21"/>
        <v>0</v>
      </c>
      <c r="K135" s="478"/>
      <c r="L135" s="487"/>
      <c r="M135" s="478">
        <f t="shared" si="22"/>
        <v>0</v>
      </c>
      <c r="N135" s="487"/>
      <c r="O135" s="478">
        <f t="shared" si="23"/>
        <v>0</v>
      </c>
      <c r="P135" s="478">
        <f t="shared" si="24"/>
        <v>0</v>
      </c>
    </row>
    <row r="136" spans="2:16" ht="12.5">
      <c r="B136" s="160" t="str">
        <f t="shared" si="15"/>
        <v/>
      </c>
      <c r="C136" s="472">
        <f>IF(D93="","-",+C135+1)</f>
        <v>2054</v>
      </c>
      <c r="D136" s="346">
        <f>IF(F135+SUM(E$99:E135)=D$92,F135,D$92-SUM(E$99:E135))</f>
        <v>142978</v>
      </c>
      <c r="E136" s="484">
        <f t="shared" si="16"/>
        <v>32658</v>
      </c>
      <c r="F136" s="485">
        <f t="shared" si="17"/>
        <v>110320</v>
      </c>
      <c r="G136" s="485">
        <f t="shared" si="18"/>
        <v>126649</v>
      </c>
      <c r="H136" s="613">
        <f t="shared" si="19"/>
        <v>45717.288289085751</v>
      </c>
      <c r="I136" s="614">
        <f t="shared" si="20"/>
        <v>45717.288289085751</v>
      </c>
      <c r="J136" s="478">
        <f t="shared" si="21"/>
        <v>0</v>
      </c>
      <c r="K136" s="478"/>
      <c r="L136" s="487"/>
      <c r="M136" s="478">
        <f t="shared" si="22"/>
        <v>0</v>
      </c>
      <c r="N136" s="487"/>
      <c r="O136" s="478">
        <f t="shared" si="23"/>
        <v>0</v>
      </c>
      <c r="P136" s="478">
        <f t="shared" si="24"/>
        <v>0</v>
      </c>
    </row>
    <row r="137" spans="2:16" ht="12.5">
      <c r="B137" s="160" t="str">
        <f t="shared" si="15"/>
        <v/>
      </c>
      <c r="C137" s="472">
        <f>IF(D93="","-",+C136+1)</f>
        <v>2055</v>
      </c>
      <c r="D137" s="346">
        <f>IF(F136+SUM(E$99:E136)=D$92,F136,D$92-SUM(E$99:E136))</f>
        <v>110320</v>
      </c>
      <c r="E137" s="484">
        <f t="shared" si="16"/>
        <v>32658</v>
      </c>
      <c r="F137" s="485">
        <f t="shared" si="17"/>
        <v>77662</v>
      </c>
      <c r="G137" s="485">
        <f t="shared" si="18"/>
        <v>93991</v>
      </c>
      <c r="H137" s="613">
        <f t="shared" si="19"/>
        <v>42349.790425344523</v>
      </c>
      <c r="I137" s="614">
        <f t="shared" si="20"/>
        <v>42349.790425344523</v>
      </c>
      <c r="J137" s="478">
        <f t="shared" si="21"/>
        <v>0</v>
      </c>
      <c r="K137" s="478"/>
      <c r="L137" s="487"/>
      <c r="M137" s="478">
        <f t="shared" si="22"/>
        <v>0</v>
      </c>
      <c r="N137" s="487"/>
      <c r="O137" s="478">
        <f t="shared" si="23"/>
        <v>0</v>
      </c>
      <c r="P137" s="478">
        <f t="shared" si="24"/>
        <v>0</v>
      </c>
    </row>
    <row r="138" spans="2:16" ht="12.5">
      <c r="B138" s="160" t="str">
        <f t="shared" si="15"/>
        <v/>
      </c>
      <c r="C138" s="472">
        <f>IF(D93="","-",+C137+1)</f>
        <v>2056</v>
      </c>
      <c r="D138" s="346">
        <f>IF(F137+SUM(E$99:E137)=D$92,F137,D$92-SUM(E$99:E137))</f>
        <v>77662</v>
      </c>
      <c r="E138" s="484">
        <f t="shared" si="16"/>
        <v>32658</v>
      </c>
      <c r="F138" s="485">
        <f t="shared" si="17"/>
        <v>45004</v>
      </c>
      <c r="G138" s="485">
        <f t="shared" si="18"/>
        <v>61333</v>
      </c>
      <c r="H138" s="613">
        <f t="shared" si="19"/>
        <v>38982.292561603303</v>
      </c>
      <c r="I138" s="614">
        <f t="shared" si="20"/>
        <v>38982.292561603303</v>
      </c>
      <c r="J138" s="478">
        <f t="shared" si="21"/>
        <v>0</v>
      </c>
      <c r="K138" s="478"/>
      <c r="L138" s="487"/>
      <c r="M138" s="478">
        <f t="shared" si="22"/>
        <v>0</v>
      </c>
      <c r="N138" s="487"/>
      <c r="O138" s="478">
        <f t="shared" si="23"/>
        <v>0</v>
      </c>
      <c r="P138" s="478">
        <f t="shared" si="24"/>
        <v>0</v>
      </c>
    </row>
    <row r="139" spans="2:16" ht="12.5">
      <c r="B139" s="160" t="str">
        <f t="shared" si="15"/>
        <v/>
      </c>
      <c r="C139" s="472">
        <f>IF(D93="","-",+C138+1)</f>
        <v>2057</v>
      </c>
      <c r="D139" s="346">
        <f>IF(F138+SUM(E$99:E138)=D$92,F138,D$92-SUM(E$99:E138))</f>
        <v>45004</v>
      </c>
      <c r="E139" s="484">
        <f t="shared" si="16"/>
        <v>32658</v>
      </c>
      <c r="F139" s="485">
        <f t="shared" si="17"/>
        <v>12346</v>
      </c>
      <c r="G139" s="485">
        <f t="shared" si="18"/>
        <v>28675</v>
      </c>
      <c r="H139" s="613">
        <f t="shared" si="19"/>
        <v>35614.794697862075</v>
      </c>
      <c r="I139" s="614">
        <f t="shared" si="20"/>
        <v>35614.794697862075</v>
      </c>
      <c r="J139" s="478">
        <f t="shared" si="21"/>
        <v>0</v>
      </c>
      <c r="K139" s="478"/>
      <c r="L139" s="487"/>
      <c r="M139" s="478">
        <f t="shared" si="22"/>
        <v>0</v>
      </c>
      <c r="N139" s="487"/>
      <c r="O139" s="478">
        <f t="shared" si="23"/>
        <v>0</v>
      </c>
      <c r="P139" s="478">
        <f t="shared" si="24"/>
        <v>0</v>
      </c>
    </row>
    <row r="140" spans="2:16" ht="12.5">
      <c r="B140" s="160" t="str">
        <f t="shared" si="15"/>
        <v/>
      </c>
      <c r="C140" s="472">
        <f>IF(D93="","-",+C139+1)</f>
        <v>2058</v>
      </c>
      <c r="D140" s="346">
        <f>IF(F139+SUM(E$99:E139)=D$92,F139,D$92-SUM(E$99:E139))</f>
        <v>12346</v>
      </c>
      <c r="E140" s="484">
        <f t="shared" si="16"/>
        <v>12346</v>
      </c>
      <c r="F140" s="485">
        <f t="shared" si="17"/>
        <v>0</v>
      </c>
      <c r="G140" s="485">
        <f t="shared" si="18"/>
        <v>6173</v>
      </c>
      <c r="H140" s="613">
        <f t="shared" si="19"/>
        <v>12982.52288299573</v>
      </c>
      <c r="I140" s="614">
        <f t="shared" si="20"/>
        <v>12982.52288299573</v>
      </c>
      <c r="J140" s="478">
        <f t="shared" si="21"/>
        <v>0</v>
      </c>
      <c r="K140" s="478"/>
      <c r="L140" s="487"/>
      <c r="M140" s="478">
        <f t="shared" si="22"/>
        <v>0</v>
      </c>
      <c r="N140" s="487"/>
      <c r="O140" s="478">
        <f t="shared" si="23"/>
        <v>0</v>
      </c>
      <c r="P140" s="478">
        <f t="shared" si="24"/>
        <v>0</v>
      </c>
    </row>
    <row r="141" spans="2:16" ht="12.5">
      <c r="B141" s="160" t="str">
        <f t="shared" si="15"/>
        <v/>
      </c>
      <c r="C141" s="472">
        <f>IF(D93="","-",+C140+1)</f>
        <v>2059</v>
      </c>
      <c r="D141" s="346">
        <f>IF(F140+SUM(E$99:E140)=D$92,F140,D$92-SUM(E$99:E140))</f>
        <v>0</v>
      </c>
      <c r="E141" s="484">
        <f t="shared" si="16"/>
        <v>0</v>
      </c>
      <c r="F141" s="485">
        <f t="shared" si="17"/>
        <v>0</v>
      </c>
      <c r="G141" s="485">
        <f t="shared" si="18"/>
        <v>0</v>
      </c>
      <c r="H141" s="613">
        <f t="shared" si="19"/>
        <v>0</v>
      </c>
      <c r="I141" s="614">
        <f t="shared" si="20"/>
        <v>0</v>
      </c>
      <c r="J141" s="478">
        <f t="shared" si="21"/>
        <v>0</v>
      </c>
      <c r="K141" s="478"/>
      <c r="L141" s="487"/>
      <c r="M141" s="478">
        <f t="shared" si="22"/>
        <v>0</v>
      </c>
      <c r="N141" s="487"/>
      <c r="O141" s="478">
        <f t="shared" si="23"/>
        <v>0</v>
      </c>
      <c r="P141" s="478">
        <f t="shared" si="24"/>
        <v>0</v>
      </c>
    </row>
    <row r="142" spans="2:16" ht="12.5">
      <c r="B142" s="160" t="str">
        <f t="shared" si="15"/>
        <v/>
      </c>
      <c r="C142" s="472">
        <f>IF(D93="","-",+C141+1)</f>
        <v>2060</v>
      </c>
      <c r="D142" s="346">
        <f>IF(F141+SUM(E$99:E141)=D$92,F141,D$92-SUM(E$99:E141))</f>
        <v>0</v>
      </c>
      <c r="E142" s="484">
        <f t="shared" si="16"/>
        <v>0</v>
      </c>
      <c r="F142" s="485">
        <f t="shared" si="17"/>
        <v>0</v>
      </c>
      <c r="G142" s="485">
        <f t="shared" si="18"/>
        <v>0</v>
      </c>
      <c r="H142" s="613">
        <f t="shared" si="19"/>
        <v>0</v>
      </c>
      <c r="I142" s="614">
        <f t="shared" si="20"/>
        <v>0</v>
      </c>
      <c r="J142" s="478">
        <f t="shared" si="21"/>
        <v>0</v>
      </c>
      <c r="K142" s="478"/>
      <c r="L142" s="487"/>
      <c r="M142" s="478">
        <f t="shared" si="22"/>
        <v>0</v>
      </c>
      <c r="N142" s="487"/>
      <c r="O142" s="478">
        <f t="shared" si="23"/>
        <v>0</v>
      </c>
      <c r="P142" s="478">
        <f t="shared" si="24"/>
        <v>0</v>
      </c>
    </row>
    <row r="143" spans="2:16" ht="12.5">
      <c r="B143" s="160" t="str">
        <f t="shared" si="15"/>
        <v/>
      </c>
      <c r="C143" s="472">
        <f>IF(D93="","-",+C142+1)</f>
        <v>2061</v>
      </c>
      <c r="D143" s="346">
        <f>IF(F142+SUM(E$99:E142)=D$92,F142,D$92-SUM(E$99:E142))</f>
        <v>0</v>
      </c>
      <c r="E143" s="484">
        <f t="shared" si="16"/>
        <v>0</v>
      </c>
      <c r="F143" s="485">
        <f t="shared" si="17"/>
        <v>0</v>
      </c>
      <c r="G143" s="485">
        <f t="shared" si="18"/>
        <v>0</v>
      </c>
      <c r="H143" s="613">
        <f t="shared" si="19"/>
        <v>0</v>
      </c>
      <c r="I143" s="614">
        <f t="shared" si="20"/>
        <v>0</v>
      </c>
      <c r="J143" s="478">
        <f t="shared" si="21"/>
        <v>0</v>
      </c>
      <c r="K143" s="478"/>
      <c r="L143" s="487"/>
      <c r="M143" s="478">
        <f t="shared" si="22"/>
        <v>0</v>
      </c>
      <c r="N143" s="487"/>
      <c r="O143" s="478">
        <f t="shared" si="23"/>
        <v>0</v>
      </c>
      <c r="P143" s="478">
        <f t="shared" si="24"/>
        <v>0</v>
      </c>
    </row>
    <row r="144" spans="2:16" ht="12.5">
      <c r="B144" s="160" t="str">
        <f t="shared" si="15"/>
        <v/>
      </c>
      <c r="C144" s="472">
        <f>IF(D93="","-",+C143+1)</f>
        <v>2062</v>
      </c>
      <c r="D144" s="346">
        <f>IF(F143+SUM(E$99:E143)=D$92,F143,D$92-SUM(E$99:E143))</f>
        <v>0</v>
      </c>
      <c r="E144" s="484">
        <f t="shared" si="16"/>
        <v>0</v>
      </c>
      <c r="F144" s="485">
        <f t="shared" si="17"/>
        <v>0</v>
      </c>
      <c r="G144" s="485">
        <f t="shared" si="18"/>
        <v>0</v>
      </c>
      <c r="H144" s="613">
        <f t="shared" si="19"/>
        <v>0</v>
      </c>
      <c r="I144" s="614">
        <f t="shared" si="20"/>
        <v>0</v>
      </c>
      <c r="J144" s="478">
        <f t="shared" si="21"/>
        <v>0</v>
      </c>
      <c r="K144" s="478"/>
      <c r="L144" s="487"/>
      <c r="M144" s="478">
        <f t="shared" si="22"/>
        <v>0</v>
      </c>
      <c r="N144" s="487"/>
      <c r="O144" s="478">
        <f t="shared" si="23"/>
        <v>0</v>
      </c>
      <c r="P144" s="478">
        <f t="shared" si="24"/>
        <v>0</v>
      </c>
    </row>
    <row r="145" spans="2:16" ht="12.5">
      <c r="B145" s="160" t="str">
        <f t="shared" si="15"/>
        <v/>
      </c>
      <c r="C145" s="472">
        <f>IF(D93="","-",+C144+1)</f>
        <v>2063</v>
      </c>
      <c r="D145" s="346">
        <f>IF(F144+SUM(E$99:E144)=D$92,F144,D$92-SUM(E$99:E144))</f>
        <v>0</v>
      </c>
      <c r="E145" s="484">
        <f t="shared" si="16"/>
        <v>0</v>
      </c>
      <c r="F145" s="485">
        <f t="shared" si="17"/>
        <v>0</v>
      </c>
      <c r="G145" s="485">
        <f t="shared" si="18"/>
        <v>0</v>
      </c>
      <c r="H145" s="613">
        <f t="shared" si="19"/>
        <v>0</v>
      </c>
      <c r="I145" s="614">
        <f t="shared" si="20"/>
        <v>0</v>
      </c>
      <c r="J145" s="478">
        <f t="shared" si="21"/>
        <v>0</v>
      </c>
      <c r="K145" s="478"/>
      <c r="L145" s="487"/>
      <c r="M145" s="478">
        <f t="shared" si="22"/>
        <v>0</v>
      </c>
      <c r="N145" s="487"/>
      <c r="O145" s="478">
        <f t="shared" si="23"/>
        <v>0</v>
      </c>
      <c r="P145" s="478">
        <f t="shared" si="24"/>
        <v>0</v>
      </c>
    </row>
    <row r="146" spans="2:16" ht="12.5">
      <c r="B146" s="160" t="str">
        <f t="shared" si="15"/>
        <v/>
      </c>
      <c r="C146" s="472">
        <f>IF(D93="","-",+C145+1)</f>
        <v>2064</v>
      </c>
      <c r="D146" s="346">
        <f>IF(F145+SUM(E$99:E145)=D$92,F145,D$92-SUM(E$99:E145))</f>
        <v>0</v>
      </c>
      <c r="E146" s="484">
        <f t="shared" si="16"/>
        <v>0</v>
      </c>
      <c r="F146" s="485">
        <f t="shared" si="17"/>
        <v>0</v>
      </c>
      <c r="G146" s="485">
        <f t="shared" si="18"/>
        <v>0</v>
      </c>
      <c r="H146" s="613">
        <f t="shared" si="19"/>
        <v>0</v>
      </c>
      <c r="I146" s="614">
        <f t="shared" si="20"/>
        <v>0</v>
      </c>
      <c r="J146" s="478">
        <f t="shared" si="21"/>
        <v>0</v>
      </c>
      <c r="K146" s="478"/>
      <c r="L146" s="487"/>
      <c r="M146" s="478">
        <f t="shared" si="22"/>
        <v>0</v>
      </c>
      <c r="N146" s="487"/>
      <c r="O146" s="478">
        <f t="shared" si="23"/>
        <v>0</v>
      </c>
      <c r="P146" s="478">
        <f t="shared" si="24"/>
        <v>0</v>
      </c>
    </row>
    <row r="147" spans="2:16" ht="12.5">
      <c r="B147" s="160" t="str">
        <f t="shared" si="15"/>
        <v/>
      </c>
      <c r="C147" s="472">
        <f>IF(D93="","-",+C146+1)</f>
        <v>2065</v>
      </c>
      <c r="D147" s="346">
        <f>IF(F146+SUM(E$99:E146)=D$92,F146,D$92-SUM(E$99:E146))</f>
        <v>0</v>
      </c>
      <c r="E147" s="484">
        <f t="shared" si="16"/>
        <v>0</v>
      </c>
      <c r="F147" s="485">
        <f t="shared" si="17"/>
        <v>0</v>
      </c>
      <c r="G147" s="485">
        <f t="shared" si="18"/>
        <v>0</v>
      </c>
      <c r="H147" s="613">
        <f t="shared" si="19"/>
        <v>0</v>
      </c>
      <c r="I147" s="614">
        <f t="shared" si="20"/>
        <v>0</v>
      </c>
      <c r="J147" s="478">
        <f t="shared" si="21"/>
        <v>0</v>
      </c>
      <c r="K147" s="478"/>
      <c r="L147" s="487"/>
      <c r="M147" s="478">
        <f t="shared" si="22"/>
        <v>0</v>
      </c>
      <c r="N147" s="487"/>
      <c r="O147" s="478">
        <f t="shared" si="23"/>
        <v>0</v>
      </c>
      <c r="P147" s="478">
        <f t="shared" si="24"/>
        <v>0</v>
      </c>
    </row>
    <row r="148" spans="2:16" ht="12.5">
      <c r="B148" s="160" t="str">
        <f t="shared" si="15"/>
        <v/>
      </c>
      <c r="C148" s="472">
        <f>IF(D93="","-",+C147+1)</f>
        <v>2066</v>
      </c>
      <c r="D148" s="346">
        <f>IF(F147+SUM(E$99:E147)=D$92,F147,D$92-SUM(E$99:E147))</f>
        <v>0</v>
      </c>
      <c r="E148" s="484">
        <f t="shared" si="16"/>
        <v>0</v>
      </c>
      <c r="F148" s="485">
        <f t="shared" si="17"/>
        <v>0</v>
      </c>
      <c r="G148" s="485">
        <f t="shared" si="18"/>
        <v>0</v>
      </c>
      <c r="H148" s="613">
        <f t="shared" si="19"/>
        <v>0</v>
      </c>
      <c r="I148" s="614">
        <f t="shared" si="20"/>
        <v>0</v>
      </c>
      <c r="J148" s="478">
        <f t="shared" si="21"/>
        <v>0</v>
      </c>
      <c r="K148" s="478"/>
      <c r="L148" s="487"/>
      <c r="M148" s="478">
        <f t="shared" si="22"/>
        <v>0</v>
      </c>
      <c r="N148" s="487"/>
      <c r="O148" s="478">
        <f t="shared" si="23"/>
        <v>0</v>
      </c>
      <c r="P148" s="478">
        <f t="shared" si="24"/>
        <v>0</v>
      </c>
    </row>
    <row r="149" spans="2:16" ht="12.5">
      <c r="B149" s="160" t="str">
        <f t="shared" si="15"/>
        <v/>
      </c>
      <c r="C149" s="472">
        <f>IF(D93="","-",+C148+1)</f>
        <v>2067</v>
      </c>
      <c r="D149" s="346">
        <f>IF(F148+SUM(E$99:E148)=D$92,F148,D$92-SUM(E$99:E148))</f>
        <v>0</v>
      </c>
      <c r="E149" s="484">
        <f t="shared" si="16"/>
        <v>0</v>
      </c>
      <c r="F149" s="485">
        <f t="shared" si="17"/>
        <v>0</v>
      </c>
      <c r="G149" s="485">
        <f t="shared" si="18"/>
        <v>0</v>
      </c>
      <c r="H149" s="613">
        <f t="shared" si="19"/>
        <v>0</v>
      </c>
      <c r="I149" s="614">
        <f t="shared" si="20"/>
        <v>0</v>
      </c>
      <c r="J149" s="478">
        <f t="shared" si="21"/>
        <v>0</v>
      </c>
      <c r="K149" s="478"/>
      <c r="L149" s="487"/>
      <c r="M149" s="478">
        <f t="shared" si="22"/>
        <v>0</v>
      </c>
      <c r="N149" s="487"/>
      <c r="O149" s="478">
        <f t="shared" si="23"/>
        <v>0</v>
      </c>
      <c r="P149" s="478">
        <f t="shared" si="24"/>
        <v>0</v>
      </c>
    </row>
    <row r="150" spans="2:16" ht="12.5">
      <c r="B150" s="160" t="str">
        <f t="shared" si="15"/>
        <v/>
      </c>
      <c r="C150" s="472">
        <f>IF(D93="","-",+C149+1)</f>
        <v>2068</v>
      </c>
      <c r="D150" s="346">
        <f>IF(F149+SUM(E$99:E149)=D$92,F149,D$92-SUM(E$99:E149))</f>
        <v>0</v>
      </c>
      <c r="E150" s="484">
        <f t="shared" si="16"/>
        <v>0</v>
      </c>
      <c r="F150" s="485">
        <f t="shared" si="17"/>
        <v>0</v>
      </c>
      <c r="G150" s="485">
        <f t="shared" si="18"/>
        <v>0</v>
      </c>
      <c r="H150" s="613">
        <f t="shared" si="19"/>
        <v>0</v>
      </c>
      <c r="I150" s="614">
        <f t="shared" si="20"/>
        <v>0</v>
      </c>
      <c r="J150" s="478">
        <f t="shared" si="21"/>
        <v>0</v>
      </c>
      <c r="K150" s="478"/>
      <c r="L150" s="487"/>
      <c r="M150" s="478">
        <f t="shared" si="22"/>
        <v>0</v>
      </c>
      <c r="N150" s="487"/>
      <c r="O150" s="478">
        <f t="shared" si="23"/>
        <v>0</v>
      </c>
      <c r="P150" s="478">
        <f t="shared" si="24"/>
        <v>0</v>
      </c>
    </row>
    <row r="151" spans="2:16" ht="12.5">
      <c r="B151" s="160" t="str">
        <f t="shared" si="15"/>
        <v/>
      </c>
      <c r="C151" s="472">
        <f>IF(D93="","-",+C150+1)</f>
        <v>2069</v>
      </c>
      <c r="D151" s="346">
        <f>IF(F150+SUM(E$99:E150)=D$92,F150,D$92-SUM(E$99:E150))</f>
        <v>0</v>
      </c>
      <c r="E151" s="484">
        <f t="shared" si="16"/>
        <v>0</v>
      </c>
      <c r="F151" s="485">
        <f t="shared" si="17"/>
        <v>0</v>
      </c>
      <c r="G151" s="485">
        <f t="shared" si="18"/>
        <v>0</v>
      </c>
      <c r="H151" s="613">
        <f t="shared" si="19"/>
        <v>0</v>
      </c>
      <c r="I151" s="614">
        <f t="shared" si="20"/>
        <v>0</v>
      </c>
      <c r="J151" s="478">
        <f t="shared" si="21"/>
        <v>0</v>
      </c>
      <c r="K151" s="478"/>
      <c r="L151" s="487"/>
      <c r="M151" s="478">
        <f t="shared" si="22"/>
        <v>0</v>
      </c>
      <c r="N151" s="487"/>
      <c r="O151" s="478">
        <f t="shared" si="23"/>
        <v>0</v>
      </c>
      <c r="P151" s="478">
        <f t="shared" si="24"/>
        <v>0</v>
      </c>
    </row>
    <row r="152" spans="2:16" ht="12.5">
      <c r="B152" s="160" t="str">
        <f t="shared" si="15"/>
        <v/>
      </c>
      <c r="C152" s="472">
        <f>IF(D93="","-",+C151+1)</f>
        <v>2070</v>
      </c>
      <c r="D152" s="346">
        <f>IF(F151+SUM(E$99:E151)=D$92,F151,D$92-SUM(E$99:E151))</f>
        <v>0</v>
      </c>
      <c r="E152" s="484">
        <f t="shared" si="16"/>
        <v>0</v>
      </c>
      <c r="F152" s="485">
        <f t="shared" si="17"/>
        <v>0</v>
      </c>
      <c r="G152" s="485">
        <f t="shared" si="18"/>
        <v>0</v>
      </c>
      <c r="H152" s="613">
        <f t="shared" si="19"/>
        <v>0</v>
      </c>
      <c r="I152" s="614">
        <f t="shared" si="20"/>
        <v>0</v>
      </c>
      <c r="J152" s="478">
        <f t="shared" si="21"/>
        <v>0</v>
      </c>
      <c r="K152" s="478"/>
      <c r="L152" s="487"/>
      <c r="M152" s="478">
        <f t="shared" si="22"/>
        <v>0</v>
      </c>
      <c r="N152" s="487"/>
      <c r="O152" s="478">
        <f t="shared" si="23"/>
        <v>0</v>
      </c>
      <c r="P152" s="478">
        <f t="shared" si="24"/>
        <v>0</v>
      </c>
    </row>
    <row r="153" spans="2:16" ht="12.5">
      <c r="B153" s="160" t="str">
        <f t="shared" si="15"/>
        <v/>
      </c>
      <c r="C153" s="472">
        <f>IF(D93="","-",+C152+1)</f>
        <v>2071</v>
      </c>
      <c r="D153" s="346">
        <f>IF(F152+SUM(E$99:E152)=D$92,F152,D$92-SUM(E$99:E152))</f>
        <v>0</v>
      </c>
      <c r="E153" s="484">
        <f t="shared" si="16"/>
        <v>0</v>
      </c>
      <c r="F153" s="485">
        <f t="shared" si="17"/>
        <v>0</v>
      </c>
      <c r="G153" s="485">
        <f t="shared" si="18"/>
        <v>0</v>
      </c>
      <c r="H153" s="613">
        <f t="shared" si="19"/>
        <v>0</v>
      </c>
      <c r="I153" s="614">
        <f t="shared" si="20"/>
        <v>0</v>
      </c>
      <c r="J153" s="478">
        <f t="shared" si="21"/>
        <v>0</v>
      </c>
      <c r="K153" s="478"/>
      <c r="L153" s="487"/>
      <c r="M153" s="478">
        <f t="shared" si="22"/>
        <v>0</v>
      </c>
      <c r="N153" s="487"/>
      <c r="O153" s="478">
        <f t="shared" si="23"/>
        <v>0</v>
      </c>
      <c r="P153" s="478">
        <f t="shared" si="24"/>
        <v>0</v>
      </c>
    </row>
    <row r="154" spans="2:16" ht="13" thickBot="1">
      <c r="B154" s="160" t="str">
        <f t="shared" si="15"/>
        <v/>
      </c>
      <c r="C154" s="489">
        <f>IF(D93="","-",+C153+1)</f>
        <v>2072</v>
      </c>
      <c r="D154" s="543">
        <f>IF(F153+SUM(E$99:E153)=D$92,F153,D$92-SUM(E$99:E153))</f>
        <v>0</v>
      </c>
      <c r="E154" s="491">
        <f t="shared" si="16"/>
        <v>0</v>
      </c>
      <c r="F154" s="490">
        <f t="shared" si="17"/>
        <v>0</v>
      </c>
      <c r="G154" s="490">
        <f t="shared" si="18"/>
        <v>0</v>
      </c>
      <c r="H154" s="615">
        <f t="shared" si="19"/>
        <v>0</v>
      </c>
      <c r="I154" s="616">
        <f t="shared" si="20"/>
        <v>0</v>
      </c>
      <c r="J154" s="495">
        <f t="shared" si="21"/>
        <v>0</v>
      </c>
      <c r="K154" s="478"/>
      <c r="L154" s="494"/>
      <c r="M154" s="495">
        <f t="shared" si="22"/>
        <v>0</v>
      </c>
      <c r="N154" s="494"/>
      <c r="O154" s="495">
        <f t="shared" si="23"/>
        <v>0</v>
      </c>
      <c r="P154" s="495">
        <f t="shared" si="24"/>
        <v>0</v>
      </c>
    </row>
    <row r="155" spans="2:16" ht="12.5">
      <c r="C155" s="346" t="s">
        <v>77</v>
      </c>
      <c r="D155" s="347"/>
      <c r="E155" s="347">
        <f>SUM(E99:E154)</f>
        <v>1338978</v>
      </c>
      <c r="F155" s="347"/>
      <c r="G155" s="347"/>
      <c r="H155" s="347">
        <f>SUM(H99:H154)</f>
        <v>4167505.4444321971</v>
      </c>
      <c r="I155" s="347">
        <f>SUM(I99:I154)</f>
        <v>4167505.4444321971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21" priority="1" stopIfTrue="1" operator="equal">
      <formula>$I$10</formula>
    </cfRule>
  </conditionalFormatting>
  <conditionalFormatting sqref="C99:C154">
    <cfRule type="cellIs" dxfId="2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P162"/>
  <sheetViews>
    <sheetView view="pageBreakPreview" zoomScale="78" zoomScaleNormal="100" zoomScaleSheetLayoutView="78" workbookViewId="0">
      <selection activeCell="D11" sqref="D11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20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245473.68855677257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245473.68855677257</v>
      </c>
      <c r="O6" s="232"/>
      <c r="P6" s="232"/>
    </row>
    <row r="7" spans="1:16" ht="13.5" thickBot="1">
      <c r="C7" s="431" t="s">
        <v>46</v>
      </c>
      <c r="D7" s="599" t="s">
        <v>282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297</v>
      </c>
      <c r="E9" s="577" t="s">
        <v>298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1961221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45609.79069767442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v>2017</v>
      </c>
      <c r="D17" s="584">
        <v>0</v>
      </c>
      <c r="E17" s="608">
        <v>0</v>
      </c>
      <c r="F17" s="584">
        <v>483000</v>
      </c>
      <c r="G17" s="608">
        <v>30733</v>
      </c>
      <c r="H17" s="587">
        <v>30733</v>
      </c>
      <c r="I17" s="475">
        <f t="shared" ref="I17:I72" si="0">H17-G17</f>
        <v>0</v>
      </c>
      <c r="J17" s="475"/>
      <c r="K17" s="477">
        <f>+G17</f>
        <v>30733</v>
      </c>
      <c r="L17" s="477">
        <f t="shared" ref="L17:L72" si="1">IF(K17&lt;&gt;0,+G17-K17,0)</f>
        <v>0</v>
      </c>
      <c r="M17" s="477">
        <f>+H17</f>
        <v>30733</v>
      </c>
      <c r="N17" s="477">
        <f t="shared" ref="N17:N72" si="2">IF(M17&lt;&gt;0,+H17-M17,0)</f>
        <v>0</v>
      </c>
      <c r="O17" s="478">
        <f t="shared" ref="O17:O72" si="3"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2018</v>
      </c>
      <c r="D18" s="584">
        <v>483000</v>
      </c>
      <c r="E18" s="585">
        <v>10555.555555555555</v>
      </c>
      <c r="F18" s="584">
        <v>1140000</v>
      </c>
      <c r="G18" s="585">
        <v>78818.151758984837</v>
      </c>
      <c r="H18" s="587">
        <v>78818.151758984837</v>
      </c>
      <c r="I18" s="475">
        <f t="shared" si="0"/>
        <v>0</v>
      </c>
      <c r="J18" s="475"/>
      <c r="K18" s="478">
        <f>+G18</f>
        <v>78818.151758984837</v>
      </c>
      <c r="L18" s="478">
        <f t="shared" si="1"/>
        <v>0</v>
      </c>
      <c r="M18" s="478">
        <f>+H18</f>
        <v>78818.151758984837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2019</v>
      </c>
      <c r="D19" s="584">
        <v>1129444.4444444445</v>
      </c>
      <c r="E19" s="585">
        <v>28500</v>
      </c>
      <c r="F19" s="584">
        <v>1100944.4444444445</v>
      </c>
      <c r="G19" s="585">
        <v>153018.85490841107</v>
      </c>
      <c r="H19" s="587">
        <v>153018.85490841107</v>
      </c>
      <c r="I19" s="475">
        <f t="shared" si="0"/>
        <v>0</v>
      </c>
      <c r="J19" s="475"/>
      <c r="K19" s="478">
        <f>+G19</f>
        <v>153018.85490841107</v>
      </c>
      <c r="L19" s="478">
        <f t="shared" ref="L19" si="4">IF(K19&lt;&gt;0,+G19-K19,0)</f>
        <v>0</v>
      </c>
      <c r="M19" s="478">
        <f>+H19</f>
        <v>153018.85490841107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5">IF(D20=F19,"","IU")</f>
        <v>IU</v>
      </c>
      <c r="C20" s="472">
        <f>IF(D11="","-",+C19+1)</f>
        <v>2020</v>
      </c>
      <c r="D20" s="584">
        <v>1883840.111111111</v>
      </c>
      <c r="E20" s="585">
        <v>45707.833333333336</v>
      </c>
      <c r="F20" s="584">
        <v>1838132.2777777778</v>
      </c>
      <c r="G20" s="585">
        <v>246703.23209680832</v>
      </c>
      <c r="H20" s="587">
        <v>246703.23209680832</v>
      </c>
      <c r="I20" s="475">
        <f t="shared" si="0"/>
        <v>0</v>
      </c>
      <c r="J20" s="475"/>
      <c r="K20" s="478">
        <f>+G20</f>
        <v>246703.23209680832</v>
      </c>
      <c r="L20" s="478">
        <f t="shared" ref="L20" si="6">IF(K20&lt;&gt;0,+G20-K20,0)</f>
        <v>0</v>
      </c>
      <c r="M20" s="478">
        <f>+H20</f>
        <v>246703.23209680832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5"/>
        <v>IU</v>
      </c>
      <c r="C21" s="472">
        <f>IF(D11="","-",+C20+1)</f>
        <v>2021</v>
      </c>
      <c r="D21" s="483">
        <f>IF(F20+SUM(E$17:E20)=D$10,F20,D$10-SUM(E$17:E20))</f>
        <v>1876457.611111111</v>
      </c>
      <c r="E21" s="484">
        <f t="shared" ref="E21:E72" si="7">IF(+I$14&lt;F20,I$14,D21)</f>
        <v>45609.79069767442</v>
      </c>
      <c r="F21" s="485">
        <f t="shared" ref="F21:F72" si="8">+D21-E21</f>
        <v>1830847.8204134365</v>
      </c>
      <c r="G21" s="486">
        <f t="shared" ref="G21:G72" si="9">(D21+F21)/2*I$12+E21</f>
        <v>245473.68855677257</v>
      </c>
      <c r="H21" s="455">
        <f t="shared" ref="H21:H72" si="10">+(D21+F21)/2*I$13+E21</f>
        <v>245473.68855677257</v>
      </c>
      <c r="I21" s="475">
        <f t="shared" si="0"/>
        <v>0</v>
      </c>
      <c r="J21" s="475"/>
      <c r="K21" s="487"/>
      <c r="L21" s="478">
        <f t="shared" si="1"/>
        <v>0</v>
      </c>
      <c r="M21" s="487"/>
      <c r="N21" s="478">
        <f t="shared" si="2"/>
        <v>0</v>
      </c>
      <c r="O21" s="478">
        <f t="shared" si="3"/>
        <v>0</v>
      </c>
      <c r="P21" s="242"/>
    </row>
    <row r="22" spans="2:16" ht="12.5">
      <c r="B22" s="160" t="str">
        <f t="shared" si="5"/>
        <v/>
      </c>
      <c r="C22" s="472">
        <f>IF(D11="","-",+C21+1)</f>
        <v>2022</v>
      </c>
      <c r="D22" s="483">
        <f>IF(F21+SUM(E$17:E21)=D$10,F21,D$10-SUM(E$17:E21))</f>
        <v>1830847.8204134365</v>
      </c>
      <c r="E22" s="484">
        <f t="shared" si="7"/>
        <v>45609.79069767442</v>
      </c>
      <c r="F22" s="485">
        <f t="shared" si="8"/>
        <v>1785238.029715762</v>
      </c>
      <c r="G22" s="486">
        <f t="shared" si="9"/>
        <v>240555.96558101749</v>
      </c>
      <c r="H22" s="455">
        <f t="shared" si="10"/>
        <v>240555.96558101749</v>
      </c>
      <c r="I22" s="475">
        <f t="shared" si="0"/>
        <v>0</v>
      </c>
      <c r="J22" s="475"/>
      <c r="K22" s="487"/>
      <c r="L22" s="478">
        <f t="shared" si="1"/>
        <v>0</v>
      </c>
      <c r="M22" s="487"/>
      <c r="N22" s="478">
        <f t="shared" si="2"/>
        <v>0</v>
      </c>
      <c r="O22" s="478">
        <f t="shared" si="3"/>
        <v>0</v>
      </c>
      <c r="P22" s="242"/>
    </row>
    <row r="23" spans="2:16" ht="12.5">
      <c r="B23" s="160" t="str">
        <f t="shared" si="5"/>
        <v/>
      </c>
      <c r="C23" s="472">
        <f>IF(D11="","-",+C22+1)</f>
        <v>2023</v>
      </c>
      <c r="D23" s="483">
        <f>IF(F22+SUM(E$17:E22)=D$10,F22,D$10-SUM(E$17:E22))</f>
        <v>1785238.029715762</v>
      </c>
      <c r="E23" s="484">
        <f t="shared" si="7"/>
        <v>45609.79069767442</v>
      </c>
      <c r="F23" s="485">
        <f t="shared" si="8"/>
        <v>1739628.2390180875</v>
      </c>
      <c r="G23" s="486">
        <f t="shared" si="9"/>
        <v>235638.24260526249</v>
      </c>
      <c r="H23" s="455">
        <f t="shared" si="10"/>
        <v>235638.24260526249</v>
      </c>
      <c r="I23" s="475">
        <f t="shared" si="0"/>
        <v>0</v>
      </c>
      <c r="J23" s="475"/>
      <c r="K23" s="487"/>
      <c r="L23" s="478">
        <f t="shared" si="1"/>
        <v>0</v>
      </c>
      <c r="M23" s="487"/>
      <c r="N23" s="478">
        <f t="shared" si="2"/>
        <v>0</v>
      </c>
      <c r="O23" s="478">
        <f t="shared" si="3"/>
        <v>0</v>
      </c>
      <c r="P23" s="242"/>
    </row>
    <row r="24" spans="2:16" ht="12.5">
      <c r="B24" s="160" t="str">
        <f t="shared" si="5"/>
        <v/>
      </c>
      <c r="C24" s="472">
        <f>IF(D11="","-",+C23+1)</f>
        <v>2024</v>
      </c>
      <c r="D24" s="483">
        <f>IF(F23+SUM(E$17:E23)=D$10,F23,D$10-SUM(E$17:E23))</f>
        <v>1739628.2390180875</v>
      </c>
      <c r="E24" s="484">
        <f t="shared" si="7"/>
        <v>45609.79069767442</v>
      </c>
      <c r="F24" s="485">
        <f t="shared" si="8"/>
        <v>1694018.448320413</v>
      </c>
      <c r="G24" s="486">
        <f t="shared" si="9"/>
        <v>230720.51962950741</v>
      </c>
      <c r="H24" s="455">
        <f t="shared" si="10"/>
        <v>230720.51962950741</v>
      </c>
      <c r="I24" s="475">
        <f t="shared" si="0"/>
        <v>0</v>
      </c>
      <c r="J24" s="475"/>
      <c r="K24" s="487"/>
      <c r="L24" s="478">
        <f t="shared" si="1"/>
        <v>0</v>
      </c>
      <c r="M24" s="487"/>
      <c r="N24" s="478">
        <f t="shared" si="2"/>
        <v>0</v>
      </c>
      <c r="O24" s="478">
        <f t="shared" si="3"/>
        <v>0</v>
      </c>
      <c r="P24" s="242"/>
    </row>
    <row r="25" spans="2:16" ht="12.5">
      <c r="B25" s="160" t="str">
        <f t="shared" si="5"/>
        <v/>
      </c>
      <c r="C25" s="472">
        <f>IF(D11="","-",+C24+1)</f>
        <v>2025</v>
      </c>
      <c r="D25" s="483">
        <f>IF(F24+SUM(E$17:E24)=D$10,F24,D$10-SUM(E$17:E24))</f>
        <v>1694018.448320413</v>
      </c>
      <c r="E25" s="484">
        <f t="shared" si="7"/>
        <v>45609.79069767442</v>
      </c>
      <c r="F25" s="485">
        <f t="shared" si="8"/>
        <v>1648408.6576227385</v>
      </c>
      <c r="G25" s="486">
        <f t="shared" si="9"/>
        <v>225802.79665375242</v>
      </c>
      <c r="H25" s="455">
        <f t="shared" si="10"/>
        <v>225802.79665375242</v>
      </c>
      <c r="I25" s="475">
        <f t="shared" si="0"/>
        <v>0</v>
      </c>
      <c r="J25" s="475"/>
      <c r="K25" s="487"/>
      <c r="L25" s="478">
        <f t="shared" si="1"/>
        <v>0</v>
      </c>
      <c r="M25" s="487"/>
      <c r="N25" s="478">
        <f t="shared" si="2"/>
        <v>0</v>
      </c>
      <c r="O25" s="478">
        <f t="shared" si="3"/>
        <v>0</v>
      </c>
      <c r="P25" s="242"/>
    </row>
    <row r="26" spans="2:16" ht="12.5">
      <c r="B26" s="160" t="str">
        <f t="shared" si="5"/>
        <v/>
      </c>
      <c r="C26" s="472">
        <f>IF(D11="","-",+C25+1)</f>
        <v>2026</v>
      </c>
      <c r="D26" s="483">
        <f>IF(F25+SUM(E$17:E25)=D$10,F25,D$10-SUM(E$17:E25))</f>
        <v>1648408.6576227385</v>
      </c>
      <c r="E26" s="484">
        <f t="shared" si="7"/>
        <v>45609.79069767442</v>
      </c>
      <c r="F26" s="485">
        <f t="shared" si="8"/>
        <v>1602798.866925064</v>
      </c>
      <c r="G26" s="486">
        <f t="shared" si="9"/>
        <v>220885.07367799734</v>
      </c>
      <c r="H26" s="455">
        <f t="shared" si="10"/>
        <v>220885.07367799734</v>
      </c>
      <c r="I26" s="475">
        <f t="shared" si="0"/>
        <v>0</v>
      </c>
      <c r="J26" s="475"/>
      <c r="K26" s="487"/>
      <c r="L26" s="478">
        <f t="shared" si="1"/>
        <v>0</v>
      </c>
      <c r="M26" s="487"/>
      <c r="N26" s="478">
        <f t="shared" si="2"/>
        <v>0</v>
      </c>
      <c r="O26" s="478">
        <f t="shared" si="3"/>
        <v>0</v>
      </c>
      <c r="P26" s="242"/>
    </row>
    <row r="27" spans="2:16" ht="12.5">
      <c r="B27" s="160" t="str">
        <f t="shared" si="5"/>
        <v/>
      </c>
      <c r="C27" s="472">
        <f>IF(D11="","-",+C26+1)</f>
        <v>2027</v>
      </c>
      <c r="D27" s="483">
        <f>IF(F26+SUM(E$17:E26)=D$10,F26,D$10-SUM(E$17:E26))</f>
        <v>1602798.866925064</v>
      </c>
      <c r="E27" s="484">
        <f t="shared" si="7"/>
        <v>45609.79069767442</v>
      </c>
      <c r="F27" s="485">
        <f t="shared" si="8"/>
        <v>1557189.0762273895</v>
      </c>
      <c r="G27" s="486">
        <f t="shared" si="9"/>
        <v>215967.35070224231</v>
      </c>
      <c r="H27" s="455">
        <f t="shared" si="10"/>
        <v>215967.35070224231</v>
      </c>
      <c r="I27" s="475">
        <f t="shared" si="0"/>
        <v>0</v>
      </c>
      <c r="J27" s="475"/>
      <c r="K27" s="487"/>
      <c r="L27" s="478">
        <f t="shared" si="1"/>
        <v>0</v>
      </c>
      <c r="M27" s="487"/>
      <c r="N27" s="478">
        <f t="shared" si="2"/>
        <v>0</v>
      </c>
      <c r="O27" s="478">
        <f t="shared" si="3"/>
        <v>0</v>
      </c>
      <c r="P27" s="242"/>
    </row>
    <row r="28" spans="2:16" ht="12.5">
      <c r="B28" s="160" t="str">
        <f t="shared" si="5"/>
        <v/>
      </c>
      <c r="C28" s="472">
        <f>IF(D11="","-",+C27+1)</f>
        <v>2028</v>
      </c>
      <c r="D28" s="483">
        <f>IF(F27+SUM(E$17:E27)=D$10,F27,D$10-SUM(E$17:E27))</f>
        <v>1557189.0762273895</v>
      </c>
      <c r="E28" s="484">
        <f t="shared" si="7"/>
        <v>45609.79069767442</v>
      </c>
      <c r="F28" s="485">
        <f t="shared" si="8"/>
        <v>1511579.285529715</v>
      </c>
      <c r="G28" s="486">
        <f t="shared" si="9"/>
        <v>211049.62772648726</v>
      </c>
      <c r="H28" s="455">
        <f t="shared" si="10"/>
        <v>211049.62772648726</v>
      </c>
      <c r="I28" s="475">
        <f t="shared" si="0"/>
        <v>0</v>
      </c>
      <c r="J28" s="475"/>
      <c r="K28" s="487"/>
      <c r="L28" s="478">
        <f t="shared" si="1"/>
        <v>0</v>
      </c>
      <c r="M28" s="487"/>
      <c r="N28" s="478">
        <f t="shared" si="2"/>
        <v>0</v>
      </c>
      <c r="O28" s="478">
        <f t="shared" si="3"/>
        <v>0</v>
      </c>
      <c r="P28" s="242"/>
    </row>
    <row r="29" spans="2:16" ht="12.5">
      <c r="B29" s="160" t="str">
        <f t="shared" si="5"/>
        <v/>
      </c>
      <c r="C29" s="472">
        <f>IF(D11="","-",+C28+1)</f>
        <v>2029</v>
      </c>
      <c r="D29" s="483">
        <f>IF(F28+SUM(E$17:E28)=D$10,F28,D$10-SUM(E$17:E28))</f>
        <v>1511579.285529715</v>
      </c>
      <c r="E29" s="484">
        <f t="shared" si="7"/>
        <v>45609.79069767442</v>
      </c>
      <c r="F29" s="485">
        <f t="shared" si="8"/>
        <v>1465969.4948320405</v>
      </c>
      <c r="G29" s="486">
        <f t="shared" si="9"/>
        <v>206131.90475073224</v>
      </c>
      <c r="H29" s="455">
        <f t="shared" si="10"/>
        <v>206131.90475073224</v>
      </c>
      <c r="I29" s="475">
        <f t="shared" si="0"/>
        <v>0</v>
      </c>
      <c r="J29" s="475"/>
      <c r="K29" s="487"/>
      <c r="L29" s="478">
        <f t="shared" si="1"/>
        <v>0</v>
      </c>
      <c r="M29" s="487"/>
      <c r="N29" s="478">
        <f t="shared" si="2"/>
        <v>0</v>
      </c>
      <c r="O29" s="478">
        <f t="shared" si="3"/>
        <v>0</v>
      </c>
      <c r="P29" s="242"/>
    </row>
    <row r="30" spans="2:16" ht="12.5">
      <c r="B30" s="160" t="str">
        <f t="shared" si="5"/>
        <v/>
      </c>
      <c r="C30" s="472">
        <f>IF(D11="","-",+C29+1)</f>
        <v>2030</v>
      </c>
      <c r="D30" s="483">
        <f>IF(F29+SUM(E$17:E29)=D$10,F29,D$10-SUM(E$17:E29))</f>
        <v>1465969.4948320405</v>
      </c>
      <c r="E30" s="484">
        <f t="shared" si="7"/>
        <v>45609.79069767442</v>
      </c>
      <c r="F30" s="485">
        <f t="shared" si="8"/>
        <v>1420359.704134366</v>
      </c>
      <c r="G30" s="486">
        <f t="shared" si="9"/>
        <v>201214.18177497719</v>
      </c>
      <c r="H30" s="455">
        <f t="shared" si="10"/>
        <v>201214.18177497719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2"/>
    </row>
    <row r="31" spans="2:16" ht="12.5">
      <c r="B31" s="160" t="str">
        <f t="shared" si="5"/>
        <v/>
      </c>
      <c r="C31" s="472">
        <f>IF(D11="","-",+C30+1)</f>
        <v>2031</v>
      </c>
      <c r="D31" s="483">
        <f>IF(F30+SUM(E$17:E30)=D$10,F30,D$10-SUM(E$17:E30))</f>
        <v>1420359.704134366</v>
      </c>
      <c r="E31" s="484">
        <f t="shared" si="7"/>
        <v>45609.79069767442</v>
      </c>
      <c r="F31" s="485">
        <f t="shared" si="8"/>
        <v>1374749.9134366915</v>
      </c>
      <c r="G31" s="486">
        <f t="shared" si="9"/>
        <v>196296.45879922216</v>
      </c>
      <c r="H31" s="455">
        <f t="shared" si="10"/>
        <v>196296.45879922216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5"/>
        <v/>
      </c>
      <c r="C32" s="472">
        <f>IF(D11="","-",+C31+1)</f>
        <v>2032</v>
      </c>
      <c r="D32" s="483">
        <f>IF(F31+SUM(E$17:E31)=D$10,F31,D$10-SUM(E$17:E31))</f>
        <v>1374749.9134366915</v>
      </c>
      <c r="E32" s="484">
        <f t="shared" si="7"/>
        <v>45609.79069767442</v>
      </c>
      <c r="F32" s="485">
        <f t="shared" si="8"/>
        <v>1329140.122739017</v>
      </c>
      <c r="G32" s="486">
        <f t="shared" si="9"/>
        <v>191378.73582346711</v>
      </c>
      <c r="H32" s="455">
        <f t="shared" si="10"/>
        <v>191378.73582346711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5"/>
        <v/>
      </c>
      <c r="C33" s="472">
        <f>IF(D11="","-",+C32+1)</f>
        <v>2033</v>
      </c>
      <c r="D33" s="483">
        <f>IF(F32+SUM(E$17:E32)=D$10,F32,D$10-SUM(E$17:E32))</f>
        <v>1329140.122739017</v>
      </c>
      <c r="E33" s="484">
        <f t="shared" si="7"/>
        <v>45609.79069767442</v>
      </c>
      <c r="F33" s="485">
        <f t="shared" si="8"/>
        <v>1283530.3320413425</v>
      </c>
      <c r="G33" s="486">
        <f t="shared" si="9"/>
        <v>186461.01284771209</v>
      </c>
      <c r="H33" s="455">
        <f t="shared" si="10"/>
        <v>186461.01284771209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5"/>
        <v/>
      </c>
      <c r="C34" s="472">
        <f>IF(D11="","-",+C33+1)</f>
        <v>2034</v>
      </c>
      <c r="D34" s="483">
        <f>IF(F33+SUM(E$17:E33)=D$10,F33,D$10-SUM(E$17:E33))</f>
        <v>1283530.3320413425</v>
      </c>
      <c r="E34" s="484">
        <f t="shared" si="7"/>
        <v>45609.79069767442</v>
      </c>
      <c r="F34" s="485">
        <f t="shared" si="8"/>
        <v>1237920.541343668</v>
      </c>
      <c r="G34" s="486">
        <f t="shared" si="9"/>
        <v>181543.28987195701</v>
      </c>
      <c r="H34" s="455">
        <f t="shared" si="10"/>
        <v>181543.28987195701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5"/>
        <v/>
      </c>
      <c r="C35" s="472">
        <f>IF(D11="","-",+C34+1)</f>
        <v>2035</v>
      </c>
      <c r="D35" s="483">
        <f>IF(F34+SUM(E$17:E34)=D$10,F34,D$10-SUM(E$17:E34))</f>
        <v>1237920.541343668</v>
      </c>
      <c r="E35" s="484">
        <f t="shared" si="7"/>
        <v>45609.79069767442</v>
      </c>
      <c r="F35" s="485">
        <f t="shared" si="8"/>
        <v>1192310.7506459935</v>
      </c>
      <c r="G35" s="486">
        <f t="shared" si="9"/>
        <v>176625.56689620201</v>
      </c>
      <c r="H35" s="455">
        <f t="shared" si="10"/>
        <v>176625.56689620201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5"/>
        <v/>
      </c>
      <c r="C36" s="472">
        <f>IF(D11="","-",+C35+1)</f>
        <v>2036</v>
      </c>
      <c r="D36" s="483">
        <f>IF(F35+SUM(E$17:E35)=D$10,F35,D$10-SUM(E$17:E35))</f>
        <v>1192310.7506459935</v>
      </c>
      <c r="E36" s="484">
        <f t="shared" si="7"/>
        <v>45609.79069767442</v>
      </c>
      <c r="F36" s="485">
        <f t="shared" si="8"/>
        <v>1146700.959948319</v>
      </c>
      <c r="G36" s="486">
        <f t="shared" si="9"/>
        <v>171707.84392044693</v>
      </c>
      <c r="H36" s="455">
        <f t="shared" si="10"/>
        <v>171707.84392044693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5"/>
        <v/>
      </c>
      <c r="C37" s="472">
        <f>IF(D11="","-",+C36+1)</f>
        <v>2037</v>
      </c>
      <c r="D37" s="483">
        <f>IF(F36+SUM(E$17:E36)=D$10,F36,D$10-SUM(E$17:E36))</f>
        <v>1146700.959948319</v>
      </c>
      <c r="E37" s="484">
        <f t="shared" si="7"/>
        <v>45609.79069767442</v>
      </c>
      <c r="F37" s="485">
        <f t="shared" si="8"/>
        <v>1101091.1692506445</v>
      </c>
      <c r="G37" s="486">
        <f t="shared" si="9"/>
        <v>166790.12094469194</v>
      </c>
      <c r="H37" s="455">
        <f t="shared" si="10"/>
        <v>166790.12094469194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5"/>
        <v/>
      </c>
      <c r="C38" s="472">
        <f>IF(D11="","-",+C37+1)</f>
        <v>2038</v>
      </c>
      <c r="D38" s="483">
        <f>IF(F37+SUM(E$17:E37)=D$10,F37,D$10-SUM(E$17:E37))</f>
        <v>1101091.1692506445</v>
      </c>
      <c r="E38" s="484">
        <f t="shared" si="7"/>
        <v>45609.79069767442</v>
      </c>
      <c r="F38" s="485">
        <f t="shared" si="8"/>
        <v>1055481.37855297</v>
      </c>
      <c r="G38" s="486">
        <f t="shared" si="9"/>
        <v>161872.39796893686</v>
      </c>
      <c r="H38" s="455">
        <f t="shared" si="10"/>
        <v>161872.39796893686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5"/>
        <v/>
      </c>
      <c r="C39" s="472">
        <f>IF(D11="","-",+C38+1)</f>
        <v>2039</v>
      </c>
      <c r="D39" s="483">
        <f>IF(F38+SUM(E$17:E38)=D$10,F38,D$10-SUM(E$17:E38))</f>
        <v>1055481.37855297</v>
      </c>
      <c r="E39" s="484">
        <f t="shared" si="7"/>
        <v>45609.79069767442</v>
      </c>
      <c r="F39" s="485">
        <f t="shared" si="8"/>
        <v>1009871.5878552956</v>
      </c>
      <c r="G39" s="486">
        <f t="shared" si="9"/>
        <v>156954.67499318186</v>
      </c>
      <c r="H39" s="455">
        <f t="shared" si="10"/>
        <v>156954.67499318186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5"/>
        <v/>
      </c>
      <c r="C40" s="472">
        <f>IF(D11="","-",+C39+1)</f>
        <v>2040</v>
      </c>
      <c r="D40" s="483">
        <f>IF(F39+SUM(E$17:E39)=D$10,F39,D$10-SUM(E$17:E39))</f>
        <v>1009871.5878552956</v>
      </c>
      <c r="E40" s="484">
        <f t="shared" si="7"/>
        <v>45609.79069767442</v>
      </c>
      <c r="F40" s="485">
        <f t="shared" si="8"/>
        <v>964261.79715762124</v>
      </c>
      <c r="G40" s="486">
        <f t="shared" si="9"/>
        <v>152036.95201742681</v>
      </c>
      <c r="H40" s="455">
        <f t="shared" si="10"/>
        <v>152036.95201742681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5"/>
        <v/>
      </c>
      <c r="C41" s="472">
        <f>IF(D11="","-",+C40+1)</f>
        <v>2041</v>
      </c>
      <c r="D41" s="483">
        <f>IF(F40+SUM(E$17:E40)=D$10,F40,D$10-SUM(E$17:E40))</f>
        <v>964261.79715762124</v>
      </c>
      <c r="E41" s="484">
        <f t="shared" si="7"/>
        <v>45609.79069767442</v>
      </c>
      <c r="F41" s="485">
        <f t="shared" si="8"/>
        <v>918652.00645994686</v>
      </c>
      <c r="G41" s="486">
        <f t="shared" si="9"/>
        <v>147119.22904167179</v>
      </c>
      <c r="H41" s="455">
        <f t="shared" si="10"/>
        <v>147119.22904167179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5"/>
        <v/>
      </c>
      <c r="C42" s="472">
        <f>IF(D11="","-",+C41+1)</f>
        <v>2042</v>
      </c>
      <c r="D42" s="483">
        <f>IF(F41+SUM(E$17:E41)=D$10,F41,D$10-SUM(E$17:E41))</f>
        <v>918652.00645994686</v>
      </c>
      <c r="E42" s="484">
        <f t="shared" si="7"/>
        <v>45609.79069767442</v>
      </c>
      <c r="F42" s="485">
        <f t="shared" si="8"/>
        <v>873042.21576227248</v>
      </c>
      <c r="G42" s="486">
        <f t="shared" si="9"/>
        <v>142201.50606591676</v>
      </c>
      <c r="H42" s="455">
        <f t="shared" si="10"/>
        <v>142201.50606591676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5"/>
        <v/>
      </c>
      <c r="C43" s="472">
        <f>IF(D11="","-",+C42+1)</f>
        <v>2043</v>
      </c>
      <c r="D43" s="483">
        <f>IF(F42+SUM(E$17:E42)=D$10,F42,D$10-SUM(E$17:E42))</f>
        <v>873042.21576227248</v>
      </c>
      <c r="E43" s="484">
        <f t="shared" si="7"/>
        <v>45609.79069767442</v>
      </c>
      <c r="F43" s="485">
        <f t="shared" si="8"/>
        <v>827432.42506459809</v>
      </c>
      <c r="G43" s="486">
        <f t="shared" si="9"/>
        <v>137283.78309016174</v>
      </c>
      <c r="H43" s="455">
        <f t="shared" si="10"/>
        <v>137283.78309016174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5"/>
        <v/>
      </c>
      <c r="C44" s="472">
        <f>IF(D11="","-",+C43+1)</f>
        <v>2044</v>
      </c>
      <c r="D44" s="483">
        <f>IF(F43+SUM(E$17:E43)=D$10,F43,D$10-SUM(E$17:E43))</f>
        <v>827432.42506459809</v>
      </c>
      <c r="E44" s="484">
        <f t="shared" si="7"/>
        <v>45609.79069767442</v>
      </c>
      <c r="F44" s="485">
        <f t="shared" si="8"/>
        <v>781822.63436692371</v>
      </c>
      <c r="G44" s="486">
        <f t="shared" si="9"/>
        <v>132366.06011440669</v>
      </c>
      <c r="H44" s="455">
        <f t="shared" si="10"/>
        <v>132366.06011440669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5"/>
        <v/>
      </c>
      <c r="C45" s="472">
        <f>IF(D11="","-",+C44+1)</f>
        <v>2045</v>
      </c>
      <c r="D45" s="483">
        <f>IF(F44+SUM(E$17:E44)=D$10,F44,D$10-SUM(E$17:E44))</f>
        <v>781822.63436692371</v>
      </c>
      <c r="E45" s="484">
        <f t="shared" si="7"/>
        <v>45609.79069767442</v>
      </c>
      <c r="F45" s="485">
        <f t="shared" si="8"/>
        <v>736212.84366924933</v>
      </c>
      <c r="G45" s="486">
        <f t="shared" si="9"/>
        <v>127448.3371386517</v>
      </c>
      <c r="H45" s="455">
        <f t="shared" si="10"/>
        <v>127448.3371386517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5"/>
        <v/>
      </c>
      <c r="C46" s="472">
        <f>IF(D11="","-",+C45+1)</f>
        <v>2046</v>
      </c>
      <c r="D46" s="483">
        <f>IF(F45+SUM(E$17:E45)=D$10,F45,D$10-SUM(E$17:E45))</f>
        <v>736212.84366924933</v>
      </c>
      <c r="E46" s="484">
        <f t="shared" si="7"/>
        <v>45609.79069767442</v>
      </c>
      <c r="F46" s="485">
        <f t="shared" si="8"/>
        <v>690603.05297157494</v>
      </c>
      <c r="G46" s="486">
        <f t="shared" si="9"/>
        <v>122530.61416289664</v>
      </c>
      <c r="H46" s="455">
        <f t="shared" si="10"/>
        <v>122530.61416289664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5"/>
        <v/>
      </c>
      <c r="C47" s="472">
        <f>IF(D11="","-",+C46+1)</f>
        <v>2047</v>
      </c>
      <c r="D47" s="483">
        <f>IF(F46+SUM(E$17:E46)=D$10,F46,D$10-SUM(E$17:E46))</f>
        <v>690603.05297157494</v>
      </c>
      <c r="E47" s="484">
        <f t="shared" si="7"/>
        <v>45609.79069767442</v>
      </c>
      <c r="F47" s="485">
        <f t="shared" si="8"/>
        <v>644993.26227390056</v>
      </c>
      <c r="G47" s="486">
        <f t="shared" si="9"/>
        <v>117612.89118714162</v>
      </c>
      <c r="H47" s="455">
        <f t="shared" si="10"/>
        <v>117612.89118714162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5"/>
        <v/>
      </c>
      <c r="C48" s="472">
        <f>IF(D11="","-",+C47+1)</f>
        <v>2048</v>
      </c>
      <c r="D48" s="483">
        <f>IF(F47+SUM(E$17:E47)=D$10,F47,D$10-SUM(E$17:E47))</f>
        <v>644993.26227390056</v>
      </c>
      <c r="E48" s="484">
        <f t="shared" si="7"/>
        <v>45609.79069767442</v>
      </c>
      <c r="F48" s="485">
        <f t="shared" si="8"/>
        <v>599383.47157622618</v>
      </c>
      <c r="G48" s="486">
        <f t="shared" si="9"/>
        <v>112695.1682113866</v>
      </c>
      <c r="H48" s="455">
        <f t="shared" si="10"/>
        <v>112695.1682113866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5"/>
        <v/>
      </c>
      <c r="C49" s="472">
        <f>IF(D11="","-",+C48+1)</f>
        <v>2049</v>
      </c>
      <c r="D49" s="483">
        <f>IF(F48+SUM(E$17:E48)=D$10,F48,D$10-SUM(E$17:E48))</f>
        <v>599383.47157622618</v>
      </c>
      <c r="E49" s="484">
        <f t="shared" si="7"/>
        <v>45609.79069767442</v>
      </c>
      <c r="F49" s="485">
        <f t="shared" si="8"/>
        <v>553773.68087855179</v>
      </c>
      <c r="G49" s="486">
        <f t="shared" si="9"/>
        <v>107777.44523563157</v>
      </c>
      <c r="H49" s="455">
        <f t="shared" si="10"/>
        <v>107777.44523563157</v>
      </c>
      <c r="I49" s="475">
        <f t="shared" si="0"/>
        <v>0</v>
      </c>
      <c r="J49" s="475"/>
      <c r="K49" s="487"/>
      <c r="L49" s="478">
        <f t="shared" si="1"/>
        <v>0</v>
      </c>
      <c r="M49" s="487"/>
      <c r="N49" s="478">
        <f t="shared" si="2"/>
        <v>0</v>
      </c>
      <c r="O49" s="478">
        <f t="shared" si="3"/>
        <v>0</v>
      </c>
      <c r="P49" s="242"/>
    </row>
    <row r="50" spans="2:16" ht="12.5">
      <c r="B50" s="160" t="str">
        <f t="shared" si="5"/>
        <v/>
      </c>
      <c r="C50" s="472">
        <f>IF(D11="","-",+C49+1)</f>
        <v>2050</v>
      </c>
      <c r="D50" s="483">
        <f>IF(F49+SUM(E$17:E49)=D$10,F49,D$10-SUM(E$17:E49))</f>
        <v>553773.68087855179</v>
      </c>
      <c r="E50" s="484">
        <f t="shared" si="7"/>
        <v>45609.79069767442</v>
      </c>
      <c r="F50" s="485">
        <f t="shared" si="8"/>
        <v>508163.89018087735</v>
      </c>
      <c r="G50" s="486">
        <f t="shared" si="9"/>
        <v>102859.72225987652</v>
      </c>
      <c r="H50" s="455">
        <f t="shared" si="10"/>
        <v>102859.72225987652</v>
      </c>
      <c r="I50" s="475">
        <f t="shared" si="0"/>
        <v>0</v>
      </c>
      <c r="J50" s="475"/>
      <c r="K50" s="487"/>
      <c r="L50" s="478">
        <f t="shared" si="1"/>
        <v>0</v>
      </c>
      <c r="M50" s="487"/>
      <c r="N50" s="478">
        <f t="shared" si="2"/>
        <v>0</v>
      </c>
      <c r="O50" s="478">
        <f t="shared" si="3"/>
        <v>0</v>
      </c>
      <c r="P50" s="242"/>
    </row>
    <row r="51" spans="2:16" ht="12.5">
      <c r="B51" s="160" t="str">
        <f t="shared" si="5"/>
        <v/>
      </c>
      <c r="C51" s="472">
        <f>IF(D11="","-",+C50+1)</f>
        <v>2051</v>
      </c>
      <c r="D51" s="483">
        <f>IF(F50+SUM(E$17:E50)=D$10,F50,D$10-SUM(E$17:E50))</f>
        <v>508163.89018087735</v>
      </c>
      <c r="E51" s="484">
        <f t="shared" si="7"/>
        <v>45609.79069767442</v>
      </c>
      <c r="F51" s="485">
        <f t="shared" si="8"/>
        <v>462554.09948320291</v>
      </c>
      <c r="G51" s="486">
        <f t="shared" si="9"/>
        <v>97941.999284121499</v>
      </c>
      <c r="H51" s="455">
        <f t="shared" si="10"/>
        <v>97941.999284121499</v>
      </c>
      <c r="I51" s="475">
        <f t="shared" si="0"/>
        <v>0</v>
      </c>
      <c r="J51" s="475"/>
      <c r="K51" s="487"/>
      <c r="L51" s="478">
        <f t="shared" si="1"/>
        <v>0</v>
      </c>
      <c r="M51" s="487"/>
      <c r="N51" s="478">
        <f t="shared" si="2"/>
        <v>0</v>
      </c>
      <c r="O51" s="478">
        <f t="shared" si="3"/>
        <v>0</v>
      </c>
      <c r="P51" s="242"/>
    </row>
    <row r="52" spans="2:16" ht="12.5">
      <c r="B52" s="160" t="str">
        <f t="shared" si="5"/>
        <v/>
      </c>
      <c r="C52" s="472">
        <f>IF(D11="","-",+C51+1)</f>
        <v>2052</v>
      </c>
      <c r="D52" s="483">
        <f>IF(F51+SUM(E$17:E51)=D$10,F51,D$10-SUM(E$17:E51))</f>
        <v>462554.09948320291</v>
      </c>
      <c r="E52" s="484">
        <f t="shared" si="7"/>
        <v>45609.79069767442</v>
      </c>
      <c r="F52" s="485">
        <f t="shared" si="8"/>
        <v>416944.30878552847</v>
      </c>
      <c r="G52" s="486">
        <f t="shared" si="9"/>
        <v>93024.276308366461</v>
      </c>
      <c r="H52" s="455">
        <f t="shared" si="10"/>
        <v>93024.276308366461</v>
      </c>
      <c r="I52" s="475">
        <f t="shared" si="0"/>
        <v>0</v>
      </c>
      <c r="J52" s="475"/>
      <c r="K52" s="487"/>
      <c r="L52" s="478">
        <f t="shared" si="1"/>
        <v>0</v>
      </c>
      <c r="M52" s="487"/>
      <c r="N52" s="478">
        <f t="shared" si="2"/>
        <v>0</v>
      </c>
      <c r="O52" s="478">
        <f t="shared" si="3"/>
        <v>0</v>
      </c>
      <c r="P52" s="242"/>
    </row>
    <row r="53" spans="2:16" ht="12.5">
      <c r="B53" s="160" t="str">
        <f t="shared" si="5"/>
        <v/>
      </c>
      <c r="C53" s="472">
        <f>IF(D11="","-",+C52+1)</f>
        <v>2053</v>
      </c>
      <c r="D53" s="483">
        <f>IF(F52+SUM(E$17:E52)=D$10,F52,D$10-SUM(E$17:E52))</f>
        <v>416944.30878552847</v>
      </c>
      <c r="E53" s="484">
        <f t="shared" si="7"/>
        <v>45609.79069767442</v>
      </c>
      <c r="F53" s="485">
        <f t="shared" si="8"/>
        <v>371334.51808785403</v>
      </c>
      <c r="G53" s="486">
        <f t="shared" si="9"/>
        <v>88106.553332611438</v>
      </c>
      <c r="H53" s="455">
        <f t="shared" si="10"/>
        <v>88106.553332611438</v>
      </c>
      <c r="I53" s="475">
        <f t="shared" si="0"/>
        <v>0</v>
      </c>
      <c r="J53" s="475"/>
      <c r="K53" s="487"/>
      <c r="L53" s="478">
        <f t="shared" si="1"/>
        <v>0</v>
      </c>
      <c r="M53" s="487"/>
      <c r="N53" s="478">
        <f t="shared" si="2"/>
        <v>0</v>
      </c>
      <c r="O53" s="478">
        <f t="shared" si="3"/>
        <v>0</v>
      </c>
      <c r="P53" s="242"/>
    </row>
    <row r="54" spans="2:16" ht="12.5">
      <c r="B54" s="160" t="str">
        <f t="shared" si="5"/>
        <v/>
      </c>
      <c r="C54" s="472">
        <f>IF(D11="","-",+C53+1)</f>
        <v>2054</v>
      </c>
      <c r="D54" s="483">
        <f>IF(F53+SUM(E$17:E53)=D$10,F53,D$10-SUM(E$17:E53))</f>
        <v>371334.51808785403</v>
      </c>
      <c r="E54" s="484">
        <f t="shared" si="7"/>
        <v>45609.79069767442</v>
      </c>
      <c r="F54" s="485">
        <f t="shared" si="8"/>
        <v>325724.72739017959</v>
      </c>
      <c r="G54" s="486">
        <f t="shared" si="9"/>
        <v>83188.830356856401</v>
      </c>
      <c r="H54" s="455">
        <f t="shared" si="10"/>
        <v>83188.830356856401</v>
      </c>
      <c r="I54" s="475">
        <f t="shared" si="0"/>
        <v>0</v>
      </c>
      <c r="J54" s="475"/>
      <c r="K54" s="487"/>
      <c r="L54" s="478">
        <f t="shared" si="1"/>
        <v>0</v>
      </c>
      <c r="M54" s="487"/>
      <c r="N54" s="478">
        <f t="shared" si="2"/>
        <v>0</v>
      </c>
      <c r="O54" s="478">
        <f t="shared" si="3"/>
        <v>0</v>
      </c>
      <c r="P54" s="242"/>
    </row>
    <row r="55" spans="2:16" ht="12.5">
      <c r="B55" s="160" t="str">
        <f t="shared" si="5"/>
        <v/>
      </c>
      <c r="C55" s="472">
        <f>IF(D11="","-",+C54+1)</f>
        <v>2055</v>
      </c>
      <c r="D55" s="483">
        <f>IF(F54+SUM(E$17:E54)=D$10,F54,D$10-SUM(E$17:E54))</f>
        <v>325724.72739017959</v>
      </c>
      <c r="E55" s="484">
        <f t="shared" si="7"/>
        <v>45609.79069767442</v>
      </c>
      <c r="F55" s="485">
        <f t="shared" si="8"/>
        <v>280114.93669250514</v>
      </c>
      <c r="G55" s="486">
        <f t="shared" si="9"/>
        <v>78271.107381101363</v>
      </c>
      <c r="H55" s="455">
        <f t="shared" si="10"/>
        <v>78271.107381101363</v>
      </c>
      <c r="I55" s="475">
        <f t="shared" si="0"/>
        <v>0</v>
      </c>
      <c r="J55" s="475"/>
      <c r="K55" s="487"/>
      <c r="L55" s="478">
        <f t="shared" si="1"/>
        <v>0</v>
      </c>
      <c r="M55" s="487"/>
      <c r="N55" s="478">
        <f t="shared" si="2"/>
        <v>0</v>
      </c>
      <c r="O55" s="478">
        <f t="shared" si="3"/>
        <v>0</v>
      </c>
      <c r="P55" s="242"/>
    </row>
    <row r="56" spans="2:16" ht="12.5">
      <c r="B56" s="160" t="str">
        <f t="shared" si="5"/>
        <v/>
      </c>
      <c r="C56" s="472">
        <f>IF(D11="","-",+C55+1)</f>
        <v>2056</v>
      </c>
      <c r="D56" s="483">
        <f>IF(F55+SUM(E$17:E55)=D$10,F55,D$10-SUM(E$17:E55))</f>
        <v>280114.93669250514</v>
      </c>
      <c r="E56" s="484">
        <f t="shared" si="7"/>
        <v>45609.79069767442</v>
      </c>
      <c r="F56" s="485">
        <f t="shared" si="8"/>
        <v>234505.14599483073</v>
      </c>
      <c r="G56" s="486">
        <f t="shared" si="9"/>
        <v>73353.384405346325</v>
      </c>
      <c r="H56" s="455">
        <f t="shared" si="10"/>
        <v>73353.384405346325</v>
      </c>
      <c r="I56" s="475">
        <f t="shared" si="0"/>
        <v>0</v>
      </c>
      <c r="J56" s="475"/>
      <c r="K56" s="487"/>
      <c r="L56" s="478">
        <f t="shared" si="1"/>
        <v>0</v>
      </c>
      <c r="M56" s="487"/>
      <c r="N56" s="478">
        <f t="shared" si="2"/>
        <v>0</v>
      </c>
      <c r="O56" s="478">
        <f t="shared" si="3"/>
        <v>0</v>
      </c>
      <c r="P56" s="242"/>
    </row>
    <row r="57" spans="2:16" ht="12.5">
      <c r="B57" s="160" t="str">
        <f t="shared" si="5"/>
        <v/>
      </c>
      <c r="C57" s="472">
        <f>IF(D11="","-",+C56+1)</f>
        <v>2057</v>
      </c>
      <c r="D57" s="483">
        <f>IF(F56+SUM(E$17:E56)=D$10,F56,D$10-SUM(E$17:E56))</f>
        <v>234505.14599483073</v>
      </c>
      <c r="E57" s="484">
        <f t="shared" si="7"/>
        <v>45609.79069767442</v>
      </c>
      <c r="F57" s="485">
        <f t="shared" si="8"/>
        <v>188895.35529715632</v>
      </c>
      <c r="G57" s="486">
        <f t="shared" si="9"/>
        <v>68435.661429591302</v>
      </c>
      <c r="H57" s="455">
        <f t="shared" si="10"/>
        <v>68435.661429591302</v>
      </c>
      <c r="I57" s="475">
        <f t="shared" si="0"/>
        <v>0</v>
      </c>
      <c r="J57" s="475"/>
      <c r="K57" s="487"/>
      <c r="L57" s="478">
        <f t="shared" si="1"/>
        <v>0</v>
      </c>
      <c r="M57" s="487"/>
      <c r="N57" s="478">
        <f t="shared" si="2"/>
        <v>0</v>
      </c>
      <c r="O57" s="478">
        <f t="shared" si="3"/>
        <v>0</v>
      </c>
      <c r="P57" s="242"/>
    </row>
    <row r="58" spans="2:16" ht="12.5">
      <c r="B58" s="160" t="str">
        <f t="shared" si="5"/>
        <v/>
      </c>
      <c r="C58" s="472">
        <f>IF(D11="","-",+C57+1)</f>
        <v>2058</v>
      </c>
      <c r="D58" s="483">
        <f>IF(F57+SUM(E$17:E57)=D$10,F57,D$10-SUM(E$17:E57))</f>
        <v>188895.35529715632</v>
      </c>
      <c r="E58" s="484">
        <f t="shared" si="7"/>
        <v>45609.79069767442</v>
      </c>
      <c r="F58" s="485">
        <f t="shared" si="8"/>
        <v>143285.56459948191</v>
      </c>
      <c r="G58" s="486">
        <f t="shared" si="9"/>
        <v>63517.938453836272</v>
      </c>
      <c r="H58" s="455">
        <f t="shared" si="10"/>
        <v>63517.938453836272</v>
      </c>
      <c r="I58" s="475">
        <f t="shared" si="0"/>
        <v>0</v>
      </c>
      <c r="J58" s="475"/>
      <c r="K58" s="487"/>
      <c r="L58" s="478">
        <f t="shared" si="1"/>
        <v>0</v>
      </c>
      <c r="M58" s="487"/>
      <c r="N58" s="478">
        <f t="shared" si="2"/>
        <v>0</v>
      </c>
      <c r="O58" s="478">
        <f t="shared" si="3"/>
        <v>0</v>
      </c>
      <c r="P58" s="242"/>
    </row>
    <row r="59" spans="2:16" ht="12.5">
      <c r="B59" s="160" t="str">
        <f t="shared" si="5"/>
        <v/>
      </c>
      <c r="C59" s="472">
        <f>IF(D11="","-",+C58+1)</f>
        <v>2059</v>
      </c>
      <c r="D59" s="483">
        <f>IF(F58+SUM(E$17:E58)=D$10,F58,D$10-SUM(E$17:E58))</f>
        <v>143285.56459948191</v>
      </c>
      <c r="E59" s="484">
        <f t="shared" si="7"/>
        <v>45609.79069767442</v>
      </c>
      <c r="F59" s="485">
        <f t="shared" si="8"/>
        <v>97675.773901807494</v>
      </c>
      <c r="G59" s="486">
        <f t="shared" si="9"/>
        <v>58600.215478081242</v>
      </c>
      <c r="H59" s="455">
        <f t="shared" si="10"/>
        <v>58600.215478081242</v>
      </c>
      <c r="I59" s="475">
        <f t="shared" si="0"/>
        <v>0</v>
      </c>
      <c r="J59" s="475"/>
      <c r="K59" s="487"/>
      <c r="L59" s="478">
        <f t="shared" si="1"/>
        <v>0</v>
      </c>
      <c r="M59" s="487"/>
      <c r="N59" s="478">
        <f t="shared" si="2"/>
        <v>0</v>
      </c>
      <c r="O59" s="478">
        <f t="shared" si="3"/>
        <v>0</v>
      </c>
      <c r="P59" s="242"/>
    </row>
    <row r="60" spans="2:16" ht="12.5">
      <c r="B60" s="160" t="str">
        <f t="shared" si="5"/>
        <v/>
      </c>
      <c r="C60" s="472">
        <f>IF(D11="","-",+C59+1)</f>
        <v>2060</v>
      </c>
      <c r="D60" s="483">
        <f>IF(F59+SUM(E$17:E59)=D$10,F59,D$10-SUM(E$17:E59))</f>
        <v>97675.773901807494</v>
      </c>
      <c r="E60" s="484">
        <f t="shared" si="7"/>
        <v>45609.79069767442</v>
      </c>
      <c r="F60" s="485">
        <f t="shared" si="8"/>
        <v>52065.983204133074</v>
      </c>
      <c r="G60" s="486">
        <f t="shared" si="9"/>
        <v>53682.492502326204</v>
      </c>
      <c r="H60" s="455">
        <f t="shared" si="10"/>
        <v>53682.492502326204</v>
      </c>
      <c r="I60" s="475">
        <f t="shared" si="0"/>
        <v>0</v>
      </c>
      <c r="J60" s="475"/>
      <c r="K60" s="487"/>
      <c r="L60" s="478">
        <f t="shared" si="1"/>
        <v>0</v>
      </c>
      <c r="M60" s="487"/>
      <c r="N60" s="478">
        <f t="shared" si="2"/>
        <v>0</v>
      </c>
      <c r="O60" s="478">
        <f t="shared" si="3"/>
        <v>0</v>
      </c>
      <c r="P60" s="242"/>
    </row>
    <row r="61" spans="2:16" ht="12.5">
      <c r="B61" s="160" t="str">
        <f t="shared" si="5"/>
        <v/>
      </c>
      <c r="C61" s="472">
        <f>IF(D11="","-",+C60+1)</f>
        <v>2061</v>
      </c>
      <c r="D61" s="483">
        <f>IF(F60+SUM(E$17:E60)=D$10,F60,D$10-SUM(E$17:E60))</f>
        <v>52065.983204133074</v>
      </c>
      <c r="E61" s="484">
        <f t="shared" si="7"/>
        <v>45609.79069767442</v>
      </c>
      <c r="F61" s="485">
        <f t="shared" si="8"/>
        <v>6456.192506458654</v>
      </c>
      <c r="G61" s="486">
        <f t="shared" si="9"/>
        <v>48764.769526571174</v>
      </c>
      <c r="H61" s="455">
        <f t="shared" si="10"/>
        <v>48764.769526571174</v>
      </c>
      <c r="I61" s="475">
        <f t="shared" si="0"/>
        <v>0</v>
      </c>
      <c r="J61" s="475"/>
      <c r="K61" s="487"/>
      <c r="L61" s="478">
        <f t="shared" si="1"/>
        <v>0</v>
      </c>
      <c r="M61" s="487"/>
      <c r="N61" s="478">
        <f t="shared" si="2"/>
        <v>0</v>
      </c>
      <c r="O61" s="478">
        <f t="shared" si="3"/>
        <v>0</v>
      </c>
      <c r="P61" s="242"/>
    </row>
    <row r="62" spans="2:16" ht="12.5">
      <c r="B62" s="160" t="str">
        <f t="shared" si="5"/>
        <v/>
      </c>
      <c r="C62" s="472">
        <f>IF(D11="","-",+C61+1)</f>
        <v>2062</v>
      </c>
      <c r="D62" s="483">
        <f>IF(F61+SUM(E$17:E61)=D$10,F61,D$10-SUM(E$17:E61))</f>
        <v>6456.192506458654</v>
      </c>
      <c r="E62" s="484">
        <f t="shared" si="7"/>
        <v>6456.192506458654</v>
      </c>
      <c r="F62" s="485">
        <f t="shared" si="8"/>
        <v>0</v>
      </c>
      <c r="G62" s="486">
        <f t="shared" si="9"/>
        <v>6804.2511769682742</v>
      </c>
      <c r="H62" s="455">
        <f t="shared" si="10"/>
        <v>6804.2511769682742</v>
      </c>
      <c r="I62" s="475">
        <f t="shared" si="0"/>
        <v>0</v>
      </c>
      <c r="J62" s="475"/>
      <c r="K62" s="487"/>
      <c r="L62" s="478">
        <f t="shared" si="1"/>
        <v>0</v>
      </c>
      <c r="M62" s="487"/>
      <c r="N62" s="478">
        <f t="shared" si="2"/>
        <v>0</v>
      </c>
      <c r="O62" s="478">
        <f t="shared" si="3"/>
        <v>0</v>
      </c>
      <c r="P62" s="242"/>
    </row>
    <row r="63" spans="2:16" ht="12.5">
      <c r="B63" s="160" t="str">
        <f t="shared" si="5"/>
        <v/>
      </c>
      <c r="C63" s="472">
        <f>IF(D11="","-",+C62+1)</f>
        <v>2063</v>
      </c>
      <c r="D63" s="483">
        <f>IF(F62+SUM(E$17:E62)=D$10,F62,D$10-SUM(E$17:E62))</f>
        <v>0</v>
      </c>
      <c r="E63" s="484">
        <f t="shared" si="7"/>
        <v>0</v>
      </c>
      <c r="F63" s="485">
        <f t="shared" si="8"/>
        <v>0</v>
      </c>
      <c r="G63" s="486">
        <f t="shared" si="9"/>
        <v>0</v>
      </c>
      <c r="H63" s="455">
        <f t="shared" si="10"/>
        <v>0</v>
      </c>
      <c r="I63" s="475">
        <f t="shared" si="0"/>
        <v>0</v>
      </c>
      <c r="J63" s="475"/>
      <c r="K63" s="487"/>
      <c r="L63" s="478">
        <f t="shared" si="1"/>
        <v>0</v>
      </c>
      <c r="M63" s="487"/>
      <c r="N63" s="478">
        <f t="shared" si="2"/>
        <v>0</v>
      </c>
      <c r="O63" s="478">
        <f t="shared" si="3"/>
        <v>0</v>
      </c>
      <c r="P63" s="242"/>
    </row>
    <row r="64" spans="2:16" ht="12.5">
      <c r="B64" s="160" t="str">
        <f t="shared" si="5"/>
        <v/>
      </c>
      <c r="C64" s="472">
        <f>IF(D11="","-",+C63+1)</f>
        <v>2064</v>
      </c>
      <c r="D64" s="483">
        <f>IF(F63+SUM(E$17:E63)=D$10,F63,D$10-SUM(E$17:E63))</f>
        <v>0</v>
      </c>
      <c r="E64" s="484">
        <f t="shared" si="7"/>
        <v>0</v>
      </c>
      <c r="F64" s="485">
        <f t="shared" si="8"/>
        <v>0</v>
      </c>
      <c r="G64" s="486">
        <f t="shared" si="9"/>
        <v>0</v>
      </c>
      <c r="H64" s="455">
        <f t="shared" si="10"/>
        <v>0</v>
      </c>
      <c r="I64" s="475">
        <f t="shared" si="0"/>
        <v>0</v>
      </c>
      <c r="J64" s="475"/>
      <c r="K64" s="487"/>
      <c r="L64" s="478">
        <f t="shared" si="1"/>
        <v>0</v>
      </c>
      <c r="M64" s="487"/>
      <c r="N64" s="478">
        <f t="shared" si="2"/>
        <v>0</v>
      </c>
      <c r="O64" s="478">
        <f t="shared" si="3"/>
        <v>0</v>
      </c>
      <c r="P64" s="242"/>
    </row>
    <row r="65" spans="2:16" ht="12.5">
      <c r="B65" s="160" t="str">
        <f t="shared" si="5"/>
        <v/>
      </c>
      <c r="C65" s="472">
        <f>IF(D11="","-",+C64+1)</f>
        <v>2065</v>
      </c>
      <c r="D65" s="483">
        <f>IF(F64+SUM(E$17:E64)=D$10,F64,D$10-SUM(E$17:E64))</f>
        <v>0</v>
      </c>
      <c r="E65" s="484">
        <f t="shared" si="7"/>
        <v>0</v>
      </c>
      <c r="F65" s="485">
        <f t="shared" si="8"/>
        <v>0</v>
      </c>
      <c r="G65" s="486">
        <f t="shared" si="9"/>
        <v>0</v>
      </c>
      <c r="H65" s="455">
        <f t="shared" si="10"/>
        <v>0</v>
      </c>
      <c r="I65" s="475">
        <f t="shared" si="0"/>
        <v>0</v>
      </c>
      <c r="J65" s="475"/>
      <c r="K65" s="487"/>
      <c r="L65" s="478">
        <f t="shared" si="1"/>
        <v>0</v>
      </c>
      <c r="M65" s="487"/>
      <c r="N65" s="478">
        <f t="shared" si="2"/>
        <v>0</v>
      </c>
      <c r="O65" s="478">
        <f t="shared" si="3"/>
        <v>0</v>
      </c>
      <c r="P65" s="242"/>
    </row>
    <row r="66" spans="2:16" ht="12.5">
      <c r="B66" s="160" t="str">
        <f t="shared" si="5"/>
        <v/>
      </c>
      <c r="C66" s="472">
        <f>IF(D11="","-",+C65+1)</f>
        <v>2066</v>
      </c>
      <c r="D66" s="483">
        <f>IF(F65+SUM(E$17:E65)=D$10,F65,D$10-SUM(E$17:E65))</f>
        <v>0</v>
      </c>
      <c r="E66" s="484">
        <f t="shared" si="7"/>
        <v>0</v>
      </c>
      <c r="F66" s="485">
        <f t="shared" si="8"/>
        <v>0</v>
      </c>
      <c r="G66" s="486">
        <f t="shared" si="9"/>
        <v>0</v>
      </c>
      <c r="H66" s="455">
        <f t="shared" si="10"/>
        <v>0</v>
      </c>
      <c r="I66" s="475">
        <f t="shared" si="0"/>
        <v>0</v>
      </c>
      <c r="J66" s="475"/>
      <c r="K66" s="487"/>
      <c r="L66" s="478">
        <f t="shared" si="1"/>
        <v>0</v>
      </c>
      <c r="M66" s="487"/>
      <c r="N66" s="478">
        <f t="shared" si="2"/>
        <v>0</v>
      </c>
      <c r="O66" s="478">
        <f t="shared" si="3"/>
        <v>0</v>
      </c>
      <c r="P66" s="242"/>
    </row>
    <row r="67" spans="2:16" ht="12.5">
      <c r="B67" s="160" t="str">
        <f t="shared" si="5"/>
        <v/>
      </c>
      <c r="C67" s="472">
        <f>IF(D11="","-",+C66+1)</f>
        <v>2067</v>
      </c>
      <c r="D67" s="483">
        <f>IF(F66+SUM(E$17:E66)=D$10,F66,D$10-SUM(E$17:E66))</f>
        <v>0</v>
      </c>
      <c r="E67" s="484">
        <f t="shared" si="7"/>
        <v>0</v>
      </c>
      <c r="F67" s="485">
        <f t="shared" si="8"/>
        <v>0</v>
      </c>
      <c r="G67" s="486">
        <f t="shared" si="9"/>
        <v>0</v>
      </c>
      <c r="H67" s="455">
        <f t="shared" si="10"/>
        <v>0</v>
      </c>
      <c r="I67" s="475">
        <f t="shared" si="0"/>
        <v>0</v>
      </c>
      <c r="J67" s="475"/>
      <c r="K67" s="487"/>
      <c r="L67" s="478">
        <f t="shared" si="1"/>
        <v>0</v>
      </c>
      <c r="M67" s="487"/>
      <c r="N67" s="478">
        <f t="shared" si="2"/>
        <v>0</v>
      </c>
      <c r="O67" s="478">
        <f t="shared" si="3"/>
        <v>0</v>
      </c>
      <c r="P67" s="242"/>
    </row>
    <row r="68" spans="2:16" ht="12.5">
      <c r="B68" s="160" t="str">
        <f t="shared" si="5"/>
        <v/>
      </c>
      <c r="C68" s="472">
        <f>IF(D11="","-",+C67+1)</f>
        <v>2068</v>
      </c>
      <c r="D68" s="483">
        <f>IF(F67+SUM(E$17:E67)=D$10,F67,D$10-SUM(E$17:E67))</f>
        <v>0</v>
      </c>
      <c r="E68" s="484">
        <f t="shared" si="7"/>
        <v>0</v>
      </c>
      <c r="F68" s="485">
        <f t="shared" si="8"/>
        <v>0</v>
      </c>
      <c r="G68" s="486">
        <f t="shared" si="9"/>
        <v>0</v>
      </c>
      <c r="H68" s="455">
        <f t="shared" si="10"/>
        <v>0</v>
      </c>
      <c r="I68" s="475">
        <f t="shared" si="0"/>
        <v>0</v>
      </c>
      <c r="J68" s="475"/>
      <c r="K68" s="487"/>
      <c r="L68" s="478">
        <f t="shared" si="1"/>
        <v>0</v>
      </c>
      <c r="M68" s="487"/>
      <c r="N68" s="478">
        <f t="shared" si="2"/>
        <v>0</v>
      </c>
      <c r="O68" s="478">
        <f t="shared" si="3"/>
        <v>0</v>
      </c>
      <c r="P68" s="242"/>
    </row>
    <row r="69" spans="2:16" ht="12.5">
      <c r="B69" s="160" t="str">
        <f t="shared" si="5"/>
        <v/>
      </c>
      <c r="C69" s="472">
        <f>IF(D11="","-",+C68+1)</f>
        <v>2069</v>
      </c>
      <c r="D69" s="483">
        <f>IF(F68+SUM(E$17:E68)=D$10,F68,D$10-SUM(E$17:E68))</f>
        <v>0</v>
      </c>
      <c r="E69" s="484">
        <f t="shared" si="7"/>
        <v>0</v>
      </c>
      <c r="F69" s="485">
        <f t="shared" si="8"/>
        <v>0</v>
      </c>
      <c r="G69" s="486">
        <f t="shared" si="9"/>
        <v>0</v>
      </c>
      <c r="H69" s="455">
        <f t="shared" si="10"/>
        <v>0</v>
      </c>
      <c r="I69" s="475">
        <f t="shared" si="0"/>
        <v>0</v>
      </c>
      <c r="J69" s="475"/>
      <c r="K69" s="487"/>
      <c r="L69" s="478">
        <f t="shared" si="1"/>
        <v>0</v>
      </c>
      <c r="M69" s="487"/>
      <c r="N69" s="478">
        <f t="shared" si="2"/>
        <v>0</v>
      </c>
      <c r="O69" s="478">
        <f t="shared" si="3"/>
        <v>0</v>
      </c>
      <c r="P69" s="242"/>
    </row>
    <row r="70" spans="2:16" ht="12.5">
      <c r="B70" s="160" t="str">
        <f t="shared" si="5"/>
        <v/>
      </c>
      <c r="C70" s="472">
        <f>IF(D11="","-",+C69+1)</f>
        <v>2070</v>
      </c>
      <c r="D70" s="483">
        <f>IF(F69+SUM(E$17:E69)=D$10,F69,D$10-SUM(E$17:E69))</f>
        <v>0</v>
      </c>
      <c r="E70" s="484">
        <f t="shared" si="7"/>
        <v>0</v>
      </c>
      <c r="F70" s="485">
        <f t="shared" si="8"/>
        <v>0</v>
      </c>
      <c r="G70" s="486">
        <f t="shared" si="9"/>
        <v>0</v>
      </c>
      <c r="H70" s="455">
        <f t="shared" si="10"/>
        <v>0</v>
      </c>
      <c r="I70" s="475">
        <f t="shared" si="0"/>
        <v>0</v>
      </c>
      <c r="J70" s="475"/>
      <c r="K70" s="487"/>
      <c r="L70" s="478">
        <f t="shared" si="1"/>
        <v>0</v>
      </c>
      <c r="M70" s="487"/>
      <c r="N70" s="478">
        <f t="shared" si="2"/>
        <v>0</v>
      </c>
      <c r="O70" s="478">
        <f t="shared" si="3"/>
        <v>0</v>
      </c>
      <c r="P70" s="242"/>
    </row>
    <row r="71" spans="2:16" ht="12.5">
      <c r="B71" s="160" t="str">
        <f t="shared" si="5"/>
        <v/>
      </c>
      <c r="C71" s="472">
        <f>IF(D11="","-",+C70+1)</f>
        <v>2071</v>
      </c>
      <c r="D71" s="483">
        <f>IF(F70+SUM(E$17:E70)=D$10,F70,D$10-SUM(E$17:E70))</f>
        <v>0</v>
      </c>
      <c r="E71" s="484">
        <f t="shared" si="7"/>
        <v>0</v>
      </c>
      <c r="F71" s="485">
        <f t="shared" si="8"/>
        <v>0</v>
      </c>
      <c r="G71" s="486">
        <f t="shared" si="9"/>
        <v>0</v>
      </c>
      <c r="H71" s="455">
        <f t="shared" si="10"/>
        <v>0</v>
      </c>
      <c r="I71" s="475">
        <f t="shared" si="0"/>
        <v>0</v>
      </c>
      <c r="J71" s="475"/>
      <c r="K71" s="487"/>
      <c r="L71" s="478">
        <f t="shared" si="1"/>
        <v>0</v>
      </c>
      <c r="M71" s="487"/>
      <c r="N71" s="478">
        <f t="shared" si="2"/>
        <v>0</v>
      </c>
      <c r="O71" s="478">
        <f t="shared" si="3"/>
        <v>0</v>
      </c>
      <c r="P71" s="242"/>
    </row>
    <row r="72" spans="2:16" ht="13" thickBot="1">
      <c r="B72" s="160" t="str">
        <f t="shared" si="5"/>
        <v/>
      </c>
      <c r="C72" s="489">
        <f>IF(D11="","-",+C71+1)</f>
        <v>2072</v>
      </c>
      <c r="D72" s="612">
        <f>IF(F71+SUM(E$17:E71)=D$10,F71,D$10-SUM(E$17:E71))</f>
        <v>0</v>
      </c>
      <c r="E72" s="491">
        <f t="shared" si="7"/>
        <v>0</v>
      </c>
      <c r="F72" s="490">
        <f t="shared" si="8"/>
        <v>0</v>
      </c>
      <c r="G72" s="544">
        <f t="shared" si="9"/>
        <v>0</v>
      </c>
      <c r="H72" s="435">
        <f t="shared" si="10"/>
        <v>0</v>
      </c>
      <c r="I72" s="493">
        <f t="shared" si="0"/>
        <v>0</v>
      </c>
      <c r="J72" s="475"/>
      <c r="K72" s="494"/>
      <c r="L72" s="495">
        <f t="shared" si="1"/>
        <v>0</v>
      </c>
      <c r="M72" s="494"/>
      <c r="N72" s="495">
        <f t="shared" si="2"/>
        <v>0</v>
      </c>
      <c r="O72" s="495">
        <f t="shared" si="3"/>
        <v>0</v>
      </c>
      <c r="P72" s="242"/>
    </row>
    <row r="73" spans="2:16" ht="12.5">
      <c r="C73" s="346" t="s">
        <v>77</v>
      </c>
      <c r="D73" s="347"/>
      <c r="E73" s="347">
        <f>SUM(E17:E72)</f>
        <v>1961221</v>
      </c>
      <c r="F73" s="347"/>
      <c r="G73" s="347">
        <f>SUM(G17:G72)</f>
        <v>6547965.8806497175</v>
      </c>
      <c r="H73" s="347">
        <f>SUM(H17:H72)</f>
        <v>6547965.8806497175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20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153018.85490841107</v>
      </c>
      <c r="N87" s="508">
        <f>IF(J92&lt;D11,0,VLOOKUP(J92,C17:O72,11))</f>
        <v>153018.85490841107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247598.16362509641</v>
      </c>
      <c r="N88" s="512">
        <f>IF(J92&lt;D11,0,VLOOKUP(J92,C99:P154,7))</f>
        <v>247598.16362509641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Sayre 138 kV Capacitor Bank Addition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94579.308716685337</v>
      </c>
      <c r="N89" s="517">
        <f>+N88-N87</f>
        <v>94579.308716685337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TP2015202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1961221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v>12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47835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2018</v>
      </c>
      <c r="D99" s="584">
        <v>0</v>
      </c>
      <c r="E99" s="608">
        <v>0</v>
      </c>
      <c r="F99" s="584">
        <v>1140000</v>
      </c>
      <c r="G99" s="608">
        <v>570000</v>
      </c>
      <c r="H99" s="587">
        <v>72305.937255510624</v>
      </c>
      <c r="I99" s="607">
        <v>72305.937255510624</v>
      </c>
      <c r="J99" s="478">
        <f t="shared" ref="J99:J130" si="11">+I99-H99</f>
        <v>0</v>
      </c>
      <c r="K99" s="478"/>
      <c r="L99" s="477">
        <f>+H99</f>
        <v>72305.937255510624</v>
      </c>
      <c r="M99" s="477">
        <f t="shared" ref="M99:M130" si="12">IF(L99&lt;&gt;0,+H99-L99,0)</f>
        <v>0</v>
      </c>
      <c r="N99" s="477">
        <f>+I99</f>
        <v>72305.937255510624</v>
      </c>
      <c r="O99" s="477">
        <f t="shared" ref="O99:O130" si="13">IF(N99&lt;&gt;0,+I99-N99,0)</f>
        <v>0</v>
      </c>
      <c r="P99" s="477">
        <f t="shared" ref="P99:P130" si="14">+O99-M99</f>
        <v>0</v>
      </c>
    </row>
    <row r="100" spans="1:16" ht="12.5">
      <c r="B100" s="160" t="str">
        <f>IF(D100=F99,"","IU")</f>
        <v>IU</v>
      </c>
      <c r="C100" s="472">
        <f>IF(D93="","-",+C99+1)</f>
        <v>2019</v>
      </c>
      <c r="D100" s="346">
        <f>IF(F99+SUM(E$99:E99)=D$92,F99,D$92-SUM(E$99:E99))</f>
        <v>1961221</v>
      </c>
      <c r="E100" s="484">
        <f t="shared" ref="E100" si="15">IF(+J$96&lt;F99,J$96,D100)</f>
        <v>47835</v>
      </c>
      <c r="F100" s="485">
        <f t="shared" ref="F100" si="16">+D100-E100</f>
        <v>1913386</v>
      </c>
      <c r="G100" s="485">
        <f t="shared" ref="G100" si="17">+(F100+D100)/2</f>
        <v>1937303.5</v>
      </c>
      <c r="H100" s="613">
        <f t="shared" ref="H100" si="18">+J$94*G100+E100</f>
        <v>247598.16362509641</v>
      </c>
      <c r="I100" s="614">
        <f t="shared" ref="I100" si="19">+J$95*G100+E100</f>
        <v>247598.16362509641</v>
      </c>
      <c r="J100" s="478">
        <f t="shared" si="11"/>
        <v>0</v>
      </c>
      <c r="K100" s="478"/>
      <c r="L100" s="476">
        <f>H100</f>
        <v>247598.16362509641</v>
      </c>
      <c r="M100" s="348">
        <f>IF(L100&lt;&gt;0,+H100-L100,0)</f>
        <v>0</v>
      </c>
      <c r="N100" s="476">
        <f>I100</f>
        <v>247598.16362509641</v>
      </c>
      <c r="O100" s="475">
        <f>IF(N100&lt;&gt;0,+I100-N100,0)</f>
        <v>0</v>
      </c>
      <c r="P100" s="478">
        <f>+O100-M100</f>
        <v>0</v>
      </c>
    </row>
    <row r="101" spans="1:16" ht="12.5">
      <c r="B101" s="160" t="str">
        <f t="shared" ref="B101:B154" si="20">IF(D101=F100,"","IU")</f>
        <v/>
      </c>
      <c r="C101" s="472">
        <f>IF(D93="","-",+C100+1)</f>
        <v>2020</v>
      </c>
      <c r="D101" s="346">
        <f>IF(F100+SUM(E$99:E100)=D$92,F100,D$92-SUM(E$99:E100))</f>
        <v>1913386</v>
      </c>
      <c r="E101" s="484">
        <f t="shared" ref="E101:E154" si="21">IF(+J$96&lt;F100,J$96,D101)</f>
        <v>47835</v>
      </c>
      <c r="F101" s="485">
        <f t="shared" ref="F101:F154" si="22">+D101-E101</f>
        <v>1865551</v>
      </c>
      <c r="G101" s="485">
        <f t="shared" ref="G101:G154" si="23">+(F101+D101)/2</f>
        <v>1889468.5</v>
      </c>
      <c r="H101" s="613">
        <f t="shared" ref="H101:H154" si="24">+J$94*G101+E101</f>
        <v>242665.70418752945</v>
      </c>
      <c r="I101" s="614">
        <f t="shared" ref="I101:I154" si="25">+J$95*G101+E101</f>
        <v>242665.70418752945</v>
      </c>
      <c r="J101" s="478">
        <f t="shared" si="11"/>
        <v>0</v>
      </c>
      <c r="K101" s="478"/>
      <c r="L101" s="487"/>
      <c r="M101" s="478">
        <f t="shared" si="12"/>
        <v>0</v>
      </c>
      <c r="N101" s="487"/>
      <c r="O101" s="478">
        <f t="shared" si="13"/>
        <v>0</v>
      </c>
      <c r="P101" s="478">
        <f t="shared" si="14"/>
        <v>0</v>
      </c>
    </row>
    <row r="102" spans="1:16" ht="12.5">
      <c r="B102" s="160" t="str">
        <f t="shared" si="20"/>
        <v/>
      </c>
      <c r="C102" s="472">
        <f>IF(D93="","-",+C101+1)</f>
        <v>2021</v>
      </c>
      <c r="D102" s="346">
        <f>IF(F101+SUM(E$99:E101)=D$92,F101,D$92-SUM(E$99:E101))</f>
        <v>1865551</v>
      </c>
      <c r="E102" s="484">
        <f t="shared" si="21"/>
        <v>47835</v>
      </c>
      <c r="F102" s="485">
        <f t="shared" si="22"/>
        <v>1817716</v>
      </c>
      <c r="G102" s="485">
        <f t="shared" si="23"/>
        <v>1841633.5</v>
      </c>
      <c r="H102" s="613">
        <f t="shared" si="24"/>
        <v>237733.2447499625</v>
      </c>
      <c r="I102" s="614">
        <f t="shared" si="25"/>
        <v>237733.2447499625</v>
      </c>
      <c r="J102" s="478">
        <f t="shared" si="11"/>
        <v>0</v>
      </c>
      <c r="K102" s="478"/>
      <c r="L102" s="487"/>
      <c r="M102" s="478">
        <f t="shared" si="12"/>
        <v>0</v>
      </c>
      <c r="N102" s="487"/>
      <c r="O102" s="478">
        <f t="shared" si="13"/>
        <v>0</v>
      </c>
      <c r="P102" s="478">
        <f t="shared" si="14"/>
        <v>0</v>
      </c>
    </row>
    <row r="103" spans="1:16" ht="12.5">
      <c r="B103" s="160" t="str">
        <f t="shared" si="20"/>
        <v/>
      </c>
      <c r="C103" s="472">
        <f>IF(D93="","-",+C102+1)</f>
        <v>2022</v>
      </c>
      <c r="D103" s="346">
        <f>IF(F102+SUM(E$99:E102)=D$92,F102,D$92-SUM(E$99:E102))</f>
        <v>1817716</v>
      </c>
      <c r="E103" s="484">
        <f t="shared" si="21"/>
        <v>47835</v>
      </c>
      <c r="F103" s="485">
        <f t="shared" si="22"/>
        <v>1769881</v>
      </c>
      <c r="G103" s="485">
        <f t="shared" si="23"/>
        <v>1793798.5</v>
      </c>
      <c r="H103" s="613">
        <f t="shared" si="24"/>
        <v>232800.78531239554</v>
      </c>
      <c r="I103" s="614">
        <f t="shared" si="25"/>
        <v>232800.78531239554</v>
      </c>
      <c r="J103" s="478">
        <f t="shared" si="11"/>
        <v>0</v>
      </c>
      <c r="K103" s="478"/>
      <c r="L103" s="487"/>
      <c r="M103" s="478">
        <f t="shared" si="12"/>
        <v>0</v>
      </c>
      <c r="N103" s="487"/>
      <c r="O103" s="478">
        <f t="shared" si="13"/>
        <v>0</v>
      </c>
      <c r="P103" s="478">
        <f t="shared" si="14"/>
        <v>0</v>
      </c>
    </row>
    <row r="104" spans="1:16" ht="12.5">
      <c r="B104" s="160" t="str">
        <f t="shared" si="20"/>
        <v/>
      </c>
      <c r="C104" s="472">
        <f>IF(D93="","-",+C103+1)</f>
        <v>2023</v>
      </c>
      <c r="D104" s="346">
        <f>IF(F103+SUM(E$99:E103)=D$92,F103,D$92-SUM(E$99:E103))</f>
        <v>1769881</v>
      </c>
      <c r="E104" s="484">
        <f t="shared" si="21"/>
        <v>47835</v>
      </c>
      <c r="F104" s="485">
        <f t="shared" si="22"/>
        <v>1722046</v>
      </c>
      <c r="G104" s="485">
        <f t="shared" si="23"/>
        <v>1745963.5</v>
      </c>
      <c r="H104" s="613">
        <f t="shared" si="24"/>
        <v>227868.32587482859</v>
      </c>
      <c r="I104" s="614">
        <f t="shared" si="25"/>
        <v>227868.32587482859</v>
      </c>
      <c r="J104" s="478">
        <f t="shared" si="11"/>
        <v>0</v>
      </c>
      <c r="K104" s="478"/>
      <c r="L104" s="487"/>
      <c r="M104" s="478">
        <f t="shared" si="12"/>
        <v>0</v>
      </c>
      <c r="N104" s="487"/>
      <c r="O104" s="478">
        <f t="shared" si="13"/>
        <v>0</v>
      </c>
      <c r="P104" s="478">
        <f t="shared" si="14"/>
        <v>0</v>
      </c>
    </row>
    <row r="105" spans="1:16" ht="12.5">
      <c r="B105" s="160" t="str">
        <f t="shared" si="20"/>
        <v/>
      </c>
      <c r="C105" s="472">
        <f>IF(D93="","-",+C104+1)</f>
        <v>2024</v>
      </c>
      <c r="D105" s="346">
        <f>IF(F104+SUM(E$99:E104)=D$92,F104,D$92-SUM(E$99:E104))</f>
        <v>1722046</v>
      </c>
      <c r="E105" s="484">
        <f t="shared" si="21"/>
        <v>47835</v>
      </c>
      <c r="F105" s="485">
        <f t="shared" si="22"/>
        <v>1674211</v>
      </c>
      <c r="G105" s="485">
        <f t="shared" si="23"/>
        <v>1698128.5</v>
      </c>
      <c r="H105" s="613">
        <f t="shared" si="24"/>
        <v>222935.86643726163</v>
      </c>
      <c r="I105" s="614">
        <f t="shared" si="25"/>
        <v>222935.86643726163</v>
      </c>
      <c r="J105" s="478">
        <f t="shared" si="11"/>
        <v>0</v>
      </c>
      <c r="K105" s="478"/>
      <c r="L105" s="487"/>
      <c r="M105" s="478">
        <f t="shared" si="12"/>
        <v>0</v>
      </c>
      <c r="N105" s="487"/>
      <c r="O105" s="478">
        <f t="shared" si="13"/>
        <v>0</v>
      </c>
      <c r="P105" s="478">
        <f t="shared" si="14"/>
        <v>0</v>
      </c>
    </row>
    <row r="106" spans="1:16" ht="12.5">
      <c r="B106" s="160" t="str">
        <f t="shared" si="20"/>
        <v/>
      </c>
      <c r="C106" s="472">
        <f>IF(D93="","-",+C105+1)</f>
        <v>2025</v>
      </c>
      <c r="D106" s="346">
        <f>IF(F105+SUM(E$99:E105)=D$92,F105,D$92-SUM(E$99:E105))</f>
        <v>1674211</v>
      </c>
      <c r="E106" s="484">
        <f t="shared" si="21"/>
        <v>47835</v>
      </c>
      <c r="F106" s="485">
        <f t="shared" si="22"/>
        <v>1626376</v>
      </c>
      <c r="G106" s="485">
        <f t="shared" si="23"/>
        <v>1650293.5</v>
      </c>
      <c r="H106" s="613">
        <f t="shared" si="24"/>
        <v>218003.40699969468</v>
      </c>
      <c r="I106" s="614">
        <f t="shared" si="25"/>
        <v>218003.40699969468</v>
      </c>
      <c r="J106" s="478">
        <f t="shared" si="11"/>
        <v>0</v>
      </c>
      <c r="K106" s="478"/>
      <c r="L106" s="487"/>
      <c r="M106" s="478">
        <f t="shared" si="12"/>
        <v>0</v>
      </c>
      <c r="N106" s="487"/>
      <c r="O106" s="478">
        <f t="shared" si="13"/>
        <v>0</v>
      </c>
      <c r="P106" s="478">
        <f t="shared" si="14"/>
        <v>0</v>
      </c>
    </row>
    <row r="107" spans="1:16" ht="12.5">
      <c r="B107" s="160" t="str">
        <f t="shared" si="20"/>
        <v/>
      </c>
      <c r="C107" s="472">
        <f>IF(D93="","-",+C106+1)</f>
        <v>2026</v>
      </c>
      <c r="D107" s="346">
        <f>IF(F106+SUM(E$99:E106)=D$92,F106,D$92-SUM(E$99:E106))</f>
        <v>1626376</v>
      </c>
      <c r="E107" s="484">
        <f t="shared" si="21"/>
        <v>47835</v>
      </c>
      <c r="F107" s="485">
        <f t="shared" si="22"/>
        <v>1578541</v>
      </c>
      <c r="G107" s="485">
        <f t="shared" si="23"/>
        <v>1602458.5</v>
      </c>
      <c r="H107" s="613">
        <f t="shared" si="24"/>
        <v>213070.94756212775</v>
      </c>
      <c r="I107" s="614">
        <f t="shared" si="25"/>
        <v>213070.94756212775</v>
      </c>
      <c r="J107" s="478">
        <f t="shared" si="11"/>
        <v>0</v>
      </c>
      <c r="K107" s="478"/>
      <c r="L107" s="487"/>
      <c r="M107" s="478">
        <f t="shared" si="12"/>
        <v>0</v>
      </c>
      <c r="N107" s="487"/>
      <c r="O107" s="478">
        <f t="shared" si="13"/>
        <v>0</v>
      </c>
      <c r="P107" s="478">
        <f t="shared" si="14"/>
        <v>0</v>
      </c>
    </row>
    <row r="108" spans="1:16" ht="12.5">
      <c r="B108" s="160" t="str">
        <f t="shared" si="20"/>
        <v/>
      </c>
      <c r="C108" s="472">
        <f>IF(D93="","-",+C107+1)</f>
        <v>2027</v>
      </c>
      <c r="D108" s="346">
        <f>IF(F107+SUM(E$99:E107)=D$92,F107,D$92-SUM(E$99:E107))</f>
        <v>1578541</v>
      </c>
      <c r="E108" s="484">
        <f t="shared" si="21"/>
        <v>47835</v>
      </c>
      <c r="F108" s="485">
        <f t="shared" si="22"/>
        <v>1530706</v>
      </c>
      <c r="G108" s="485">
        <f t="shared" si="23"/>
        <v>1554623.5</v>
      </c>
      <c r="H108" s="613">
        <f t="shared" si="24"/>
        <v>208138.4881245608</v>
      </c>
      <c r="I108" s="614">
        <f t="shared" si="25"/>
        <v>208138.4881245608</v>
      </c>
      <c r="J108" s="478">
        <f t="shared" si="11"/>
        <v>0</v>
      </c>
      <c r="K108" s="478"/>
      <c r="L108" s="487"/>
      <c r="M108" s="478">
        <f t="shared" si="12"/>
        <v>0</v>
      </c>
      <c r="N108" s="487"/>
      <c r="O108" s="478">
        <f t="shared" si="13"/>
        <v>0</v>
      </c>
      <c r="P108" s="478">
        <f t="shared" si="14"/>
        <v>0</v>
      </c>
    </row>
    <row r="109" spans="1:16" ht="12.5">
      <c r="B109" s="160" t="str">
        <f t="shared" si="20"/>
        <v/>
      </c>
      <c r="C109" s="472">
        <f>IF(D93="","-",+C108+1)</f>
        <v>2028</v>
      </c>
      <c r="D109" s="346">
        <f>IF(F108+SUM(E$99:E108)=D$92,F108,D$92-SUM(E$99:E108))</f>
        <v>1530706</v>
      </c>
      <c r="E109" s="484">
        <f t="shared" si="21"/>
        <v>47835</v>
      </c>
      <c r="F109" s="485">
        <f t="shared" si="22"/>
        <v>1482871</v>
      </c>
      <c r="G109" s="485">
        <f t="shared" si="23"/>
        <v>1506788.5</v>
      </c>
      <c r="H109" s="613">
        <f t="shared" si="24"/>
        <v>203206.02868699384</v>
      </c>
      <c r="I109" s="614">
        <f t="shared" si="25"/>
        <v>203206.02868699384</v>
      </c>
      <c r="J109" s="478">
        <f t="shared" si="11"/>
        <v>0</v>
      </c>
      <c r="K109" s="478"/>
      <c r="L109" s="487"/>
      <c r="M109" s="478">
        <f t="shared" si="12"/>
        <v>0</v>
      </c>
      <c r="N109" s="487"/>
      <c r="O109" s="478">
        <f t="shared" si="13"/>
        <v>0</v>
      </c>
      <c r="P109" s="478">
        <f t="shared" si="14"/>
        <v>0</v>
      </c>
    </row>
    <row r="110" spans="1:16" ht="12.5">
      <c r="B110" s="160" t="str">
        <f t="shared" si="20"/>
        <v/>
      </c>
      <c r="C110" s="472">
        <f>IF(D93="","-",+C109+1)</f>
        <v>2029</v>
      </c>
      <c r="D110" s="346">
        <f>IF(F109+SUM(E$99:E109)=D$92,F109,D$92-SUM(E$99:E109))</f>
        <v>1482871</v>
      </c>
      <c r="E110" s="484">
        <f t="shared" si="21"/>
        <v>47835</v>
      </c>
      <c r="F110" s="485">
        <f t="shared" si="22"/>
        <v>1435036</v>
      </c>
      <c r="G110" s="485">
        <f t="shared" si="23"/>
        <v>1458953.5</v>
      </c>
      <c r="H110" s="613">
        <f t="shared" si="24"/>
        <v>198273.56924942689</v>
      </c>
      <c r="I110" s="614">
        <f t="shared" si="25"/>
        <v>198273.56924942689</v>
      </c>
      <c r="J110" s="478">
        <f t="shared" si="11"/>
        <v>0</v>
      </c>
      <c r="K110" s="478"/>
      <c r="L110" s="487"/>
      <c r="M110" s="478">
        <f t="shared" si="12"/>
        <v>0</v>
      </c>
      <c r="N110" s="487"/>
      <c r="O110" s="478">
        <f t="shared" si="13"/>
        <v>0</v>
      </c>
      <c r="P110" s="478">
        <f t="shared" si="14"/>
        <v>0</v>
      </c>
    </row>
    <row r="111" spans="1:16" ht="12.5">
      <c r="B111" s="160" t="str">
        <f t="shared" si="20"/>
        <v/>
      </c>
      <c r="C111" s="472">
        <f>IF(D93="","-",+C110+1)</f>
        <v>2030</v>
      </c>
      <c r="D111" s="346">
        <f>IF(F110+SUM(E$99:E110)=D$92,F110,D$92-SUM(E$99:E110))</f>
        <v>1435036</v>
      </c>
      <c r="E111" s="484">
        <f t="shared" si="21"/>
        <v>47835</v>
      </c>
      <c r="F111" s="485">
        <f t="shared" si="22"/>
        <v>1387201</v>
      </c>
      <c r="G111" s="485">
        <f t="shared" si="23"/>
        <v>1411118.5</v>
      </c>
      <c r="H111" s="613">
        <f t="shared" si="24"/>
        <v>193341.10981185993</v>
      </c>
      <c r="I111" s="614">
        <f t="shared" si="25"/>
        <v>193341.10981185993</v>
      </c>
      <c r="J111" s="478">
        <f t="shared" si="11"/>
        <v>0</v>
      </c>
      <c r="K111" s="478"/>
      <c r="L111" s="487"/>
      <c r="M111" s="478">
        <f t="shared" si="12"/>
        <v>0</v>
      </c>
      <c r="N111" s="487"/>
      <c r="O111" s="478">
        <f t="shared" si="13"/>
        <v>0</v>
      </c>
      <c r="P111" s="478">
        <f t="shared" si="14"/>
        <v>0</v>
      </c>
    </row>
    <row r="112" spans="1:16" ht="12.5">
      <c r="B112" s="160" t="str">
        <f t="shared" si="20"/>
        <v/>
      </c>
      <c r="C112" s="472">
        <f>IF(D93="","-",+C111+1)</f>
        <v>2031</v>
      </c>
      <c r="D112" s="346">
        <f>IF(F111+SUM(E$99:E111)=D$92,F111,D$92-SUM(E$99:E111))</f>
        <v>1387201</v>
      </c>
      <c r="E112" s="484">
        <f t="shared" si="21"/>
        <v>47835</v>
      </c>
      <c r="F112" s="485">
        <f t="shared" si="22"/>
        <v>1339366</v>
      </c>
      <c r="G112" s="485">
        <f t="shared" si="23"/>
        <v>1363283.5</v>
      </c>
      <c r="H112" s="613">
        <f t="shared" si="24"/>
        <v>188408.65037429298</v>
      </c>
      <c r="I112" s="614">
        <f t="shared" si="25"/>
        <v>188408.65037429298</v>
      </c>
      <c r="J112" s="478">
        <f t="shared" si="11"/>
        <v>0</v>
      </c>
      <c r="K112" s="478"/>
      <c r="L112" s="487"/>
      <c r="M112" s="478">
        <f t="shared" si="12"/>
        <v>0</v>
      </c>
      <c r="N112" s="487"/>
      <c r="O112" s="478">
        <f t="shared" si="13"/>
        <v>0</v>
      </c>
      <c r="P112" s="478">
        <f t="shared" si="14"/>
        <v>0</v>
      </c>
    </row>
    <row r="113" spans="2:16" ht="12.5">
      <c r="B113" s="160" t="str">
        <f t="shared" si="20"/>
        <v/>
      </c>
      <c r="C113" s="472">
        <f>IF(D93="","-",+C112+1)</f>
        <v>2032</v>
      </c>
      <c r="D113" s="346">
        <f>IF(F112+SUM(E$99:E112)=D$92,F112,D$92-SUM(E$99:E112))</f>
        <v>1339366</v>
      </c>
      <c r="E113" s="484">
        <f t="shared" si="21"/>
        <v>47835</v>
      </c>
      <c r="F113" s="485">
        <f t="shared" si="22"/>
        <v>1291531</v>
      </c>
      <c r="G113" s="485">
        <f t="shared" si="23"/>
        <v>1315448.5</v>
      </c>
      <c r="H113" s="613">
        <f t="shared" si="24"/>
        <v>183476.19093672602</v>
      </c>
      <c r="I113" s="614">
        <f t="shared" si="25"/>
        <v>183476.19093672602</v>
      </c>
      <c r="J113" s="478">
        <f t="shared" si="11"/>
        <v>0</v>
      </c>
      <c r="K113" s="478"/>
      <c r="L113" s="487"/>
      <c r="M113" s="478">
        <f t="shared" si="12"/>
        <v>0</v>
      </c>
      <c r="N113" s="487"/>
      <c r="O113" s="478">
        <f t="shared" si="13"/>
        <v>0</v>
      </c>
      <c r="P113" s="478">
        <f t="shared" si="14"/>
        <v>0</v>
      </c>
    </row>
    <row r="114" spans="2:16" ht="12.5">
      <c r="B114" s="160" t="str">
        <f t="shared" si="20"/>
        <v/>
      </c>
      <c r="C114" s="472">
        <f>IF(D93="","-",+C113+1)</f>
        <v>2033</v>
      </c>
      <c r="D114" s="346">
        <f>IF(F113+SUM(E$99:E113)=D$92,F113,D$92-SUM(E$99:E113))</f>
        <v>1291531</v>
      </c>
      <c r="E114" s="484">
        <f t="shared" si="21"/>
        <v>47835</v>
      </c>
      <c r="F114" s="485">
        <f t="shared" si="22"/>
        <v>1243696</v>
      </c>
      <c r="G114" s="485">
        <f t="shared" si="23"/>
        <v>1267613.5</v>
      </c>
      <c r="H114" s="613">
        <f t="shared" si="24"/>
        <v>178543.73149915907</v>
      </c>
      <c r="I114" s="614">
        <f t="shared" si="25"/>
        <v>178543.73149915907</v>
      </c>
      <c r="J114" s="478">
        <f t="shared" si="11"/>
        <v>0</v>
      </c>
      <c r="K114" s="478"/>
      <c r="L114" s="487"/>
      <c r="M114" s="478">
        <f t="shared" si="12"/>
        <v>0</v>
      </c>
      <c r="N114" s="487"/>
      <c r="O114" s="478">
        <f t="shared" si="13"/>
        <v>0</v>
      </c>
      <c r="P114" s="478">
        <f t="shared" si="14"/>
        <v>0</v>
      </c>
    </row>
    <row r="115" spans="2:16" ht="12.5">
      <c r="B115" s="160" t="str">
        <f t="shared" si="20"/>
        <v/>
      </c>
      <c r="C115" s="472">
        <f>IF(D93="","-",+C114+1)</f>
        <v>2034</v>
      </c>
      <c r="D115" s="346">
        <f>IF(F114+SUM(E$99:E114)=D$92,F114,D$92-SUM(E$99:E114))</f>
        <v>1243696</v>
      </c>
      <c r="E115" s="484">
        <f t="shared" si="21"/>
        <v>47835</v>
      </c>
      <c r="F115" s="485">
        <f t="shared" si="22"/>
        <v>1195861</v>
      </c>
      <c r="G115" s="485">
        <f t="shared" si="23"/>
        <v>1219778.5</v>
      </c>
      <c r="H115" s="613">
        <f t="shared" si="24"/>
        <v>173611.27206159214</v>
      </c>
      <c r="I115" s="614">
        <f t="shared" si="25"/>
        <v>173611.27206159214</v>
      </c>
      <c r="J115" s="478">
        <f t="shared" si="11"/>
        <v>0</v>
      </c>
      <c r="K115" s="478"/>
      <c r="L115" s="487"/>
      <c r="M115" s="478">
        <f t="shared" si="12"/>
        <v>0</v>
      </c>
      <c r="N115" s="487"/>
      <c r="O115" s="478">
        <f t="shared" si="13"/>
        <v>0</v>
      </c>
      <c r="P115" s="478">
        <f t="shared" si="14"/>
        <v>0</v>
      </c>
    </row>
    <row r="116" spans="2:16" ht="12.5">
      <c r="B116" s="160" t="str">
        <f t="shared" si="20"/>
        <v/>
      </c>
      <c r="C116" s="472">
        <f>IF(D93="","-",+C115+1)</f>
        <v>2035</v>
      </c>
      <c r="D116" s="346">
        <f>IF(F115+SUM(E$99:E115)=D$92,F115,D$92-SUM(E$99:E115))</f>
        <v>1195861</v>
      </c>
      <c r="E116" s="484">
        <f t="shared" si="21"/>
        <v>47835</v>
      </c>
      <c r="F116" s="485">
        <f t="shared" si="22"/>
        <v>1148026</v>
      </c>
      <c r="G116" s="485">
        <f t="shared" si="23"/>
        <v>1171943.5</v>
      </c>
      <c r="H116" s="613">
        <f t="shared" si="24"/>
        <v>168678.81262402516</v>
      </c>
      <c r="I116" s="614">
        <f t="shared" si="25"/>
        <v>168678.81262402516</v>
      </c>
      <c r="J116" s="478">
        <f t="shared" si="11"/>
        <v>0</v>
      </c>
      <c r="K116" s="478"/>
      <c r="L116" s="487"/>
      <c r="M116" s="478">
        <f t="shared" si="12"/>
        <v>0</v>
      </c>
      <c r="N116" s="487"/>
      <c r="O116" s="478">
        <f t="shared" si="13"/>
        <v>0</v>
      </c>
      <c r="P116" s="478">
        <f t="shared" si="14"/>
        <v>0</v>
      </c>
    </row>
    <row r="117" spans="2:16" ht="12.5">
      <c r="B117" s="160" t="str">
        <f t="shared" si="20"/>
        <v/>
      </c>
      <c r="C117" s="472">
        <f>IF(D93="","-",+C116+1)</f>
        <v>2036</v>
      </c>
      <c r="D117" s="346">
        <f>IF(F116+SUM(E$99:E116)=D$92,F116,D$92-SUM(E$99:E116))</f>
        <v>1148026</v>
      </c>
      <c r="E117" s="484">
        <f t="shared" si="21"/>
        <v>47835</v>
      </c>
      <c r="F117" s="485">
        <f t="shared" si="22"/>
        <v>1100191</v>
      </c>
      <c r="G117" s="485">
        <f t="shared" si="23"/>
        <v>1124108.5</v>
      </c>
      <c r="H117" s="613">
        <f t="shared" si="24"/>
        <v>163746.35318645823</v>
      </c>
      <c r="I117" s="614">
        <f t="shared" si="25"/>
        <v>163746.35318645823</v>
      </c>
      <c r="J117" s="478">
        <f t="shared" si="11"/>
        <v>0</v>
      </c>
      <c r="K117" s="478"/>
      <c r="L117" s="487"/>
      <c r="M117" s="478">
        <f t="shared" si="12"/>
        <v>0</v>
      </c>
      <c r="N117" s="487"/>
      <c r="O117" s="478">
        <f t="shared" si="13"/>
        <v>0</v>
      </c>
      <c r="P117" s="478">
        <f t="shared" si="14"/>
        <v>0</v>
      </c>
    </row>
    <row r="118" spans="2:16" ht="12.5">
      <c r="B118" s="160" t="str">
        <f t="shared" si="20"/>
        <v/>
      </c>
      <c r="C118" s="472">
        <f>IF(D93="","-",+C117+1)</f>
        <v>2037</v>
      </c>
      <c r="D118" s="346">
        <f>IF(F117+SUM(E$99:E117)=D$92,F117,D$92-SUM(E$99:E117))</f>
        <v>1100191</v>
      </c>
      <c r="E118" s="484">
        <f t="shared" si="21"/>
        <v>47835</v>
      </c>
      <c r="F118" s="485">
        <f t="shared" si="22"/>
        <v>1052356</v>
      </c>
      <c r="G118" s="485">
        <f t="shared" si="23"/>
        <v>1076273.5</v>
      </c>
      <c r="H118" s="613">
        <f t="shared" si="24"/>
        <v>158813.89374889128</v>
      </c>
      <c r="I118" s="614">
        <f t="shared" si="25"/>
        <v>158813.89374889128</v>
      </c>
      <c r="J118" s="478">
        <f t="shared" si="11"/>
        <v>0</v>
      </c>
      <c r="K118" s="478"/>
      <c r="L118" s="487"/>
      <c r="M118" s="478">
        <f t="shared" si="12"/>
        <v>0</v>
      </c>
      <c r="N118" s="487"/>
      <c r="O118" s="478">
        <f t="shared" si="13"/>
        <v>0</v>
      </c>
      <c r="P118" s="478">
        <f t="shared" si="14"/>
        <v>0</v>
      </c>
    </row>
    <row r="119" spans="2:16" ht="12.5">
      <c r="B119" s="160" t="str">
        <f t="shared" si="20"/>
        <v/>
      </c>
      <c r="C119" s="472">
        <f>IF(D93="","-",+C118+1)</f>
        <v>2038</v>
      </c>
      <c r="D119" s="346">
        <f>IF(F118+SUM(E$99:E118)=D$92,F118,D$92-SUM(E$99:E118))</f>
        <v>1052356</v>
      </c>
      <c r="E119" s="484">
        <f t="shared" si="21"/>
        <v>47835</v>
      </c>
      <c r="F119" s="485">
        <f t="shared" si="22"/>
        <v>1004521</v>
      </c>
      <c r="G119" s="485">
        <f t="shared" si="23"/>
        <v>1028438.5</v>
      </c>
      <c r="H119" s="613">
        <f t="shared" si="24"/>
        <v>153881.43431132432</v>
      </c>
      <c r="I119" s="614">
        <f t="shared" si="25"/>
        <v>153881.43431132432</v>
      </c>
      <c r="J119" s="478">
        <f t="shared" si="11"/>
        <v>0</v>
      </c>
      <c r="K119" s="478"/>
      <c r="L119" s="487"/>
      <c r="M119" s="478">
        <f t="shared" si="12"/>
        <v>0</v>
      </c>
      <c r="N119" s="487"/>
      <c r="O119" s="478">
        <f t="shared" si="13"/>
        <v>0</v>
      </c>
      <c r="P119" s="478">
        <f t="shared" si="14"/>
        <v>0</v>
      </c>
    </row>
    <row r="120" spans="2:16" ht="12.5">
      <c r="B120" s="160" t="str">
        <f t="shared" si="20"/>
        <v/>
      </c>
      <c r="C120" s="472">
        <f>IF(D93="","-",+C119+1)</f>
        <v>2039</v>
      </c>
      <c r="D120" s="346">
        <f>IF(F119+SUM(E$99:E119)=D$92,F119,D$92-SUM(E$99:E119))</f>
        <v>1004521</v>
      </c>
      <c r="E120" s="484">
        <f t="shared" si="21"/>
        <v>47835</v>
      </c>
      <c r="F120" s="485">
        <f t="shared" si="22"/>
        <v>956686</v>
      </c>
      <c r="G120" s="485">
        <f t="shared" si="23"/>
        <v>980603.5</v>
      </c>
      <c r="H120" s="613">
        <f t="shared" si="24"/>
        <v>148948.97487375737</v>
      </c>
      <c r="I120" s="614">
        <f t="shared" si="25"/>
        <v>148948.97487375737</v>
      </c>
      <c r="J120" s="478">
        <f t="shared" si="11"/>
        <v>0</v>
      </c>
      <c r="K120" s="478"/>
      <c r="L120" s="487"/>
      <c r="M120" s="478">
        <f t="shared" si="12"/>
        <v>0</v>
      </c>
      <c r="N120" s="487"/>
      <c r="O120" s="478">
        <f t="shared" si="13"/>
        <v>0</v>
      </c>
      <c r="P120" s="478">
        <f t="shared" si="14"/>
        <v>0</v>
      </c>
    </row>
    <row r="121" spans="2:16" ht="12.5">
      <c r="B121" s="160" t="str">
        <f t="shared" si="20"/>
        <v/>
      </c>
      <c r="C121" s="472">
        <f>IF(D93="","-",+C120+1)</f>
        <v>2040</v>
      </c>
      <c r="D121" s="346">
        <f>IF(F120+SUM(E$99:E120)=D$92,F120,D$92-SUM(E$99:E120))</f>
        <v>956686</v>
      </c>
      <c r="E121" s="484">
        <f t="shared" si="21"/>
        <v>47835</v>
      </c>
      <c r="F121" s="485">
        <f t="shared" si="22"/>
        <v>908851</v>
      </c>
      <c r="G121" s="485">
        <f t="shared" si="23"/>
        <v>932768.5</v>
      </c>
      <c r="H121" s="613">
        <f t="shared" si="24"/>
        <v>144016.51543619041</v>
      </c>
      <c r="I121" s="614">
        <f t="shared" si="25"/>
        <v>144016.51543619041</v>
      </c>
      <c r="J121" s="478">
        <f t="shared" si="11"/>
        <v>0</v>
      </c>
      <c r="K121" s="478"/>
      <c r="L121" s="487"/>
      <c r="M121" s="478">
        <f t="shared" si="12"/>
        <v>0</v>
      </c>
      <c r="N121" s="487"/>
      <c r="O121" s="478">
        <f t="shared" si="13"/>
        <v>0</v>
      </c>
      <c r="P121" s="478">
        <f t="shared" si="14"/>
        <v>0</v>
      </c>
    </row>
    <row r="122" spans="2:16" ht="12.5">
      <c r="B122" s="160" t="str">
        <f t="shared" si="20"/>
        <v/>
      </c>
      <c r="C122" s="472">
        <f>IF(D93="","-",+C121+1)</f>
        <v>2041</v>
      </c>
      <c r="D122" s="346">
        <f>IF(F121+SUM(E$99:E121)=D$92,F121,D$92-SUM(E$99:E121))</f>
        <v>908851</v>
      </c>
      <c r="E122" s="484">
        <f t="shared" si="21"/>
        <v>47835</v>
      </c>
      <c r="F122" s="485">
        <f t="shared" si="22"/>
        <v>861016</v>
      </c>
      <c r="G122" s="485">
        <f t="shared" si="23"/>
        <v>884933.5</v>
      </c>
      <c r="H122" s="613">
        <f t="shared" si="24"/>
        <v>139084.05599862349</v>
      </c>
      <c r="I122" s="614">
        <f t="shared" si="25"/>
        <v>139084.05599862349</v>
      </c>
      <c r="J122" s="478">
        <f t="shared" si="11"/>
        <v>0</v>
      </c>
      <c r="K122" s="478"/>
      <c r="L122" s="487"/>
      <c r="M122" s="478">
        <f t="shared" si="12"/>
        <v>0</v>
      </c>
      <c r="N122" s="487"/>
      <c r="O122" s="478">
        <f t="shared" si="13"/>
        <v>0</v>
      </c>
      <c r="P122" s="478">
        <f t="shared" si="14"/>
        <v>0</v>
      </c>
    </row>
    <row r="123" spans="2:16" ht="12.5">
      <c r="B123" s="160" t="str">
        <f t="shared" si="20"/>
        <v/>
      </c>
      <c r="C123" s="472">
        <f>IF(D93="","-",+C122+1)</f>
        <v>2042</v>
      </c>
      <c r="D123" s="346">
        <f>IF(F122+SUM(E$99:E122)=D$92,F122,D$92-SUM(E$99:E122))</f>
        <v>861016</v>
      </c>
      <c r="E123" s="484">
        <f t="shared" si="21"/>
        <v>47835</v>
      </c>
      <c r="F123" s="485">
        <f t="shared" si="22"/>
        <v>813181</v>
      </c>
      <c r="G123" s="485">
        <f t="shared" si="23"/>
        <v>837098.5</v>
      </c>
      <c r="H123" s="613">
        <f t="shared" si="24"/>
        <v>134151.5965610565</v>
      </c>
      <c r="I123" s="614">
        <f t="shared" si="25"/>
        <v>134151.5965610565</v>
      </c>
      <c r="J123" s="478">
        <f t="shared" si="11"/>
        <v>0</v>
      </c>
      <c r="K123" s="478"/>
      <c r="L123" s="487"/>
      <c r="M123" s="478">
        <f t="shared" si="12"/>
        <v>0</v>
      </c>
      <c r="N123" s="487"/>
      <c r="O123" s="478">
        <f t="shared" si="13"/>
        <v>0</v>
      </c>
      <c r="P123" s="478">
        <f t="shared" si="14"/>
        <v>0</v>
      </c>
    </row>
    <row r="124" spans="2:16" ht="12.5">
      <c r="B124" s="160" t="str">
        <f t="shared" si="20"/>
        <v/>
      </c>
      <c r="C124" s="472">
        <f>IF(D93="","-",+C123+1)</f>
        <v>2043</v>
      </c>
      <c r="D124" s="346">
        <f>IF(F123+SUM(E$99:E123)=D$92,F123,D$92-SUM(E$99:E123))</f>
        <v>813181</v>
      </c>
      <c r="E124" s="484">
        <f t="shared" si="21"/>
        <v>47835</v>
      </c>
      <c r="F124" s="485">
        <f t="shared" si="22"/>
        <v>765346</v>
      </c>
      <c r="G124" s="485">
        <f t="shared" si="23"/>
        <v>789263.5</v>
      </c>
      <c r="H124" s="613">
        <f t="shared" si="24"/>
        <v>129219.13712348956</v>
      </c>
      <c r="I124" s="614">
        <f t="shared" si="25"/>
        <v>129219.13712348956</v>
      </c>
      <c r="J124" s="478">
        <f t="shared" si="11"/>
        <v>0</v>
      </c>
      <c r="K124" s="478"/>
      <c r="L124" s="487"/>
      <c r="M124" s="478">
        <f t="shared" si="12"/>
        <v>0</v>
      </c>
      <c r="N124" s="487"/>
      <c r="O124" s="478">
        <f t="shared" si="13"/>
        <v>0</v>
      </c>
      <c r="P124" s="478">
        <f t="shared" si="14"/>
        <v>0</v>
      </c>
    </row>
    <row r="125" spans="2:16" ht="12.5">
      <c r="B125" s="160" t="str">
        <f t="shared" si="20"/>
        <v/>
      </c>
      <c r="C125" s="472">
        <f>IF(D93="","-",+C124+1)</f>
        <v>2044</v>
      </c>
      <c r="D125" s="346">
        <f>IF(F124+SUM(E$99:E124)=D$92,F124,D$92-SUM(E$99:E124))</f>
        <v>765346</v>
      </c>
      <c r="E125" s="484">
        <f t="shared" si="21"/>
        <v>47835</v>
      </c>
      <c r="F125" s="485">
        <f t="shared" si="22"/>
        <v>717511</v>
      </c>
      <c r="G125" s="485">
        <f t="shared" si="23"/>
        <v>741428.5</v>
      </c>
      <c r="H125" s="613">
        <f t="shared" si="24"/>
        <v>124286.67768592262</v>
      </c>
      <c r="I125" s="614">
        <f t="shared" si="25"/>
        <v>124286.67768592262</v>
      </c>
      <c r="J125" s="478">
        <f t="shared" si="11"/>
        <v>0</v>
      </c>
      <c r="K125" s="478"/>
      <c r="L125" s="487"/>
      <c r="M125" s="478">
        <f t="shared" si="12"/>
        <v>0</v>
      </c>
      <c r="N125" s="487"/>
      <c r="O125" s="478">
        <f t="shared" si="13"/>
        <v>0</v>
      </c>
      <c r="P125" s="478">
        <f t="shared" si="14"/>
        <v>0</v>
      </c>
    </row>
    <row r="126" spans="2:16" ht="12.5">
      <c r="B126" s="160" t="str">
        <f t="shared" si="20"/>
        <v/>
      </c>
      <c r="C126" s="472">
        <f>IF(D93="","-",+C125+1)</f>
        <v>2045</v>
      </c>
      <c r="D126" s="346">
        <f>IF(F125+SUM(E$99:E125)=D$92,F125,D$92-SUM(E$99:E125))</f>
        <v>717511</v>
      </c>
      <c r="E126" s="484">
        <f t="shared" si="21"/>
        <v>47835</v>
      </c>
      <c r="F126" s="485">
        <f t="shared" si="22"/>
        <v>669676</v>
      </c>
      <c r="G126" s="485">
        <f t="shared" si="23"/>
        <v>693593.5</v>
      </c>
      <c r="H126" s="613">
        <f t="shared" si="24"/>
        <v>119354.21824835567</v>
      </c>
      <c r="I126" s="614">
        <f t="shared" si="25"/>
        <v>119354.21824835567</v>
      </c>
      <c r="J126" s="478">
        <f t="shared" si="11"/>
        <v>0</v>
      </c>
      <c r="K126" s="478"/>
      <c r="L126" s="487"/>
      <c r="M126" s="478">
        <f t="shared" si="12"/>
        <v>0</v>
      </c>
      <c r="N126" s="487"/>
      <c r="O126" s="478">
        <f t="shared" si="13"/>
        <v>0</v>
      </c>
      <c r="P126" s="478">
        <f t="shared" si="14"/>
        <v>0</v>
      </c>
    </row>
    <row r="127" spans="2:16" ht="12.5">
      <c r="B127" s="160" t="str">
        <f t="shared" si="20"/>
        <v/>
      </c>
      <c r="C127" s="472">
        <f>IF(D93="","-",+C126+1)</f>
        <v>2046</v>
      </c>
      <c r="D127" s="346">
        <f>IF(F126+SUM(E$99:E126)=D$92,F126,D$92-SUM(E$99:E126))</f>
        <v>669676</v>
      </c>
      <c r="E127" s="484">
        <f t="shared" si="21"/>
        <v>47835</v>
      </c>
      <c r="F127" s="485">
        <f t="shared" si="22"/>
        <v>621841</v>
      </c>
      <c r="G127" s="485">
        <f t="shared" si="23"/>
        <v>645758.5</v>
      </c>
      <c r="H127" s="613">
        <f t="shared" si="24"/>
        <v>114421.75881078871</v>
      </c>
      <c r="I127" s="614">
        <f t="shared" si="25"/>
        <v>114421.75881078871</v>
      </c>
      <c r="J127" s="478">
        <f t="shared" si="11"/>
        <v>0</v>
      </c>
      <c r="K127" s="478"/>
      <c r="L127" s="487"/>
      <c r="M127" s="478">
        <f t="shared" si="12"/>
        <v>0</v>
      </c>
      <c r="N127" s="487"/>
      <c r="O127" s="478">
        <f t="shared" si="13"/>
        <v>0</v>
      </c>
      <c r="P127" s="478">
        <f t="shared" si="14"/>
        <v>0</v>
      </c>
    </row>
    <row r="128" spans="2:16" ht="12.5">
      <c r="B128" s="160" t="str">
        <f t="shared" si="20"/>
        <v/>
      </c>
      <c r="C128" s="472">
        <f>IF(D93="","-",+C127+1)</f>
        <v>2047</v>
      </c>
      <c r="D128" s="346">
        <f>IF(F127+SUM(E$99:E127)=D$92,F127,D$92-SUM(E$99:E127))</f>
        <v>621841</v>
      </c>
      <c r="E128" s="484">
        <f t="shared" si="21"/>
        <v>47835</v>
      </c>
      <c r="F128" s="485">
        <f t="shared" si="22"/>
        <v>574006</v>
      </c>
      <c r="G128" s="485">
        <f t="shared" si="23"/>
        <v>597923.5</v>
      </c>
      <c r="H128" s="613">
        <f t="shared" si="24"/>
        <v>109489.29937322176</v>
      </c>
      <c r="I128" s="614">
        <f t="shared" si="25"/>
        <v>109489.29937322176</v>
      </c>
      <c r="J128" s="478">
        <f t="shared" si="11"/>
        <v>0</v>
      </c>
      <c r="K128" s="478"/>
      <c r="L128" s="487"/>
      <c r="M128" s="478">
        <f t="shared" si="12"/>
        <v>0</v>
      </c>
      <c r="N128" s="487"/>
      <c r="O128" s="478">
        <f t="shared" si="13"/>
        <v>0</v>
      </c>
      <c r="P128" s="478">
        <f t="shared" si="14"/>
        <v>0</v>
      </c>
    </row>
    <row r="129" spans="2:16" ht="12.5">
      <c r="B129" s="160" t="str">
        <f t="shared" si="20"/>
        <v/>
      </c>
      <c r="C129" s="472">
        <f>IF(D93="","-",+C128+1)</f>
        <v>2048</v>
      </c>
      <c r="D129" s="346">
        <f>IF(F128+SUM(E$99:E128)=D$92,F128,D$92-SUM(E$99:E128))</f>
        <v>574006</v>
      </c>
      <c r="E129" s="484">
        <f t="shared" si="21"/>
        <v>47835</v>
      </c>
      <c r="F129" s="485">
        <f t="shared" si="22"/>
        <v>526171</v>
      </c>
      <c r="G129" s="485">
        <f t="shared" si="23"/>
        <v>550088.5</v>
      </c>
      <c r="H129" s="613">
        <f t="shared" si="24"/>
        <v>104556.8399356548</v>
      </c>
      <c r="I129" s="614">
        <f t="shared" si="25"/>
        <v>104556.8399356548</v>
      </c>
      <c r="J129" s="478">
        <f t="shared" si="11"/>
        <v>0</v>
      </c>
      <c r="K129" s="478"/>
      <c r="L129" s="487"/>
      <c r="M129" s="478">
        <f t="shared" si="12"/>
        <v>0</v>
      </c>
      <c r="N129" s="487"/>
      <c r="O129" s="478">
        <f t="shared" si="13"/>
        <v>0</v>
      </c>
      <c r="P129" s="478">
        <f t="shared" si="14"/>
        <v>0</v>
      </c>
    </row>
    <row r="130" spans="2:16" ht="12.5">
      <c r="B130" s="160" t="str">
        <f t="shared" si="20"/>
        <v/>
      </c>
      <c r="C130" s="472">
        <f>IF(D93="","-",+C129+1)</f>
        <v>2049</v>
      </c>
      <c r="D130" s="346">
        <f>IF(F129+SUM(E$99:E129)=D$92,F129,D$92-SUM(E$99:E129))</f>
        <v>526171</v>
      </c>
      <c r="E130" s="484">
        <f t="shared" si="21"/>
        <v>47835</v>
      </c>
      <c r="F130" s="485">
        <f t="shared" si="22"/>
        <v>478336</v>
      </c>
      <c r="G130" s="485">
        <f t="shared" si="23"/>
        <v>502253.5</v>
      </c>
      <c r="H130" s="613">
        <f t="shared" si="24"/>
        <v>99624.380498087863</v>
      </c>
      <c r="I130" s="614">
        <f t="shared" si="25"/>
        <v>99624.380498087863</v>
      </c>
      <c r="J130" s="478">
        <f t="shared" si="11"/>
        <v>0</v>
      </c>
      <c r="K130" s="478"/>
      <c r="L130" s="487"/>
      <c r="M130" s="478">
        <f t="shared" si="12"/>
        <v>0</v>
      </c>
      <c r="N130" s="487"/>
      <c r="O130" s="478">
        <f t="shared" si="13"/>
        <v>0</v>
      </c>
      <c r="P130" s="478">
        <f t="shared" si="14"/>
        <v>0</v>
      </c>
    </row>
    <row r="131" spans="2:16" ht="12.5">
      <c r="B131" s="160" t="str">
        <f t="shared" si="20"/>
        <v/>
      </c>
      <c r="C131" s="472">
        <f>IF(D93="","-",+C130+1)</f>
        <v>2050</v>
      </c>
      <c r="D131" s="346">
        <f>IF(F130+SUM(E$99:E130)=D$92,F130,D$92-SUM(E$99:E130))</f>
        <v>478336</v>
      </c>
      <c r="E131" s="484">
        <f t="shared" si="21"/>
        <v>47835</v>
      </c>
      <c r="F131" s="485">
        <f t="shared" si="22"/>
        <v>430501</v>
      </c>
      <c r="G131" s="485">
        <f t="shared" si="23"/>
        <v>454418.5</v>
      </c>
      <c r="H131" s="613">
        <f t="shared" si="24"/>
        <v>94691.921060520908</v>
      </c>
      <c r="I131" s="614">
        <f t="shared" si="25"/>
        <v>94691.921060520908</v>
      </c>
      <c r="J131" s="478">
        <f t="shared" ref="J131:J154" si="26">+I541-H541</f>
        <v>0</v>
      </c>
      <c r="K131" s="478"/>
      <c r="L131" s="487"/>
      <c r="M131" s="478">
        <f t="shared" ref="M131:M154" si="27">IF(L541&lt;&gt;0,+H541-L541,0)</f>
        <v>0</v>
      </c>
      <c r="N131" s="487"/>
      <c r="O131" s="478">
        <f t="shared" ref="O131:O154" si="28">IF(N541&lt;&gt;0,+I541-N541,0)</f>
        <v>0</v>
      </c>
      <c r="P131" s="478">
        <f t="shared" ref="P131:P154" si="29">+O541-M541</f>
        <v>0</v>
      </c>
    </row>
    <row r="132" spans="2:16" ht="12.5">
      <c r="B132" s="160" t="str">
        <f t="shared" si="20"/>
        <v/>
      </c>
      <c r="C132" s="472">
        <f>IF(D93="","-",+C131+1)</f>
        <v>2051</v>
      </c>
      <c r="D132" s="346">
        <f>IF(F131+SUM(E$99:E131)=D$92,F131,D$92-SUM(E$99:E131))</f>
        <v>430501</v>
      </c>
      <c r="E132" s="484">
        <f t="shared" si="21"/>
        <v>47835</v>
      </c>
      <c r="F132" s="485">
        <f t="shared" si="22"/>
        <v>382666</v>
      </c>
      <c r="G132" s="485">
        <f t="shared" si="23"/>
        <v>406583.5</v>
      </c>
      <c r="H132" s="613">
        <f t="shared" si="24"/>
        <v>89759.461622953968</v>
      </c>
      <c r="I132" s="614">
        <f t="shared" si="25"/>
        <v>89759.461622953968</v>
      </c>
      <c r="J132" s="478">
        <f t="shared" si="26"/>
        <v>0</v>
      </c>
      <c r="K132" s="478"/>
      <c r="L132" s="487"/>
      <c r="M132" s="478">
        <f t="shared" si="27"/>
        <v>0</v>
      </c>
      <c r="N132" s="487"/>
      <c r="O132" s="478">
        <f t="shared" si="28"/>
        <v>0</v>
      </c>
      <c r="P132" s="478">
        <f t="shared" si="29"/>
        <v>0</v>
      </c>
    </row>
    <row r="133" spans="2:16" ht="12.5">
      <c r="B133" s="160" t="str">
        <f t="shared" si="20"/>
        <v/>
      </c>
      <c r="C133" s="472">
        <f>IF(D93="","-",+C132+1)</f>
        <v>2052</v>
      </c>
      <c r="D133" s="346">
        <f>IF(F132+SUM(E$99:E132)=D$92,F132,D$92-SUM(E$99:E132))</f>
        <v>382666</v>
      </c>
      <c r="E133" s="484">
        <f t="shared" si="21"/>
        <v>47835</v>
      </c>
      <c r="F133" s="485">
        <f t="shared" si="22"/>
        <v>334831</v>
      </c>
      <c r="G133" s="485">
        <f t="shared" si="23"/>
        <v>358748.5</v>
      </c>
      <c r="H133" s="613">
        <f t="shared" si="24"/>
        <v>84827.002185387013</v>
      </c>
      <c r="I133" s="614">
        <f t="shared" si="25"/>
        <v>84827.002185387013</v>
      </c>
      <c r="J133" s="478">
        <f t="shared" si="26"/>
        <v>0</v>
      </c>
      <c r="K133" s="478"/>
      <c r="L133" s="487"/>
      <c r="M133" s="478">
        <f t="shared" si="27"/>
        <v>0</v>
      </c>
      <c r="N133" s="487"/>
      <c r="O133" s="478">
        <f t="shared" si="28"/>
        <v>0</v>
      </c>
      <c r="P133" s="478">
        <f t="shared" si="29"/>
        <v>0</v>
      </c>
    </row>
    <row r="134" spans="2:16" ht="12.5">
      <c r="B134" s="160" t="str">
        <f t="shared" si="20"/>
        <v/>
      </c>
      <c r="C134" s="472">
        <f>IF(D93="","-",+C133+1)</f>
        <v>2053</v>
      </c>
      <c r="D134" s="346">
        <f>IF(F133+SUM(E$99:E133)=D$92,F133,D$92-SUM(E$99:E133))</f>
        <v>334831</v>
      </c>
      <c r="E134" s="484">
        <f t="shared" si="21"/>
        <v>47835</v>
      </c>
      <c r="F134" s="485">
        <f t="shared" si="22"/>
        <v>286996</v>
      </c>
      <c r="G134" s="485">
        <f t="shared" si="23"/>
        <v>310913.5</v>
      </c>
      <c r="H134" s="613">
        <f t="shared" si="24"/>
        <v>79894.542747820058</v>
      </c>
      <c r="I134" s="614">
        <f t="shared" si="25"/>
        <v>79894.542747820058</v>
      </c>
      <c r="J134" s="478">
        <f t="shared" si="26"/>
        <v>0</v>
      </c>
      <c r="K134" s="478"/>
      <c r="L134" s="487"/>
      <c r="M134" s="478">
        <f t="shared" si="27"/>
        <v>0</v>
      </c>
      <c r="N134" s="487"/>
      <c r="O134" s="478">
        <f t="shared" si="28"/>
        <v>0</v>
      </c>
      <c r="P134" s="478">
        <f t="shared" si="29"/>
        <v>0</v>
      </c>
    </row>
    <row r="135" spans="2:16" ht="12.5">
      <c r="B135" s="160" t="str">
        <f t="shared" si="20"/>
        <v/>
      </c>
      <c r="C135" s="472">
        <f>IF(D93="","-",+C134+1)</f>
        <v>2054</v>
      </c>
      <c r="D135" s="346">
        <f>IF(F134+SUM(E$99:E134)=D$92,F134,D$92-SUM(E$99:E134))</f>
        <v>286996</v>
      </c>
      <c r="E135" s="484">
        <f t="shared" si="21"/>
        <v>47835</v>
      </c>
      <c r="F135" s="485">
        <f t="shared" si="22"/>
        <v>239161</v>
      </c>
      <c r="G135" s="485">
        <f t="shared" si="23"/>
        <v>263078.5</v>
      </c>
      <c r="H135" s="613">
        <f t="shared" si="24"/>
        <v>74962.083310253103</v>
      </c>
      <c r="I135" s="614">
        <f t="shared" si="25"/>
        <v>74962.083310253103</v>
      </c>
      <c r="J135" s="478">
        <f t="shared" si="26"/>
        <v>0</v>
      </c>
      <c r="K135" s="478"/>
      <c r="L135" s="487"/>
      <c r="M135" s="478">
        <f t="shared" si="27"/>
        <v>0</v>
      </c>
      <c r="N135" s="487"/>
      <c r="O135" s="478">
        <f t="shared" si="28"/>
        <v>0</v>
      </c>
      <c r="P135" s="478">
        <f t="shared" si="29"/>
        <v>0</v>
      </c>
    </row>
    <row r="136" spans="2:16" ht="12.5">
      <c r="B136" s="160" t="str">
        <f t="shared" si="20"/>
        <v/>
      </c>
      <c r="C136" s="472">
        <f>IF(D93="","-",+C135+1)</f>
        <v>2055</v>
      </c>
      <c r="D136" s="346">
        <f>IF(F135+SUM(E$99:E135)=D$92,F135,D$92-SUM(E$99:E135))</f>
        <v>239161</v>
      </c>
      <c r="E136" s="484">
        <f t="shared" si="21"/>
        <v>47835</v>
      </c>
      <c r="F136" s="485">
        <f t="shared" si="22"/>
        <v>191326</v>
      </c>
      <c r="G136" s="485">
        <f t="shared" si="23"/>
        <v>215243.5</v>
      </c>
      <c r="H136" s="613">
        <f t="shared" si="24"/>
        <v>70029.623872686148</v>
      </c>
      <c r="I136" s="614">
        <f t="shared" si="25"/>
        <v>70029.623872686148</v>
      </c>
      <c r="J136" s="478">
        <f t="shared" si="26"/>
        <v>0</v>
      </c>
      <c r="K136" s="478"/>
      <c r="L136" s="487"/>
      <c r="M136" s="478">
        <f t="shared" si="27"/>
        <v>0</v>
      </c>
      <c r="N136" s="487"/>
      <c r="O136" s="478">
        <f t="shared" si="28"/>
        <v>0</v>
      </c>
      <c r="P136" s="478">
        <f t="shared" si="29"/>
        <v>0</v>
      </c>
    </row>
    <row r="137" spans="2:16" ht="12.5">
      <c r="B137" s="160" t="str">
        <f t="shared" si="20"/>
        <v/>
      </c>
      <c r="C137" s="472">
        <f>IF(D93="","-",+C136+1)</f>
        <v>2056</v>
      </c>
      <c r="D137" s="346">
        <f>IF(F136+SUM(E$99:E136)=D$92,F136,D$92-SUM(E$99:E136))</f>
        <v>191326</v>
      </c>
      <c r="E137" s="484">
        <f t="shared" si="21"/>
        <v>47835</v>
      </c>
      <c r="F137" s="485">
        <f t="shared" si="22"/>
        <v>143491</v>
      </c>
      <c r="G137" s="485">
        <f t="shared" si="23"/>
        <v>167408.5</v>
      </c>
      <c r="H137" s="613">
        <f t="shared" si="24"/>
        <v>65097.164435119201</v>
      </c>
      <c r="I137" s="614">
        <f t="shared" si="25"/>
        <v>65097.164435119201</v>
      </c>
      <c r="J137" s="478">
        <f t="shared" si="26"/>
        <v>0</v>
      </c>
      <c r="K137" s="478"/>
      <c r="L137" s="487"/>
      <c r="M137" s="478">
        <f t="shared" si="27"/>
        <v>0</v>
      </c>
      <c r="N137" s="487"/>
      <c r="O137" s="478">
        <f t="shared" si="28"/>
        <v>0</v>
      </c>
      <c r="P137" s="478">
        <f t="shared" si="29"/>
        <v>0</v>
      </c>
    </row>
    <row r="138" spans="2:16" ht="12.5">
      <c r="B138" s="160" t="str">
        <f t="shared" si="20"/>
        <v/>
      </c>
      <c r="C138" s="472">
        <f>IF(D93="","-",+C137+1)</f>
        <v>2057</v>
      </c>
      <c r="D138" s="346">
        <f>IF(F137+SUM(E$99:E137)=D$92,F137,D$92-SUM(E$99:E137))</f>
        <v>143491</v>
      </c>
      <c r="E138" s="484">
        <f t="shared" si="21"/>
        <v>47835</v>
      </c>
      <c r="F138" s="485">
        <f t="shared" si="22"/>
        <v>95656</v>
      </c>
      <c r="G138" s="485">
        <f t="shared" si="23"/>
        <v>119573.5</v>
      </c>
      <c r="H138" s="613">
        <f t="shared" si="24"/>
        <v>60164.704997552253</v>
      </c>
      <c r="I138" s="614">
        <f t="shared" si="25"/>
        <v>60164.704997552253</v>
      </c>
      <c r="J138" s="478">
        <f t="shared" si="26"/>
        <v>0</v>
      </c>
      <c r="K138" s="478"/>
      <c r="L138" s="487"/>
      <c r="M138" s="478">
        <f t="shared" si="27"/>
        <v>0</v>
      </c>
      <c r="N138" s="487"/>
      <c r="O138" s="478">
        <f t="shared" si="28"/>
        <v>0</v>
      </c>
      <c r="P138" s="478">
        <f t="shared" si="29"/>
        <v>0</v>
      </c>
    </row>
    <row r="139" spans="2:16" ht="12.5">
      <c r="B139" s="160" t="str">
        <f t="shared" si="20"/>
        <v/>
      </c>
      <c r="C139" s="472">
        <f>IF(D93="","-",+C138+1)</f>
        <v>2058</v>
      </c>
      <c r="D139" s="346">
        <f>IF(F138+SUM(E$99:E138)=D$92,F138,D$92-SUM(E$99:E138))</f>
        <v>95656</v>
      </c>
      <c r="E139" s="484">
        <f t="shared" si="21"/>
        <v>47835</v>
      </c>
      <c r="F139" s="485">
        <f t="shared" si="22"/>
        <v>47821</v>
      </c>
      <c r="G139" s="485">
        <f t="shared" si="23"/>
        <v>71738.5</v>
      </c>
      <c r="H139" s="613">
        <f t="shared" si="24"/>
        <v>55232.245559985298</v>
      </c>
      <c r="I139" s="614">
        <f t="shared" si="25"/>
        <v>55232.245559985298</v>
      </c>
      <c r="J139" s="478">
        <f t="shared" si="26"/>
        <v>0</v>
      </c>
      <c r="K139" s="478"/>
      <c r="L139" s="487"/>
      <c r="M139" s="478">
        <f t="shared" si="27"/>
        <v>0</v>
      </c>
      <c r="N139" s="487"/>
      <c r="O139" s="478">
        <f t="shared" si="28"/>
        <v>0</v>
      </c>
      <c r="P139" s="478">
        <f t="shared" si="29"/>
        <v>0</v>
      </c>
    </row>
    <row r="140" spans="2:16" ht="12.5">
      <c r="B140" s="160" t="str">
        <f t="shared" si="20"/>
        <v/>
      </c>
      <c r="C140" s="472">
        <f>IF(D93="","-",+C139+1)</f>
        <v>2059</v>
      </c>
      <c r="D140" s="346">
        <f>IF(F139+SUM(E$99:E139)=D$92,F139,D$92-SUM(E$99:E139))</f>
        <v>47821</v>
      </c>
      <c r="E140" s="484">
        <f t="shared" si="21"/>
        <v>47821</v>
      </c>
      <c r="F140" s="485">
        <f t="shared" si="22"/>
        <v>0</v>
      </c>
      <c r="G140" s="485">
        <f t="shared" si="23"/>
        <v>23910.5</v>
      </c>
      <c r="H140" s="613">
        <f t="shared" si="24"/>
        <v>50286.50792060091</v>
      </c>
      <c r="I140" s="614">
        <f t="shared" si="25"/>
        <v>50286.50792060091</v>
      </c>
      <c r="J140" s="478">
        <f t="shared" si="26"/>
        <v>0</v>
      </c>
      <c r="K140" s="478"/>
      <c r="L140" s="487"/>
      <c r="M140" s="478">
        <f t="shared" si="27"/>
        <v>0</v>
      </c>
      <c r="N140" s="487"/>
      <c r="O140" s="478">
        <f t="shared" si="28"/>
        <v>0</v>
      </c>
      <c r="P140" s="478">
        <f t="shared" si="29"/>
        <v>0</v>
      </c>
    </row>
    <row r="141" spans="2:16" ht="12.5">
      <c r="B141" s="160" t="str">
        <f t="shared" si="20"/>
        <v/>
      </c>
      <c r="C141" s="472">
        <f>IF(D93="","-",+C140+1)</f>
        <v>2060</v>
      </c>
      <c r="D141" s="346">
        <f>IF(F140+SUM(E$99:E140)=D$92,F140,D$92-SUM(E$99:E140))</f>
        <v>0</v>
      </c>
      <c r="E141" s="484">
        <f t="shared" si="21"/>
        <v>0</v>
      </c>
      <c r="F141" s="485">
        <f t="shared" si="22"/>
        <v>0</v>
      </c>
      <c r="G141" s="485">
        <f t="shared" si="23"/>
        <v>0</v>
      </c>
      <c r="H141" s="613">
        <f t="shared" si="24"/>
        <v>0</v>
      </c>
      <c r="I141" s="614">
        <f t="shared" si="25"/>
        <v>0</v>
      </c>
      <c r="J141" s="478">
        <f t="shared" si="26"/>
        <v>0</v>
      </c>
      <c r="K141" s="478"/>
      <c r="L141" s="487"/>
      <c r="M141" s="478">
        <f t="shared" si="27"/>
        <v>0</v>
      </c>
      <c r="N141" s="487"/>
      <c r="O141" s="478">
        <f t="shared" si="28"/>
        <v>0</v>
      </c>
      <c r="P141" s="478">
        <f t="shared" si="29"/>
        <v>0</v>
      </c>
    </row>
    <row r="142" spans="2:16" ht="12.5">
      <c r="B142" s="160" t="str">
        <f t="shared" si="20"/>
        <v/>
      </c>
      <c r="C142" s="472">
        <f>IF(D93="","-",+C141+1)</f>
        <v>2061</v>
      </c>
      <c r="D142" s="346">
        <f>IF(F141+SUM(E$99:E141)=D$92,F141,D$92-SUM(E$99:E141))</f>
        <v>0</v>
      </c>
      <c r="E142" s="484">
        <f t="shared" si="21"/>
        <v>0</v>
      </c>
      <c r="F142" s="485">
        <f t="shared" si="22"/>
        <v>0</v>
      </c>
      <c r="G142" s="485">
        <f t="shared" si="23"/>
        <v>0</v>
      </c>
      <c r="H142" s="613">
        <f t="shared" si="24"/>
        <v>0</v>
      </c>
      <c r="I142" s="614">
        <f t="shared" si="25"/>
        <v>0</v>
      </c>
      <c r="J142" s="478">
        <f t="shared" si="26"/>
        <v>0</v>
      </c>
      <c r="K142" s="478"/>
      <c r="L142" s="487"/>
      <c r="M142" s="478">
        <f t="shared" si="27"/>
        <v>0</v>
      </c>
      <c r="N142" s="487"/>
      <c r="O142" s="478">
        <f t="shared" si="28"/>
        <v>0</v>
      </c>
      <c r="P142" s="478">
        <f t="shared" si="29"/>
        <v>0</v>
      </c>
    </row>
    <row r="143" spans="2:16" ht="12.5">
      <c r="B143" s="160" t="str">
        <f t="shared" si="20"/>
        <v/>
      </c>
      <c r="C143" s="472">
        <f>IF(D93="","-",+C142+1)</f>
        <v>2062</v>
      </c>
      <c r="D143" s="346">
        <f>IF(F142+SUM(E$99:E142)=D$92,F142,D$92-SUM(E$99:E142))</f>
        <v>0</v>
      </c>
      <c r="E143" s="484">
        <f t="shared" si="21"/>
        <v>0</v>
      </c>
      <c r="F143" s="485">
        <f t="shared" si="22"/>
        <v>0</v>
      </c>
      <c r="G143" s="485">
        <f t="shared" si="23"/>
        <v>0</v>
      </c>
      <c r="H143" s="613">
        <f t="shared" si="24"/>
        <v>0</v>
      </c>
      <c r="I143" s="614">
        <f t="shared" si="25"/>
        <v>0</v>
      </c>
      <c r="J143" s="478">
        <f t="shared" si="26"/>
        <v>0</v>
      </c>
      <c r="K143" s="478"/>
      <c r="L143" s="487"/>
      <c r="M143" s="478">
        <f t="shared" si="27"/>
        <v>0</v>
      </c>
      <c r="N143" s="487"/>
      <c r="O143" s="478">
        <f t="shared" si="28"/>
        <v>0</v>
      </c>
      <c r="P143" s="478">
        <f t="shared" si="29"/>
        <v>0</v>
      </c>
    </row>
    <row r="144" spans="2:16" ht="12.5">
      <c r="B144" s="160" t="str">
        <f t="shared" si="20"/>
        <v/>
      </c>
      <c r="C144" s="472">
        <f>IF(D93="","-",+C143+1)</f>
        <v>2063</v>
      </c>
      <c r="D144" s="346">
        <f>IF(F143+SUM(E$99:E143)=D$92,F143,D$92-SUM(E$99:E143))</f>
        <v>0</v>
      </c>
      <c r="E144" s="484">
        <f t="shared" si="21"/>
        <v>0</v>
      </c>
      <c r="F144" s="485">
        <f t="shared" si="22"/>
        <v>0</v>
      </c>
      <c r="G144" s="485">
        <f t="shared" si="23"/>
        <v>0</v>
      </c>
      <c r="H144" s="613">
        <f t="shared" si="24"/>
        <v>0</v>
      </c>
      <c r="I144" s="614">
        <f t="shared" si="25"/>
        <v>0</v>
      </c>
      <c r="J144" s="478">
        <f t="shared" si="26"/>
        <v>0</v>
      </c>
      <c r="K144" s="478"/>
      <c r="L144" s="487"/>
      <c r="M144" s="478">
        <f t="shared" si="27"/>
        <v>0</v>
      </c>
      <c r="N144" s="487"/>
      <c r="O144" s="478">
        <f t="shared" si="28"/>
        <v>0</v>
      </c>
      <c r="P144" s="478">
        <f t="shared" si="29"/>
        <v>0</v>
      </c>
    </row>
    <row r="145" spans="2:16" ht="12.5">
      <c r="B145" s="160" t="str">
        <f t="shared" si="20"/>
        <v/>
      </c>
      <c r="C145" s="472">
        <f>IF(D93="","-",+C144+1)</f>
        <v>2064</v>
      </c>
      <c r="D145" s="346">
        <f>IF(F144+SUM(E$99:E144)=D$92,F144,D$92-SUM(E$99:E144))</f>
        <v>0</v>
      </c>
      <c r="E145" s="484">
        <f t="shared" si="21"/>
        <v>0</v>
      </c>
      <c r="F145" s="485">
        <f t="shared" si="22"/>
        <v>0</v>
      </c>
      <c r="G145" s="485">
        <f t="shared" si="23"/>
        <v>0</v>
      </c>
      <c r="H145" s="613">
        <f t="shared" si="24"/>
        <v>0</v>
      </c>
      <c r="I145" s="614">
        <f t="shared" si="25"/>
        <v>0</v>
      </c>
      <c r="J145" s="478">
        <f t="shared" si="26"/>
        <v>0</v>
      </c>
      <c r="K145" s="478"/>
      <c r="L145" s="487"/>
      <c r="M145" s="478">
        <f t="shared" si="27"/>
        <v>0</v>
      </c>
      <c r="N145" s="487"/>
      <c r="O145" s="478">
        <f t="shared" si="28"/>
        <v>0</v>
      </c>
      <c r="P145" s="478">
        <f t="shared" si="29"/>
        <v>0</v>
      </c>
    </row>
    <row r="146" spans="2:16" ht="12.5">
      <c r="B146" s="160" t="str">
        <f t="shared" si="20"/>
        <v/>
      </c>
      <c r="C146" s="472">
        <f>IF(D93="","-",+C145+1)</f>
        <v>2065</v>
      </c>
      <c r="D146" s="346">
        <f>IF(F145+SUM(E$99:E145)=D$92,F145,D$92-SUM(E$99:E145))</f>
        <v>0</v>
      </c>
      <c r="E146" s="484">
        <f t="shared" si="21"/>
        <v>0</v>
      </c>
      <c r="F146" s="485">
        <f t="shared" si="22"/>
        <v>0</v>
      </c>
      <c r="G146" s="485">
        <f t="shared" si="23"/>
        <v>0</v>
      </c>
      <c r="H146" s="613">
        <f t="shared" si="24"/>
        <v>0</v>
      </c>
      <c r="I146" s="614">
        <f t="shared" si="25"/>
        <v>0</v>
      </c>
      <c r="J146" s="478">
        <f t="shared" si="26"/>
        <v>0</v>
      </c>
      <c r="K146" s="478"/>
      <c r="L146" s="487"/>
      <c r="M146" s="478">
        <f t="shared" si="27"/>
        <v>0</v>
      </c>
      <c r="N146" s="487"/>
      <c r="O146" s="478">
        <f t="shared" si="28"/>
        <v>0</v>
      </c>
      <c r="P146" s="478">
        <f t="shared" si="29"/>
        <v>0</v>
      </c>
    </row>
    <row r="147" spans="2:16" ht="12.5">
      <c r="B147" s="160" t="str">
        <f t="shared" si="20"/>
        <v/>
      </c>
      <c r="C147" s="472">
        <f>IF(D93="","-",+C146+1)</f>
        <v>2066</v>
      </c>
      <c r="D147" s="346">
        <f>IF(F146+SUM(E$99:E146)=D$92,F146,D$92-SUM(E$99:E146))</f>
        <v>0</v>
      </c>
      <c r="E147" s="484">
        <f t="shared" si="21"/>
        <v>0</v>
      </c>
      <c r="F147" s="485">
        <f t="shared" si="22"/>
        <v>0</v>
      </c>
      <c r="G147" s="485">
        <f t="shared" si="23"/>
        <v>0</v>
      </c>
      <c r="H147" s="613">
        <f t="shared" si="24"/>
        <v>0</v>
      </c>
      <c r="I147" s="614">
        <f t="shared" si="25"/>
        <v>0</v>
      </c>
      <c r="J147" s="478">
        <f t="shared" si="26"/>
        <v>0</v>
      </c>
      <c r="K147" s="478"/>
      <c r="L147" s="487"/>
      <c r="M147" s="478">
        <f t="shared" si="27"/>
        <v>0</v>
      </c>
      <c r="N147" s="487"/>
      <c r="O147" s="478">
        <f t="shared" si="28"/>
        <v>0</v>
      </c>
      <c r="P147" s="478">
        <f t="shared" si="29"/>
        <v>0</v>
      </c>
    </row>
    <row r="148" spans="2:16" ht="12.5">
      <c r="B148" s="160" t="str">
        <f t="shared" si="20"/>
        <v/>
      </c>
      <c r="C148" s="472">
        <f>IF(D93="","-",+C147+1)</f>
        <v>2067</v>
      </c>
      <c r="D148" s="346">
        <f>IF(F147+SUM(E$99:E147)=D$92,F147,D$92-SUM(E$99:E147))</f>
        <v>0</v>
      </c>
      <c r="E148" s="484">
        <f t="shared" si="21"/>
        <v>0</v>
      </c>
      <c r="F148" s="485">
        <f t="shared" si="22"/>
        <v>0</v>
      </c>
      <c r="G148" s="485">
        <f t="shared" si="23"/>
        <v>0</v>
      </c>
      <c r="H148" s="613">
        <f t="shared" si="24"/>
        <v>0</v>
      </c>
      <c r="I148" s="614">
        <f t="shared" si="25"/>
        <v>0</v>
      </c>
      <c r="J148" s="478">
        <f t="shared" si="26"/>
        <v>0</v>
      </c>
      <c r="K148" s="478"/>
      <c r="L148" s="487"/>
      <c r="M148" s="478">
        <f t="shared" si="27"/>
        <v>0</v>
      </c>
      <c r="N148" s="487"/>
      <c r="O148" s="478">
        <f t="shared" si="28"/>
        <v>0</v>
      </c>
      <c r="P148" s="478">
        <f t="shared" si="29"/>
        <v>0</v>
      </c>
    </row>
    <row r="149" spans="2:16" ht="12.5">
      <c r="B149" s="160" t="str">
        <f t="shared" si="20"/>
        <v/>
      </c>
      <c r="C149" s="472">
        <f>IF(D93="","-",+C148+1)</f>
        <v>2068</v>
      </c>
      <c r="D149" s="346">
        <f>IF(F148+SUM(E$99:E148)=D$92,F148,D$92-SUM(E$99:E148))</f>
        <v>0</v>
      </c>
      <c r="E149" s="484">
        <f t="shared" si="21"/>
        <v>0</v>
      </c>
      <c r="F149" s="485">
        <f t="shared" si="22"/>
        <v>0</v>
      </c>
      <c r="G149" s="485">
        <f t="shared" si="23"/>
        <v>0</v>
      </c>
      <c r="H149" s="613">
        <f t="shared" si="24"/>
        <v>0</v>
      </c>
      <c r="I149" s="614">
        <f t="shared" si="25"/>
        <v>0</v>
      </c>
      <c r="J149" s="478">
        <f t="shared" si="26"/>
        <v>0</v>
      </c>
      <c r="K149" s="478"/>
      <c r="L149" s="487"/>
      <c r="M149" s="478">
        <f t="shared" si="27"/>
        <v>0</v>
      </c>
      <c r="N149" s="487"/>
      <c r="O149" s="478">
        <f t="shared" si="28"/>
        <v>0</v>
      </c>
      <c r="P149" s="478">
        <f t="shared" si="29"/>
        <v>0</v>
      </c>
    </row>
    <row r="150" spans="2:16" ht="12.5">
      <c r="B150" s="160" t="str">
        <f t="shared" si="20"/>
        <v/>
      </c>
      <c r="C150" s="472">
        <f>IF(D93="","-",+C149+1)</f>
        <v>2069</v>
      </c>
      <c r="D150" s="346">
        <f>IF(F149+SUM(E$99:E149)=D$92,F149,D$92-SUM(E$99:E149))</f>
        <v>0</v>
      </c>
      <c r="E150" s="484">
        <f t="shared" si="21"/>
        <v>0</v>
      </c>
      <c r="F150" s="485">
        <f t="shared" si="22"/>
        <v>0</v>
      </c>
      <c r="G150" s="485">
        <f t="shared" si="23"/>
        <v>0</v>
      </c>
      <c r="H150" s="613">
        <f t="shared" si="24"/>
        <v>0</v>
      </c>
      <c r="I150" s="614">
        <f t="shared" si="25"/>
        <v>0</v>
      </c>
      <c r="J150" s="478">
        <f t="shared" si="26"/>
        <v>0</v>
      </c>
      <c r="K150" s="478"/>
      <c r="L150" s="487"/>
      <c r="M150" s="478">
        <f t="shared" si="27"/>
        <v>0</v>
      </c>
      <c r="N150" s="487"/>
      <c r="O150" s="478">
        <f t="shared" si="28"/>
        <v>0</v>
      </c>
      <c r="P150" s="478">
        <f t="shared" si="29"/>
        <v>0</v>
      </c>
    </row>
    <row r="151" spans="2:16" ht="12.5">
      <c r="B151" s="160" t="str">
        <f t="shared" si="20"/>
        <v/>
      </c>
      <c r="C151" s="472">
        <f>IF(D93="","-",+C150+1)</f>
        <v>2070</v>
      </c>
      <c r="D151" s="346">
        <f>IF(F150+SUM(E$99:E150)=D$92,F150,D$92-SUM(E$99:E150))</f>
        <v>0</v>
      </c>
      <c r="E151" s="484">
        <f t="shared" si="21"/>
        <v>0</v>
      </c>
      <c r="F151" s="485">
        <f t="shared" si="22"/>
        <v>0</v>
      </c>
      <c r="G151" s="485">
        <f t="shared" si="23"/>
        <v>0</v>
      </c>
      <c r="H151" s="613">
        <f t="shared" si="24"/>
        <v>0</v>
      </c>
      <c r="I151" s="614">
        <f t="shared" si="25"/>
        <v>0</v>
      </c>
      <c r="J151" s="478">
        <f t="shared" si="26"/>
        <v>0</v>
      </c>
      <c r="K151" s="478"/>
      <c r="L151" s="487"/>
      <c r="M151" s="478">
        <f t="shared" si="27"/>
        <v>0</v>
      </c>
      <c r="N151" s="487"/>
      <c r="O151" s="478">
        <f t="shared" si="28"/>
        <v>0</v>
      </c>
      <c r="P151" s="478">
        <f t="shared" si="29"/>
        <v>0</v>
      </c>
    </row>
    <row r="152" spans="2:16" ht="12.5">
      <c r="B152" s="160" t="str">
        <f t="shared" si="20"/>
        <v/>
      </c>
      <c r="C152" s="472">
        <f>IF(D93="","-",+C151+1)</f>
        <v>2071</v>
      </c>
      <c r="D152" s="346">
        <f>IF(F151+SUM(E$99:E151)=D$92,F151,D$92-SUM(E$99:E151))</f>
        <v>0</v>
      </c>
      <c r="E152" s="484">
        <f t="shared" si="21"/>
        <v>0</v>
      </c>
      <c r="F152" s="485">
        <f t="shared" si="22"/>
        <v>0</v>
      </c>
      <c r="G152" s="485">
        <f t="shared" si="23"/>
        <v>0</v>
      </c>
      <c r="H152" s="613">
        <f t="shared" si="24"/>
        <v>0</v>
      </c>
      <c r="I152" s="614">
        <f t="shared" si="25"/>
        <v>0</v>
      </c>
      <c r="J152" s="478">
        <f t="shared" si="26"/>
        <v>0</v>
      </c>
      <c r="K152" s="478"/>
      <c r="L152" s="487"/>
      <c r="M152" s="478">
        <f t="shared" si="27"/>
        <v>0</v>
      </c>
      <c r="N152" s="487"/>
      <c r="O152" s="478">
        <f t="shared" si="28"/>
        <v>0</v>
      </c>
      <c r="P152" s="478">
        <f t="shared" si="29"/>
        <v>0</v>
      </c>
    </row>
    <row r="153" spans="2:16" ht="12.5">
      <c r="B153" s="160" t="str">
        <f t="shared" si="20"/>
        <v/>
      </c>
      <c r="C153" s="472">
        <f>IF(D93="","-",+C152+1)</f>
        <v>2072</v>
      </c>
      <c r="D153" s="346">
        <f>IF(F152+SUM(E$99:E152)=D$92,F152,D$92-SUM(E$99:E152))</f>
        <v>0</v>
      </c>
      <c r="E153" s="484">
        <f t="shared" si="21"/>
        <v>0</v>
      </c>
      <c r="F153" s="485">
        <f t="shared" si="22"/>
        <v>0</v>
      </c>
      <c r="G153" s="485">
        <f t="shared" si="23"/>
        <v>0</v>
      </c>
      <c r="H153" s="613">
        <f t="shared" si="24"/>
        <v>0</v>
      </c>
      <c r="I153" s="614">
        <f t="shared" si="25"/>
        <v>0</v>
      </c>
      <c r="J153" s="478">
        <f t="shared" si="26"/>
        <v>0</v>
      </c>
      <c r="K153" s="478"/>
      <c r="L153" s="487"/>
      <c r="M153" s="478">
        <f t="shared" si="27"/>
        <v>0</v>
      </c>
      <c r="N153" s="487"/>
      <c r="O153" s="478">
        <f t="shared" si="28"/>
        <v>0</v>
      </c>
      <c r="P153" s="478">
        <f t="shared" si="29"/>
        <v>0</v>
      </c>
    </row>
    <row r="154" spans="2:16" ht="13" thickBot="1">
      <c r="B154" s="160" t="str">
        <f t="shared" si="20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21"/>
        <v>0</v>
      </c>
      <c r="F154" s="490">
        <f t="shared" si="22"/>
        <v>0</v>
      </c>
      <c r="G154" s="490">
        <f t="shared" si="23"/>
        <v>0</v>
      </c>
      <c r="H154" s="615">
        <f t="shared" si="24"/>
        <v>0</v>
      </c>
      <c r="I154" s="616">
        <f t="shared" si="25"/>
        <v>0</v>
      </c>
      <c r="J154" s="495">
        <f t="shared" si="26"/>
        <v>0</v>
      </c>
      <c r="K154" s="478"/>
      <c r="L154" s="494"/>
      <c r="M154" s="495">
        <f t="shared" si="27"/>
        <v>0</v>
      </c>
      <c r="N154" s="494"/>
      <c r="O154" s="495">
        <f t="shared" si="28"/>
        <v>0</v>
      </c>
      <c r="P154" s="495">
        <f t="shared" si="29"/>
        <v>0</v>
      </c>
    </row>
    <row r="155" spans="2:16" ht="12.5">
      <c r="C155" s="346" t="s">
        <v>77</v>
      </c>
      <c r="D155" s="347"/>
      <c r="E155" s="347">
        <f>SUM(E99:E154)</f>
        <v>1961221</v>
      </c>
      <c r="F155" s="347"/>
      <c r="G155" s="347"/>
      <c r="H155" s="347">
        <f>SUM(H99:H154)</f>
        <v>6179200.628877745</v>
      </c>
      <c r="I155" s="347">
        <f>SUM(I99:I154)</f>
        <v>6179200.628877745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19" priority="1" stopIfTrue="1" operator="equal">
      <formula>$I$10</formula>
    </cfRule>
  </conditionalFormatting>
  <conditionalFormatting sqref="C99:C154">
    <cfRule type="cellIs" dxfId="18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P162"/>
  <sheetViews>
    <sheetView view="pageBreakPreview" zoomScale="78" zoomScaleNormal="100" zoomScaleSheetLayoutView="78" workbookViewId="0">
      <selection activeCell="D18" sqref="D18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21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40464.576318636115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40464.576318636115</v>
      </c>
      <c r="O6" s="232"/>
      <c r="P6" s="232"/>
    </row>
    <row r="7" spans="1:16" ht="13.5" thickBot="1">
      <c r="C7" s="431" t="s">
        <v>46</v>
      </c>
      <c r="D7" s="599" t="s">
        <v>279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299</v>
      </c>
      <c r="E9" s="577" t="s">
        <v>300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330872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2017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7694.6976744186049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2017</v>
      </c>
      <c r="D17" s="584">
        <v>0</v>
      </c>
      <c r="E17" s="608">
        <v>2847.8260869565215</v>
      </c>
      <c r="F17" s="584">
        <v>259152.17391304349</v>
      </c>
      <c r="G17" s="608">
        <v>19337.763747649027</v>
      </c>
      <c r="H17" s="587">
        <v>19337.763747649027</v>
      </c>
      <c r="I17" s="475">
        <f t="shared" ref="I17:I72" si="0">H17-G17</f>
        <v>0</v>
      </c>
      <c r="J17" s="475"/>
      <c r="K17" s="477">
        <f>+G17</f>
        <v>19337.763747649027</v>
      </c>
      <c r="L17" s="477">
        <f t="shared" ref="L17:L72" si="1">IF(K17&lt;&gt;0,+G17-K17,0)</f>
        <v>0</v>
      </c>
      <c r="M17" s="477">
        <f>+H17</f>
        <v>19337.763747649027</v>
      </c>
      <c r="N17" s="477">
        <f t="shared" ref="N17:N72" si="2">IF(M17&lt;&gt;0,+H17-M17,0)</f>
        <v>0</v>
      </c>
      <c r="O17" s="478">
        <f t="shared" ref="O17:O72" si="3"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2018</v>
      </c>
      <c r="D18" s="584">
        <v>259152.17391304349</v>
      </c>
      <c r="E18" s="585">
        <v>5822.2222222222226</v>
      </c>
      <c r="F18" s="584">
        <v>253329.95169082127</v>
      </c>
      <c r="G18" s="585">
        <v>36509.380469214986</v>
      </c>
      <c r="H18" s="587">
        <v>36509.380469214986</v>
      </c>
      <c r="I18" s="475">
        <f t="shared" si="0"/>
        <v>0</v>
      </c>
      <c r="J18" s="475"/>
      <c r="K18" s="478">
        <f>+G18</f>
        <v>36509.380469214986</v>
      </c>
      <c r="L18" s="478">
        <f t="shared" si="1"/>
        <v>0</v>
      </c>
      <c r="M18" s="478">
        <f>+H18</f>
        <v>36509.380469214986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/>
      </c>
      <c r="C19" s="472">
        <f>IF(D11="","-",+C18+1)</f>
        <v>2019</v>
      </c>
      <c r="D19" s="584">
        <v>253329.95169082127</v>
      </c>
      <c r="E19" s="585">
        <v>6550</v>
      </c>
      <c r="F19" s="584">
        <v>246779.95169082127</v>
      </c>
      <c r="G19" s="585">
        <v>34470.293545069071</v>
      </c>
      <c r="H19" s="587">
        <v>34470.293545069071</v>
      </c>
      <c r="I19" s="475">
        <f t="shared" si="0"/>
        <v>0</v>
      </c>
      <c r="J19" s="475"/>
      <c r="K19" s="478">
        <f>+G19</f>
        <v>34470.293545069071</v>
      </c>
      <c r="L19" s="478">
        <f t="shared" ref="L19" si="4">IF(K19&lt;&gt;0,+G19-K19,0)</f>
        <v>0</v>
      </c>
      <c r="M19" s="478">
        <f>+H19</f>
        <v>34470.293545069071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5">IF(D20=F19,"","IU")</f>
        <v>IU</v>
      </c>
      <c r="C20" s="472">
        <f>IF(D11="","-",+C19+1)</f>
        <v>2020</v>
      </c>
      <c r="D20" s="584">
        <v>316379.72946859902</v>
      </c>
      <c r="E20" s="585">
        <v>7877.9047619047615</v>
      </c>
      <c r="F20" s="584">
        <v>308501.82470669429</v>
      </c>
      <c r="G20" s="585">
        <v>41623.00118882845</v>
      </c>
      <c r="H20" s="587">
        <v>41623.00118882845</v>
      </c>
      <c r="I20" s="475">
        <f t="shared" si="0"/>
        <v>0</v>
      </c>
      <c r="J20" s="475"/>
      <c r="K20" s="478">
        <f>+G20</f>
        <v>41623.00118882845</v>
      </c>
      <c r="L20" s="478">
        <f t="shared" ref="L20" si="6">IF(K20&lt;&gt;0,+G20-K20,0)</f>
        <v>0</v>
      </c>
      <c r="M20" s="478">
        <f>+H20</f>
        <v>41623.00118882845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5"/>
        <v>IU</v>
      </c>
      <c r="C21" s="472">
        <f>IF(D11="","-",+C20+1)</f>
        <v>2021</v>
      </c>
      <c r="D21" s="483">
        <f>IF(F20+SUM(E$17:E20)=D$10,F20,D$10-SUM(E$17:E20))</f>
        <v>307774.04692891648</v>
      </c>
      <c r="E21" s="484">
        <f t="shared" ref="E21:E72" si="7">IF(+I$14&lt;F20,I$14,D21)</f>
        <v>7694.6976744186049</v>
      </c>
      <c r="F21" s="485">
        <f t="shared" ref="F21:F72" si="8">+D21-E21</f>
        <v>300079.34925449785</v>
      </c>
      <c r="G21" s="486">
        <f t="shared" ref="G21:G72" si="9">(D21+F21)/2*I$12+E21</f>
        <v>40464.576318636115</v>
      </c>
      <c r="H21" s="455">
        <f t="shared" ref="H21:H72" si="10">+(D21+F21)/2*I$13+E21</f>
        <v>40464.576318636115</v>
      </c>
      <c r="I21" s="475">
        <f t="shared" si="0"/>
        <v>0</v>
      </c>
      <c r="J21" s="475"/>
      <c r="K21" s="487"/>
      <c r="L21" s="478">
        <f t="shared" si="1"/>
        <v>0</v>
      </c>
      <c r="M21" s="487"/>
      <c r="N21" s="478">
        <f t="shared" si="2"/>
        <v>0</v>
      </c>
      <c r="O21" s="478">
        <f t="shared" si="3"/>
        <v>0</v>
      </c>
      <c r="P21" s="242"/>
    </row>
    <row r="22" spans="2:16" ht="12.5">
      <c r="B22" s="160" t="str">
        <f t="shared" si="5"/>
        <v/>
      </c>
      <c r="C22" s="472">
        <f>IF(D11="","-",+C21+1)</f>
        <v>2022</v>
      </c>
      <c r="D22" s="483">
        <f>IF(F21+SUM(E$17:E21)=D$10,F21,D$10-SUM(E$17:E21))</f>
        <v>300079.34925449785</v>
      </c>
      <c r="E22" s="484">
        <f t="shared" si="7"/>
        <v>7694.6976744186049</v>
      </c>
      <c r="F22" s="485">
        <f t="shared" si="8"/>
        <v>292384.65158007923</v>
      </c>
      <c r="G22" s="486">
        <f t="shared" si="9"/>
        <v>39634.921304522948</v>
      </c>
      <c r="H22" s="455">
        <f t="shared" si="10"/>
        <v>39634.921304522948</v>
      </c>
      <c r="I22" s="475">
        <f t="shared" si="0"/>
        <v>0</v>
      </c>
      <c r="J22" s="475"/>
      <c r="K22" s="487"/>
      <c r="L22" s="478">
        <f t="shared" si="1"/>
        <v>0</v>
      </c>
      <c r="M22" s="487"/>
      <c r="N22" s="478">
        <f t="shared" si="2"/>
        <v>0</v>
      </c>
      <c r="O22" s="478">
        <f t="shared" si="3"/>
        <v>0</v>
      </c>
      <c r="P22" s="242"/>
    </row>
    <row r="23" spans="2:16" ht="12.5">
      <c r="B23" s="160" t="str">
        <f t="shared" si="5"/>
        <v/>
      </c>
      <c r="C23" s="472">
        <f>IF(D11="","-",+C22+1)</f>
        <v>2023</v>
      </c>
      <c r="D23" s="483">
        <f>IF(F22+SUM(E$17:E22)=D$10,F22,D$10-SUM(E$17:E22))</f>
        <v>292384.65158007923</v>
      </c>
      <c r="E23" s="484">
        <f t="shared" si="7"/>
        <v>7694.6976744186049</v>
      </c>
      <c r="F23" s="485">
        <f t="shared" si="8"/>
        <v>284689.9539056606</v>
      </c>
      <c r="G23" s="486">
        <f t="shared" si="9"/>
        <v>38805.266290409796</v>
      </c>
      <c r="H23" s="455">
        <f t="shared" si="10"/>
        <v>38805.266290409796</v>
      </c>
      <c r="I23" s="475">
        <f t="shared" si="0"/>
        <v>0</v>
      </c>
      <c r="J23" s="475"/>
      <c r="K23" s="487"/>
      <c r="L23" s="478">
        <f t="shared" si="1"/>
        <v>0</v>
      </c>
      <c r="M23" s="487"/>
      <c r="N23" s="478">
        <f t="shared" si="2"/>
        <v>0</v>
      </c>
      <c r="O23" s="478">
        <f t="shared" si="3"/>
        <v>0</v>
      </c>
      <c r="P23" s="242"/>
    </row>
    <row r="24" spans="2:16" ht="12.5">
      <c r="B24" s="160" t="str">
        <f t="shared" si="5"/>
        <v/>
      </c>
      <c r="C24" s="472">
        <f>IF(D11="","-",+C23+1)</f>
        <v>2024</v>
      </c>
      <c r="D24" s="483">
        <f>IF(F23+SUM(E$17:E23)=D$10,F23,D$10-SUM(E$17:E23))</f>
        <v>284689.9539056606</v>
      </c>
      <c r="E24" s="484">
        <f t="shared" si="7"/>
        <v>7694.6976744186049</v>
      </c>
      <c r="F24" s="485">
        <f t="shared" si="8"/>
        <v>276995.25623124198</v>
      </c>
      <c r="G24" s="486">
        <f t="shared" si="9"/>
        <v>37975.61127629663</v>
      </c>
      <c r="H24" s="455">
        <f t="shared" si="10"/>
        <v>37975.61127629663</v>
      </c>
      <c r="I24" s="475">
        <f t="shared" si="0"/>
        <v>0</v>
      </c>
      <c r="J24" s="475"/>
      <c r="K24" s="487"/>
      <c r="L24" s="478">
        <f t="shared" si="1"/>
        <v>0</v>
      </c>
      <c r="M24" s="487"/>
      <c r="N24" s="478">
        <f t="shared" si="2"/>
        <v>0</v>
      </c>
      <c r="O24" s="478">
        <f t="shared" si="3"/>
        <v>0</v>
      </c>
      <c r="P24" s="242"/>
    </row>
    <row r="25" spans="2:16" ht="12.5">
      <c r="B25" s="160" t="str">
        <f t="shared" si="5"/>
        <v/>
      </c>
      <c r="C25" s="472">
        <f>IF(D11="","-",+C24+1)</f>
        <v>2025</v>
      </c>
      <c r="D25" s="483">
        <f>IF(F24+SUM(E$17:E24)=D$10,F24,D$10-SUM(E$17:E24))</f>
        <v>276995.25623124198</v>
      </c>
      <c r="E25" s="484">
        <f t="shared" si="7"/>
        <v>7694.6976744186049</v>
      </c>
      <c r="F25" s="485">
        <f t="shared" si="8"/>
        <v>269300.55855682335</v>
      </c>
      <c r="G25" s="486">
        <f t="shared" si="9"/>
        <v>37145.956262183478</v>
      </c>
      <c r="H25" s="455">
        <f t="shared" si="10"/>
        <v>37145.956262183478</v>
      </c>
      <c r="I25" s="475">
        <f t="shared" si="0"/>
        <v>0</v>
      </c>
      <c r="J25" s="475"/>
      <c r="K25" s="487"/>
      <c r="L25" s="478">
        <f t="shared" si="1"/>
        <v>0</v>
      </c>
      <c r="M25" s="487"/>
      <c r="N25" s="478">
        <f t="shared" si="2"/>
        <v>0</v>
      </c>
      <c r="O25" s="478">
        <f t="shared" si="3"/>
        <v>0</v>
      </c>
      <c r="P25" s="242"/>
    </row>
    <row r="26" spans="2:16" ht="12.5">
      <c r="B26" s="160" t="str">
        <f t="shared" si="5"/>
        <v/>
      </c>
      <c r="C26" s="472">
        <f>IF(D11="","-",+C25+1)</f>
        <v>2026</v>
      </c>
      <c r="D26" s="483">
        <f>IF(F25+SUM(E$17:E25)=D$10,F25,D$10-SUM(E$17:E25))</f>
        <v>269300.55855682335</v>
      </c>
      <c r="E26" s="484">
        <f t="shared" si="7"/>
        <v>7694.6976744186049</v>
      </c>
      <c r="F26" s="485">
        <f t="shared" si="8"/>
        <v>261605.86088240476</v>
      </c>
      <c r="G26" s="486">
        <f t="shared" si="9"/>
        <v>36316.301248070318</v>
      </c>
      <c r="H26" s="455">
        <f t="shared" si="10"/>
        <v>36316.301248070318</v>
      </c>
      <c r="I26" s="475">
        <f t="shared" si="0"/>
        <v>0</v>
      </c>
      <c r="J26" s="475"/>
      <c r="K26" s="487"/>
      <c r="L26" s="478">
        <f t="shared" si="1"/>
        <v>0</v>
      </c>
      <c r="M26" s="487"/>
      <c r="N26" s="478">
        <f t="shared" si="2"/>
        <v>0</v>
      </c>
      <c r="O26" s="478">
        <f t="shared" si="3"/>
        <v>0</v>
      </c>
      <c r="P26" s="242"/>
    </row>
    <row r="27" spans="2:16" ht="12.5">
      <c r="B27" s="160" t="str">
        <f t="shared" si="5"/>
        <v/>
      </c>
      <c r="C27" s="472">
        <f>IF(D11="","-",+C26+1)</f>
        <v>2027</v>
      </c>
      <c r="D27" s="483">
        <f>IF(F26+SUM(E$17:E26)=D$10,F26,D$10-SUM(E$17:E26))</f>
        <v>261605.86088240476</v>
      </c>
      <c r="E27" s="484">
        <f t="shared" si="7"/>
        <v>7694.6976744186049</v>
      </c>
      <c r="F27" s="485">
        <f t="shared" si="8"/>
        <v>253911.16320798616</v>
      </c>
      <c r="G27" s="486">
        <f t="shared" si="9"/>
        <v>35486.646233957166</v>
      </c>
      <c r="H27" s="455">
        <f t="shared" si="10"/>
        <v>35486.646233957166</v>
      </c>
      <c r="I27" s="475">
        <f t="shared" si="0"/>
        <v>0</v>
      </c>
      <c r="J27" s="475"/>
      <c r="K27" s="487"/>
      <c r="L27" s="478">
        <f t="shared" si="1"/>
        <v>0</v>
      </c>
      <c r="M27" s="487"/>
      <c r="N27" s="478">
        <f t="shared" si="2"/>
        <v>0</v>
      </c>
      <c r="O27" s="478">
        <f t="shared" si="3"/>
        <v>0</v>
      </c>
      <c r="P27" s="242"/>
    </row>
    <row r="28" spans="2:16" ht="12.5">
      <c r="B28" s="160" t="str">
        <f t="shared" si="5"/>
        <v/>
      </c>
      <c r="C28" s="472">
        <f>IF(D11="","-",+C27+1)</f>
        <v>2028</v>
      </c>
      <c r="D28" s="483">
        <f>IF(F27+SUM(E$17:E27)=D$10,F27,D$10-SUM(E$17:E27))</f>
        <v>253911.16320798616</v>
      </c>
      <c r="E28" s="484">
        <f t="shared" si="7"/>
        <v>7694.6976744186049</v>
      </c>
      <c r="F28" s="485">
        <f t="shared" si="8"/>
        <v>246216.46553356756</v>
      </c>
      <c r="G28" s="486">
        <f t="shared" si="9"/>
        <v>34656.991219844007</v>
      </c>
      <c r="H28" s="455">
        <f t="shared" si="10"/>
        <v>34656.991219844007</v>
      </c>
      <c r="I28" s="475">
        <f t="shared" si="0"/>
        <v>0</v>
      </c>
      <c r="J28" s="475"/>
      <c r="K28" s="487"/>
      <c r="L28" s="478">
        <f t="shared" si="1"/>
        <v>0</v>
      </c>
      <c r="M28" s="487"/>
      <c r="N28" s="478">
        <f t="shared" si="2"/>
        <v>0</v>
      </c>
      <c r="O28" s="478">
        <f t="shared" si="3"/>
        <v>0</v>
      </c>
      <c r="P28" s="242"/>
    </row>
    <row r="29" spans="2:16" ht="12.5">
      <c r="B29" s="160" t="str">
        <f t="shared" si="5"/>
        <v/>
      </c>
      <c r="C29" s="472">
        <f>IF(D11="","-",+C28+1)</f>
        <v>2029</v>
      </c>
      <c r="D29" s="483">
        <f>IF(F28+SUM(E$17:E28)=D$10,F28,D$10-SUM(E$17:E28))</f>
        <v>246216.46553356756</v>
      </c>
      <c r="E29" s="484">
        <f t="shared" si="7"/>
        <v>7694.6976744186049</v>
      </c>
      <c r="F29" s="485">
        <f t="shared" si="8"/>
        <v>238521.76785914897</v>
      </c>
      <c r="G29" s="486">
        <f t="shared" si="9"/>
        <v>33827.336205730855</v>
      </c>
      <c r="H29" s="455">
        <f t="shared" si="10"/>
        <v>33827.336205730855</v>
      </c>
      <c r="I29" s="475">
        <f t="shared" si="0"/>
        <v>0</v>
      </c>
      <c r="J29" s="475"/>
      <c r="K29" s="487"/>
      <c r="L29" s="478">
        <f t="shared" si="1"/>
        <v>0</v>
      </c>
      <c r="M29" s="487"/>
      <c r="N29" s="478">
        <f t="shared" si="2"/>
        <v>0</v>
      </c>
      <c r="O29" s="478">
        <f t="shared" si="3"/>
        <v>0</v>
      </c>
      <c r="P29" s="242"/>
    </row>
    <row r="30" spans="2:16" ht="12.5">
      <c r="B30" s="160" t="str">
        <f t="shared" si="5"/>
        <v/>
      </c>
      <c r="C30" s="472">
        <f>IF(D11="","-",+C29+1)</f>
        <v>2030</v>
      </c>
      <c r="D30" s="483">
        <f>IF(F29+SUM(E$17:E29)=D$10,F29,D$10-SUM(E$17:E29))</f>
        <v>238521.76785914897</v>
      </c>
      <c r="E30" s="484">
        <f t="shared" si="7"/>
        <v>7694.6976744186049</v>
      </c>
      <c r="F30" s="485">
        <f t="shared" si="8"/>
        <v>230827.07018473037</v>
      </c>
      <c r="G30" s="486">
        <f t="shared" si="9"/>
        <v>32997.681191617703</v>
      </c>
      <c r="H30" s="455">
        <f t="shared" si="10"/>
        <v>32997.681191617703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2"/>
    </row>
    <row r="31" spans="2:16" ht="12.5">
      <c r="B31" s="160" t="str">
        <f t="shared" si="5"/>
        <v/>
      </c>
      <c r="C31" s="472">
        <f>IF(D11="","-",+C30+1)</f>
        <v>2031</v>
      </c>
      <c r="D31" s="483">
        <f>IF(F30+SUM(E$17:E30)=D$10,F30,D$10-SUM(E$17:E30))</f>
        <v>230827.07018473037</v>
      </c>
      <c r="E31" s="484">
        <f t="shared" si="7"/>
        <v>7694.6976744186049</v>
      </c>
      <c r="F31" s="485">
        <f t="shared" si="8"/>
        <v>223132.37251031178</v>
      </c>
      <c r="G31" s="486">
        <f t="shared" si="9"/>
        <v>32168.026177504544</v>
      </c>
      <c r="H31" s="455">
        <f t="shared" si="10"/>
        <v>32168.026177504544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5"/>
        <v/>
      </c>
      <c r="C32" s="472">
        <f>IF(D11="","-",+C31+1)</f>
        <v>2032</v>
      </c>
      <c r="D32" s="483">
        <f>IF(F31+SUM(E$17:E31)=D$10,F31,D$10-SUM(E$17:E31))</f>
        <v>223132.37251031178</v>
      </c>
      <c r="E32" s="484">
        <f t="shared" si="7"/>
        <v>7694.6976744186049</v>
      </c>
      <c r="F32" s="485">
        <f t="shared" si="8"/>
        <v>215437.67483589318</v>
      </c>
      <c r="G32" s="486">
        <f t="shared" si="9"/>
        <v>31338.371163391392</v>
      </c>
      <c r="H32" s="455">
        <f t="shared" si="10"/>
        <v>31338.371163391392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5"/>
        <v/>
      </c>
      <c r="C33" s="472">
        <f>IF(D11="","-",+C32+1)</f>
        <v>2033</v>
      </c>
      <c r="D33" s="483">
        <f>IF(F32+SUM(E$17:E32)=D$10,F32,D$10-SUM(E$17:E32))</f>
        <v>215437.67483589318</v>
      </c>
      <c r="E33" s="484">
        <f t="shared" si="7"/>
        <v>7694.6976744186049</v>
      </c>
      <c r="F33" s="485">
        <f t="shared" si="8"/>
        <v>207742.97716147458</v>
      </c>
      <c r="G33" s="486">
        <f t="shared" si="9"/>
        <v>30508.716149278232</v>
      </c>
      <c r="H33" s="455">
        <f t="shared" si="10"/>
        <v>30508.716149278232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5"/>
        <v/>
      </c>
      <c r="C34" s="472">
        <f>IF(D11="","-",+C33+1)</f>
        <v>2034</v>
      </c>
      <c r="D34" s="483">
        <f>IF(F33+SUM(E$17:E33)=D$10,F33,D$10-SUM(E$17:E33))</f>
        <v>207742.97716147458</v>
      </c>
      <c r="E34" s="484">
        <f t="shared" si="7"/>
        <v>7694.6976744186049</v>
      </c>
      <c r="F34" s="485">
        <f t="shared" si="8"/>
        <v>200048.27948705599</v>
      </c>
      <c r="G34" s="486">
        <f t="shared" si="9"/>
        <v>29679.06113516508</v>
      </c>
      <c r="H34" s="455">
        <f t="shared" si="10"/>
        <v>29679.06113516508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5"/>
        <v/>
      </c>
      <c r="C35" s="472">
        <f>IF(D11="","-",+C34+1)</f>
        <v>2035</v>
      </c>
      <c r="D35" s="483">
        <f>IF(F34+SUM(E$17:E34)=D$10,F34,D$10-SUM(E$17:E34))</f>
        <v>200048.27948705599</v>
      </c>
      <c r="E35" s="484">
        <f t="shared" si="7"/>
        <v>7694.6976744186049</v>
      </c>
      <c r="F35" s="485">
        <f t="shared" si="8"/>
        <v>192353.58181263739</v>
      </c>
      <c r="G35" s="486">
        <f t="shared" si="9"/>
        <v>28849.406121051921</v>
      </c>
      <c r="H35" s="455">
        <f t="shared" si="10"/>
        <v>28849.406121051921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5"/>
        <v/>
      </c>
      <c r="C36" s="472">
        <f>IF(D11="","-",+C35+1)</f>
        <v>2036</v>
      </c>
      <c r="D36" s="483">
        <f>IF(F35+SUM(E$17:E35)=D$10,F35,D$10-SUM(E$17:E35))</f>
        <v>192353.58181263739</v>
      </c>
      <c r="E36" s="484">
        <f t="shared" si="7"/>
        <v>7694.6976744186049</v>
      </c>
      <c r="F36" s="485">
        <f t="shared" si="8"/>
        <v>184658.8841382188</v>
      </c>
      <c r="G36" s="486">
        <f t="shared" si="9"/>
        <v>28019.751106938769</v>
      </c>
      <c r="H36" s="455">
        <f t="shared" si="10"/>
        <v>28019.751106938769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5"/>
        <v/>
      </c>
      <c r="C37" s="472">
        <f>IF(D11="","-",+C36+1)</f>
        <v>2037</v>
      </c>
      <c r="D37" s="483">
        <f>IF(F36+SUM(E$17:E36)=D$10,F36,D$10-SUM(E$17:E36))</f>
        <v>184658.8841382188</v>
      </c>
      <c r="E37" s="484">
        <f t="shared" si="7"/>
        <v>7694.6976744186049</v>
      </c>
      <c r="F37" s="485">
        <f t="shared" si="8"/>
        <v>176964.1864638002</v>
      </c>
      <c r="G37" s="486">
        <f t="shared" si="9"/>
        <v>27190.09609282561</v>
      </c>
      <c r="H37" s="455">
        <f t="shared" si="10"/>
        <v>27190.09609282561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5"/>
        <v/>
      </c>
      <c r="C38" s="472">
        <f>IF(D11="","-",+C37+1)</f>
        <v>2038</v>
      </c>
      <c r="D38" s="483">
        <f>IF(F37+SUM(E$17:E37)=D$10,F37,D$10-SUM(E$17:E37))</f>
        <v>176964.1864638002</v>
      </c>
      <c r="E38" s="484">
        <f t="shared" si="7"/>
        <v>7694.6976744186049</v>
      </c>
      <c r="F38" s="485">
        <f t="shared" si="8"/>
        <v>169269.4887893816</v>
      </c>
      <c r="G38" s="486">
        <f t="shared" si="9"/>
        <v>26360.441078712458</v>
      </c>
      <c r="H38" s="455">
        <f t="shared" si="10"/>
        <v>26360.441078712458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5"/>
        <v/>
      </c>
      <c r="C39" s="472">
        <f>IF(D11="","-",+C38+1)</f>
        <v>2039</v>
      </c>
      <c r="D39" s="483">
        <f>IF(F38+SUM(E$17:E38)=D$10,F38,D$10-SUM(E$17:E38))</f>
        <v>169269.4887893816</v>
      </c>
      <c r="E39" s="484">
        <f t="shared" si="7"/>
        <v>7694.6976744186049</v>
      </c>
      <c r="F39" s="485">
        <f t="shared" si="8"/>
        <v>161574.79111496301</v>
      </c>
      <c r="G39" s="486">
        <f t="shared" si="9"/>
        <v>25530.786064599299</v>
      </c>
      <c r="H39" s="455">
        <f t="shared" si="10"/>
        <v>25530.786064599299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5"/>
        <v/>
      </c>
      <c r="C40" s="472">
        <f>IF(D11="","-",+C39+1)</f>
        <v>2040</v>
      </c>
      <c r="D40" s="483">
        <f>IF(F39+SUM(E$17:E39)=D$10,F39,D$10-SUM(E$17:E39))</f>
        <v>161574.79111496301</v>
      </c>
      <c r="E40" s="484">
        <f t="shared" si="7"/>
        <v>7694.6976744186049</v>
      </c>
      <c r="F40" s="485">
        <f t="shared" si="8"/>
        <v>153880.09344054441</v>
      </c>
      <c r="G40" s="486">
        <f t="shared" si="9"/>
        <v>24701.131050486147</v>
      </c>
      <c r="H40" s="455">
        <f t="shared" si="10"/>
        <v>24701.131050486147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5"/>
        <v/>
      </c>
      <c r="C41" s="472">
        <f>IF(D11="","-",+C40+1)</f>
        <v>2041</v>
      </c>
      <c r="D41" s="483">
        <f>IF(F40+SUM(E$17:E40)=D$10,F40,D$10-SUM(E$17:E40))</f>
        <v>153880.09344054441</v>
      </c>
      <c r="E41" s="484">
        <f t="shared" si="7"/>
        <v>7694.6976744186049</v>
      </c>
      <c r="F41" s="485">
        <f t="shared" si="8"/>
        <v>146185.39576612582</v>
      </c>
      <c r="G41" s="486">
        <f t="shared" si="9"/>
        <v>23871.476036372987</v>
      </c>
      <c r="H41" s="455">
        <f t="shared" si="10"/>
        <v>23871.476036372987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5"/>
        <v/>
      </c>
      <c r="C42" s="472">
        <f>IF(D11="","-",+C41+1)</f>
        <v>2042</v>
      </c>
      <c r="D42" s="483">
        <f>IF(F41+SUM(E$17:E41)=D$10,F41,D$10-SUM(E$17:E41))</f>
        <v>146185.39576612582</v>
      </c>
      <c r="E42" s="484">
        <f t="shared" si="7"/>
        <v>7694.6976744186049</v>
      </c>
      <c r="F42" s="485">
        <f t="shared" si="8"/>
        <v>138490.69809170722</v>
      </c>
      <c r="G42" s="486">
        <f t="shared" si="9"/>
        <v>23041.821022259835</v>
      </c>
      <c r="H42" s="455">
        <f t="shared" si="10"/>
        <v>23041.821022259835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5"/>
        <v/>
      </c>
      <c r="C43" s="472">
        <f>IF(D11="","-",+C42+1)</f>
        <v>2043</v>
      </c>
      <c r="D43" s="483">
        <f>IF(F42+SUM(E$17:E42)=D$10,F42,D$10-SUM(E$17:E42))</f>
        <v>138490.69809170722</v>
      </c>
      <c r="E43" s="484">
        <f t="shared" si="7"/>
        <v>7694.6976744186049</v>
      </c>
      <c r="F43" s="485">
        <f t="shared" si="8"/>
        <v>130796.00041728861</v>
      </c>
      <c r="G43" s="486">
        <f t="shared" si="9"/>
        <v>22212.166008146676</v>
      </c>
      <c r="H43" s="455">
        <f t="shared" si="10"/>
        <v>22212.166008146676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5"/>
        <v/>
      </c>
      <c r="C44" s="472">
        <f>IF(D11="","-",+C43+1)</f>
        <v>2044</v>
      </c>
      <c r="D44" s="483">
        <f>IF(F43+SUM(E$17:E43)=D$10,F43,D$10-SUM(E$17:E43))</f>
        <v>130796.00041728861</v>
      </c>
      <c r="E44" s="484">
        <f t="shared" si="7"/>
        <v>7694.6976744186049</v>
      </c>
      <c r="F44" s="485">
        <f t="shared" si="8"/>
        <v>123101.30274287</v>
      </c>
      <c r="G44" s="486">
        <f t="shared" si="9"/>
        <v>21382.510994033517</v>
      </c>
      <c r="H44" s="455">
        <f t="shared" si="10"/>
        <v>21382.510994033517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5"/>
        <v/>
      </c>
      <c r="C45" s="472">
        <f>IF(D11="","-",+C44+1)</f>
        <v>2045</v>
      </c>
      <c r="D45" s="483">
        <f>IF(F44+SUM(E$17:E44)=D$10,F44,D$10-SUM(E$17:E44))</f>
        <v>123101.30274287</v>
      </c>
      <c r="E45" s="484">
        <f t="shared" si="7"/>
        <v>7694.6976744186049</v>
      </c>
      <c r="F45" s="485">
        <f t="shared" si="8"/>
        <v>115406.60506845139</v>
      </c>
      <c r="G45" s="486">
        <f t="shared" si="9"/>
        <v>20552.855979920361</v>
      </c>
      <c r="H45" s="455">
        <f t="shared" si="10"/>
        <v>20552.855979920361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5"/>
        <v/>
      </c>
      <c r="C46" s="472">
        <f>IF(D11="","-",+C45+1)</f>
        <v>2046</v>
      </c>
      <c r="D46" s="483">
        <f>IF(F45+SUM(E$17:E45)=D$10,F45,D$10-SUM(E$17:E45))</f>
        <v>115406.60506845139</v>
      </c>
      <c r="E46" s="484">
        <f t="shared" si="7"/>
        <v>7694.6976744186049</v>
      </c>
      <c r="F46" s="485">
        <f t="shared" si="8"/>
        <v>107711.90739403278</v>
      </c>
      <c r="G46" s="486">
        <f t="shared" si="9"/>
        <v>19723.200965807206</v>
      </c>
      <c r="H46" s="455">
        <f t="shared" si="10"/>
        <v>19723.200965807206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5"/>
        <v/>
      </c>
      <c r="C47" s="472">
        <f>IF(D11="","-",+C46+1)</f>
        <v>2047</v>
      </c>
      <c r="D47" s="483">
        <f>IF(F46+SUM(E$17:E46)=D$10,F46,D$10-SUM(E$17:E46))</f>
        <v>107711.90739403278</v>
      </c>
      <c r="E47" s="484">
        <f t="shared" si="7"/>
        <v>7694.6976744186049</v>
      </c>
      <c r="F47" s="485">
        <f t="shared" si="8"/>
        <v>100017.20971961417</v>
      </c>
      <c r="G47" s="486">
        <f t="shared" si="9"/>
        <v>18893.545951694046</v>
      </c>
      <c r="H47" s="455">
        <f t="shared" si="10"/>
        <v>18893.545951694046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5"/>
        <v/>
      </c>
      <c r="C48" s="472">
        <f>IF(D11="","-",+C47+1)</f>
        <v>2048</v>
      </c>
      <c r="D48" s="483">
        <f>IF(F47+SUM(E$17:E47)=D$10,F47,D$10-SUM(E$17:E47))</f>
        <v>100017.20971961417</v>
      </c>
      <c r="E48" s="484">
        <f t="shared" si="7"/>
        <v>7694.6976744186049</v>
      </c>
      <c r="F48" s="485">
        <f t="shared" si="8"/>
        <v>92322.512045195559</v>
      </c>
      <c r="G48" s="486">
        <f t="shared" si="9"/>
        <v>18063.890937580891</v>
      </c>
      <c r="H48" s="455">
        <f t="shared" si="10"/>
        <v>18063.890937580891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5"/>
        <v/>
      </c>
      <c r="C49" s="472">
        <f>IF(D11="","-",+C48+1)</f>
        <v>2049</v>
      </c>
      <c r="D49" s="483">
        <f>IF(F48+SUM(E$17:E48)=D$10,F48,D$10-SUM(E$17:E48))</f>
        <v>92322.512045195559</v>
      </c>
      <c r="E49" s="484">
        <f t="shared" si="7"/>
        <v>7694.6976744186049</v>
      </c>
      <c r="F49" s="485">
        <f t="shared" si="8"/>
        <v>84627.814370776949</v>
      </c>
      <c r="G49" s="486">
        <f t="shared" si="9"/>
        <v>17234.235923467735</v>
      </c>
      <c r="H49" s="455">
        <f t="shared" si="10"/>
        <v>17234.235923467735</v>
      </c>
      <c r="I49" s="475">
        <f t="shared" si="0"/>
        <v>0</v>
      </c>
      <c r="J49" s="475"/>
      <c r="K49" s="487"/>
      <c r="L49" s="478">
        <f t="shared" si="1"/>
        <v>0</v>
      </c>
      <c r="M49" s="487"/>
      <c r="N49" s="478">
        <f t="shared" si="2"/>
        <v>0</v>
      </c>
      <c r="O49" s="478">
        <f t="shared" si="3"/>
        <v>0</v>
      </c>
      <c r="P49" s="242"/>
    </row>
    <row r="50" spans="2:16" ht="12.5">
      <c r="B50" s="160" t="str">
        <f t="shared" si="5"/>
        <v/>
      </c>
      <c r="C50" s="472">
        <f>IF(D11="","-",+C49+1)</f>
        <v>2050</v>
      </c>
      <c r="D50" s="483">
        <f>IF(F49+SUM(E$17:E49)=D$10,F49,D$10-SUM(E$17:E49))</f>
        <v>84627.814370776949</v>
      </c>
      <c r="E50" s="484">
        <f t="shared" si="7"/>
        <v>7694.6976744186049</v>
      </c>
      <c r="F50" s="485">
        <f t="shared" si="8"/>
        <v>76933.116696358338</v>
      </c>
      <c r="G50" s="486">
        <f t="shared" si="9"/>
        <v>16404.580909354576</v>
      </c>
      <c r="H50" s="455">
        <f t="shared" si="10"/>
        <v>16404.580909354576</v>
      </c>
      <c r="I50" s="475">
        <f t="shared" si="0"/>
        <v>0</v>
      </c>
      <c r="J50" s="475"/>
      <c r="K50" s="487"/>
      <c r="L50" s="478">
        <f t="shared" si="1"/>
        <v>0</v>
      </c>
      <c r="M50" s="487"/>
      <c r="N50" s="478">
        <f t="shared" si="2"/>
        <v>0</v>
      </c>
      <c r="O50" s="478">
        <f t="shared" si="3"/>
        <v>0</v>
      </c>
      <c r="P50" s="242"/>
    </row>
    <row r="51" spans="2:16" ht="12.5">
      <c r="B51" s="160" t="str">
        <f t="shared" si="5"/>
        <v/>
      </c>
      <c r="C51" s="472">
        <f>IF(D11="","-",+C50+1)</f>
        <v>2051</v>
      </c>
      <c r="D51" s="483">
        <f>IF(F50+SUM(E$17:E50)=D$10,F50,D$10-SUM(E$17:E50))</f>
        <v>76933.116696358338</v>
      </c>
      <c r="E51" s="484">
        <f t="shared" si="7"/>
        <v>7694.6976744186049</v>
      </c>
      <c r="F51" s="485">
        <f t="shared" si="8"/>
        <v>69238.419021939728</v>
      </c>
      <c r="G51" s="486">
        <f t="shared" si="9"/>
        <v>15574.925895241418</v>
      </c>
      <c r="H51" s="455">
        <f t="shared" si="10"/>
        <v>15574.925895241418</v>
      </c>
      <c r="I51" s="475">
        <f t="shared" si="0"/>
        <v>0</v>
      </c>
      <c r="J51" s="475"/>
      <c r="K51" s="487"/>
      <c r="L51" s="478">
        <f t="shared" si="1"/>
        <v>0</v>
      </c>
      <c r="M51" s="487"/>
      <c r="N51" s="478">
        <f t="shared" si="2"/>
        <v>0</v>
      </c>
      <c r="O51" s="478">
        <f t="shared" si="3"/>
        <v>0</v>
      </c>
      <c r="P51" s="242"/>
    </row>
    <row r="52" spans="2:16" ht="12.5">
      <c r="B52" s="160" t="str">
        <f t="shared" si="5"/>
        <v/>
      </c>
      <c r="C52" s="472">
        <f>IF(D11="","-",+C51+1)</f>
        <v>2052</v>
      </c>
      <c r="D52" s="483">
        <f>IF(F51+SUM(E$17:E51)=D$10,F51,D$10-SUM(E$17:E51))</f>
        <v>69238.419021939728</v>
      </c>
      <c r="E52" s="484">
        <f t="shared" si="7"/>
        <v>7694.6976744186049</v>
      </c>
      <c r="F52" s="485">
        <f t="shared" si="8"/>
        <v>61543.721347521125</v>
      </c>
      <c r="G52" s="486">
        <f t="shared" si="9"/>
        <v>14745.270881128263</v>
      </c>
      <c r="H52" s="455">
        <f t="shared" si="10"/>
        <v>14745.270881128263</v>
      </c>
      <c r="I52" s="475">
        <f t="shared" si="0"/>
        <v>0</v>
      </c>
      <c r="J52" s="475"/>
      <c r="K52" s="487"/>
      <c r="L52" s="478">
        <f t="shared" si="1"/>
        <v>0</v>
      </c>
      <c r="M52" s="487"/>
      <c r="N52" s="478">
        <f t="shared" si="2"/>
        <v>0</v>
      </c>
      <c r="O52" s="478">
        <f t="shared" si="3"/>
        <v>0</v>
      </c>
      <c r="P52" s="242"/>
    </row>
    <row r="53" spans="2:16" ht="12.5">
      <c r="B53" s="160" t="str">
        <f t="shared" si="5"/>
        <v/>
      </c>
      <c r="C53" s="472">
        <f>IF(D11="","-",+C52+1)</f>
        <v>2053</v>
      </c>
      <c r="D53" s="483">
        <f>IF(F52+SUM(E$17:E52)=D$10,F52,D$10-SUM(E$17:E52))</f>
        <v>61543.721347521125</v>
      </c>
      <c r="E53" s="484">
        <f t="shared" si="7"/>
        <v>7694.6976744186049</v>
      </c>
      <c r="F53" s="485">
        <f t="shared" si="8"/>
        <v>53849.023673102522</v>
      </c>
      <c r="G53" s="486">
        <f t="shared" si="9"/>
        <v>13915.615867015105</v>
      </c>
      <c r="H53" s="455">
        <f t="shared" si="10"/>
        <v>13915.615867015105</v>
      </c>
      <c r="I53" s="475">
        <f t="shared" si="0"/>
        <v>0</v>
      </c>
      <c r="J53" s="475"/>
      <c r="K53" s="487"/>
      <c r="L53" s="478">
        <f t="shared" si="1"/>
        <v>0</v>
      </c>
      <c r="M53" s="487"/>
      <c r="N53" s="478">
        <f t="shared" si="2"/>
        <v>0</v>
      </c>
      <c r="O53" s="478">
        <f t="shared" si="3"/>
        <v>0</v>
      </c>
      <c r="P53" s="242"/>
    </row>
    <row r="54" spans="2:16" ht="12.5">
      <c r="B54" s="160" t="str">
        <f t="shared" si="5"/>
        <v/>
      </c>
      <c r="C54" s="472">
        <f>IF(D11="","-",+C53+1)</f>
        <v>2054</v>
      </c>
      <c r="D54" s="483">
        <f>IF(F53+SUM(E$17:E53)=D$10,F53,D$10-SUM(E$17:E53))</f>
        <v>53849.023673102522</v>
      </c>
      <c r="E54" s="484">
        <f t="shared" si="7"/>
        <v>7694.6976744186049</v>
      </c>
      <c r="F54" s="485">
        <f t="shared" si="8"/>
        <v>46154.325998683918</v>
      </c>
      <c r="G54" s="486">
        <f t="shared" si="9"/>
        <v>13085.96085290195</v>
      </c>
      <c r="H54" s="455">
        <f t="shared" si="10"/>
        <v>13085.96085290195</v>
      </c>
      <c r="I54" s="475">
        <f t="shared" si="0"/>
        <v>0</v>
      </c>
      <c r="J54" s="475"/>
      <c r="K54" s="487"/>
      <c r="L54" s="478">
        <f t="shared" si="1"/>
        <v>0</v>
      </c>
      <c r="M54" s="487"/>
      <c r="N54" s="478">
        <f t="shared" si="2"/>
        <v>0</v>
      </c>
      <c r="O54" s="478">
        <f t="shared" si="3"/>
        <v>0</v>
      </c>
      <c r="P54" s="242"/>
    </row>
    <row r="55" spans="2:16" ht="12.5">
      <c r="B55" s="160" t="str">
        <f t="shared" si="5"/>
        <v/>
      </c>
      <c r="C55" s="472">
        <f>IF(D11="","-",+C54+1)</f>
        <v>2055</v>
      </c>
      <c r="D55" s="483">
        <f>IF(F54+SUM(E$17:E54)=D$10,F54,D$10-SUM(E$17:E54))</f>
        <v>46154.325998683918</v>
      </c>
      <c r="E55" s="484">
        <f t="shared" si="7"/>
        <v>7694.6976744186049</v>
      </c>
      <c r="F55" s="485">
        <f t="shared" si="8"/>
        <v>38459.628324265315</v>
      </c>
      <c r="G55" s="486">
        <f t="shared" si="9"/>
        <v>12256.305838788794</v>
      </c>
      <c r="H55" s="455">
        <f t="shared" si="10"/>
        <v>12256.305838788794</v>
      </c>
      <c r="I55" s="475">
        <f t="shared" si="0"/>
        <v>0</v>
      </c>
      <c r="J55" s="475"/>
      <c r="K55" s="487"/>
      <c r="L55" s="478">
        <f t="shared" si="1"/>
        <v>0</v>
      </c>
      <c r="M55" s="487"/>
      <c r="N55" s="478">
        <f t="shared" si="2"/>
        <v>0</v>
      </c>
      <c r="O55" s="478">
        <f t="shared" si="3"/>
        <v>0</v>
      </c>
      <c r="P55" s="242"/>
    </row>
    <row r="56" spans="2:16" ht="12.5">
      <c r="B56" s="160" t="str">
        <f t="shared" si="5"/>
        <v/>
      </c>
      <c r="C56" s="472">
        <f>IF(D11="","-",+C55+1)</f>
        <v>2056</v>
      </c>
      <c r="D56" s="483">
        <f>IF(F55+SUM(E$17:E55)=D$10,F55,D$10-SUM(E$17:E55))</f>
        <v>38459.628324265315</v>
      </c>
      <c r="E56" s="484">
        <f t="shared" si="7"/>
        <v>7694.6976744186049</v>
      </c>
      <c r="F56" s="485">
        <f t="shared" si="8"/>
        <v>30764.930649846712</v>
      </c>
      <c r="G56" s="486">
        <f t="shared" si="9"/>
        <v>11426.650824675638</v>
      </c>
      <c r="H56" s="455">
        <f t="shared" si="10"/>
        <v>11426.650824675638</v>
      </c>
      <c r="I56" s="475">
        <f t="shared" si="0"/>
        <v>0</v>
      </c>
      <c r="J56" s="475"/>
      <c r="K56" s="487"/>
      <c r="L56" s="478">
        <f t="shared" si="1"/>
        <v>0</v>
      </c>
      <c r="M56" s="487"/>
      <c r="N56" s="478">
        <f t="shared" si="2"/>
        <v>0</v>
      </c>
      <c r="O56" s="478">
        <f t="shared" si="3"/>
        <v>0</v>
      </c>
      <c r="P56" s="242"/>
    </row>
    <row r="57" spans="2:16" ht="12.5">
      <c r="B57" s="160" t="str">
        <f t="shared" si="5"/>
        <v/>
      </c>
      <c r="C57" s="472">
        <f>IF(D11="","-",+C56+1)</f>
        <v>2057</v>
      </c>
      <c r="D57" s="483">
        <f>IF(F56+SUM(E$17:E56)=D$10,F56,D$10-SUM(E$17:E56))</f>
        <v>30764.930649846712</v>
      </c>
      <c r="E57" s="484">
        <f t="shared" si="7"/>
        <v>7694.6976744186049</v>
      </c>
      <c r="F57" s="485">
        <f t="shared" si="8"/>
        <v>23070.232975428109</v>
      </c>
      <c r="G57" s="486">
        <f t="shared" si="9"/>
        <v>10596.995810562481</v>
      </c>
      <c r="H57" s="455">
        <f t="shared" si="10"/>
        <v>10596.995810562481</v>
      </c>
      <c r="I57" s="475">
        <f t="shared" si="0"/>
        <v>0</v>
      </c>
      <c r="J57" s="475"/>
      <c r="K57" s="487"/>
      <c r="L57" s="478">
        <f t="shared" si="1"/>
        <v>0</v>
      </c>
      <c r="M57" s="487"/>
      <c r="N57" s="478">
        <f t="shared" si="2"/>
        <v>0</v>
      </c>
      <c r="O57" s="478">
        <f t="shared" si="3"/>
        <v>0</v>
      </c>
      <c r="P57" s="242"/>
    </row>
    <row r="58" spans="2:16" ht="12.5">
      <c r="B58" s="160" t="str">
        <f t="shared" si="5"/>
        <v/>
      </c>
      <c r="C58" s="472">
        <f>IF(D11="","-",+C57+1)</f>
        <v>2058</v>
      </c>
      <c r="D58" s="483">
        <f>IF(F57+SUM(E$17:E57)=D$10,F57,D$10-SUM(E$17:E57))</f>
        <v>23070.232975428109</v>
      </c>
      <c r="E58" s="484">
        <f t="shared" si="7"/>
        <v>7694.6976744186049</v>
      </c>
      <c r="F58" s="485">
        <f t="shared" si="8"/>
        <v>15375.535301009504</v>
      </c>
      <c r="G58" s="486">
        <f t="shared" si="9"/>
        <v>9767.3407964493254</v>
      </c>
      <c r="H58" s="455">
        <f t="shared" si="10"/>
        <v>9767.3407964493254</v>
      </c>
      <c r="I58" s="475">
        <f t="shared" si="0"/>
        <v>0</v>
      </c>
      <c r="J58" s="475"/>
      <c r="K58" s="487"/>
      <c r="L58" s="478">
        <f t="shared" si="1"/>
        <v>0</v>
      </c>
      <c r="M58" s="487"/>
      <c r="N58" s="478">
        <f t="shared" si="2"/>
        <v>0</v>
      </c>
      <c r="O58" s="478">
        <f t="shared" si="3"/>
        <v>0</v>
      </c>
      <c r="P58" s="242"/>
    </row>
    <row r="59" spans="2:16" ht="12.5">
      <c r="B59" s="160" t="str">
        <f t="shared" si="5"/>
        <v/>
      </c>
      <c r="C59" s="472">
        <f>IF(D11="","-",+C58+1)</f>
        <v>2059</v>
      </c>
      <c r="D59" s="483">
        <f>IF(F58+SUM(E$17:E58)=D$10,F58,D$10-SUM(E$17:E58))</f>
        <v>15375.535301009504</v>
      </c>
      <c r="E59" s="484">
        <f t="shared" si="7"/>
        <v>7694.6976744186049</v>
      </c>
      <c r="F59" s="485">
        <f t="shared" si="8"/>
        <v>7680.8376265908992</v>
      </c>
      <c r="G59" s="486">
        <f t="shared" si="9"/>
        <v>8937.6857823361679</v>
      </c>
      <c r="H59" s="455">
        <f t="shared" si="10"/>
        <v>8937.6857823361679</v>
      </c>
      <c r="I59" s="475">
        <f t="shared" si="0"/>
        <v>0</v>
      </c>
      <c r="J59" s="475"/>
      <c r="K59" s="487"/>
      <c r="L59" s="478">
        <f t="shared" si="1"/>
        <v>0</v>
      </c>
      <c r="M59" s="487"/>
      <c r="N59" s="478">
        <f t="shared" si="2"/>
        <v>0</v>
      </c>
      <c r="O59" s="478">
        <f t="shared" si="3"/>
        <v>0</v>
      </c>
      <c r="P59" s="242"/>
    </row>
    <row r="60" spans="2:16" ht="12.5">
      <c r="B60" s="160" t="str">
        <f t="shared" si="5"/>
        <v/>
      </c>
      <c r="C60" s="472">
        <f>IF(D11="","-",+C59+1)</f>
        <v>2060</v>
      </c>
      <c r="D60" s="483">
        <f>IF(F59+SUM(E$17:E59)=D$10,F59,D$10-SUM(E$17:E59))</f>
        <v>7680.8376265908992</v>
      </c>
      <c r="E60" s="484">
        <f t="shared" si="7"/>
        <v>7680.8376265908992</v>
      </c>
      <c r="F60" s="485">
        <f t="shared" si="8"/>
        <v>0</v>
      </c>
      <c r="G60" s="486">
        <f t="shared" si="9"/>
        <v>8094.9179270213917</v>
      </c>
      <c r="H60" s="455">
        <f t="shared" si="10"/>
        <v>8094.9179270213917</v>
      </c>
      <c r="I60" s="475">
        <f t="shared" si="0"/>
        <v>0</v>
      </c>
      <c r="J60" s="475"/>
      <c r="K60" s="487"/>
      <c r="L60" s="478">
        <f t="shared" si="1"/>
        <v>0</v>
      </c>
      <c r="M60" s="487"/>
      <c r="N60" s="478">
        <f t="shared" si="2"/>
        <v>0</v>
      </c>
      <c r="O60" s="478">
        <f t="shared" si="3"/>
        <v>0</v>
      </c>
      <c r="P60" s="242"/>
    </row>
    <row r="61" spans="2:16" ht="12.5">
      <c r="B61" s="160" t="str">
        <f t="shared" si="5"/>
        <v/>
      </c>
      <c r="C61" s="472">
        <f>IF(D11="","-",+C60+1)</f>
        <v>2061</v>
      </c>
      <c r="D61" s="483">
        <f>IF(F60+SUM(E$17:E60)=D$10,F60,D$10-SUM(E$17:E60))</f>
        <v>0</v>
      </c>
      <c r="E61" s="484">
        <f t="shared" si="7"/>
        <v>0</v>
      </c>
      <c r="F61" s="485">
        <f t="shared" si="8"/>
        <v>0</v>
      </c>
      <c r="G61" s="486">
        <f t="shared" si="9"/>
        <v>0</v>
      </c>
      <c r="H61" s="455">
        <f t="shared" si="10"/>
        <v>0</v>
      </c>
      <c r="I61" s="475">
        <f t="shared" si="0"/>
        <v>0</v>
      </c>
      <c r="J61" s="475"/>
      <c r="K61" s="487"/>
      <c r="L61" s="478">
        <f t="shared" si="1"/>
        <v>0</v>
      </c>
      <c r="M61" s="487"/>
      <c r="N61" s="478">
        <f t="shared" si="2"/>
        <v>0</v>
      </c>
      <c r="O61" s="478">
        <f t="shared" si="3"/>
        <v>0</v>
      </c>
      <c r="P61" s="242"/>
    </row>
    <row r="62" spans="2:16" ht="12.5">
      <c r="B62" s="160" t="str">
        <f t="shared" si="5"/>
        <v/>
      </c>
      <c r="C62" s="472">
        <f>IF(D11="","-",+C61+1)</f>
        <v>2062</v>
      </c>
      <c r="D62" s="483">
        <f>IF(F61+SUM(E$17:E61)=D$10,F61,D$10-SUM(E$17:E61))</f>
        <v>0</v>
      </c>
      <c r="E62" s="484">
        <f t="shared" si="7"/>
        <v>0</v>
      </c>
      <c r="F62" s="485">
        <f t="shared" si="8"/>
        <v>0</v>
      </c>
      <c r="G62" s="486">
        <f t="shared" si="9"/>
        <v>0</v>
      </c>
      <c r="H62" s="455">
        <f t="shared" si="10"/>
        <v>0</v>
      </c>
      <c r="I62" s="475">
        <f t="shared" si="0"/>
        <v>0</v>
      </c>
      <c r="J62" s="475"/>
      <c r="K62" s="487"/>
      <c r="L62" s="478">
        <f t="shared" si="1"/>
        <v>0</v>
      </c>
      <c r="M62" s="487"/>
      <c r="N62" s="478">
        <f t="shared" si="2"/>
        <v>0</v>
      </c>
      <c r="O62" s="478">
        <f t="shared" si="3"/>
        <v>0</v>
      </c>
      <c r="P62" s="242"/>
    </row>
    <row r="63" spans="2:16" ht="12.5">
      <c r="B63" s="160" t="str">
        <f t="shared" si="5"/>
        <v/>
      </c>
      <c r="C63" s="472">
        <f>IF(D11="","-",+C62+1)</f>
        <v>2063</v>
      </c>
      <c r="D63" s="483">
        <f>IF(F62+SUM(E$17:E62)=D$10,F62,D$10-SUM(E$17:E62))</f>
        <v>0</v>
      </c>
      <c r="E63" s="484">
        <f t="shared" si="7"/>
        <v>0</v>
      </c>
      <c r="F63" s="485">
        <f t="shared" si="8"/>
        <v>0</v>
      </c>
      <c r="G63" s="486">
        <f t="shared" si="9"/>
        <v>0</v>
      </c>
      <c r="H63" s="455">
        <f t="shared" si="10"/>
        <v>0</v>
      </c>
      <c r="I63" s="475">
        <f t="shared" si="0"/>
        <v>0</v>
      </c>
      <c r="J63" s="475"/>
      <c r="K63" s="487"/>
      <c r="L63" s="478">
        <f t="shared" si="1"/>
        <v>0</v>
      </c>
      <c r="M63" s="487"/>
      <c r="N63" s="478">
        <f t="shared" si="2"/>
        <v>0</v>
      </c>
      <c r="O63" s="478">
        <f t="shared" si="3"/>
        <v>0</v>
      </c>
      <c r="P63" s="242"/>
    </row>
    <row r="64" spans="2:16" ht="12.5">
      <c r="B64" s="160" t="str">
        <f t="shared" si="5"/>
        <v/>
      </c>
      <c r="C64" s="472">
        <f>IF(D11="","-",+C63+1)</f>
        <v>2064</v>
      </c>
      <c r="D64" s="483">
        <f>IF(F63+SUM(E$17:E63)=D$10,F63,D$10-SUM(E$17:E63))</f>
        <v>0</v>
      </c>
      <c r="E64" s="484">
        <f t="shared" si="7"/>
        <v>0</v>
      </c>
      <c r="F64" s="485">
        <f t="shared" si="8"/>
        <v>0</v>
      </c>
      <c r="G64" s="486">
        <f t="shared" si="9"/>
        <v>0</v>
      </c>
      <c r="H64" s="455">
        <f t="shared" si="10"/>
        <v>0</v>
      </c>
      <c r="I64" s="475">
        <f t="shared" si="0"/>
        <v>0</v>
      </c>
      <c r="J64" s="475"/>
      <c r="K64" s="487"/>
      <c r="L64" s="478">
        <f t="shared" si="1"/>
        <v>0</v>
      </c>
      <c r="M64" s="487"/>
      <c r="N64" s="478">
        <f t="shared" si="2"/>
        <v>0</v>
      </c>
      <c r="O64" s="478">
        <f t="shared" si="3"/>
        <v>0</v>
      </c>
      <c r="P64" s="242"/>
    </row>
    <row r="65" spans="2:16" ht="12.5">
      <c r="B65" s="160" t="str">
        <f t="shared" si="5"/>
        <v/>
      </c>
      <c r="C65" s="472">
        <f>IF(D11="","-",+C64+1)</f>
        <v>2065</v>
      </c>
      <c r="D65" s="483">
        <f>IF(F64+SUM(E$17:E64)=D$10,F64,D$10-SUM(E$17:E64))</f>
        <v>0</v>
      </c>
      <c r="E65" s="484">
        <f t="shared" si="7"/>
        <v>0</v>
      </c>
      <c r="F65" s="485">
        <f t="shared" si="8"/>
        <v>0</v>
      </c>
      <c r="G65" s="486">
        <f t="shared" si="9"/>
        <v>0</v>
      </c>
      <c r="H65" s="455">
        <f t="shared" si="10"/>
        <v>0</v>
      </c>
      <c r="I65" s="475">
        <f t="shared" si="0"/>
        <v>0</v>
      </c>
      <c r="J65" s="475"/>
      <c r="K65" s="487"/>
      <c r="L65" s="478">
        <f t="shared" si="1"/>
        <v>0</v>
      </c>
      <c r="M65" s="487"/>
      <c r="N65" s="478">
        <f t="shared" si="2"/>
        <v>0</v>
      </c>
      <c r="O65" s="478">
        <f t="shared" si="3"/>
        <v>0</v>
      </c>
      <c r="P65" s="242"/>
    </row>
    <row r="66" spans="2:16" ht="12.5">
      <c r="B66" s="160" t="str">
        <f t="shared" si="5"/>
        <v/>
      </c>
      <c r="C66" s="472">
        <f>IF(D11="","-",+C65+1)</f>
        <v>2066</v>
      </c>
      <c r="D66" s="483">
        <f>IF(F65+SUM(E$17:E65)=D$10,F65,D$10-SUM(E$17:E65))</f>
        <v>0</v>
      </c>
      <c r="E66" s="484">
        <f t="shared" si="7"/>
        <v>0</v>
      </c>
      <c r="F66" s="485">
        <f t="shared" si="8"/>
        <v>0</v>
      </c>
      <c r="G66" s="486">
        <f t="shared" si="9"/>
        <v>0</v>
      </c>
      <c r="H66" s="455">
        <f t="shared" si="10"/>
        <v>0</v>
      </c>
      <c r="I66" s="475">
        <f t="shared" si="0"/>
        <v>0</v>
      </c>
      <c r="J66" s="475"/>
      <c r="K66" s="487"/>
      <c r="L66" s="478">
        <f t="shared" si="1"/>
        <v>0</v>
      </c>
      <c r="M66" s="487"/>
      <c r="N66" s="478">
        <f t="shared" si="2"/>
        <v>0</v>
      </c>
      <c r="O66" s="478">
        <f t="shared" si="3"/>
        <v>0</v>
      </c>
      <c r="P66" s="242"/>
    </row>
    <row r="67" spans="2:16" ht="12.5">
      <c r="B67" s="160" t="str">
        <f t="shared" si="5"/>
        <v/>
      </c>
      <c r="C67" s="472">
        <f>IF(D11="","-",+C66+1)</f>
        <v>2067</v>
      </c>
      <c r="D67" s="483">
        <f>IF(F66+SUM(E$17:E66)=D$10,F66,D$10-SUM(E$17:E66))</f>
        <v>0</v>
      </c>
      <c r="E67" s="484">
        <f t="shared" si="7"/>
        <v>0</v>
      </c>
      <c r="F67" s="485">
        <f t="shared" si="8"/>
        <v>0</v>
      </c>
      <c r="G67" s="486">
        <f t="shared" si="9"/>
        <v>0</v>
      </c>
      <c r="H67" s="455">
        <f t="shared" si="10"/>
        <v>0</v>
      </c>
      <c r="I67" s="475">
        <f t="shared" si="0"/>
        <v>0</v>
      </c>
      <c r="J67" s="475"/>
      <c r="K67" s="487"/>
      <c r="L67" s="478">
        <f t="shared" si="1"/>
        <v>0</v>
      </c>
      <c r="M67" s="487"/>
      <c r="N67" s="478">
        <f t="shared" si="2"/>
        <v>0</v>
      </c>
      <c r="O67" s="478">
        <f t="shared" si="3"/>
        <v>0</v>
      </c>
      <c r="P67" s="242"/>
    </row>
    <row r="68" spans="2:16" ht="12.5">
      <c r="B68" s="160" t="str">
        <f t="shared" si="5"/>
        <v/>
      </c>
      <c r="C68" s="472">
        <f>IF(D11="","-",+C67+1)</f>
        <v>2068</v>
      </c>
      <c r="D68" s="483">
        <f>IF(F67+SUM(E$17:E67)=D$10,F67,D$10-SUM(E$17:E67))</f>
        <v>0</v>
      </c>
      <c r="E68" s="484">
        <f t="shared" si="7"/>
        <v>0</v>
      </c>
      <c r="F68" s="485">
        <f t="shared" si="8"/>
        <v>0</v>
      </c>
      <c r="G68" s="486">
        <f t="shared" si="9"/>
        <v>0</v>
      </c>
      <c r="H68" s="455">
        <f t="shared" si="10"/>
        <v>0</v>
      </c>
      <c r="I68" s="475">
        <f t="shared" si="0"/>
        <v>0</v>
      </c>
      <c r="J68" s="475"/>
      <c r="K68" s="487"/>
      <c r="L68" s="478">
        <f t="shared" si="1"/>
        <v>0</v>
      </c>
      <c r="M68" s="487"/>
      <c r="N68" s="478">
        <f t="shared" si="2"/>
        <v>0</v>
      </c>
      <c r="O68" s="478">
        <f t="shared" si="3"/>
        <v>0</v>
      </c>
      <c r="P68" s="242"/>
    </row>
    <row r="69" spans="2:16" ht="12.5">
      <c r="B69" s="160" t="str">
        <f t="shared" si="5"/>
        <v/>
      </c>
      <c r="C69" s="472">
        <f>IF(D11="","-",+C68+1)</f>
        <v>2069</v>
      </c>
      <c r="D69" s="483">
        <f>IF(F68+SUM(E$17:E68)=D$10,F68,D$10-SUM(E$17:E68))</f>
        <v>0</v>
      </c>
      <c r="E69" s="484">
        <f t="shared" si="7"/>
        <v>0</v>
      </c>
      <c r="F69" s="485">
        <f t="shared" si="8"/>
        <v>0</v>
      </c>
      <c r="G69" s="486">
        <f t="shared" si="9"/>
        <v>0</v>
      </c>
      <c r="H69" s="455">
        <f t="shared" si="10"/>
        <v>0</v>
      </c>
      <c r="I69" s="475">
        <f t="shared" si="0"/>
        <v>0</v>
      </c>
      <c r="J69" s="475"/>
      <c r="K69" s="487"/>
      <c r="L69" s="478">
        <f t="shared" si="1"/>
        <v>0</v>
      </c>
      <c r="M69" s="487"/>
      <c r="N69" s="478">
        <f t="shared" si="2"/>
        <v>0</v>
      </c>
      <c r="O69" s="478">
        <f t="shared" si="3"/>
        <v>0</v>
      </c>
      <c r="P69" s="242"/>
    </row>
    <row r="70" spans="2:16" ht="12.5">
      <c r="B70" s="160" t="str">
        <f t="shared" si="5"/>
        <v/>
      </c>
      <c r="C70" s="472">
        <f>IF(D11="","-",+C69+1)</f>
        <v>2070</v>
      </c>
      <c r="D70" s="483">
        <f>IF(F69+SUM(E$17:E69)=D$10,F69,D$10-SUM(E$17:E69))</f>
        <v>0</v>
      </c>
      <c r="E70" s="484">
        <f t="shared" si="7"/>
        <v>0</v>
      </c>
      <c r="F70" s="485">
        <f t="shared" si="8"/>
        <v>0</v>
      </c>
      <c r="G70" s="486">
        <f t="shared" si="9"/>
        <v>0</v>
      </c>
      <c r="H70" s="455">
        <f t="shared" si="10"/>
        <v>0</v>
      </c>
      <c r="I70" s="475">
        <f t="shared" si="0"/>
        <v>0</v>
      </c>
      <c r="J70" s="475"/>
      <c r="K70" s="487"/>
      <c r="L70" s="478">
        <f t="shared" si="1"/>
        <v>0</v>
      </c>
      <c r="M70" s="487"/>
      <c r="N70" s="478">
        <f t="shared" si="2"/>
        <v>0</v>
      </c>
      <c r="O70" s="478">
        <f t="shared" si="3"/>
        <v>0</v>
      </c>
      <c r="P70" s="242"/>
    </row>
    <row r="71" spans="2:16" ht="12.5">
      <c r="B71" s="160" t="str">
        <f t="shared" si="5"/>
        <v/>
      </c>
      <c r="C71" s="472">
        <f>IF(D11="","-",+C70+1)</f>
        <v>2071</v>
      </c>
      <c r="D71" s="483">
        <f>IF(F70+SUM(E$17:E70)=D$10,F70,D$10-SUM(E$17:E70))</f>
        <v>0</v>
      </c>
      <c r="E71" s="484">
        <f t="shared" si="7"/>
        <v>0</v>
      </c>
      <c r="F71" s="485">
        <f t="shared" si="8"/>
        <v>0</v>
      </c>
      <c r="G71" s="486">
        <f t="shared" si="9"/>
        <v>0</v>
      </c>
      <c r="H71" s="455">
        <f t="shared" si="10"/>
        <v>0</v>
      </c>
      <c r="I71" s="475">
        <f t="shared" si="0"/>
        <v>0</v>
      </c>
      <c r="J71" s="475"/>
      <c r="K71" s="487"/>
      <c r="L71" s="478">
        <f t="shared" si="1"/>
        <v>0</v>
      </c>
      <c r="M71" s="487"/>
      <c r="N71" s="478">
        <f t="shared" si="2"/>
        <v>0</v>
      </c>
      <c r="O71" s="478">
        <f t="shared" si="3"/>
        <v>0</v>
      </c>
      <c r="P71" s="242"/>
    </row>
    <row r="72" spans="2:16" ht="13" thickBot="1">
      <c r="B72" s="160" t="str">
        <f t="shared" si="5"/>
        <v/>
      </c>
      <c r="C72" s="489">
        <f>IF(D11="","-",+C71+1)</f>
        <v>2072</v>
      </c>
      <c r="D72" s="612">
        <f>IF(F71+SUM(E$17:E71)=D$10,F71,D$10-SUM(E$17:E71))</f>
        <v>0</v>
      </c>
      <c r="E72" s="491">
        <f t="shared" si="7"/>
        <v>0</v>
      </c>
      <c r="F72" s="490">
        <f t="shared" si="8"/>
        <v>0</v>
      </c>
      <c r="G72" s="544">
        <f t="shared" si="9"/>
        <v>0</v>
      </c>
      <c r="H72" s="435">
        <f t="shared" si="10"/>
        <v>0</v>
      </c>
      <c r="I72" s="493">
        <f t="shared" si="0"/>
        <v>0</v>
      </c>
      <c r="J72" s="475"/>
      <c r="K72" s="494"/>
      <c r="L72" s="495">
        <f t="shared" si="1"/>
        <v>0</v>
      </c>
      <c r="M72" s="494"/>
      <c r="N72" s="495">
        <f t="shared" si="2"/>
        <v>0</v>
      </c>
      <c r="O72" s="495">
        <f t="shared" si="3"/>
        <v>0</v>
      </c>
      <c r="P72" s="242"/>
    </row>
    <row r="73" spans="2:16" ht="12.5">
      <c r="C73" s="346" t="s">
        <v>77</v>
      </c>
      <c r="D73" s="347"/>
      <c r="E73" s="347">
        <f>SUM(E17:E72)</f>
        <v>330872.00000000006</v>
      </c>
      <c r="F73" s="347"/>
      <c r="G73" s="347">
        <f>SUM(G17:G72)</f>
        <v>1103379.4678467421</v>
      </c>
      <c r="H73" s="347">
        <f>SUM(H17:H72)</f>
        <v>1103379.4678467421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21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34470.293545069071</v>
      </c>
      <c r="N87" s="508">
        <f>IF(J92&lt;D11,0,VLOOKUP(J92,C17:O72,11))</f>
        <v>34470.293545069071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40607.321587664657</v>
      </c>
      <c r="N88" s="512">
        <f>IF(J92&lt;D11,0,VLOOKUP(J92,C99:P154,7))</f>
        <v>40607.321587664657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Darlington-Roman Nose 138 kV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6137.0280425955862</v>
      </c>
      <c r="N89" s="517">
        <f>+N88-N87</f>
        <v>6137.0280425955862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TP2015027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330872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2017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8070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2017</v>
      </c>
      <c r="D99" s="584">
        <v>0</v>
      </c>
      <c r="E99" s="608">
        <v>3596</v>
      </c>
      <c r="F99" s="584">
        <v>327228</v>
      </c>
      <c r="G99" s="608">
        <v>163614</v>
      </c>
      <c r="H99" s="587">
        <v>24350.848452847567</v>
      </c>
      <c r="I99" s="607">
        <v>24350.848452847567</v>
      </c>
      <c r="J99" s="478">
        <f t="shared" ref="J99:J130" si="11">+I99-H99</f>
        <v>0</v>
      </c>
      <c r="K99" s="478"/>
      <c r="L99" s="477">
        <f>+H99</f>
        <v>24350.848452847567</v>
      </c>
      <c r="M99" s="477">
        <f t="shared" ref="M99:M130" si="12">IF(L99&lt;&gt;0,+H99-L99,0)</f>
        <v>0</v>
      </c>
      <c r="N99" s="477">
        <f>+I99</f>
        <v>24350.848452847567</v>
      </c>
      <c r="O99" s="477">
        <f t="shared" ref="O99:O130" si="13">IF(N99&lt;&gt;0,+I99-N99,0)</f>
        <v>0</v>
      </c>
      <c r="P99" s="477">
        <f t="shared" ref="P99:P130" si="14">+O99-M99</f>
        <v>0</v>
      </c>
    </row>
    <row r="100" spans="1:16" ht="12.5">
      <c r="B100" s="160" t="str">
        <f>IF(D100=F99,"","IU")</f>
        <v/>
      </c>
      <c r="C100" s="472">
        <f>IF(D93="","-",+C99+1)</f>
        <v>2018</v>
      </c>
      <c r="D100" s="578">
        <v>327228</v>
      </c>
      <c r="E100" s="579">
        <v>7694</v>
      </c>
      <c r="F100" s="578">
        <v>319534</v>
      </c>
      <c r="G100" s="579">
        <v>323381</v>
      </c>
      <c r="H100" s="602">
        <v>40916.73033605556</v>
      </c>
      <c r="I100" s="578">
        <v>40916.73033605556</v>
      </c>
      <c r="J100" s="478">
        <f t="shared" si="11"/>
        <v>0</v>
      </c>
      <c r="K100" s="478"/>
      <c r="L100" s="476">
        <f>H100</f>
        <v>40916.73033605556</v>
      </c>
      <c r="M100" s="348">
        <f>IF(L100&lt;&gt;0,+H100-L100,0)</f>
        <v>0</v>
      </c>
      <c r="N100" s="476">
        <f>I100</f>
        <v>40916.73033605556</v>
      </c>
      <c r="O100" s="475">
        <f>IF(N100&lt;&gt;0,+I100-N100,0)</f>
        <v>0</v>
      </c>
      <c r="P100" s="478">
        <f>+O100-M100</f>
        <v>0</v>
      </c>
    </row>
    <row r="101" spans="1:16" ht="12.5">
      <c r="B101" s="160" t="str">
        <f t="shared" ref="B101:B154" si="15">IF(D101=F100,"","IU")</f>
        <v>IU</v>
      </c>
      <c r="C101" s="472">
        <f>IF(D93="","-",+C100+1)</f>
        <v>2019</v>
      </c>
      <c r="D101" s="346">
        <f>IF(F100+SUM(E$99:E100)=D$92,F100,D$92-SUM(E$99:E100))</f>
        <v>319582</v>
      </c>
      <c r="E101" s="484">
        <f t="shared" ref="E101:E154" si="16">IF(+J$96&lt;F100,J$96,D101)</f>
        <v>8070</v>
      </c>
      <c r="F101" s="485">
        <f t="shared" ref="F101:F154" si="17">+D101-E101</f>
        <v>311512</v>
      </c>
      <c r="G101" s="485">
        <f t="shared" ref="G101:G154" si="18">+(F101+D101)/2</f>
        <v>315547</v>
      </c>
      <c r="H101" s="613">
        <f t="shared" ref="H101:H154" si="19">+J$94*G101+E101</f>
        <v>40607.321587664657</v>
      </c>
      <c r="I101" s="614">
        <f t="shared" ref="I101:I154" si="20">+J$95*G101+E101</f>
        <v>40607.321587664657</v>
      </c>
      <c r="J101" s="478">
        <f t="shared" si="11"/>
        <v>0</v>
      </c>
      <c r="K101" s="478"/>
      <c r="L101" s="487"/>
      <c r="M101" s="478">
        <f t="shared" si="12"/>
        <v>0</v>
      </c>
      <c r="N101" s="487"/>
      <c r="O101" s="478">
        <f t="shared" si="13"/>
        <v>0</v>
      </c>
      <c r="P101" s="478">
        <f t="shared" si="14"/>
        <v>0</v>
      </c>
    </row>
    <row r="102" spans="1:16" ht="12.5">
      <c r="B102" s="160" t="str">
        <f t="shared" si="15"/>
        <v/>
      </c>
      <c r="C102" s="472">
        <f>IF(D93="","-",+C101+1)</f>
        <v>2020</v>
      </c>
      <c r="D102" s="346">
        <f>IF(F101+SUM(E$99:E101)=D$92,F101,D$92-SUM(E$99:E101))</f>
        <v>311512</v>
      </c>
      <c r="E102" s="484">
        <f t="shared" si="16"/>
        <v>8070</v>
      </c>
      <c r="F102" s="485">
        <f t="shared" si="17"/>
        <v>303442</v>
      </c>
      <c r="G102" s="485">
        <f t="shared" si="18"/>
        <v>307477</v>
      </c>
      <c r="H102" s="613">
        <f t="shared" si="19"/>
        <v>39775.191397193965</v>
      </c>
      <c r="I102" s="614">
        <f t="shared" si="20"/>
        <v>39775.191397193965</v>
      </c>
      <c r="J102" s="478">
        <f t="shared" si="11"/>
        <v>0</v>
      </c>
      <c r="K102" s="478"/>
      <c r="L102" s="487"/>
      <c r="M102" s="478">
        <f t="shared" si="12"/>
        <v>0</v>
      </c>
      <c r="N102" s="487"/>
      <c r="O102" s="478">
        <f t="shared" si="13"/>
        <v>0</v>
      </c>
      <c r="P102" s="478">
        <f t="shared" si="14"/>
        <v>0</v>
      </c>
    </row>
    <row r="103" spans="1:16" ht="12.5">
      <c r="B103" s="160" t="str">
        <f t="shared" si="15"/>
        <v/>
      </c>
      <c r="C103" s="472">
        <f>IF(D93="","-",+C102+1)</f>
        <v>2021</v>
      </c>
      <c r="D103" s="346">
        <f>IF(F102+SUM(E$99:E102)=D$92,F102,D$92-SUM(E$99:E102))</f>
        <v>303442</v>
      </c>
      <c r="E103" s="484">
        <f t="shared" si="16"/>
        <v>8070</v>
      </c>
      <c r="F103" s="485">
        <f t="shared" si="17"/>
        <v>295372</v>
      </c>
      <c r="G103" s="485">
        <f t="shared" si="18"/>
        <v>299407</v>
      </c>
      <c r="H103" s="613">
        <f t="shared" si="19"/>
        <v>38943.061206723287</v>
      </c>
      <c r="I103" s="614">
        <f t="shared" si="20"/>
        <v>38943.061206723287</v>
      </c>
      <c r="J103" s="478">
        <f t="shared" si="11"/>
        <v>0</v>
      </c>
      <c r="K103" s="478"/>
      <c r="L103" s="487"/>
      <c r="M103" s="478">
        <f t="shared" si="12"/>
        <v>0</v>
      </c>
      <c r="N103" s="487"/>
      <c r="O103" s="478">
        <f t="shared" si="13"/>
        <v>0</v>
      </c>
      <c r="P103" s="478">
        <f t="shared" si="14"/>
        <v>0</v>
      </c>
    </row>
    <row r="104" spans="1:16" ht="12.5">
      <c r="B104" s="160" t="str">
        <f t="shared" si="15"/>
        <v/>
      </c>
      <c r="C104" s="472">
        <f>IF(D93="","-",+C103+1)</f>
        <v>2022</v>
      </c>
      <c r="D104" s="346">
        <f>IF(F103+SUM(E$99:E103)=D$92,F103,D$92-SUM(E$99:E103))</f>
        <v>295372</v>
      </c>
      <c r="E104" s="484">
        <f t="shared" si="16"/>
        <v>8070</v>
      </c>
      <c r="F104" s="485">
        <f t="shared" si="17"/>
        <v>287302</v>
      </c>
      <c r="G104" s="485">
        <f t="shared" si="18"/>
        <v>291337</v>
      </c>
      <c r="H104" s="613">
        <f t="shared" si="19"/>
        <v>38110.931016252594</v>
      </c>
      <c r="I104" s="614">
        <f t="shared" si="20"/>
        <v>38110.931016252594</v>
      </c>
      <c r="J104" s="478">
        <f t="shared" si="11"/>
        <v>0</v>
      </c>
      <c r="K104" s="478"/>
      <c r="L104" s="487"/>
      <c r="M104" s="478">
        <f t="shared" si="12"/>
        <v>0</v>
      </c>
      <c r="N104" s="487"/>
      <c r="O104" s="478">
        <f t="shared" si="13"/>
        <v>0</v>
      </c>
      <c r="P104" s="478">
        <f t="shared" si="14"/>
        <v>0</v>
      </c>
    </row>
    <row r="105" spans="1:16" ht="12.5">
      <c r="B105" s="160" t="str">
        <f t="shared" si="15"/>
        <v/>
      </c>
      <c r="C105" s="472">
        <f>IF(D93="","-",+C104+1)</f>
        <v>2023</v>
      </c>
      <c r="D105" s="346">
        <f>IF(F104+SUM(E$99:E104)=D$92,F104,D$92-SUM(E$99:E104))</f>
        <v>287302</v>
      </c>
      <c r="E105" s="484">
        <f t="shared" si="16"/>
        <v>8070</v>
      </c>
      <c r="F105" s="485">
        <f t="shared" si="17"/>
        <v>279232</v>
      </c>
      <c r="G105" s="485">
        <f t="shared" si="18"/>
        <v>283267</v>
      </c>
      <c r="H105" s="613">
        <f t="shared" si="19"/>
        <v>37278.800825781909</v>
      </c>
      <c r="I105" s="614">
        <f t="shared" si="20"/>
        <v>37278.800825781909</v>
      </c>
      <c r="J105" s="478">
        <f t="shared" si="11"/>
        <v>0</v>
      </c>
      <c r="K105" s="478"/>
      <c r="L105" s="487"/>
      <c r="M105" s="478">
        <f t="shared" si="12"/>
        <v>0</v>
      </c>
      <c r="N105" s="487"/>
      <c r="O105" s="478">
        <f t="shared" si="13"/>
        <v>0</v>
      </c>
      <c r="P105" s="478">
        <f t="shared" si="14"/>
        <v>0</v>
      </c>
    </row>
    <row r="106" spans="1:16" ht="12.5">
      <c r="B106" s="160" t="str">
        <f t="shared" si="15"/>
        <v/>
      </c>
      <c r="C106" s="472">
        <f>IF(D93="","-",+C105+1)</f>
        <v>2024</v>
      </c>
      <c r="D106" s="346">
        <f>IF(F105+SUM(E$99:E105)=D$92,F105,D$92-SUM(E$99:E105))</f>
        <v>279232</v>
      </c>
      <c r="E106" s="484">
        <f t="shared" si="16"/>
        <v>8070</v>
      </c>
      <c r="F106" s="485">
        <f t="shared" si="17"/>
        <v>271162</v>
      </c>
      <c r="G106" s="485">
        <f t="shared" si="18"/>
        <v>275197</v>
      </c>
      <c r="H106" s="613">
        <f t="shared" si="19"/>
        <v>36446.670635311224</v>
      </c>
      <c r="I106" s="614">
        <f t="shared" si="20"/>
        <v>36446.670635311224</v>
      </c>
      <c r="J106" s="478">
        <f t="shared" si="11"/>
        <v>0</v>
      </c>
      <c r="K106" s="478"/>
      <c r="L106" s="487"/>
      <c r="M106" s="478">
        <f t="shared" si="12"/>
        <v>0</v>
      </c>
      <c r="N106" s="487"/>
      <c r="O106" s="478">
        <f t="shared" si="13"/>
        <v>0</v>
      </c>
      <c r="P106" s="478">
        <f t="shared" si="14"/>
        <v>0</v>
      </c>
    </row>
    <row r="107" spans="1:16" ht="12.5">
      <c r="B107" s="160" t="str">
        <f t="shared" si="15"/>
        <v/>
      </c>
      <c r="C107" s="472">
        <f>IF(D93="","-",+C106+1)</f>
        <v>2025</v>
      </c>
      <c r="D107" s="346">
        <f>IF(F106+SUM(E$99:E106)=D$92,F106,D$92-SUM(E$99:E106))</f>
        <v>271162</v>
      </c>
      <c r="E107" s="484">
        <f t="shared" si="16"/>
        <v>8070</v>
      </c>
      <c r="F107" s="485">
        <f t="shared" si="17"/>
        <v>263092</v>
      </c>
      <c r="G107" s="485">
        <f t="shared" si="18"/>
        <v>267127</v>
      </c>
      <c r="H107" s="613">
        <f t="shared" si="19"/>
        <v>35614.540444840532</v>
      </c>
      <c r="I107" s="614">
        <f t="shared" si="20"/>
        <v>35614.540444840532</v>
      </c>
      <c r="J107" s="478">
        <f t="shared" si="11"/>
        <v>0</v>
      </c>
      <c r="K107" s="478"/>
      <c r="L107" s="487"/>
      <c r="M107" s="478">
        <f t="shared" si="12"/>
        <v>0</v>
      </c>
      <c r="N107" s="487"/>
      <c r="O107" s="478">
        <f t="shared" si="13"/>
        <v>0</v>
      </c>
      <c r="P107" s="478">
        <f t="shared" si="14"/>
        <v>0</v>
      </c>
    </row>
    <row r="108" spans="1:16" ht="12.5">
      <c r="B108" s="160" t="str">
        <f t="shared" si="15"/>
        <v/>
      </c>
      <c r="C108" s="472">
        <f>IF(D93="","-",+C107+1)</f>
        <v>2026</v>
      </c>
      <c r="D108" s="346">
        <f>IF(F107+SUM(E$99:E107)=D$92,F107,D$92-SUM(E$99:E107))</f>
        <v>263092</v>
      </c>
      <c r="E108" s="484">
        <f t="shared" si="16"/>
        <v>8070</v>
      </c>
      <c r="F108" s="485">
        <f t="shared" si="17"/>
        <v>255022</v>
      </c>
      <c r="G108" s="485">
        <f t="shared" si="18"/>
        <v>259057</v>
      </c>
      <c r="H108" s="613">
        <f t="shared" si="19"/>
        <v>34782.410254369854</v>
      </c>
      <c r="I108" s="614">
        <f t="shared" si="20"/>
        <v>34782.410254369854</v>
      </c>
      <c r="J108" s="478">
        <f t="shared" si="11"/>
        <v>0</v>
      </c>
      <c r="K108" s="478"/>
      <c r="L108" s="487"/>
      <c r="M108" s="478">
        <f t="shared" si="12"/>
        <v>0</v>
      </c>
      <c r="N108" s="487"/>
      <c r="O108" s="478">
        <f t="shared" si="13"/>
        <v>0</v>
      </c>
      <c r="P108" s="478">
        <f t="shared" si="14"/>
        <v>0</v>
      </c>
    </row>
    <row r="109" spans="1:16" ht="12.5">
      <c r="B109" s="160" t="str">
        <f t="shared" si="15"/>
        <v/>
      </c>
      <c r="C109" s="472">
        <f>IF(D93="","-",+C108+1)</f>
        <v>2027</v>
      </c>
      <c r="D109" s="346">
        <f>IF(F108+SUM(E$99:E108)=D$92,F108,D$92-SUM(E$99:E108))</f>
        <v>255022</v>
      </c>
      <c r="E109" s="484">
        <f t="shared" si="16"/>
        <v>8070</v>
      </c>
      <c r="F109" s="485">
        <f t="shared" si="17"/>
        <v>246952</v>
      </c>
      <c r="G109" s="485">
        <f t="shared" si="18"/>
        <v>250987</v>
      </c>
      <c r="H109" s="613">
        <f t="shared" si="19"/>
        <v>33950.280063899161</v>
      </c>
      <c r="I109" s="614">
        <f t="shared" si="20"/>
        <v>33950.280063899161</v>
      </c>
      <c r="J109" s="478">
        <f t="shared" si="11"/>
        <v>0</v>
      </c>
      <c r="K109" s="478"/>
      <c r="L109" s="487"/>
      <c r="M109" s="478">
        <f t="shared" si="12"/>
        <v>0</v>
      </c>
      <c r="N109" s="487"/>
      <c r="O109" s="478">
        <f t="shared" si="13"/>
        <v>0</v>
      </c>
      <c r="P109" s="478">
        <f t="shared" si="14"/>
        <v>0</v>
      </c>
    </row>
    <row r="110" spans="1:16" ht="12.5">
      <c r="B110" s="160" t="str">
        <f t="shared" si="15"/>
        <v/>
      </c>
      <c r="C110" s="472">
        <f>IF(D93="","-",+C109+1)</f>
        <v>2028</v>
      </c>
      <c r="D110" s="346">
        <f>IF(F109+SUM(E$99:E109)=D$92,F109,D$92-SUM(E$99:E109))</f>
        <v>246952</v>
      </c>
      <c r="E110" s="484">
        <f t="shared" si="16"/>
        <v>8070</v>
      </c>
      <c r="F110" s="485">
        <f t="shared" si="17"/>
        <v>238882</v>
      </c>
      <c r="G110" s="485">
        <f t="shared" si="18"/>
        <v>242917</v>
      </c>
      <c r="H110" s="613">
        <f t="shared" si="19"/>
        <v>33118.149873428476</v>
      </c>
      <c r="I110" s="614">
        <f t="shared" si="20"/>
        <v>33118.149873428476</v>
      </c>
      <c r="J110" s="478">
        <f t="shared" si="11"/>
        <v>0</v>
      </c>
      <c r="K110" s="478"/>
      <c r="L110" s="487"/>
      <c r="M110" s="478">
        <f t="shared" si="12"/>
        <v>0</v>
      </c>
      <c r="N110" s="487"/>
      <c r="O110" s="478">
        <f t="shared" si="13"/>
        <v>0</v>
      </c>
      <c r="P110" s="478">
        <f t="shared" si="14"/>
        <v>0</v>
      </c>
    </row>
    <row r="111" spans="1:16" ht="12.5">
      <c r="B111" s="160" t="str">
        <f t="shared" si="15"/>
        <v/>
      </c>
      <c r="C111" s="472">
        <f>IF(D93="","-",+C110+1)</f>
        <v>2029</v>
      </c>
      <c r="D111" s="346">
        <f>IF(F110+SUM(E$99:E110)=D$92,F110,D$92-SUM(E$99:E110))</f>
        <v>238882</v>
      </c>
      <c r="E111" s="484">
        <f t="shared" si="16"/>
        <v>8070</v>
      </c>
      <c r="F111" s="485">
        <f t="shared" si="17"/>
        <v>230812</v>
      </c>
      <c r="G111" s="485">
        <f t="shared" si="18"/>
        <v>234847</v>
      </c>
      <c r="H111" s="613">
        <f t="shared" si="19"/>
        <v>32286.019682957787</v>
      </c>
      <c r="I111" s="614">
        <f t="shared" si="20"/>
        <v>32286.019682957787</v>
      </c>
      <c r="J111" s="478">
        <f t="shared" si="11"/>
        <v>0</v>
      </c>
      <c r="K111" s="478"/>
      <c r="L111" s="487"/>
      <c r="M111" s="478">
        <f t="shared" si="12"/>
        <v>0</v>
      </c>
      <c r="N111" s="487"/>
      <c r="O111" s="478">
        <f t="shared" si="13"/>
        <v>0</v>
      </c>
      <c r="P111" s="478">
        <f t="shared" si="14"/>
        <v>0</v>
      </c>
    </row>
    <row r="112" spans="1:16" ht="12.5">
      <c r="B112" s="160" t="str">
        <f t="shared" si="15"/>
        <v/>
      </c>
      <c r="C112" s="472">
        <f>IF(D93="","-",+C111+1)</f>
        <v>2030</v>
      </c>
      <c r="D112" s="346">
        <f>IF(F111+SUM(E$99:E111)=D$92,F111,D$92-SUM(E$99:E111))</f>
        <v>230812</v>
      </c>
      <c r="E112" s="484">
        <f t="shared" si="16"/>
        <v>8070</v>
      </c>
      <c r="F112" s="485">
        <f t="shared" si="17"/>
        <v>222742</v>
      </c>
      <c r="G112" s="485">
        <f t="shared" si="18"/>
        <v>226777</v>
      </c>
      <c r="H112" s="613">
        <f t="shared" si="19"/>
        <v>31453.889492487102</v>
      </c>
      <c r="I112" s="614">
        <f t="shared" si="20"/>
        <v>31453.889492487102</v>
      </c>
      <c r="J112" s="478">
        <f t="shared" si="11"/>
        <v>0</v>
      </c>
      <c r="K112" s="478"/>
      <c r="L112" s="487"/>
      <c r="M112" s="478">
        <f t="shared" si="12"/>
        <v>0</v>
      </c>
      <c r="N112" s="487"/>
      <c r="O112" s="478">
        <f t="shared" si="13"/>
        <v>0</v>
      </c>
      <c r="P112" s="478">
        <f t="shared" si="14"/>
        <v>0</v>
      </c>
    </row>
    <row r="113" spans="2:16" ht="12.5">
      <c r="B113" s="160" t="str">
        <f t="shared" si="15"/>
        <v/>
      </c>
      <c r="C113" s="472">
        <f>IF(D93="","-",+C112+1)</f>
        <v>2031</v>
      </c>
      <c r="D113" s="346">
        <f>IF(F112+SUM(E$99:E112)=D$92,F112,D$92-SUM(E$99:E112))</f>
        <v>222742</v>
      </c>
      <c r="E113" s="484">
        <f t="shared" si="16"/>
        <v>8070</v>
      </c>
      <c r="F113" s="485">
        <f t="shared" si="17"/>
        <v>214672</v>
      </c>
      <c r="G113" s="485">
        <f t="shared" si="18"/>
        <v>218707</v>
      </c>
      <c r="H113" s="613">
        <f t="shared" si="19"/>
        <v>30621.759302016417</v>
      </c>
      <c r="I113" s="614">
        <f t="shared" si="20"/>
        <v>30621.759302016417</v>
      </c>
      <c r="J113" s="478">
        <f t="shared" si="11"/>
        <v>0</v>
      </c>
      <c r="K113" s="478"/>
      <c r="L113" s="487"/>
      <c r="M113" s="478">
        <f t="shared" si="12"/>
        <v>0</v>
      </c>
      <c r="N113" s="487"/>
      <c r="O113" s="478">
        <f t="shared" si="13"/>
        <v>0</v>
      </c>
      <c r="P113" s="478">
        <f t="shared" si="14"/>
        <v>0</v>
      </c>
    </row>
    <row r="114" spans="2:16" ht="12.5">
      <c r="B114" s="160" t="str">
        <f t="shared" si="15"/>
        <v/>
      </c>
      <c r="C114" s="472">
        <f>IF(D93="","-",+C113+1)</f>
        <v>2032</v>
      </c>
      <c r="D114" s="346">
        <f>IF(F113+SUM(E$99:E113)=D$92,F113,D$92-SUM(E$99:E113))</f>
        <v>214672</v>
      </c>
      <c r="E114" s="484">
        <f t="shared" si="16"/>
        <v>8070</v>
      </c>
      <c r="F114" s="485">
        <f t="shared" si="17"/>
        <v>206602</v>
      </c>
      <c r="G114" s="485">
        <f t="shared" si="18"/>
        <v>210637</v>
      </c>
      <c r="H114" s="613">
        <f t="shared" si="19"/>
        <v>29789.629111545728</v>
      </c>
      <c r="I114" s="614">
        <f t="shared" si="20"/>
        <v>29789.629111545728</v>
      </c>
      <c r="J114" s="478">
        <f t="shared" si="11"/>
        <v>0</v>
      </c>
      <c r="K114" s="478"/>
      <c r="L114" s="487"/>
      <c r="M114" s="478">
        <f t="shared" si="12"/>
        <v>0</v>
      </c>
      <c r="N114" s="487"/>
      <c r="O114" s="478">
        <f t="shared" si="13"/>
        <v>0</v>
      </c>
      <c r="P114" s="478">
        <f t="shared" si="14"/>
        <v>0</v>
      </c>
    </row>
    <row r="115" spans="2:16" ht="12.5">
      <c r="B115" s="160" t="str">
        <f t="shared" si="15"/>
        <v/>
      </c>
      <c r="C115" s="472">
        <f>IF(D93="","-",+C114+1)</f>
        <v>2033</v>
      </c>
      <c r="D115" s="346">
        <f>IF(F114+SUM(E$99:E114)=D$92,F114,D$92-SUM(E$99:E114))</f>
        <v>206602</v>
      </c>
      <c r="E115" s="484">
        <f t="shared" si="16"/>
        <v>8070</v>
      </c>
      <c r="F115" s="485">
        <f t="shared" si="17"/>
        <v>198532</v>
      </c>
      <c r="G115" s="485">
        <f t="shared" si="18"/>
        <v>202567</v>
      </c>
      <c r="H115" s="613">
        <f t="shared" si="19"/>
        <v>28957.498921075043</v>
      </c>
      <c r="I115" s="614">
        <f t="shared" si="20"/>
        <v>28957.498921075043</v>
      </c>
      <c r="J115" s="478">
        <f t="shared" si="11"/>
        <v>0</v>
      </c>
      <c r="K115" s="478"/>
      <c r="L115" s="487"/>
      <c r="M115" s="478">
        <f t="shared" si="12"/>
        <v>0</v>
      </c>
      <c r="N115" s="487"/>
      <c r="O115" s="478">
        <f t="shared" si="13"/>
        <v>0</v>
      </c>
      <c r="P115" s="478">
        <f t="shared" si="14"/>
        <v>0</v>
      </c>
    </row>
    <row r="116" spans="2:16" ht="12.5">
      <c r="B116" s="160" t="str">
        <f t="shared" si="15"/>
        <v/>
      </c>
      <c r="C116" s="472">
        <f>IF(D93="","-",+C115+1)</f>
        <v>2034</v>
      </c>
      <c r="D116" s="346">
        <f>IF(F115+SUM(E$99:E115)=D$92,F115,D$92-SUM(E$99:E115))</f>
        <v>198532</v>
      </c>
      <c r="E116" s="484">
        <f t="shared" si="16"/>
        <v>8070</v>
      </c>
      <c r="F116" s="485">
        <f t="shared" si="17"/>
        <v>190462</v>
      </c>
      <c r="G116" s="485">
        <f t="shared" si="18"/>
        <v>194497</v>
      </c>
      <c r="H116" s="613">
        <f t="shared" si="19"/>
        <v>28125.368730604354</v>
      </c>
      <c r="I116" s="614">
        <f t="shared" si="20"/>
        <v>28125.368730604354</v>
      </c>
      <c r="J116" s="478">
        <f t="shared" si="11"/>
        <v>0</v>
      </c>
      <c r="K116" s="478"/>
      <c r="L116" s="487"/>
      <c r="M116" s="478">
        <f t="shared" si="12"/>
        <v>0</v>
      </c>
      <c r="N116" s="487"/>
      <c r="O116" s="478">
        <f t="shared" si="13"/>
        <v>0</v>
      </c>
      <c r="P116" s="478">
        <f t="shared" si="14"/>
        <v>0</v>
      </c>
    </row>
    <row r="117" spans="2:16" ht="12.5">
      <c r="B117" s="160" t="str">
        <f t="shared" si="15"/>
        <v/>
      </c>
      <c r="C117" s="472">
        <f>IF(D93="","-",+C116+1)</f>
        <v>2035</v>
      </c>
      <c r="D117" s="346">
        <f>IF(F116+SUM(E$99:E116)=D$92,F116,D$92-SUM(E$99:E116))</f>
        <v>190462</v>
      </c>
      <c r="E117" s="484">
        <f t="shared" si="16"/>
        <v>8070</v>
      </c>
      <c r="F117" s="485">
        <f t="shared" si="17"/>
        <v>182392</v>
      </c>
      <c r="G117" s="485">
        <f t="shared" si="18"/>
        <v>186427</v>
      </c>
      <c r="H117" s="613">
        <f t="shared" si="19"/>
        <v>27293.238540133669</v>
      </c>
      <c r="I117" s="614">
        <f t="shared" si="20"/>
        <v>27293.238540133669</v>
      </c>
      <c r="J117" s="478">
        <f t="shared" si="11"/>
        <v>0</v>
      </c>
      <c r="K117" s="478"/>
      <c r="L117" s="487"/>
      <c r="M117" s="478">
        <f t="shared" si="12"/>
        <v>0</v>
      </c>
      <c r="N117" s="487"/>
      <c r="O117" s="478">
        <f t="shared" si="13"/>
        <v>0</v>
      </c>
      <c r="P117" s="478">
        <f t="shared" si="14"/>
        <v>0</v>
      </c>
    </row>
    <row r="118" spans="2:16" ht="12.5">
      <c r="B118" s="160" t="str">
        <f t="shared" si="15"/>
        <v/>
      </c>
      <c r="C118" s="472">
        <f>IF(D93="","-",+C117+1)</f>
        <v>2036</v>
      </c>
      <c r="D118" s="346">
        <f>IF(F117+SUM(E$99:E117)=D$92,F117,D$92-SUM(E$99:E117))</f>
        <v>182392</v>
      </c>
      <c r="E118" s="484">
        <f t="shared" si="16"/>
        <v>8070</v>
      </c>
      <c r="F118" s="485">
        <f t="shared" si="17"/>
        <v>174322</v>
      </c>
      <c r="G118" s="485">
        <f t="shared" si="18"/>
        <v>178357</v>
      </c>
      <c r="H118" s="613">
        <f t="shared" si="19"/>
        <v>26461.108349662984</v>
      </c>
      <c r="I118" s="614">
        <f t="shared" si="20"/>
        <v>26461.108349662984</v>
      </c>
      <c r="J118" s="478">
        <f t="shared" si="11"/>
        <v>0</v>
      </c>
      <c r="K118" s="478"/>
      <c r="L118" s="487"/>
      <c r="M118" s="478">
        <f t="shared" si="12"/>
        <v>0</v>
      </c>
      <c r="N118" s="487"/>
      <c r="O118" s="478">
        <f t="shared" si="13"/>
        <v>0</v>
      </c>
      <c r="P118" s="478">
        <f t="shared" si="14"/>
        <v>0</v>
      </c>
    </row>
    <row r="119" spans="2:16" ht="12.5">
      <c r="B119" s="160" t="str">
        <f t="shared" si="15"/>
        <v/>
      </c>
      <c r="C119" s="472">
        <f>IF(D93="","-",+C118+1)</f>
        <v>2037</v>
      </c>
      <c r="D119" s="346">
        <f>IF(F118+SUM(E$99:E118)=D$92,F118,D$92-SUM(E$99:E118))</f>
        <v>174322</v>
      </c>
      <c r="E119" s="484">
        <f t="shared" si="16"/>
        <v>8070</v>
      </c>
      <c r="F119" s="485">
        <f t="shared" si="17"/>
        <v>166252</v>
      </c>
      <c r="G119" s="485">
        <f t="shared" si="18"/>
        <v>170287</v>
      </c>
      <c r="H119" s="613">
        <f t="shared" si="19"/>
        <v>25628.978159192295</v>
      </c>
      <c r="I119" s="614">
        <f t="shared" si="20"/>
        <v>25628.978159192295</v>
      </c>
      <c r="J119" s="478">
        <f t="shared" si="11"/>
        <v>0</v>
      </c>
      <c r="K119" s="478"/>
      <c r="L119" s="487"/>
      <c r="M119" s="478">
        <f t="shared" si="12"/>
        <v>0</v>
      </c>
      <c r="N119" s="487"/>
      <c r="O119" s="478">
        <f t="shared" si="13"/>
        <v>0</v>
      </c>
      <c r="P119" s="478">
        <f t="shared" si="14"/>
        <v>0</v>
      </c>
    </row>
    <row r="120" spans="2:16" ht="12.5">
      <c r="B120" s="160" t="str">
        <f t="shared" si="15"/>
        <v/>
      </c>
      <c r="C120" s="472">
        <f>IF(D93="","-",+C119+1)</f>
        <v>2038</v>
      </c>
      <c r="D120" s="346">
        <f>IF(F119+SUM(E$99:E119)=D$92,F119,D$92-SUM(E$99:E119))</f>
        <v>166252</v>
      </c>
      <c r="E120" s="484">
        <f t="shared" si="16"/>
        <v>8070</v>
      </c>
      <c r="F120" s="485">
        <f t="shared" si="17"/>
        <v>158182</v>
      </c>
      <c r="G120" s="485">
        <f t="shared" si="18"/>
        <v>162217</v>
      </c>
      <c r="H120" s="613">
        <f t="shared" si="19"/>
        <v>24796.84796872161</v>
      </c>
      <c r="I120" s="614">
        <f t="shared" si="20"/>
        <v>24796.84796872161</v>
      </c>
      <c r="J120" s="478">
        <f t="shared" si="11"/>
        <v>0</v>
      </c>
      <c r="K120" s="478"/>
      <c r="L120" s="487"/>
      <c r="M120" s="478">
        <f t="shared" si="12"/>
        <v>0</v>
      </c>
      <c r="N120" s="487"/>
      <c r="O120" s="478">
        <f t="shared" si="13"/>
        <v>0</v>
      </c>
      <c r="P120" s="478">
        <f t="shared" si="14"/>
        <v>0</v>
      </c>
    </row>
    <row r="121" spans="2:16" ht="12.5">
      <c r="B121" s="160" t="str">
        <f t="shared" si="15"/>
        <v/>
      </c>
      <c r="C121" s="472">
        <f>IF(D93="","-",+C120+1)</f>
        <v>2039</v>
      </c>
      <c r="D121" s="346">
        <f>IF(F120+SUM(E$99:E120)=D$92,F120,D$92-SUM(E$99:E120))</f>
        <v>158182</v>
      </c>
      <c r="E121" s="484">
        <f t="shared" si="16"/>
        <v>8070</v>
      </c>
      <c r="F121" s="485">
        <f t="shared" si="17"/>
        <v>150112</v>
      </c>
      <c r="G121" s="485">
        <f t="shared" si="18"/>
        <v>154147</v>
      </c>
      <c r="H121" s="613">
        <f t="shared" si="19"/>
        <v>23964.717778250924</v>
      </c>
      <c r="I121" s="614">
        <f t="shared" si="20"/>
        <v>23964.717778250924</v>
      </c>
      <c r="J121" s="478">
        <f t="shared" si="11"/>
        <v>0</v>
      </c>
      <c r="K121" s="478"/>
      <c r="L121" s="487"/>
      <c r="M121" s="478">
        <f t="shared" si="12"/>
        <v>0</v>
      </c>
      <c r="N121" s="487"/>
      <c r="O121" s="478">
        <f t="shared" si="13"/>
        <v>0</v>
      </c>
      <c r="P121" s="478">
        <f t="shared" si="14"/>
        <v>0</v>
      </c>
    </row>
    <row r="122" spans="2:16" ht="12.5">
      <c r="B122" s="160" t="str">
        <f t="shared" si="15"/>
        <v/>
      </c>
      <c r="C122" s="472">
        <f>IF(D93="","-",+C121+1)</f>
        <v>2040</v>
      </c>
      <c r="D122" s="346">
        <f>IF(F121+SUM(E$99:E121)=D$92,F121,D$92-SUM(E$99:E121))</f>
        <v>150112</v>
      </c>
      <c r="E122" s="484">
        <f t="shared" si="16"/>
        <v>8070</v>
      </c>
      <c r="F122" s="485">
        <f t="shared" si="17"/>
        <v>142042</v>
      </c>
      <c r="G122" s="485">
        <f t="shared" si="18"/>
        <v>146077</v>
      </c>
      <c r="H122" s="613">
        <f t="shared" si="19"/>
        <v>23132.587587780235</v>
      </c>
      <c r="I122" s="614">
        <f t="shared" si="20"/>
        <v>23132.587587780235</v>
      </c>
      <c r="J122" s="478">
        <f t="shared" si="11"/>
        <v>0</v>
      </c>
      <c r="K122" s="478"/>
      <c r="L122" s="487"/>
      <c r="M122" s="478">
        <f t="shared" si="12"/>
        <v>0</v>
      </c>
      <c r="N122" s="487"/>
      <c r="O122" s="478">
        <f t="shared" si="13"/>
        <v>0</v>
      </c>
      <c r="P122" s="478">
        <f t="shared" si="14"/>
        <v>0</v>
      </c>
    </row>
    <row r="123" spans="2:16" ht="12.5">
      <c r="B123" s="160" t="str">
        <f t="shared" si="15"/>
        <v/>
      </c>
      <c r="C123" s="472">
        <f>IF(D93="","-",+C122+1)</f>
        <v>2041</v>
      </c>
      <c r="D123" s="346">
        <f>IF(F122+SUM(E$99:E122)=D$92,F122,D$92-SUM(E$99:E122))</f>
        <v>142042</v>
      </c>
      <c r="E123" s="484">
        <f t="shared" si="16"/>
        <v>8070</v>
      </c>
      <c r="F123" s="485">
        <f t="shared" si="17"/>
        <v>133972</v>
      </c>
      <c r="G123" s="485">
        <f t="shared" si="18"/>
        <v>138007</v>
      </c>
      <c r="H123" s="613">
        <f t="shared" si="19"/>
        <v>22300.457397309547</v>
      </c>
      <c r="I123" s="614">
        <f t="shared" si="20"/>
        <v>22300.457397309547</v>
      </c>
      <c r="J123" s="478">
        <f t="shared" si="11"/>
        <v>0</v>
      </c>
      <c r="K123" s="478"/>
      <c r="L123" s="487"/>
      <c r="M123" s="478">
        <f t="shared" si="12"/>
        <v>0</v>
      </c>
      <c r="N123" s="487"/>
      <c r="O123" s="478">
        <f t="shared" si="13"/>
        <v>0</v>
      </c>
      <c r="P123" s="478">
        <f t="shared" si="14"/>
        <v>0</v>
      </c>
    </row>
    <row r="124" spans="2:16" ht="12.5">
      <c r="B124" s="160" t="str">
        <f t="shared" si="15"/>
        <v/>
      </c>
      <c r="C124" s="472">
        <f>IF(D93="","-",+C123+1)</f>
        <v>2042</v>
      </c>
      <c r="D124" s="346">
        <f>IF(F123+SUM(E$99:E123)=D$92,F123,D$92-SUM(E$99:E123))</f>
        <v>133972</v>
      </c>
      <c r="E124" s="484">
        <f t="shared" si="16"/>
        <v>8070</v>
      </c>
      <c r="F124" s="485">
        <f t="shared" si="17"/>
        <v>125902</v>
      </c>
      <c r="G124" s="485">
        <f t="shared" si="18"/>
        <v>129937</v>
      </c>
      <c r="H124" s="613">
        <f t="shared" si="19"/>
        <v>21468.327206838861</v>
      </c>
      <c r="I124" s="614">
        <f t="shared" si="20"/>
        <v>21468.327206838861</v>
      </c>
      <c r="J124" s="478">
        <f t="shared" si="11"/>
        <v>0</v>
      </c>
      <c r="K124" s="478"/>
      <c r="L124" s="487"/>
      <c r="M124" s="478">
        <f t="shared" si="12"/>
        <v>0</v>
      </c>
      <c r="N124" s="487"/>
      <c r="O124" s="478">
        <f t="shared" si="13"/>
        <v>0</v>
      </c>
      <c r="P124" s="478">
        <f t="shared" si="14"/>
        <v>0</v>
      </c>
    </row>
    <row r="125" spans="2:16" ht="12.5">
      <c r="B125" s="160" t="str">
        <f t="shared" si="15"/>
        <v/>
      </c>
      <c r="C125" s="472">
        <f>IF(D93="","-",+C124+1)</f>
        <v>2043</v>
      </c>
      <c r="D125" s="346">
        <f>IF(F124+SUM(E$99:E124)=D$92,F124,D$92-SUM(E$99:E124))</f>
        <v>125902</v>
      </c>
      <c r="E125" s="484">
        <f t="shared" si="16"/>
        <v>8070</v>
      </c>
      <c r="F125" s="485">
        <f t="shared" si="17"/>
        <v>117832</v>
      </c>
      <c r="G125" s="485">
        <f t="shared" si="18"/>
        <v>121867</v>
      </c>
      <c r="H125" s="613">
        <f t="shared" si="19"/>
        <v>20636.197016368176</v>
      </c>
      <c r="I125" s="614">
        <f t="shared" si="20"/>
        <v>20636.197016368176</v>
      </c>
      <c r="J125" s="478">
        <f t="shared" si="11"/>
        <v>0</v>
      </c>
      <c r="K125" s="478"/>
      <c r="L125" s="487"/>
      <c r="M125" s="478">
        <f t="shared" si="12"/>
        <v>0</v>
      </c>
      <c r="N125" s="487"/>
      <c r="O125" s="478">
        <f t="shared" si="13"/>
        <v>0</v>
      </c>
      <c r="P125" s="478">
        <f t="shared" si="14"/>
        <v>0</v>
      </c>
    </row>
    <row r="126" spans="2:16" ht="12.5">
      <c r="B126" s="160" t="str">
        <f t="shared" si="15"/>
        <v/>
      </c>
      <c r="C126" s="472">
        <f>IF(D93="","-",+C125+1)</f>
        <v>2044</v>
      </c>
      <c r="D126" s="346">
        <f>IF(F125+SUM(E$99:E125)=D$92,F125,D$92-SUM(E$99:E125))</f>
        <v>117832</v>
      </c>
      <c r="E126" s="484">
        <f t="shared" si="16"/>
        <v>8070</v>
      </c>
      <c r="F126" s="485">
        <f t="shared" si="17"/>
        <v>109762</v>
      </c>
      <c r="G126" s="485">
        <f t="shared" si="18"/>
        <v>113797</v>
      </c>
      <c r="H126" s="613">
        <f t="shared" si="19"/>
        <v>19804.066825897491</v>
      </c>
      <c r="I126" s="614">
        <f t="shared" si="20"/>
        <v>19804.066825897491</v>
      </c>
      <c r="J126" s="478">
        <f t="shared" si="11"/>
        <v>0</v>
      </c>
      <c r="K126" s="478"/>
      <c r="L126" s="487"/>
      <c r="M126" s="478">
        <f t="shared" si="12"/>
        <v>0</v>
      </c>
      <c r="N126" s="487"/>
      <c r="O126" s="478">
        <f t="shared" si="13"/>
        <v>0</v>
      </c>
      <c r="P126" s="478">
        <f t="shared" si="14"/>
        <v>0</v>
      </c>
    </row>
    <row r="127" spans="2:16" ht="12.5">
      <c r="B127" s="160" t="str">
        <f t="shared" si="15"/>
        <v/>
      </c>
      <c r="C127" s="472">
        <f>IF(D93="","-",+C126+1)</f>
        <v>2045</v>
      </c>
      <c r="D127" s="346">
        <f>IF(F126+SUM(E$99:E126)=D$92,F126,D$92-SUM(E$99:E126))</f>
        <v>109762</v>
      </c>
      <c r="E127" s="484">
        <f t="shared" si="16"/>
        <v>8070</v>
      </c>
      <c r="F127" s="485">
        <f t="shared" si="17"/>
        <v>101692</v>
      </c>
      <c r="G127" s="485">
        <f t="shared" si="18"/>
        <v>105727</v>
      </c>
      <c r="H127" s="613">
        <f t="shared" si="19"/>
        <v>18971.936635426802</v>
      </c>
      <c r="I127" s="614">
        <f t="shared" si="20"/>
        <v>18971.936635426802</v>
      </c>
      <c r="J127" s="478">
        <f t="shared" si="11"/>
        <v>0</v>
      </c>
      <c r="K127" s="478"/>
      <c r="L127" s="487"/>
      <c r="M127" s="478">
        <f t="shared" si="12"/>
        <v>0</v>
      </c>
      <c r="N127" s="487"/>
      <c r="O127" s="478">
        <f t="shared" si="13"/>
        <v>0</v>
      </c>
      <c r="P127" s="478">
        <f t="shared" si="14"/>
        <v>0</v>
      </c>
    </row>
    <row r="128" spans="2:16" ht="12.5">
      <c r="B128" s="160" t="str">
        <f t="shared" si="15"/>
        <v/>
      </c>
      <c r="C128" s="472">
        <f>IF(D93="","-",+C127+1)</f>
        <v>2046</v>
      </c>
      <c r="D128" s="346">
        <f>IF(F127+SUM(E$99:E127)=D$92,F127,D$92-SUM(E$99:E127))</f>
        <v>101692</v>
      </c>
      <c r="E128" s="484">
        <f t="shared" si="16"/>
        <v>8070</v>
      </c>
      <c r="F128" s="485">
        <f t="shared" si="17"/>
        <v>93622</v>
      </c>
      <c r="G128" s="485">
        <f t="shared" si="18"/>
        <v>97657</v>
      </c>
      <c r="H128" s="613">
        <f t="shared" si="19"/>
        <v>18139.806444956113</v>
      </c>
      <c r="I128" s="614">
        <f t="shared" si="20"/>
        <v>18139.806444956113</v>
      </c>
      <c r="J128" s="478">
        <f t="shared" si="11"/>
        <v>0</v>
      </c>
      <c r="K128" s="478"/>
      <c r="L128" s="487"/>
      <c r="M128" s="478">
        <f t="shared" si="12"/>
        <v>0</v>
      </c>
      <c r="N128" s="487"/>
      <c r="O128" s="478">
        <f t="shared" si="13"/>
        <v>0</v>
      </c>
      <c r="P128" s="478">
        <f t="shared" si="14"/>
        <v>0</v>
      </c>
    </row>
    <row r="129" spans="2:16" ht="12.5">
      <c r="B129" s="160" t="str">
        <f t="shared" si="15"/>
        <v/>
      </c>
      <c r="C129" s="472">
        <f>IF(D93="","-",+C128+1)</f>
        <v>2047</v>
      </c>
      <c r="D129" s="346">
        <f>IF(F128+SUM(E$99:E128)=D$92,F128,D$92-SUM(E$99:E128))</f>
        <v>93622</v>
      </c>
      <c r="E129" s="484">
        <f t="shared" si="16"/>
        <v>8070</v>
      </c>
      <c r="F129" s="485">
        <f t="shared" si="17"/>
        <v>85552</v>
      </c>
      <c r="G129" s="485">
        <f t="shared" si="18"/>
        <v>89587</v>
      </c>
      <c r="H129" s="613">
        <f t="shared" si="19"/>
        <v>17307.676254485428</v>
      </c>
      <c r="I129" s="614">
        <f t="shared" si="20"/>
        <v>17307.676254485428</v>
      </c>
      <c r="J129" s="478">
        <f t="shared" si="11"/>
        <v>0</v>
      </c>
      <c r="K129" s="478"/>
      <c r="L129" s="487"/>
      <c r="M129" s="478">
        <f t="shared" si="12"/>
        <v>0</v>
      </c>
      <c r="N129" s="487"/>
      <c r="O129" s="478">
        <f t="shared" si="13"/>
        <v>0</v>
      </c>
      <c r="P129" s="478">
        <f t="shared" si="14"/>
        <v>0</v>
      </c>
    </row>
    <row r="130" spans="2:16" ht="12.5">
      <c r="B130" s="160" t="str">
        <f t="shared" si="15"/>
        <v/>
      </c>
      <c r="C130" s="472">
        <f>IF(D93="","-",+C129+1)</f>
        <v>2048</v>
      </c>
      <c r="D130" s="346">
        <f>IF(F129+SUM(E$99:E129)=D$92,F129,D$92-SUM(E$99:E129))</f>
        <v>85552</v>
      </c>
      <c r="E130" s="484">
        <f t="shared" si="16"/>
        <v>8070</v>
      </c>
      <c r="F130" s="485">
        <f t="shared" si="17"/>
        <v>77482</v>
      </c>
      <c r="G130" s="485">
        <f t="shared" si="18"/>
        <v>81517</v>
      </c>
      <c r="H130" s="613">
        <f t="shared" si="19"/>
        <v>16475.546064014743</v>
      </c>
      <c r="I130" s="614">
        <f t="shared" si="20"/>
        <v>16475.546064014743</v>
      </c>
      <c r="J130" s="478">
        <f t="shared" si="11"/>
        <v>0</v>
      </c>
      <c r="K130" s="478"/>
      <c r="L130" s="487"/>
      <c r="M130" s="478">
        <f t="shared" si="12"/>
        <v>0</v>
      </c>
      <c r="N130" s="487"/>
      <c r="O130" s="478">
        <f t="shared" si="13"/>
        <v>0</v>
      </c>
      <c r="P130" s="478">
        <f t="shared" si="14"/>
        <v>0</v>
      </c>
    </row>
    <row r="131" spans="2:16" ht="12.5">
      <c r="B131" s="160" t="str">
        <f t="shared" si="15"/>
        <v/>
      </c>
      <c r="C131" s="472">
        <f>IF(D93="","-",+C130+1)</f>
        <v>2049</v>
      </c>
      <c r="D131" s="346">
        <f>IF(F130+SUM(E$99:E130)=D$92,F130,D$92-SUM(E$99:E130))</f>
        <v>77482</v>
      </c>
      <c r="E131" s="484">
        <f t="shared" si="16"/>
        <v>8070</v>
      </c>
      <c r="F131" s="485">
        <f t="shared" si="17"/>
        <v>69412</v>
      </c>
      <c r="G131" s="485">
        <f t="shared" si="18"/>
        <v>73447</v>
      </c>
      <c r="H131" s="613">
        <f t="shared" si="19"/>
        <v>15643.415873544054</v>
      </c>
      <c r="I131" s="614">
        <f t="shared" si="20"/>
        <v>15643.415873544054</v>
      </c>
      <c r="J131" s="478">
        <f t="shared" ref="J131:J154" si="21">+I541-H541</f>
        <v>0</v>
      </c>
      <c r="K131" s="478"/>
      <c r="L131" s="487"/>
      <c r="M131" s="478">
        <f t="shared" ref="M131:M154" si="22">IF(L541&lt;&gt;0,+H541-L541,0)</f>
        <v>0</v>
      </c>
      <c r="N131" s="487"/>
      <c r="O131" s="478">
        <f t="shared" ref="O131:O154" si="23">IF(N541&lt;&gt;0,+I541-N541,0)</f>
        <v>0</v>
      </c>
      <c r="P131" s="478">
        <f t="shared" ref="P131:P154" si="24">+O541-M541</f>
        <v>0</v>
      </c>
    </row>
    <row r="132" spans="2:16" ht="12.5">
      <c r="B132" s="160" t="str">
        <f t="shared" si="15"/>
        <v/>
      </c>
      <c r="C132" s="472">
        <f>IF(D93="","-",+C131+1)</f>
        <v>2050</v>
      </c>
      <c r="D132" s="346">
        <f>IF(F131+SUM(E$99:E131)=D$92,F131,D$92-SUM(E$99:E131))</f>
        <v>69412</v>
      </c>
      <c r="E132" s="484">
        <f t="shared" si="16"/>
        <v>8070</v>
      </c>
      <c r="F132" s="485">
        <f t="shared" si="17"/>
        <v>61342</v>
      </c>
      <c r="G132" s="485">
        <f t="shared" si="18"/>
        <v>65377</v>
      </c>
      <c r="H132" s="613">
        <f t="shared" si="19"/>
        <v>14811.285683073369</v>
      </c>
      <c r="I132" s="614">
        <f t="shared" si="20"/>
        <v>14811.285683073369</v>
      </c>
      <c r="J132" s="478">
        <f t="shared" si="21"/>
        <v>0</v>
      </c>
      <c r="K132" s="478"/>
      <c r="L132" s="487"/>
      <c r="M132" s="478">
        <f t="shared" si="22"/>
        <v>0</v>
      </c>
      <c r="N132" s="487"/>
      <c r="O132" s="478">
        <f t="shared" si="23"/>
        <v>0</v>
      </c>
      <c r="P132" s="478">
        <f t="shared" si="24"/>
        <v>0</v>
      </c>
    </row>
    <row r="133" spans="2:16" ht="12.5">
      <c r="B133" s="160" t="str">
        <f t="shared" si="15"/>
        <v/>
      </c>
      <c r="C133" s="472">
        <f>IF(D93="","-",+C132+1)</f>
        <v>2051</v>
      </c>
      <c r="D133" s="346">
        <f>IF(F132+SUM(E$99:E132)=D$92,F132,D$92-SUM(E$99:E132))</f>
        <v>61342</v>
      </c>
      <c r="E133" s="484">
        <f t="shared" si="16"/>
        <v>8070</v>
      </c>
      <c r="F133" s="485">
        <f t="shared" si="17"/>
        <v>53272</v>
      </c>
      <c r="G133" s="485">
        <f t="shared" si="18"/>
        <v>57307</v>
      </c>
      <c r="H133" s="613">
        <f t="shared" si="19"/>
        <v>13979.155492602682</v>
      </c>
      <c r="I133" s="614">
        <f t="shared" si="20"/>
        <v>13979.155492602682</v>
      </c>
      <c r="J133" s="478">
        <f t="shared" si="21"/>
        <v>0</v>
      </c>
      <c r="K133" s="478"/>
      <c r="L133" s="487"/>
      <c r="M133" s="478">
        <f t="shared" si="22"/>
        <v>0</v>
      </c>
      <c r="N133" s="487"/>
      <c r="O133" s="478">
        <f t="shared" si="23"/>
        <v>0</v>
      </c>
      <c r="P133" s="478">
        <f t="shared" si="24"/>
        <v>0</v>
      </c>
    </row>
    <row r="134" spans="2:16" ht="12.5">
      <c r="B134" s="160" t="str">
        <f t="shared" si="15"/>
        <v/>
      </c>
      <c r="C134" s="472">
        <f>IF(D93="","-",+C133+1)</f>
        <v>2052</v>
      </c>
      <c r="D134" s="346">
        <f>IF(F133+SUM(E$99:E133)=D$92,F133,D$92-SUM(E$99:E133))</f>
        <v>53272</v>
      </c>
      <c r="E134" s="484">
        <f t="shared" si="16"/>
        <v>8070</v>
      </c>
      <c r="F134" s="485">
        <f t="shared" si="17"/>
        <v>45202</v>
      </c>
      <c r="G134" s="485">
        <f t="shared" si="18"/>
        <v>49237</v>
      </c>
      <c r="H134" s="613">
        <f t="shared" si="19"/>
        <v>13147.025302131995</v>
      </c>
      <c r="I134" s="614">
        <f t="shared" si="20"/>
        <v>13147.025302131995</v>
      </c>
      <c r="J134" s="478">
        <f t="shared" si="21"/>
        <v>0</v>
      </c>
      <c r="K134" s="478"/>
      <c r="L134" s="487"/>
      <c r="M134" s="478">
        <f t="shared" si="22"/>
        <v>0</v>
      </c>
      <c r="N134" s="487"/>
      <c r="O134" s="478">
        <f t="shared" si="23"/>
        <v>0</v>
      </c>
      <c r="P134" s="478">
        <f t="shared" si="24"/>
        <v>0</v>
      </c>
    </row>
    <row r="135" spans="2:16" ht="12.5">
      <c r="B135" s="160" t="str">
        <f t="shared" si="15"/>
        <v/>
      </c>
      <c r="C135" s="472">
        <f>IF(D93="","-",+C134+1)</f>
        <v>2053</v>
      </c>
      <c r="D135" s="346">
        <f>IF(F134+SUM(E$99:E134)=D$92,F134,D$92-SUM(E$99:E134))</f>
        <v>45202</v>
      </c>
      <c r="E135" s="484">
        <f t="shared" si="16"/>
        <v>8070</v>
      </c>
      <c r="F135" s="485">
        <f t="shared" si="17"/>
        <v>37132</v>
      </c>
      <c r="G135" s="485">
        <f t="shared" si="18"/>
        <v>41167</v>
      </c>
      <c r="H135" s="613">
        <f t="shared" si="19"/>
        <v>12314.895111661308</v>
      </c>
      <c r="I135" s="614">
        <f t="shared" si="20"/>
        <v>12314.895111661308</v>
      </c>
      <c r="J135" s="478">
        <f t="shared" si="21"/>
        <v>0</v>
      </c>
      <c r="K135" s="478"/>
      <c r="L135" s="487"/>
      <c r="M135" s="478">
        <f t="shared" si="22"/>
        <v>0</v>
      </c>
      <c r="N135" s="487"/>
      <c r="O135" s="478">
        <f t="shared" si="23"/>
        <v>0</v>
      </c>
      <c r="P135" s="478">
        <f t="shared" si="24"/>
        <v>0</v>
      </c>
    </row>
    <row r="136" spans="2:16" ht="12.5">
      <c r="B136" s="160" t="str">
        <f t="shared" si="15"/>
        <v/>
      </c>
      <c r="C136" s="472">
        <f>IF(D93="","-",+C135+1)</f>
        <v>2054</v>
      </c>
      <c r="D136" s="346">
        <f>IF(F135+SUM(E$99:E135)=D$92,F135,D$92-SUM(E$99:E135))</f>
        <v>37132</v>
      </c>
      <c r="E136" s="484">
        <f t="shared" si="16"/>
        <v>8070</v>
      </c>
      <c r="F136" s="485">
        <f t="shared" si="17"/>
        <v>29062</v>
      </c>
      <c r="G136" s="485">
        <f t="shared" si="18"/>
        <v>33097</v>
      </c>
      <c r="H136" s="613">
        <f t="shared" si="19"/>
        <v>11482.764921190621</v>
      </c>
      <c r="I136" s="614">
        <f t="shared" si="20"/>
        <v>11482.764921190621</v>
      </c>
      <c r="J136" s="478">
        <f t="shared" si="21"/>
        <v>0</v>
      </c>
      <c r="K136" s="478"/>
      <c r="L136" s="487"/>
      <c r="M136" s="478">
        <f t="shared" si="22"/>
        <v>0</v>
      </c>
      <c r="N136" s="487"/>
      <c r="O136" s="478">
        <f t="shared" si="23"/>
        <v>0</v>
      </c>
      <c r="P136" s="478">
        <f t="shared" si="24"/>
        <v>0</v>
      </c>
    </row>
    <row r="137" spans="2:16" ht="12.5">
      <c r="B137" s="160" t="str">
        <f t="shared" si="15"/>
        <v/>
      </c>
      <c r="C137" s="472">
        <f>IF(D93="","-",+C136+1)</f>
        <v>2055</v>
      </c>
      <c r="D137" s="346">
        <f>IF(F136+SUM(E$99:E136)=D$92,F136,D$92-SUM(E$99:E136))</f>
        <v>29062</v>
      </c>
      <c r="E137" s="484">
        <f t="shared" si="16"/>
        <v>8070</v>
      </c>
      <c r="F137" s="485">
        <f t="shared" si="17"/>
        <v>20992</v>
      </c>
      <c r="G137" s="485">
        <f t="shared" si="18"/>
        <v>25027</v>
      </c>
      <c r="H137" s="613">
        <f t="shared" si="19"/>
        <v>10650.634730719936</v>
      </c>
      <c r="I137" s="614">
        <f t="shared" si="20"/>
        <v>10650.634730719936</v>
      </c>
      <c r="J137" s="478">
        <f t="shared" si="21"/>
        <v>0</v>
      </c>
      <c r="K137" s="478"/>
      <c r="L137" s="487"/>
      <c r="M137" s="478">
        <f t="shared" si="22"/>
        <v>0</v>
      </c>
      <c r="N137" s="487"/>
      <c r="O137" s="478">
        <f t="shared" si="23"/>
        <v>0</v>
      </c>
      <c r="P137" s="478">
        <f t="shared" si="24"/>
        <v>0</v>
      </c>
    </row>
    <row r="138" spans="2:16" ht="12.5">
      <c r="B138" s="160" t="str">
        <f t="shared" si="15"/>
        <v/>
      </c>
      <c r="C138" s="472">
        <f>IF(D93="","-",+C137+1)</f>
        <v>2056</v>
      </c>
      <c r="D138" s="346">
        <f>IF(F137+SUM(E$99:E137)=D$92,F137,D$92-SUM(E$99:E137))</f>
        <v>20992</v>
      </c>
      <c r="E138" s="484">
        <f t="shared" si="16"/>
        <v>8070</v>
      </c>
      <c r="F138" s="485">
        <f t="shared" si="17"/>
        <v>12922</v>
      </c>
      <c r="G138" s="485">
        <f t="shared" si="18"/>
        <v>16957</v>
      </c>
      <c r="H138" s="613">
        <f t="shared" si="19"/>
        <v>9818.5045402492487</v>
      </c>
      <c r="I138" s="614">
        <f t="shared" si="20"/>
        <v>9818.5045402492487</v>
      </c>
      <c r="J138" s="478">
        <f t="shared" si="21"/>
        <v>0</v>
      </c>
      <c r="K138" s="478"/>
      <c r="L138" s="487"/>
      <c r="M138" s="478">
        <f t="shared" si="22"/>
        <v>0</v>
      </c>
      <c r="N138" s="487"/>
      <c r="O138" s="478">
        <f t="shared" si="23"/>
        <v>0</v>
      </c>
      <c r="P138" s="478">
        <f t="shared" si="24"/>
        <v>0</v>
      </c>
    </row>
    <row r="139" spans="2:16" ht="12.5">
      <c r="B139" s="160" t="str">
        <f t="shared" si="15"/>
        <v/>
      </c>
      <c r="C139" s="472">
        <f>IF(D93="","-",+C138+1)</f>
        <v>2057</v>
      </c>
      <c r="D139" s="346">
        <f>IF(F138+SUM(E$99:E138)=D$92,F138,D$92-SUM(E$99:E138))</f>
        <v>12922</v>
      </c>
      <c r="E139" s="484">
        <f t="shared" si="16"/>
        <v>8070</v>
      </c>
      <c r="F139" s="485">
        <f t="shared" si="17"/>
        <v>4852</v>
      </c>
      <c r="G139" s="485">
        <f t="shared" si="18"/>
        <v>8887</v>
      </c>
      <c r="H139" s="613">
        <f t="shared" si="19"/>
        <v>8986.3743497785617</v>
      </c>
      <c r="I139" s="614">
        <f t="shared" si="20"/>
        <v>8986.3743497785617</v>
      </c>
      <c r="J139" s="478">
        <f t="shared" si="21"/>
        <v>0</v>
      </c>
      <c r="K139" s="478"/>
      <c r="L139" s="487"/>
      <c r="M139" s="478">
        <f t="shared" si="22"/>
        <v>0</v>
      </c>
      <c r="N139" s="487"/>
      <c r="O139" s="478">
        <f t="shared" si="23"/>
        <v>0</v>
      </c>
      <c r="P139" s="478">
        <f t="shared" si="24"/>
        <v>0</v>
      </c>
    </row>
    <row r="140" spans="2:16" ht="12.5">
      <c r="B140" s="160" t="str">
        <f t="shared" si="15"/>
        <v/>
      </c>
      <c r="C140" s="472">
        <f>IF(D93="","-",+C139+1)</f>
        <v>2058</v>
      </c>
      <c r="D140" s="346">
        <f>IF(F139+SUM(E$99:E139)=D$92,F139,D$92-SUM(E$99:E139))</f>
        <v>4852</v>
      </c>
      <c r="E140" s="484">
        <f t="shared" si="16"/>
        <v>4852</v>
      </c>
      <c r="F140" s="485">
        <f t="shared" si="17"/>
        <v>0</v>
      </c>
      <c r="G140" s="485">
        <f t="shared" si="18"/>
        <v>2426</v>
      </c>
      <c r="H140" s="613">
        <f t="shared" si="19"/>
        <v>5102.1546272716096</v>
      </c>
      <c r="I140" s="614">
        <f t="shared" si="20"/>
        <v>5102.1546272716096</v>
      </c>
      <c r="J140" s="478">
        <f t="shared" si="21"/>
        <v>0</v>
      </c>
      <c r="K140" s="478"/>
      <c r="L140" s="487"/>
      <c r="M140" s="478">
        <f t="shared" si="22"/>
        <v>0</v>
      </c>
      <c r="N140" s="487"/>
      <c r="O140" s="478">
        <f t="shared" si="23"/>
        <v>0</v>
      </c>
      <c r="P140" s="478">
        <f t="shared" si="24"/>
        <v>0</v>
      </c>
    </row>
    <row r="141" spans="2:16" ht="12.5">
      <c r="B141" s="160" t="str">
        <f t="shared" si="15"/>
        <v/>
      </c>
      <c r="C141" s="472">
        <f>IF(D93="","-",+C140+1)</f>
        <v>2059</v>
      </c>
      <c r="D141" s="346">
        <f>IF(F140+SUM(E$99:E140)=D$92,F140,D$92-SUM(E$99:E140))</f>
        <v>0</v>
      </c>
      <c r="E141" s="484">
        <f t="shared" si="16"/>
        <v>0</v>
      </c>
      <c r="F141" s="485">
        <f t="shared" si="17"/>
        <v>0</v>
      </c>
      <c r="G141" s="485">
        <f t="shared" si="18"/>
        <v>0</v>
      </c>
      <c r="H141" s="613">
        <f t="shared" si="19"/>
        <v>0</v>
      </c>
      <c r="I141" s="614">
        <f t="shared" si="20"/>
        <v>0</v>
      </c>
      <c r="J141" s="478">
        <f t="shared" si="21"/>
        <v>0</v>
      </c>
      <c r="K141" s="478"/>
      <c r="L141" s="487"/>
      <c r="M141" s="478">
        <f t="shared" si="22"/>
        <v>0</v>
      </c>
      <c r="N141" s="487"/>
      <c r="O141" s="478">
        <f t="shared" si="23"/>
        <v>0</v>
      </c>
      <c r="P141" s="478">
        <f t="shared" si="24"/>
        <v>0</v>
      </c>
    </row>
    <row r="142" spans="2:16" ht="12.5">
      <c r="B142" s="160" t="str">
        <f t="shared" si="15"/>
        <v/>
      </c>
      <c r="C142" s="472">
        <f>IF(D93="","-",+C141+1)</f>
        <v>2060</v>
      </c>
      <c r="D142" s="346">
        <f>IF(F141+SUM(E$99:E141)=D$92,F141,D$92-SUM(E$99:E141))</f>
        <v>0</v>
      </c>
      <c r="E142" s="484">
        <f t="shared" si="16"/>
        <v>0</v>
      </c>
      <c r="F142" s="485">
        <f t="shared" si="17"/>
        <v>0</v>
      </c>
      <c r="G142" s="485">
        <f t="shared" si="18"/>
        <v>0</v>
      </c>
      <c r="H142" s="613">
        <f t="shared" si="19"/>
        <v>0</v>
      </c>
      <c r="I142" s="614">
        <f t="shared" si="20"/>
        <v>0</v>
      </c>
      <c r="J142" s="478">
        <f t="shared" si="21"/>
        <v>0</v>
      </c>
      <c r="K142" s="478"/>
      <c r="L142" s="487"/>
      <c r="M142" s="478">
        <f t="shared" si="22"/>
        <v>0</v>
      </c>
      <c r="N142" s="487"/>
      <c r="O142" s="478">
        <f t="shared" si="23"/>
        <v>0</v>
      </c>
      <c r="P142" s="478">
        <f t="shared" si="24"/>
        <v>0</v>
      </c>
    </row>
    <row r="143" spans="2:16" ht="12.5">
      <c r="B143" s="160" t="str">
        <f t="shared" si="15"/>
        <v/>
      </c>
      <c r="C143" s="472">
        <f>IF(D93="","-",+C142+1)</f>
        <v>2061</v>
      </c>
      <c r="D143" s="346">
        <f>IF(F142+SUM(E$99:E142)=D$92,F142,D$92-SUM(E$99:E142))</f>
        <v>0</v>
      </c>
      <c r="E143" s="484">
        <f t="shared" si="16"/>
        <v>0</v>
      </c>
      <c r="F143" s="485">
        <f t="shared" si="17"/>
        <v>0</v>
      </c>
      <c r="G143" s="485">
        <f t="shared" si="18"/>
        <v>0</v>
      </c>
      <c r="H143" s="613">
        <f t="shared" si="19"/>
        <v>0</v>
      </c>
      <c r="I143" s="614">
        <f t="shared" si="20"/>
        <v>0</v>
      </c>
      <c r="J143" s="478">
        <f t="shared" si="21"/>
        <v>0</v>
      </c>
      <c r="K143" s="478"/>
      <c r="L143" s="487"/>
      <c r="M143" s="478">
        <f t="shared" si="22"/>
        <v>0</v>
      </c>
      <c r="N143" s="487"/>
      <c r="O143" s="478">
        <f t="shared" si="23"/>
        <v>0</v>
      </c>
      <c r="P143" s="478">
        <f t="shared" si="24"/>
        <v>0</v>
      </c>
    </row>
    <row r="144" spans="2:16" ht="12.5">
      <c r="B144" s="160" t="str">
        <f t="shared" si="15"/>
        <v/>
      </c>
      <c r="C144" s="472">
        <f>IF(D93="","-",+C143+1)</f>
        <v>2062</v>
      </c>
      <c r="D144" s="346">
        <f>IF(F143+SUM(E$99:E143)=D$92,F143,D$92-SUM(E$99:E143))</f>
        <v>0</v>
      </c>
      <c r="E144" s="484">
        <f t="shared" si="16"/>
        <v>0</v>
      </c>
      <c r="F144" s="485">
        <f t="shared" si="17"/>
        <v>0</v>
      </c>
      <c r="G144" s="485">
        <f t="shared" si="18"/>
        <v>0</v>
      </c>
      <c r="H144" s="613">
        <f t="shared" si="19"/>
        <v>0</v>
      </c>
      <c r="I144" s="614">
        <f t="shared" si="20"/>
        <v>0</v>
      </c>
      <c r="J144" s="478">
        <f t="shared" si="21"/>
        <v>0</v>
      </c>
      <c r="K144" s="478"/>
      <c r="L144" s="487"/>
      <c r="M144" s="478">
        <f t="shared" si="22"/>
        <v>0</v>
      </c>
      <c r="N144" s="487"/>
      <c r="O144" s="478">
        <f t="shared" si="23"/>
        <v>0</v>
      </c>
      <c r="P144" s="478">
        <f t="shared" si="24"/>
        <v>0</v>
      </c>
    </row>
    <row r="145" spans="2:16" ht="12.5">
      <c r="B145" s="160" t="str">
        <f t="shared" si="15"/>
        <v/>
      </c>
      <c r="C145" s="472">
        <f>IF(D93="","-",+C144+1)</f>
        <v>2063</v>
      </c>
      <c r="D145" s="346">
        <f>IF(F144+SUM(E$99:E144)=D$92,F144,D$92-SUM(E$99:E144))</f>
        <v>0</v>
      </c>
      <c r="E145" s="484">
        <f t="shared" si="16"/>
        <v>0</v>
      </c>
      <c r="F145" s="485">
        <f t="shared" si="17"/>
        <v>0</v>
      </c>
      <c r="G145" s="485">
        <f t="shared" si="18"/>
        <v>0</v>
      </c>
      <c r="H145" s="613">
        <f t="shared" si="19"/>
        <v>0</v>
      </c>
      <c r="I145" s="614">
        <f t="shared" si="20"/>
        <v>0</v>
      </c>
      <c r="J145" s="478">
        <f t="shared" si="21"/>
        <v>0</v>
      </c>
      <c r="K145" s="478"/>
      <c r="L145" s="487"/>
      <c r="M145" s="478">
        <f t="shared" si="22"/>
        <v>0</v>
      </c>
      <c r="N145" s="487"/>
      <c r="O145" s="478">
        <f t="shared" si="23"/>
        <v>0</v>
      </c>
      <c r="P145" s="478">
        <f t="shared" si="24"/>
        <v>0</v>
      </c>
    </row>
    <row r="146" spans="2:16" ht="12.5">
      <c r="B146" s="160" t="str">
        <f t="shared" si="15"/>
        <v/>
      </c>
      <c r="C146" s="472">
        <f>IF(D93="","-",+C145+1)</f>
        <v>2064</v>
      </c>
      <c r="D146" s="346">
        <f>IF(F145+SUM(E$99:E145)=D$92,F145,D$92-SUM(E$99:E145))</f>
        <v>0</v>
      </c>
      <c r="E146" s="484">
        <f t="shared" si="16"/>
        <v>0</v>
      </c>
      <c r="F146" s="485">
        <f t="shared" si="17"/>
        <v>0</v>
      </c>
      <c r="G146" s="485">
        <f t="shared" si="18"/>
        <v>0</v>
      </c>
      <c r="H146" s="613">
        <f t="shared" si="19"/>
        <v>0</v>
      </c>
      <c r="I146" s="614">
        <f t="shared" si="20"/>
        <v>0</v>
      </c>
      <c r="J146" s="478">
        <f t="shared" si="21"/>
        <v>0</v>
      </c>
      <c r="K146" s="478"/>
      <c r="L146" s="487"/>
      <c r="M146" s="478">
        <f t="shared" si="22"/>
        <v>0</v>
      </c>
      <c r="N146" s="487"/>
      <c r="O146" s="478">
        <f t="shared" si="23"/>
        <v>0</v>
      </c>
      <c r="P146" s="478">
        <f t="shared" si="24"/>
        <v>0</v>
      </c>
    </row>
    <row r="147" spans="2:16" ht="12.5">
      <c r="B147" s="160" t="str">
        <f t="shared" si="15"/>
        <v/>
      </c>
      <c r="C147" s="472">
        <f>IF(D93="","-",+C146+1)</f>
        <v>2065</v>
      </c>
      <c r="D147" s="346">
        <f>IF(F146+SUM(E$99:E146)=D$92,F146,D$92-SUM(E$99:E146))</f>
        <v>0</v>
      </c>
      <c r="E147" s="484">
        <f t="shared" si="16"/>
        <v>0</v>
      </c>
      <c r="F147" s="485">
        <f t="shared" si="17"/>
        <v>0</v>
      </c>
      <c r="G147" s="485">
        <f t="shared" si="18"/>
        <v>0</v>
      </c>
      <c r="H147" s="613">
        <f t="shared" si="19"/>
        <v>0</v>
      </c>
      <c r="I147" s="614">
        <f t="shared" si="20"/>
        <v>0</v>
      </c>
      <c r="J147" s="478">
        <f t="shared" si="21"/>
        <v>0</v>
      </c>
      <c r="K147" s="478"/>
      <c r="L147" s="487"/>
      <c r="M147" s="478">
        <f t="shared" si="22"/>
        <v>0</v>
      </c>
      <c r="N147" s="487"/>
      <c r="O147" s="478">
        <f t="shared" si="23"/>
        <v>0</v>
      </c>
      <c r="P147" s="478">
        <f t="shared" si="24"/>
        <v>0</v>
      </c>
    </row>
    <row r="148" spans="2:16" ht="12.5">
      <c r="B148" s="160" t="str">
        <f t="shared" si="15"/>
        <v/>
      </c>
      <c r="C148" s="472">
        <f>IF(D93="","-",+C147+1)</f>
        <v>2066</v>
      </c>
      <c r="D148" s="346">
        <f>IF(F147+SUM(E$99:E147)=D$92,F147,D$92-SUM(E$99:E147))</f>
        <v>0</v>
      </c>
      <c r="E148" s="484">
        <f t="shared" si="16"/>
        <v>0</v>
      </c>
      <c r="F148" s="485">
        <f t="shared" si="17"/>
        <v>0</v>
      </c>
      <c r="G148" s="485">
        <f t="shared" si="18"/>
        <v>0</v>
      </c>
      <c r="H148" s="613">
        <f t="shared" si="19"/>
        <v>0</v>
      </c>
      <c r="I148" s="614">
        <f t="shared" si="20"/>
        <v>0</v>
      </c>
      <c r="J148" s="478">
        <f t="shared" si="21"/>
        <v>0</v>
      </c>
      <c r="K148" s="478"/>
      <c r="L148" s="487"/>
      <c r="M148" s="478">
        <f t="shared" si="22"/>
        <v>0</v>
      </c>
      <c r="N148" s="487"/>
      <c r="O148" s="478">
        <f t="shared" si="23"/>
        <v>0</v>
      </c>
      <c r="P148" s="478">
        <f t="shared" si="24"/>
        <v>0</v>
      </c>
    </row>
    <row r="149" spans="2:16" ht="12.5">
      <c r="B149" s="160" t="str">
        <f t="shared" si="15"/>
        <v/>
      </c>
      <c r="C149" s="472">
        <f>IF(D93="","-",+C148+1)</f>
        <v>2067</v>
      </c>
      <c r="D149" s="346">
        <f>IF(F148+SUM(E$99:E148)=D$92,F148,D$92-SUM(E$99:E148))</f>
        <v>0</v>
      </c>
      <c r="E149" s="484">
        <f t="shared" si="16"/>
        <v>0</v>
      </c>
      <c r="F149" s="485">
        <f t="shared" si="17"/>
        <v>0</v>
      </c>
      <c r="G149" s="485">
        <f t="shared" si="18"/>
        <v>0</v>
      </c>
      <c r="H149" s="613">
        <f t="shared" si="19"/>
        <v>0</v>
      </c>
      <c r="I149" s="614">
        <f t="shared" si="20"/>
        <v>0</v>
      </c>
      <c r="J149" s="478">
        <f t="shared" si="21"/>
        <v>0</v>
      </c>
      <c r="K149" s="478"/>
      <c r="L149" s="487"/>
      <c r="M149" s="478">
        <f t="shared" si="22"/>
        <v>0</v>
      </c>
      <c r="N149" s="487"/>
      <c r="O149" s="478">
        <f t="shared" si="23"/>
        <v>0</v>
      </c>
      <c r="P149" s="478">
        <f t="shared" si="24"/>
        <v>0</v>
      </c>
    </row>
    <row r="150" spans="2:16" ht="12.5">
      <c r="B150" s="160" t="str">
        <f t="shared" si="15"/>
        <v/>
      </c>
      <c r="C150" s="472">
        <f>IF(D93="","-",+C149+1)</f>
        <v>2068</v>
      </c>
      <c r="D150" s="346">
        <f>IF(F149+SUM(E$99:E149)=D$92,F149,D$92-SUM(E$99:E149))</f>
        <v>0</v>
      </c>
      <c r="E150" s="484">
        <f t="shared" si="16"/>
        <v>0</v>
      </c>
      <c r="F150" s="485">
        <f t="shared" si="17"/>
        <v>0</v>
      </c>
      <c r="G150" s="485">
        <f t="shared" si="18"/>
        <v>0</v>
      </c>
      <c r="H150" s="613">
        <f t="shared" si="19"/>
        <v>0</v>
      </c>
      <c r="I150" s="614">
        <f t="shared" si="20"/>
        <v>0</v>
      </c>
      <c r="J150" s="478">
        <f t="shared" si="21"/>
        <v>0</v>
      </c>
      <c r="K150" s="478"/>
      <c r="L150" s="487"/>
      <c r="M150" s="478">
        <f t="shared" si="22"/>
        <v>0</v>
      </c>
      <c r="N150" s="487"/>
      <c r="O150" s="478">
        <f t="shared" si="23"/>
        <v>0</v>
      </c>
      <c r="P150" s="478">
        <f t="shared" si="24"/>
        <v>0</v>
      </c>
    </row>
    <row r="151" spans="2:16" ht="12.5">
      <c r="B151" s="160" t="str">
        <f t="shared" si="15"/>
        <v/>
      </c>
      <c r="C151" s="472">
        <f>IF(D93="","-",+C150+1)</f>
        <v>2069</v>
      </c>
      <c r="D151" s="346">
        <f>IF(F150+SUM(E$99:E150)=D$92,F150,D$92-SUM(E$99:E150))</f>
        <v>0</v>
      </c>
      <c r="E151" s="484">
        <f t="shared" si="16"/>
        <v>0</v>
      </c>
      <c r="F151" s="485">
        <f t="shared" si="17"/>
        <v>0</v>
      </c>
      <c r="G151" s="485">
        <f t="shared" si="18"/>
        <v>0</v>
      </c>
      <c r="H151" s="613">
        <f t="shared" si="19"/>
        <v>0</v>
      </c>
      <c r="I151" s="614">
        <f t="shared" si="20"/>
        <v>0</v>
      </c>
      <c r="J151" s="478">
        <f t="shared" si="21"/>
        <v>0</v>
      </c>
      <c r="K151" s="478"/>
      <c r="L151" s="487"/>
      <c r="M151" s="478">
        <f t="shared" si="22"/>
        <v>0</v>
      </c>
      <c r="N151" s="487"/>
      <c r="O151" s="478">
        <f t="shared" si="23"/>
        <v>0</v>
      </c>
      <c r="P151" s="478">
        <f t="shared" si="24"/>
        <v>0</v>
      </c>
    </row>
    <row r="152" spans="2:16" ht="12.5">
      <c r="B152" s="160" t="str">
        <f t="shared" si="15"/>
        <v/>
      </c>
      <c r="C152" s="472">
        <f>IF(D93="","-",+C151+1)</f>
        <v>2070</v>
      </c>
      <c r="D152" s="346">
        <f>IF(F151+SUM(E$99:E151)=D$92,F151,D$92-SUM(E$99:E151))</f>
        <v>0</v>
      </c>
      <c r="E152" s="484">
        <f t="shared" si="16"/>
        <v>0</v>
      </c>
      <c r="F152" s="485">
        <f t="shared" si="17"/>
        <v>0</v>
      </c>
      <c r="G152" s="485">
        <f t="shared" si="18"/>
        <v>0</v>
      </c>
      <c r="H152" s="613">
        <f t="shared" si="19"/>
        <v>0</v>
      </c>
      <c r="I152" s="614">
        <f t="shared" si="20"/>
        <v>0</v>
      </c>
      <c r="J152" s="478">
        <f t="shared" si="21"/>
        <v>0</v>
      </c>
      <c r="K152" s="478"/>
      <c r="L152" s="487"/>
      <c r="M152" s="478">
        <f t="shared" si="22"/>
        <v>0</v>
      </c>
      <c r="N152" s="487"/>
      <c r="O152" s="478">
        <f t="shared" si="23"/>
        <v>0</v>
      </c>
      <c r="P152" s="478">
        <f t="shared" si="24"/>
        <v>0</v>
      </c>
    </row>
    <row r="153" spans="2:16" ht="12.5">
      <c r="B153" s="160" t="str">
        <f t="shared" si="15"/>
        <v/>
      </c>
      <c r="C153" s="472">
        <f>IF(D93="","-",+C152+1)</f>
        <v>2071</v>
      </c>
      <c r="D153" s="346">
        <f>IF(F152+SUM(E$99:E152)=D$92,F152,D$92-SUM(E$99:E152))</f>
        <v>0</v>
      </c>
      <c r="E153" s="484">
        <f t="shared" si="16"/>
        <v>0</v>
      </c>
      <c r="F153" s="485">
        <f t="shared" si="17"/>
        <v>0</v>
      </c>
      <c r="G153" s="485">
        <f t="shared" si="18"/>
        <v>0</v>
      </c>
      <c r="H153" s="613">
        <f t="shared" si="19"/>
        <v>0</v>
      </c>
      <c r="I153" s="614">
        <f t="shared" si="20"/>
        <v>0</v>
      </c>
      <c r="J153" s="478">
        <f t="shared" si="21"/>
        <v>0</v>
      </c>
      <c r="K153" s="478"/>
      <c r="L153" s="487"/>
      <c r="M153" s="478">
        <f t="shared" si="22"/>
        <v>0</v>
      </c>
      <c r="N153" s="487"/>
      <c r="O153" s="478">
        <f t="shared" si="23"/>
        <v>0</v>
      </c>
      <c r="P153" s="478">
        <f t="shared" si="24"/>
        <v>0</v>
      </c>
    </row>
    <row r="154" spans="2:16" ht="13" thickBot="1">
      <c r="B154" s="160" t="str">
        <f t="shared" si="15"/>
        <v/>
      </c>
      <c r="C154" s="489">
        <f>IF(D93="","-",+C153+1)</f>
        <v>2072</v>
      </c>
      <c r="D154" s="543">
        <f>IF(F153+SUM(E$99:E153)=D$92,F153,D$92-SUM(E$99:E153))</f>
        <v>0</v>
      </c>
      <c r="E154" s="491">
        <f t="shared" si="16"/>
        <v>0</v>
      </c>
      <c r="F154" s="490">
        <f t="shared" si="17"/>
        <v>0</v>
      </c>
      <c r="G154" s="490">
        <f t="shared" si="18"/>
        <v>0</v>
      </c>
      <c r="H154" s="615">
        <f t="shared" si="19"/>
        <v>0</v>
      </c>
      <c r="I154" s="616">
        <f t="shared" si="20"/>
        <v>0</v>
      </c>
      <c r="J154" s="495">
        <f t="shared" si="21"/>
        <v>0</v>
      </c>
      <c r="K154" s="478"/>
      <c r="L154" s="494"/>
      <c r="M154" s="495">
        <f t="shared" si="22"/>
        <v>0</v>
      </c>
      <c r="N154" s="494"/>
      <c r="O154" s="495">
        <f t="shared" si="23"/>
        <v>0</v>
      </c>
      <c r="P154" s="495">
        <f t="shared" si="24"/>
        <v>0</v>
      </c>
    </row>
    <row r="155" spans="2:16" ht="12.5">
      <c r="C155" s="346" t="s">
        <v>77</v>
      </c>
      <c r="D155" s="347"/>
      <c r="E155" s="347">
        <f>SUM(E99:E154)</f>
        <v>330872</v>
      </c>
      <c r="F155" s="347"/>
      <c r="G155" s="347"/>
      <c r="H155" s="347">
        <f>SUM(H99:H154)</f>
        <v>1037446.8041963174</v>
      </c>
      <c r="I155" s="347">
        <f>SUM(I99:I154)</f>
        <v>1037446.8041963174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17" priority="1" stopIfTrue="1" operator="equal">
      <formula>$I$10</formula>
    </cfRule>
  </conditionalFormatting>
  <conditionalFormatting sqref="C99:C154">
    <cfRule type="cellIs" dxfId="16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P162"/>
  <sheetViews>
    <sheetView view="pageBreakPreview" zoomScale="78" zoomScaleNormal="100" zoomScaleSheetLayoutView="78" workbookViewId="0">
      <selection activeCell="D19" sqref="D19:H1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22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30100.568065113996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30100.568065113996</v>
      </c>
      <c r="O6" s="232"/>
      <c r="P6" s="232"/>
    </row>
    <row r="7" spans="1:16" ht="13.5" thickBot="1">
      <c r="C7" s="431" t="s">
        <v>46</v>
      </c>
      <c r="D7" s="599" t="s">
        <v>280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301</v>
      </c>
      <c r="E9" s="577" t="s">
        <v>302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244000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5674.4186046511632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2018</v>
      </c>
      <c r="D17" s="584">
        <v>0</v>
      </c>
      <c r="E17" s="608">
        <v>2711.1111111111113</v>
      </c>
      <c r="F17" s="584">
        <v>241288.88888888888</v>
      </c>
      <c r="G17" s="608">
        <v>17159.361980055266</v>
      </c>
      <c r="H17" s="587">
        <v>17159.361980055266</v>
      </c>
      <c r="I17" s="475">
        <f t="shared" ref="I17:I72" si="0">H17-G17</f>
        <v>0</v>
      </c>
      <c r="J17" s="475"/>
      <c r="K17" s="554">
        <f>+G17</f>
        <v>17159.361980055266</v>
      </c>
      <c r="L17" s="477">
        <f t="shared" ref="L17:L72" si="1">IF(K17&lt;&gt;0,+G17-K17,0)</f>
        <v>0</v>
      </c>
      <c r="M17" s="554">
        <f>+H17</f>
        <v>17159.361980055266</v>
      </c>
      <c r="N17" s="477">
        <f t="shared" ref="N17:N72" si="2">IF(M17&lt;&gt;0,+H17-M17,0)</f>
        <v>0</v>
      </c>
      <c r="O17" s="478">
        <f t="shared" ref="O17:O72" si="3"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2019</v>
      </c>
      <c r="D18" s="584">
        <v>241288.88888888888</v>
      </c>
      <c r="E18" s="585">
        <v>6100</v>
      </c>
      <c r="F18" s="584">
        <v>235188.88888888888</v>
      </c>
      <c r="G18" s="585">
        <v>32700.951777404996</v>
      </c>
      <c r="H18" s="587">
        <v>32700.951777404996</v>
      </c>
      <c r="I18" s="475">
        <f t="shared" si="0"/>
        <v>0</v>
      </c>
      <c r="J18" s="475"/>
      <c r="K18" s="478">
        <f>+G18</f>
        <v>32700.951777404996</v>
      </c>
      <c r="L18" s="478">
        <f t="shared" si="1"/>
        <v>0</v>
      </c>
      <c r="M18" s="478">
        <f>+H18</f>
        <v>32700.951777404996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2020</v>
      </c>
      <c r="D19" s="584">
        <v>235866.66666666666</v>
      </c>
      <c r="E19" s="585">
        <v>5809.5238095238092</v>
      </c>
      <c r="F19" s="584">
        <v>230057.14285714284</v>
      </c>
      <c r="G19" s="585">
        <v>30970.52236185109</v>
      </c>
      <c r="H19" s="587">
        <v>30970.52236185109</v>
      </c>
      <c r="I19" s="475">
        <f t="shared" si="0"/>
        <v>0</v>
      </c>
      <c r="J19" s="475"/>
      <c r="K19" s="478">
        <f>+G19</f>
        <v>30970.52236185109</v>
      </c>
      <c r="L19" s="478">
        <f t="shared" ref="L19" si="4">IF(K19&lt;&gt;0,+G19-K19,0)</f>
        <v>0</v>
      </c>
      <c r="M19" s="478">
        <f>+H19</f>
        <v>30970.52236185109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5">IF(D20=F19,"","IU")</f>
        <v>IU</v>
      </c>
      <c r="C20" s="472">
        <f>IF(D11="","-",+C19+1)</f>
        <v>2021</v>
      </c>
      <c r="D20" s="483">
        <f>IF(F19+SUM(E$17:E19)=D$10,F19,D$10-SUM(E$17:E19))</f>
        <v>229379.36507936509</v>
      </c>
      <c r="E20" s="484">
        <f t="shared" ref="E20:E72" si="6">IF(+I$14&lt;F19,I$14,D20)</f>
        <v>5674.4186046511632</v>
      </c>
      <c r="F20" s="485">
        <f t="shared" ref="F20:F72" si="7">+D20-E20</f>
        <v>223704.94647471391</v>
      </c>
      <c r="G20" s="486">
        <f t="shared" ref="G20:G72" si="8">(D20+F20)/2*I$12+E20</f>
        <v>30100.568065113996</v>
      </c>
      <c r="H20" s="455">
        <f t="shared" ref="H20:H72" si="9">+(D20+F20)/2*I$13+E20</f>
        <v>30100.568065113996</v>
      </c>
      <c r="I20" s="475">
        <f t="shared" si="0"/>
        <v>0</v>
      </c>
      <c r="J20" s="475"/>
      <c r="K20" s="487"/>
      <c r="L20" s="478">
        <f t="shared" si="1"/>
        <v>0</v>
      </c>
      <c r="M20" s="487"/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5"/>
        <v/>
      </c>
      <c r="C21" s="472">
        <f>IF(D11="","-",+C20+1)</f>
        <v>2022</v>
      </c>
      <c r="D21" s="483">
        <f>IF(F20+SUM(E$17:E20)=D$10,F20,D$10-SUM(E$17:E20))</f>
        <v>223704.94647471391</v>
      </c>
      <c r="E21" s="484">
        <f t="shared" si="6"/>
        <v>5674.4186046511632</v>
      </c>
      <c r="F21" s="485">
        <f t="shared" si="7"/>
        <v>218030.52787006274</v>
      </c>
      <c r="G21" s="486">
        <f t="shared" si="8"/>
        <v>29488.74287759855</v>
      </c>
      <c r="H21" s="455">
        <f t="shared" si="9"/>
        <v>29488.74287759855</v>
      </c>
      <c r="I21" s="475">
        <f t="shared" si="0"/>
        <v>0</v>
      </c>
      <c r="J21" s="475"/>
      <c r="K21" s="487"/>
      <c r="L21" s="478">
        <f t="shared" si="1"/>
        <v>0</v>
      </c>
      <c r="M21" s="487"/>
      <c r="N21" s="478">
        <f t="shared" si="2"/>
        <v>0</v>
      </c>
      <c r="O21" s="478">
        <f t="shared" si="3"/>
        <v>0</v>
      </c>
      <c r="P21" s="242"/>
    </row>
    <row r="22" spans="2:16" ht="12.5">
      <c r="B22" s="160" t="str">
        <f t="shared" si="5"/>
        <v/>
      </c>
      <c r="C22" s="472">
        <f>IF(D11="","-",+C21+1)</f>
        <v>2023</v>
      </c>
      <c r="D22" s="483">
        <f>IF(F21+SUM(E$17:E21)=D$10,F21,D$10-SUM(E$17:E21))</f>
        <v>218030.52787006274</v>
      </c>
      <c r="E22" s="484">
        <f t="shared" si="6"/>
        <v>5674.4186046511632</v>
      </c>
      <c r="F22" s="485">
        <f t="shared" si="7"/>
        <v>212356.10926541156</v>
      </c>
      <c r="G22" s="486">
        <f t="shared" si="8"/>
        <v>28876.917690083101</v>
      </c>
      <c r="H22" s="455">
        <f t="shared" si="9"/>
        <v>28876.917690083101</v>
      </c>
      <c r="I22" s="475">
        <f t="shared" si="0"/>
        <v>0</v>
      </c>
      <c r="J22" s="475"/>
      <c r="K22" s="487"/>
      <c r="L22" s="478">
        <f t="shared" si="1"/>
        <v>0</v>
      </c>
      <c r="M22" s="487"/>
      <c r="N22" s="478">
        <f t="shared" si="2"/>
        <v>0</v>
      </c>
      <c r="O22" s="478">
        <f t="shared" si="3"/>
        <v>0</v>
      </c>
      <c r="P22" s="242"/>
    </row>
    <row r="23" spans="2:16" ht="12.5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212356.10926541156</v>
      </c>
      <c r="E23" s="484">
        <f t="shared" si="6"/>
        <v>5674.4186046511632</v>
      </c>
      <c r="F23" s="485">
        <f t="shared" si="7"/>
        <v>206681.69066076039</v>
      </c>
      <c r="G23" s="486">
        <f t="shared" si="8"/>
        <v>28265.092502567655</v>
      </c>
      <c r="H23" s="455">
        <f t="shared" si="9"/>
        <v>28265.092502567655</v>
      </c>
      <c r="I23" s="475">
        <f t="shared" si="0"/>
        <v>0</v>
      </c>
      <c r="J23" s="475"/>
      <c r="K23" s="487"/>
      <c r="L23" s="478">
        <f t="shared" si="1"/>
        <v>0</v>
      </c>
      <c r="M23" s="487"/>
      <c r="N23" s="478">
        <f t="shared" si="2"/>
        <v>0</v>
      </c>
      <c r="O23" s="478">
        <f t="shared" si="3"/>
        <v>0</v>
      </c>
      <c r="P23" s="242"/>
    </row>
    <row r="24" spans="2:16" ht="12.5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206681.69066076039</v>
      </c>
      <c r="E24" s="484">
        <f t="shared" si="6"/>
        <v>5674.4186046511632</v>
      </c>
      <c r="F24" s="485">
        <f t="shared" si="7"/>
        <v>201007.27205610921</v>
      </c>
      <c r="G24" s="486">
        <f t="shared" si="8"/>
        <v>27653.26731505221</v>
      </c>
      <c r="H24" s="455">
        <f t="shared" si="9"/>
        <v>27653.26731505221</v>
      </c>
      <c r="I24" s="475">
        <f t="shared" si="0"/>
        <v>0</v>
      </c>
      <c r="J24" s="475"/>
      <c r="K24" s="487"/>
      <c r="L24" s="478">
        <f t="shared" si="1"/>
        <v>0</v>
      </c>
      <c r="M24" s="487"/>
      <c r="N24" s="478">
        <f t="shared" si="2"/>
        <v>0</v>
      </c>
      <c r="O24" s="478">
        <f t="shared" si="3"/>
        <v>0</v>
      </c>
      <c r="P24" s="242"/>
    </row>
    <row r="25" spans="2:16" ht="12.5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201007.27205610921</v>
      </c>
      <c r="E25" s="484">
        <f t="shared" si="6"/>
        <v>5674.4186046511632</v>
      </c>
      <c r="F25" s="485">
        <f t="shared" si="7"/>
        <v>195332.85345145804</v>
      </c>
      <c r="G25" s="486">
        <f t="shared" si="8"/>
        <v>27041.442127536764</v>
      </c>
      <c r="H25" s="455">
        <f t="shared" si="9"/>
        <v>27041.442127536764</v>
      </c>
      <c r="I25" s="475">
        <f t="shared" si="0"/>
        <v>0</v>
      </c>
      <c r="J25" s="475"/>
      <c r="K25" s="487"/>
      <c r="L25" s="478">
        <f t="shared" si="1"/>
        <v>0</v>
      </c>
      <c r="M25" s="487"/>
      <c r="N25" s="478">
        <f t="shared" si="2"/>
        <v>0</v>
      </c>
      <c r="O25" s="478">
        <f t="shared" si="3"/>
        <v>0</v>
      </c>
      <c r="P25" s="242"/>
    </row>
    <row r="26" spans="2:16" ht="12.5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195332.85345145804</v>
      </c>
      <c r="E26" s="484">
        <f t="shared" si="6"/>
        <v>5674.4186046511632</v>
      </c>
      <c r="F26" s="485">
        <f t="shared" si="7"/>
        <v>189658.43484680686</v>
      </c>
      <c r="G26" s="486">
        <f t="shared" si="8"/>
        <v>26429.616940021318</v>
      </c>
      <c r="H26" s="455">
        <f t="shared" si="9"/>
        <v>26429.616940021318</v>
      </c>
      <c r="I26" s="475">
        <f t="shared" si="0"/>
        <v>0</v>
      </c>
      <c r="J26" s="475"/>
      <c r="K26" s="487"/>
      <c r="L26" s="478">
        <f t="shared" si="1"/>
        <v>0</v>
      </c>
      <c r="M26" s="487"/>
      <c r="N26" s="478">
        <f t="shared" si="2"/>
        <v>0</v>
      </c>
      <c r="O26" s="478">
        <f t="shared" si="3"/>
        <v>0</v>
      </c>
      <c r="P26" s="242"/>
    </row>
    <row r="27" spans="2:16" ht="12.5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189658.43484680686</v>
      </c>
      <c r="E27" s="484">
        <f t="shared" si="6"/>
        <v>5674.4186046511632</v>
      </c>
      <c r="F27" s="485">
        <f t="shared" si="7"/>
        <v>183984.01624215569</v>
      </c>
      <c r="G27" s="486">
        <f t="shared" si="8"/>
        <v>25817.791752505873</v>
      </c>
      <c r="H27" s="455">
        <f t="shared" si="9"/>
        <v>25817.791752505873</v>
      </c>
      <c r="I27" s="475">
        <f t="shared" si="0"/>
        <v>0</v>
      </c>
      <c r="J27" s="475"/>
      <c r="K27" s="487"/>
      <c r="L27" s="478">
        <f t="shared" si="1"/>
        <v>0</v>
      </c>
      <c r="M27" s="487"/>
      <c r="N27" s="478">
        <f t="shared" si="2"/>
        <v>0</v>
      </c>
      <c r="O27" s="478">
        <f t="shared" si="3"/>
        <v>0</v>
      </c>
      <c r="P27" s="242"/>
    </row>
    <row r="28" spans="2:16" ht="12.5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183984.01624215569</v>
      </c>
      <c r="E28" s="484">
        <f t="shared" si="6"/>
        <v>5674.4186046511632</v>
      </c>
      <c r="F28" s="485">
        <f t="shared" si="7"/>
        <v>178309.59763750451</v>
      </c>
      <c r="G28" s="486">
        <f t="shared" si="8"/>
        <v>25205.966564990427</v>
      </c>
      <c r="H28" s="455">
        <f t="shared" si="9"/>
        <v>25205.966564990427</v>
      </c>
      <c r="I28" s="475">
        <f t="shared" si="0"/>
        <v>0</v>
      </c>
      <c r="J28" s="475"/>
      <c r="K28" s="487"/>
      <c r="L28" s="478">
        <f t="shared" si="1"/>
        <v>0</v>
      </c>
      <c r="M28" s="487"/>
      <c r="N28" s="478">
        <f t="shared" si="2"/>
        <v>0</v>
      </c>
      <c r="O28" s="478">
        <f t="shared" si="3"/>
        <v>0</v>
      </c>
      <c r="P28" s="242"/>
    </row>
    <row r="29" spans="2:16" ht="12.5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178309.59763750451</v>
      </c>
      <c r="E29" s="484">
        <f t="shared" si="6"/>
        <v>5674.4186046511632</v>
      </c>
      <c r="F29" s="485">
        <f t="shared" si="7"/>
        <v>172635.17903285334</v>
      </c>
      <c r="G29" s="486">
        <f t="shared" si="8"/>
        <v>24594.141377474982</v>
      </c>
      <c r="H29" s="455">
        <f t="shared" si="9"/>
        <v>24594.141377474982</v>
      </c>
      <c r="I29" s="475">
        <f t="shared" si="0"/>
        <v>0</v>
      </c>
      <c r="J29" s="475"/>
      <c r="K29" s="487"/>
      <c r="L29" s="478">
        <f t="shared" si="1"/>
        <v>0</v>
      </c>
      <c r="M29" s="487"/>
      <c r="N29" s="478">
        <f t="shared" si="2"/>
        <v>0</v>
      </c>
      <c r="O29" s="478">
        <f t="shared" si="3"/>
        <v>0</v>
      </c>
      <c r="P29" s="242"/>
    </row>
    <row r="30" spans="2:16" ht="12.5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172635.17903285334</v>
      </c>
      <c r="E30" s="484">
        <f t="shared" si="6"/>
        <v>5674.4186046511632</v>
      </c>
      <c r="F30" s="485">
        <f t="shared" si="7"/>
        <v>166960.76042820216</v>
      </c>
      <c r="G30" s="486">
        <f t="shared" si="8"/>
        <v>23982.316189959536</v>
      </c>
      <c r="H30" s="455">
        <f t="shared" si="9"/>
        <v>23982.316189959536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2"/>
    </row>
    <row r="31" spans="2:16" ht="12.5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166960.76042820216</v>
      </c>
      <c r="E31" s="484">
        <f t="shared" si="6"/>
        <v>5674.4186046511632</v>
      </c>
      <c r="F31" s="485">
        <f t="shared" si="7"/>
        <v>161286.34182355099</v>
      </c>
      <c r="G31" s="486">
        <f t="shared" si="8"/>
        <v>23370.491002444091</v>
      </c>
      <c r="H31" s="455">
        <f t="shared" si="9"/>
        <v>23370.491002444091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161286.34182355099</v>
      </c>
      <c r="E32" s="484">
        <f t="shared" si="6"/>
        <v>5674.4186046511632</v>
      </c>
      <c r="F32" s="485">
        <f t="shared" si="7"/>
        <v>155611.92321889981</v>
      </c>
      <c r="G32" s="486">
        <f t="shared" si="8"/>
        <v>22758.665814928645</v>
      </c>
      <c r="H32" s="455">
        <f t="shared" si="9"/>
        <v>22758.665814928645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155611.92321889981</v>
      </c>
      <c r="E33" s="484">
        <f t="shared" si="6"/>
        <v>5674.4186046511632</v>
      </c>
      <c r="F33" s="485">
        <f t="shared" si="7"/>
        <v>149937.50461424864</v>
      </c>
      <c r="G33" s="486">
        <f t="shared" si="8"/>
        <v>22146.840627413199</v>
      </c>
      <c r="H33" s="455">
        <f t="shared" si="9"/>
        <v>22146.840627413199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149937.50461424864</v>
      </c>
      <c r="E34" s="484">
        <f t="shared" si="6"/>
        <v>5674.4186046511632</v>
      </c>
      <c r="F34" s="485">
        <f t="shared" si="7"/>
        <v>144263.08600959746</v>
      </c>
      <c r="G34" s="486">
        <f t="shared" si="8"/>
        <v>21535.01543989775</v>
      </c>
      <c r="H34" s="455">
        <f t="shared" si="9"/>
        <v>21535.01543989775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144263.08600959746</v>
      </c>
      <c r="E35" s="484">
        <f t="shared" si="6"/>
        <v>5674.4186046511632</v>
      </c>
      <c r="F35" s="485">
        <f t="shared" si="7"/>
        <v>138588.66740494629</v>
      </c>
      <c r="G35" s="486">
        <f t="shared" si="8"/>
        <v>20923.190252382305</v>
      </c>
      <c r="H35" s="455">
        <f t="shared" si="9"/>
        <v>20923.190252382305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138588.66740494629</v>
      </c>
      <c r="E36" s="484">
        <f t="shared" si="6"/>
        <v>5674.4186046511632</v>
      </c>
      <c r="F36" s="485">
        <f t="shared" si="7"/>
        <v>132914.24880029511</v>
      </c>
      <c r="G36" s="486">
        <f t="shared" si="8"/>
        <v>20311.365064866859</v>
      </c>
      <c r="H36" s="455">
        <f t="shared" si="9"/>
        <v>20311.365064866859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132914.24880029511</v>
      </c>
      <c r="E37" s="484">
        <f t="shared" si="6"/>
        <v>5674.4186046511632</v>
      </c>
      <c r="F37" s="485">
        <f t="shared" si="7"/>
        <v>127239.83019564395</v>
      </c>
      <c r="G37" s="486">
        <f t="shared" si="8"/>
        <v>19699.539877351413</v>
      </c>
      <c r="H37" s="455">
        <f t="shared" si="9"/>
        <v>19699.539877351413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127239.83019564395</v>
      </c>
      <c r="E38" s="484">
        <f t="shared" si="6"/>
        <v>5674.4186046511632</v>
      </c>
      <c r="F38" s="485">
        <f t="shared" si="7"/>
        <v>121565.41159099279</v>
      </c>
      <c r="G38" s="486">
        <f t="shared" si="8"/>
        <v>19087.714689835972</v>
      </c>
      <c r="H38" s="455">
        <f t="shared" si="9"/>
        <v>19087.714689835972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121565.41159099279</v>
      </c>
      <c r="E39" s="484">
        <f t="shared" si="6"/>
        <v>5674.4186046511632</v>
      </c>
      <c r="F39" s="485">
        <f t="shared" si="7"/>
        <v>115890.99298634163</v>
      </c>
      <c r="G39" s="486">
        <f t="shared" si="8"/>
        <v>18475.889502320526</v>
      </c>
      <c r="H39" s="455">
        <f t="shared" si="9"/>
        <v>18475.889502320526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115890.99298634163</v>
      </c>
      <c r="E40" s="484">
        <f t="shared" si="6"/>
        <v>5674.4186046511632</v>
      </c>
      <c r="F40" s="485">
        <f t="shared" si="7"/>
        <v>110216.57438169047</v>
      </c>
      <c r="G40" s="486">
        <f t="shared" si="8"/>
        <v>17864.06431480508</v>
      </c>
      <c r="H40" s="455">
        <f t="shared" si="9"/>
        <v>17864.06431480508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110216.57438169047</v>
      </c>
      <c r="E41" s="484">
        <f t="shared" si="6"/>
        <v>5674.4186046511632</v>
      </c>
      <c r="F41" s="485">
        <f t="shared" si="7"/>
        <v>104542.15577703931</v>
      </c>
      <c r="G41" s="486">
        <f t="shared" si="8"/>
        <v>17252.239127289635</v>
      </c>
      <c r="H41" s="455">
        <f t="shared" si="9"/>
        <v>17252.239127289635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104542.15577703931</v>
      </c>
      <c r="E42" s="484">
        <f t="shared" si="6"/>
        <v>5674.4186046511632</v>
      </c>
      <c r="F42" s="485">
        <f t="shared" si="7"/>
        <v>98867.737172388152</v>
      </c>
      <c r="G42" s="486">
        <f t="shared" si="8"/>
        <v>16640.413939774193</v>
      </c>
      <c r="H42" s="455">
        <f t="shared" si="9"/>
        <v>16640.413939774193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98867.737172388152</v>
      </c>
      <c r="E43" s="484">
        <f t="shared" si="6"/>
        <v>5674.4186046511632</v>
      </c>
      <c r="F43" s="485">
        <f t="shared" si="7"/>
        <v>93193.318567736991</v>
      </c>
      <c r="G43" s="486">
        <f t="shared" si="8"/>
        <v>16028.588752258747</v>
      </c>
      <c r="H43" s="455">
        <f t="shared" si="9"/>
        <v>16028.588752258747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93193.318567736991</v>
      </c>
      <c r="E44" s="484">
        <f t="shared" si="6"/>
        <v>5674.4186046511632</v>
      </c>
      <c r="F44" s="485">
        <f t="shared" si="7"/>
        <v>87518.899963085831</v>
      </c>
      <c r="G44" s="486">
        <f t="shared" si="8"/>
        <v>15416.763564743305</v>
      </c>
      <c r="H44" s="455">
        <f t="shared" si="9"/>
        <v>15416.763564743305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87518.899963085831</v>
      </c>
      <c r="E45" s="484">
        <f t="shared" si="6"/>
        <v>5674.4186046511632</v>
      </c>
      <c r="F45" s="485">
        <f t="shared" si="7"/>
        <v>81844.48135843467</v>
      </c>
      <c r="G45" s="486">
        <f t="shared" si="8"/>
        <v>14804.93837722786</v>
      </c>
      <c r="H45" s="455">
        <f t="shared" si="9"/>
        <v>14804.93837722786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81844.48135843467</v>
      </c>
      <c r="E46" s="484">
        <f t="shared" si="6"/>
        <v>5674.4186046511632</v>
      </c>
      <c r="F46" s="485">
        <f t="shared" si="7"/>
        <v>76170.06275378351</v>
      </c>
      <c r="G46" s="486">
        <f t="shared" si="8"/>
        <v>14193.113189712418</v>
      </c>
      <c r="H46" s="455">
        <f t="shared" si="9"/>
        <v>14193.113189712418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76170.06275378351</v>
      </c>
      <c r="E47" s="484">
        <f t="shared" si="6"/>
        <v>5674.4186046511632</v>
      </c>
      <c r="F47" s="485">
        <f t="shared" si="7"/>
        <v>70495.644149132349</v>
      </c>
      <c r="G47" s="486">
        <f t="shared" si="8"/>
        <v>13581.28800219697</v>
      </c>
      <c r="H47" s="455">
        <f t="shared" si="9"/>
        <v>13581.28800219697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70495.644149132349</v>
      </c>
      <c r="E48" s="484">
        <f t="shared" si="6"/>
        <v>5674.4186046511632</v>
      </c>
      <c r="F48" s="485">
        <f t="shared" si="7"/>
        <v>64821.225544481189</v>
      </c>
      <c r="G48" s="486">
        <f t="shared" si="8"/>
        <v>12969.462814681527</v>
      </c>
      <c r="H48" s="455">
        <f t="shared" si="9"/>
        <v>12969.462814681527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64821.225544481189</v>
      </c>
      <c r="E49" s="484">
        <f t="shared" si="6"/>
        <v>5674.4186046511632</v>
      </c>
      <c r="F49" s="485">
        <f t="shared" si="7"/>
        <v>59146.806939830029</v>
      </c>
      <c r="G49" s="486">
        <f t="shared" si="8"/>
        <v>12357.637627166083</v>
      </c>
      <c r="H49" s="455">
        <f t="shared" si="9"/>
        <v>12357.637627166083</v>
      </c>
      <c r="I49" s="475">
        <f t="shared" si="0"/>
        <v>0</v>
      </c>
      <c r="J49" s="475"/>
      <c r="K49" s="487"/>
      <c r="L49" s="478">
        <f t="shared" si="1"/>
        <v>0</v>
      </c>
      <c r="M49" s="487"/>
      <c r="N49" s="478">
        <f t="shared" si="2"/>
        <v>0</v>
      </c>
      <c r="O49" s="478">
        <f t="shared" si="3"/>
        <v>0</v>
      </c>
      <c r="P49" s="242"/>
    </row>
    <row r="50" spans="2:16" ht="12.5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59146.806939830029</v>
      </c>
      <c r="E50" s="484">
        <f t="shared" si="6"/>
        <v>5674.4186046511632</v>
      </c>
      <c r="F50" s="485">
        <f t="shared" si="7"/>
        <v>53472.388335178868</v>
      </c>
      <c r="G50" s="486">
        <f t="shared" si="8"/>
        <v>11745.812439650639</v>
      </c>
      <c r="H50" s="455">
        <f t="shared" si="9"/>
        <v>11745.812439650639</v>
      </c>
      <c r="I50" s="475">
        <f t="shared" si="0"/>
        <v>0</v>
      </c>
      <c r="J50" s="475"/>
      <c r="K50" s="487"/>
      <c r="L50" s="478">
        <f t="shared" si="1"/>
        <v>0</v>
      </c>
      <c r="M50" s="487"/>
      <c r="N50" s="478">
        <f t="shared" si="2"/>
        <v>0</v>
      </c>
      <c r="O50" s="478">
        <f t="shared" si="3"/>
        <v>0</v>
      </c>
      <c r="P50" s="242"/>
    </row>
    <row r="51" spans="2:16" ht="12.5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53472.388335178868</v>
      </c>
      <c r="E51" s="484">
        <f t="shared" si="6"/>
        <v>5674.4186046511632</v>
      </c>
      <c r="F51" s="485">
        <f t="shared" si="7"/>
        <v>47797.969730527708</v>
      </c>
      <c r="G51" s="486">
        <f t="shared" si="8"/>
        <v>11133.987252135194</v>
      </c>
      <c r="H51" s="455">
        <f t="shared" si="9"/>
        <v>11133.987252135194</v>
      </c>
      <c r="I51" s="475">
        <f t="shared" si="0"/>
        <v>0</v>
      </c>
      <c r="J51" s="475"/>
      <c r="K51" s="487"/>
      <c r="L51" s="478">
        <f t="shared" si="1"/>
        <v>0</v>
      </c>
      <c r="M51" s="487"/>
      <c r="N51" s="478">
        <f t="shared" si="2"/>
        <v>0</v>
      </c>
      <c r="O51" s="478">
        <f t="shared" si="3"/>
        <v>0</v>
      </c>
      <c r="P51" s="242"/>
    </row>
    <row r="52" spans="2:16" ht="12.5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47797.969730527708</v>
      </c>
      <c r="E52" s="484">
        <f t="shared" si="6"/>
        <v>5674.4186046511632</v>
      </c>
      <c r="F52" s="485">
        <f t="shared" si="7"/>
        <v>42123.551125876547</v>
      </c>
      <c r="G52" s="486">
        <f t="shared" si="8"/>
        <v>10522.16206461975</v>
      </c>
      <c r="H52" s="455">
        <f t="shared" si="9"/>
        <v>10522.16206461975</v>
      </c>
      <c r="I52" s="475">
        <f t="shared" si="0"/>
        <v>0</v>
      </c>
      <c r="J52" s="475"/>
      <c r="K52" s="487"/>
      <c r="L52" s="478">
        <f t="shared" si="1"/>
        <v>0</v>
      </c>
      <c r="M52" s="487"/>
      <c r="N52" s="478">
        <f t="shared" si="2"/>
        <v>0</v>
      </c>
      <c r="O52" s="478">
        <f t="shared" si="3"/>
        <v>0</v>
      </c>
      <c r="P52" s="242"/>
    </row>
    <row r="53" spans="2:16" ht="12.5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42123.551125876547</v>
      </c>
      <c r="E53" s="484">
        <f t="shared" si="6"/>
        <v>5674.4186046511632</v>
      </c>
      <c r="F53" s="485">
        <f t="shared" si="7"/>
        <v>36449.132521225387</v>
      </c>
      <c r="G53" s="486">
        <f t="shared" si="8"/>
        <v>9910.336877104306</v>
      </c>
      <c r="H53" s="455">
        <f t="shared" si="9"/>
        <v>9910.336877104306</v>
      </c>
      <c r="I53" s="475">
        <f t="shared" si="0"/>
        <v>0</v>
      </c>
      <c r="J53" s="475"/>
      <c r="K53" s="487"/>
      <c r="L53" s="478">
        <f t="shared" si="1"/>
        <v>0</v>
      </c>
      <c r="M53" s="487"/>
      <c r="N53" s="478">
        <f t="shared" si="2"/>
        <v>0</v>
      </c>
      <c r="O53" s="478">
        <f t="shared" si="3"/>
        <v>0</v>
      </c>
      <c r="P53" s="242"/>
    </row>
    <row r="54" spans="2:16" ht="12.5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36449.132521225387</v>
      </c>
      <c r="E54" s="484">
        <f t="shared" si="6"/>
        <v>5674.4186046511632</v>
      </c>
      <c r="F54" s="485">
        <f t="shared" si="7"/>
        <v>30774.713916574223</v>
      </c>
      <c r="G54" s="486">
        <f t="shared" si="8"/>
        <v>9298.5116895888605</v>
      </c>
      <c r="H54" s="455">
        <f t="shared" si="9"/>
        <v>9298.5116895888605</v>
      </c>
      <c r="I54" s="475">
        <f t="shared" si="0"/>
        <v>0</v>
      </c>
      <c r="J54" s="475"/>
      <c r="K54" s="487"/>
      <c r="L54" s="478">
        <f t="shared" si="1"/>
        <v>0</v>
      </c>
      <c r="M54" s="487"/>
      <c r="N54" s="478">
        <f t="shared" si="2"/>
        <v>0</v>
      </c>
      <c r="O54" s="478">
        <f t="shared" si="3"/>
        <v>0</v>
      </c>
      <c r="P54" s="242"/>
    </row>
    <row r="55" spans="2:16" ht="12.5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30774.713916574223</v>
      </c>
      <c r="E55" s="484">
        <f t="shared" si="6"/>
        <v>5674.4186046511632</v>
      </c>
      <c r="F55" s="485">
        <f t="shared" si="7"/>
        <v>25100.295311923059</v>
      </c>
      <c r="G55" s="486">
        <f t="shared" si="8"/>
        <v>8686.6865020734149</v>
      </c>
      <c r="H55" s="455">
        <f t="shared" si="9"/>
        <v>8686.6865020734149</v>
      </c>
      <c r="I55" s="475">
        <f t="shared" si="0"/>
        <v>0</v>
      </c>
      <c r="J55" s="475"/>
      <c r="K55" s="487"/>
      <c r="L55" s="478">
        <f t="shared" si="1"/>
        <v>0</v>
      </c>
      <c r="M55" s="487"/>
      <c r="N55" s="478">
        <f t="shared" si="2"/>
        <v>0</v>
      </c>
      <c r="O55" s="478">
        <f t="shared" si="3"/>
        <v>0</v>
      </c>
      <c r="P55" s="242"/>
    </row>
    <row r="56" spans="2:16" ht="12.5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25100.295311923059</v>
      </c>
      <c r="E56" s="484">
        <f t="shared" si="6"/>
        <v>5674.4186046511632</v>
      </c>
      <c r="F56" s="485">
        <f t="shared" si="7"/>
        <v>19425.876707271895</v>
      </c>
      <c r="G56" s="486">
        <f t="shared" si="8"/>
        <v>8074.8613145579711</v>
      </c>
      <c r="H56" s="455">
        <f t="shared" si="9"/>
        <v>8074.8613145579711</v>
      </c>
      <c r="I56" s="475">
        <f t="shared" si="0"/>
        <v>0</v>
      </c>
      <c r="J56" s="475"/>
      <c r="K56" s="487"/>
      <c r="L56" s="478">
        <f t="shared" si="1"/>
        <v>0</v>
      </c>
      <c r="M56" s="487"/>
      <c r="N56" s="478">
        <f t="shared" si="2"/>
        <v>0</v>
      </c>
      <c r="O56" s="478">
        <f t="shared" si="3"/>
        <v>0</v>
      </c>
      <c r="P56" s="242"/>
    </row>
    <row r="57" spans="2:16" ht="12.5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19425.876707271895</v>
      </c>
      <c r="E57" s="484">
        <f t="shared" si="6"/>
        <v>5674.4186046511632</v>
      </c>
      <c r="F57" s="485">
        <f t="shared" si="7"/>
        <v>13751.458102620731</v>
      </c>
      <c r="G57" s="486">
        <f t="shared" si="8"/>
        <v>7463.0361270425265</v>
      </c>
      <c r="H57" s="455">
        <f t="shared" si="9"/>
        <v>7463.0361270425265</v>
      </c>
      <c r="I57" s="475">
        <f t="shared" si="0"/>
        <v>0</v>
      </c>
      <c r="J57" s="475"/>
      <c r="K57" s="487"/>
      <c r="L57" s="478">
        <f t="shared" si="1"/>
        <v>0</v>
      </c>
      <c r="M57" s="487"/>
      <c r="N57" s="478">
        <f t="shared" si="2"/>
        <v>0</v>
      </c>
      <c r="O57" s="478">
        <f t="shared" si="3"/>
        <v>0</v>
      </c>
      <c r="P57" s="242"/>
    </row>
    <row r="58" spans="2:16" ht="12.5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13751.458102620731</v>
      </c>
      <c r="E58" s="484">
        <f t="shared" si="6"/>
        <v>5674.4186046511632</v>
      </c>
      <c r="F58" s="485">
        <f t="shared" si="7"/>
        <v>8077.0394979695675</v>
      </c>
      <c r="G58" s="486">
        <f t="shared" si="8"/>
        <v>6851.2109395270818</v>
      </c>
      <c r="H58" s="455">
        <f t="shared" si="9"/>
        <v>6851.2109395270818</v>
      </c>
      <c r="I58" s="475">
        <f t="shared" si="0"/>
        <v>0</v>
      </c>
      <c r="J58" s="475"/>
      <c r="K58" s="487"/>
      <c r="L58" s="478">
        <f t="shared" si="1"/>
        <v>0</v>
      </c>
      <c r="M58" s="487"/>
      <c r="N58" s="478">
        <f t="shared" si="2"/>
        <v>0</v>
      </c>
      <c r="O58" s="478">
        <f t="shared" si="3"/>
        <v>0</v>
      </c>
      <c r="P58" s="242"/>
    </row>
    <row r="59" spans="2:16" ht="12.5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8077.0394979695675</v>
      </c>
      <c r="E59" s="484">
        <f t="shared" si="6"/>
        <v>5674.4186046511632</v>
      </c>
      <c r="F59" s="485">
        <f t="shared" si="7"/>
        <v>2402.6208933184043</v>
      </c>
      <c r="G59" s="486">
        <f t="shared" si="8"/>
        <v>6239.3857520116371</v>
      </c>
      <c r="H59" s="455">
        <f t="shared" si="9"/>
        <v>6239.3857520116371</v>
      </c>
      <c r="I59" s="475">
        <f t="shared" si="0"/>
        <v>0</v>
      </c>
      <c r="J59" s="475"/>
      <c r="K59" s="487"/>
      <c r="L59" s="478">
        <f t="shared" si="1"/>
        <v>0</v>
      </c>
      <c r="M59" s="487"/>
      <c r="N59" s="478">
        <f t="shared" si="2"/>
        <v>0</v>
      </c>
      <c r="O59" s="478">
        <f t="shared" si="3"/>
        <v>0</v>
      </c>
      <c r="P59" s="242"/>
    </row>
    <row r="60" spans="2:16" ht="12.5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2402.6208933184043</v>
      </c>
      <c r="E60" s="484">
        <f t="shared" si="6"/>
        <v>2402.6208933184043</v>
      </c>
      <c r="F60" s="485">
        <f t="shared" si="7"/>
        <v>0</v>
      </c>
      <c r="G60" s="486">
        <f t="shared" si="8"/>
        <v>2532.1481701197804</v>
      </c>
      <c r="H60" s="455">
        <f t="shared" si="9"/>
        <v>2532.1481701197804</v>
      </c>
      <c r="I60" s="475">
        <f t="shared" si="0"/>
        <v>0</v>
      </c>
      <c r="J60" s="475"/>
      <c r="K60" s="487"/>
      <c r="L60" s="478">
        <f t="shared" si="1"/>
        <v>0</v>
      </c>
      <c r="M60" s="487"/>
      <c r="N60" s="478">
        <f t="shared" si="2"/>
        <v>0</v>
      </c>
      <c r="O60" s="478">
        <f t="shared" si="3"/>
        <v>0</v>
      </c>
      <c r="P60" s="242"/>
    </row>
    <row r="61" spans="2:16" ht="12.5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6"/>
        <v>0</v>
      </c>
      <c r="F61" s="485">
        <f t="shared" si="7"/>
        <v>0</v>
      </c>
      <c r="G61" s="486">
        <f t="shared" si="8"/>
        <v>0</v>
      </c>
      <c r="H61" s="455">
        <f t="shared" si="9"/>
        <v>0</v>
      </c>
      <c r="I61" s="475">
        <f t="shared" si="0"/>
        <v>0</v>
      </c>
      <c r="J61" s="475"/>
      <c r="K61" s="487"/>
      <c r="L61" s="478">
        <f t="shared" si="1"/>
        <v>0</v>
      </c>
      <c r="M61" s="487"/>
      <c r="N61" s="478">
        <f t="shared" si="2"/>
        <v>0</v>
      </c>
      <c r="O61" s="478">
        <f t="shared" si="3"/>
        <v>0</v>
      </c>
      <c r="P61" s="242"/>
    </row>
    <row r="62" spans="2:16" ht="12.5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6"/>
        <v>0</v>
      </c>
      <c r="F62" s="485">
        <f t="shared" si="7"/>
        <v>0</v>
      </c>
      <c r="G62" s="486">
        <f t="shared" si="8"/>
        <v>0</v>
      </c>
      <c r="H62" s="455">
        <f t="shared" si="9"/>
        <v>0</v>
      </c>
      <c r="I62" s="475">
        <f t="shared" si="0"/>
        <v>0</v>
      </c>
      <c r="J62" s="475"/>
      <c r="K62" s="487"/>
      <c r="L62" s="478">
        <f t="shared" si="1"/>
        <v>0</v>
      </c>
      <c r="M62" s="487"/>
      <c r="N62" s="478">
        <f t="shared" si="2"/>
        <v>0</v>
      </c>
      <c r="O62" s="478">
        <f t="shared" si="3"/>
        <v>0</v>
      </c>
      <c r="P62" s="242"/>
    </row>
    <row r="63" spans="2:16" ht="12.5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6"/>
        <v>0</v>
      </c>
      <c r="F63" s="485">
        <f t="shared" si="7"/>
        <v>0</v>
      </c>
      <c r="G63" s="486">
        <f t="shared" si="8"/>
        <v>0</v>
      </c>
      <c r="H63" s="455">
        <f t="shared" si="9"/>
        <v>0</v>
      </c>
      <c r="I63" s="475">
        <f t="shared" si="0"/>
        <v>0</v>
      </c>
      <c r="J63" s="475"/>
      <c r="K63" s="487"/>
      <c r="L63" s="478">
        <f t="shared" si="1"/>
        <v>0</v>
      </c>
      <c r="M63" s="487"/>
      <c r="N63" s="478">
        <f t="shared" si="2"/>
        <v>0</v>
      </c>
      <c r="O63" s="478">
        <f t="shared" si="3"/>
        <v>0</v>
      </c>
      <c r="P63" s="242"/>
    </row>
    <row r="64" spans="2:16" ht="12.5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6"/>
        <v>0</v>
      </c>
      <c r="F64" s="485">
        <f t="shared" si="7"/>
        <v>0</v>
      </c>
      <c r="G64" s="486">
        <f t="shared" si="8"/>
        <v>0</v>
      </c>
      <c r="H64" s="455">
        <f t="shared" si="9"/>
        <v>0</v>
      </c>
      <c r="I64" s="475">
        <f t="shared" si="0"/>
        <v>0</v>
      </c>
      <c r="J64" s="475"/>
      <c r="K64" s="487"/>
      <c r="L64" s="478">
        <f t="shared" si="1"/>
        <v>0</v>
      </c>
      <c r="M64" s="487"/>
      <c r="N64" s="478">
        <f t="shared" si="2"/>
        <v>0</v>
      </c>
      <c r="O64" s="478">
        <f t="shared" si="3"/>
        <v>0</v>
      </c>
      <c r="P64" s="242"/>
    </row>
    <row r="65" spans="2:16" ht="12.5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6"/>
        <v>0</v>
      </c>
      <c r="F65" s="485">
        <f t="shared" si="7"/>
        <v>0</v>
      </c>
      <c r="G65" s="486">
        <f t="shared" si="8"/>
        <v>0</v>
      </c>
      <c r="H65" s="455">
        <f t="shared" si="9"/>
        <v>0</v>
      </c>
      <c r="I65" s="475">
        <f t="shared" si="0"/>
        <v>0</v>
      </c>
      <c r="J65" s="475"/>
      <c r="K65" s="487"/>
      <c r="L65" s="478">
        <f t="shared" si="1"/>
        <v>0</v>
      </c>
      <c r="M65" s="487"/>
      <c r="N65" s="478">
        <f t="shared" si="2"/>
        <v>0</v>
      </c>
      <c r="O65" s="478">
        <f t="shared" si="3"/>
        <v>0</v>
      </c>
      <c r="P65" s="242"/>
    </row>
    <row r="66" spans="2:16" ht="12.5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6"/>
        <v>0</v>
      </c>
      <c r="F66" s="485">
        <f t="shared" si="7"/>
        <v>0</v>
      </c>
      <c r="G66" s="486">
        <f t="shared" si="8"/>
        <v>0</v>
      </c>
      <c r="H66" s="455">
        <f t="shared" si="9"/>
        <v>0</v>
      </c>
      <c r="I66" s="475">
        <f t="shared" si="0"/>
        <v>0</v>
      </c>
      <c r="J66" s="475"/>
      <c r="K66" s="487"/>
      <c r="L66" s="478">
        <f t="shared" si="1"/>
        <v>0</v>
      </c>
      <c r="M66" s="487"/>
      <c r="N66" s="478">
        <f t="shared" si="2"/>
        <v>0</v>
      </c>
      <c r="O66" s="478">
        <f t="shared" si="3"/>
        <v>0</v>
      </c>
      <c r="P66" s="242"/>
    </row>
    <row r="67" spans="2:16" ht="12.5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6"/>
        <v>0</v>
      </c>
      <c r="F67" s="485">
        <f t="shared" si="7"/>
        <v>0</v>
      </c>
      <c r="G67" s="486">
        <f t="shared" si="8"/>
        <v>0</v>
      </c>
      <c r="H67" s="455">
        <f t="shared" si="9"/>
        <v>0</v>
      </c>
      <c r="I67" s="475">
        <f t="shared" si="0"/>
        <v>0</v>
      </c>
      <c r="J67" s="475"/>
      <c r="K67" s="487"/>
      <c r="L67" s="478">
        <f t="shared" si="1"/>
        <v>0</v>
      </c>
      <c r="M67" s="487"/>
      <c r="N67" s="478">
        <f t="shared" si="2"/>
        <v>0</v>
      </c>
      <c r="O67" s="478">
        <f t="shared" si="3"/>
        <v>0</v>
      </c>
      <c r="P67" s="242"/>
    </row>
    <row r="68" spans="2:16" ht="12.5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6"/>
        <v>0</v>
      </c>
      <c r="F68" s="485">
        <f t="shared" si="7"/>
        <v>0</v>
      </c>
      <c r="G68" s="486">
        <f t="shared" si="8"/>
        <v>0</v>
      </c>
      <c r="H68" s="455">
        <f t="shared" si="9"/>
        <v>0</v>
      </c>
      <c r="I68" s="475">
        <f t="shared" si="0"/>
        <v>0</v>
      </c>
      <c r="J68" s="475"/>
      <c r="K68" s="487"/>
      <c r="L68" s="478">
        <f t="shared" si="1"/>
        <v>0</v>
      </c>
      <c r="M68" s="487"/>
      <c r="N68" s="478">
        <f t="shared" si="2"/>
        <v>0</v>
      </c>
      <c r="O68" s="478">
        <f t="shared" si="3"/>
        <v>0</v>
      </c>
      <c r="P68" s="242"/>
    </row>
    <row r="69" spans="2:16" ht="12.5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6"/>
        <v>0</v>
      </c>
      <c r="F69" s="485">
        <f t="shared" si="7"/>
        <v>0</v>
      </c>
      <c r="G69" s="486">
        <f t="shared" si="8"/>
        <v>0</v>
      </c>
      <c r="H69" s="455">
        <f t="shared" si="9"/>
        <v>0</v>
      </c>
      <c r="I69" s="475">
        <f t="shared" si="0"/>
        <v>0</v>
      </c>
      <c r="J69" s="475"/>
      <c r="K69" s="487"/>
      <c r="L69" s="478">
        <f t="shared" si="1"/>
        <v>0</v>
      </c>
      <c r="M69" s="487"/>
      <c r="N69" s="478">
        <f t="shared" si="2"/>
        <v>0</v>
      </c>
      <c r="O69" s="478">
        <f t="shared" si="3"/>
        <v>0</v>
      </c>
      <c r="P69" s="242"/>
    </row>
    <row r="70" spans="2:16" ht="12.5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6"/>
        <v>0</v>
      </c>
      <c r="F70" s="485">
        <f t="shared" si="7"/>
        <v>0</v>
      </c>
      <c r="G70" s="486">
        <f t="shared" si="8"/>
        <v>0</v>
      </c>
      <c r="H70" s="455">
        <f t="shared" si="9"/>
        <v>0</v>
      </c>
      <c r="I70" s="475">
        <f t="shared" si="0"/>
        <v>0</v>
      </c>
      <c r="J70" s="475"/>
      <c r="K70" s="487"/>
      <c r="L70" s="478">
        <f t="shared" si="1"/>
        <v>0</v>
      </c>
      <c r="M70" s="487"/>
      <c r="N70" s="478">
        <f t="shared" si="2"/>
        <v>0</v>
      </c>
      <c r="O70" s="478">
        <f t="shared" si="3"/>
        <v>0</v>
      </c>
      <c r="P70" s="242"/>
    </row>
    <row r="71" spans="2:16" ht="12.5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6"/>
        <v>0</v>
      </c>
      <c r="F71" s="485">
        <f t="shared" si="7"/>
        <v>0</v>
      </c>
      <c r="G71" s="486">
        <f t="shared" si="8"/>
        <v>0</v>
      </c>
      <c r="H71" s="455">
        <f t="shared" si="9"/>
        <v>0</v>
      </c>
      <c r="I71" s="475">
        <f t="shared" si="0"/>
        <v>0</v>
      </c>
      <c r="J71" s="475"/>
      <c r="K71" s="487"/>
      <c r="L71" s="478">
        <f t="shared" si="1"/>
        <v>0</v>
      </c>
      <c r="M71" s="487"/>
      <c r="N71" s="478">
        <f t="shared" si="2"/>
        <v>0</v>
      </c>
      <c r="O71" s="478">
        <f t="shared" si="3"/>
        <v>0</v>
      </c>
      <c r="P71" s="242"/>
    </row>
    <row r="72" spans="2:16" ht="13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 t="shared" si="6"/>
        <v>0</v>
      </c>
      <c r="F72" s="490">
        <f t="shared" si="7"/>
        <v>0</v>
      </c>
      <c r="G72" s="544">
        <f t="shared" si="8"/>
        <v>0</v>
      </c>
      <c r="H72" s="435">
        <f t="shared" si="9"/>
        <v>0</v>
      </c>
      <c r="I72" s="493">
        <f t="shared" si="0"/>
        <v>0</v>
      </c>
      <c r="J72" s="475"/>
      <c r="K72" s="494"/>
      <c r="L72" s="495">
        <f t="shared" si="1"/>
        <v>0</v>
      </c>
      <c r="M72" s="494"/>
      <c r="N72" s="495">
        <f t="shared" si="2"/>
        <v>0</v>
      </c>
      <c r="O72" s="495">
        <f t="shared" si="3"/>
        <v>0</v>
      </c>
      <c r="P72" s="242"/>
    </row>
    <row r="73" spans="2:16" ht="12.5">
      <c r="C73" s="346" t="s">
        <v>77</v>
      </c>
      <c r="D73" s="347"/>
      <c r="E73" s="347">
        <f>SUM(E17:E72)</f>
        <v>244000.00000000006</v>
      </c>
      <c r="F73" s="347"/>
      <c r="G73" s="347">
        <f>SUM(G17:G72)</f>
        <v>810162.06063194363</v>
      </c>
      <c r="H73" s="347">
        <f>SUM(H17:H72)</f>
        <v>810162.06063194363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22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32700.951777404996</v>
      </c>
      <c r="N87" s="508">
        <f>IF(J92&lt;D11,0,VLOOKUP(J92,C17:O72,11))</f>
        <v>32700.951777404996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30511.472087080136</v>
      </c>
      <c r="N88" s="512">
        <f>IF(J92&lt;D11,0,VLOOKUP(J92,C99:P154,7))</f>
        <v>30511.472087080136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Northeastern Station 138 kV Terminal Upgrades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-2189.4796903248607</v>
      </c>
      <c r="N89" s="517">
        <f>+N88-N87</f>
        <v>-2189.4796903248607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TP2015169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244000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v>6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5951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2018</v>
      </c>
      <c r="D99" s="584">
        <v>0</v>
      </c>
      <c r="E99" s="608">
        <v>2837</v>
      </c>
      <c r="F99" s="584">
        <v>241163</v>
      </c>
      <c r="G99" s="608">
        <v>120581.5</v>
      </c>
      <c r="H99" s="587">
        <v>15225.00875134001</v>
      </c>
      <c r="I99" s="607">
        <v>15225.00875134001</v>
      </c>
      <c r="J99" s="478">
        <f t="shared" ref="J99:J130" si="10">+I99-H99</f>
        <v>0</v>
      </c>
      <c r="K99" s="478"/>
      <c r="L99" s="477">
        <f>+H99</f>
        <v>15225.00875134001</v>
      </c>
      <c r="M99" s="477">
        <f t="shared" ref="M99" si="11">IF(L99&lt;&gt;0,+H99-L99,0)</f>
        <v>0</v>
      </c>
      <c r="N99" s="477">
        <f>+I99</f>
        <v>15225.00875134001</v>
      </c>
      <c r="O99" s="477">
        <f t="shared" ref="O99" si="12">IF(N99&lt;&gt;0,+I99-N99,0)</f>
        <v>0</v>
      </c>
      <c r="P99" s="477">
        <f t="shared" ref="P99" si="13">+O99-M99</f>
        <v>0</v>
      </c>
    </row>
    <row r="100" spans="1:16" ht="12.5">
      <c r="B100" s="160" t="str">
        <f>IF(D100=F99,"","IU")</f>
        <v/>
      </c>
      <c r="C100" s="472">
        <f>IF(D93="","-",+C99+1)</f>
        <v>2019</v>
      </c>
      <c r="D100" s="346">
        <f>IF(F99+SUM(E$99:E99)=D$92,F99,D$92-SUM(E$99:E99))</f>
        <v>241163</v>
      </c>
      <c r="E100" s="484">
        <f>IF(+J$96&lt;F99,J$96,D100)</f>
        <v>5951</v>
      </c>
      <c r="F100" s="485">
        <f>+D100-E100</f>
        <v>235212</v>
      </c>
      <c r="G100" s="485">
        <f>+(F100+D100)/2</f>
        <v>238187.5</v>
      </c>
      <c r="H100" s="613">
        <f t="shared" ref="H100:H154" si="14">+J$94*G100+E100</f>
        <v>30511.472087080136</v>
      </c>
      <c r="I100" s="614">
        <f t="shared" ref="I100:I154" si="15">+J$95*G100+E100</f>
        <v>30511.472087080136</v>
      </c>
      <c r="J100" s="478">
        <f t="shared" si="10"/>
        <v>0</v>
      </c>
      <c r="K100" s="478"/>
      <c r="L100" s="487"/>
      <c r="M100" s="478">
        <f t="shared" ref="M100:M130" si="16">IF(L100&lt;&gt;0,+H100-L100,0)</f>
        <v>0</v>
      </c>
      <c r="N100" s="487"/>
      <c r="O100" s="478">
        <f t="shared" ref="O100:O130" si="17">IF(N100&lt;&gt;0,+I100-N100,0)</f>
        <v>0</v>
      </c>
      <c r="P100" s="478">
        <f t="shared" ref="P100:P130" si="18">+O100-M100</f>
        <v>0</v>
      </c>
    </row>
    <row r="101" spans="1:16" ht="12.5">
      <c r="B101" s="160" t="str">
        <f t="shared" ref="B101:B154" si="19">IF(D101=F100,"","IU")</f>
        <v/>
      </c>
      <c r="C101" s="472">
        <f>IF(D93="","-",+C100+1)</f>
        <v>2020</v>
      </c>
      <c r="D101" s="346">
        <f>IF(F100+SUM(E$99:E100)=D$92,F100,D$92-SUM(E$99:E100))</f>
        <v>235212</v>
      </c>
      <c r="E101" s="484">
        <f t="shared" ref="E101:E154" si="20">IF(+J$96&lt;F100,J$96,D101)</f>
        <v>5951</v>
      </c>
      <c r="F101" s="485">
        <f t="shared" ref="F101:F154" si="21">+D101-E101</f>
        <v>229261</v>
      </c>
      <c r="G101" s="485">
        <f t="shared" ref="G101:G154" si="22">+(F101+D101)/2</f>
        <v>232236.5</v>
      </c>
      <c r="H101" s="613">
        <f t="shared" si="14"/>
        <v>29897.840517874301</v>
      </c>
      <c r="I101" s="614">
        <f t="shared" si="15"/>
        <v>29897.840517874301</v>
      </c>
      <c r="J101" s="478">
        <f t="shared" si="10"/>
        <v>0</v>
      </c>
      <c r="K101" s="478"/>
      <c r="L101" s="487"/>
      <c r="M101" s="478">
        <f t="shared" si="16"/>
        <v>0</v>
      </c>
      <c r="N101" s="487"/>
      <c r="O101" s="478">
        <f t="shared" si="17"/>
        <v>0</v>
      </c>
      <c r="P101" s="478">
        <f t="shared" si="18"/>
        <v>0</v>
      </c>
    </row>
    <row r="102" spans="1:16" ht="12.5">
      <c r="B102" s="160" t="str">
        <f t="shared" si="19"/>
        <v/>
      </c>
      <c r="C102" s="472">
        <f>IF(D93="","-",+C101+1)</f>
        <v>2021</v>
      </c>
      <c r="D102" s="346">
        <f>IF(F101+SUM(E$99:E101)=D$92,F101,D$92-SUM(E$99:E101))</f>
        <v>229261</v>
      </c>
      <c r="E102" s="484">
        <f t="shared" si="20"/>
        <v>5951</v>
      </c>
      <c r="F102" s="485">
        <f t="shared" si="21"/>
        <v>223310</v>
      </c>
      <c r="G102" s="485">
        <f t="shared" si="22"/>
        <v>226285.5</v>
      </c>
      <c r="H102" s="613">
        <f t="shared" si="14"/>
        <v>29284.208948668471</v>
      </c>
      <c r="I102" s="614">
        <f t="shared" si="15"/>
        <v>29284.208948668471</v>
      </c>
      <c r="J102" s="478">
        <f t="shared" si="10"/>
        <v>0</v>
      </c>
      <c r="K102" s="478"/>
      <c r="L102" s="487"/>
      <c r="M102" s="478">
        <f t="shared" si="16"/>
        <v>0</v>
      </c>
      <c r="N102" s="487"/>
      <c r="O102" s="478">
        <f t="shared" si="17"/>
        <v>0</v>
      </c>
      <c r="P102" s="478">
        <f t="shared" si="18"/>
        <v>0</v>
      </c>
    </row>
    <row r="103" spans="1:16" ht="12.5">
      <c r="B103" s="160" t="str">
        <f t="shared" si="19"/>
        <v/>
      </c>
      <c r="C103" s="472">
        <f>IF(D93="","-",+C102+1)</f>
        <v>2022</v>
      </c>
      <c r="D103" s="346">
        <f>IF(F102+SUM(E$99:E102)=D$92,F102,D$92-SUM(E$99:E102))</f>
        <v>223310</v>
      </c>
      <c r="E103" s="484">
        <f t="shared" si="20"/>
        <v>5951</v>
      </c>
      <c r="F103" s="485">
        <f t="shared" si="21"/>
        <v>217359</v>
      </c>
      <c r="G103" s="485">
        <f t="shared" si="22"/>
        <v>220334.5</v>
      </c>
      <c r="H103" s="613">
        <f t="shared" si="14"/>
        <v>28670.57737946264</v>
      </c>
      <c r="I103" s="614">
        <f t="shared" si="15"/>
        <v>28670.57737946264</v>
      </c>
      <c r="J103" s="478">
        <f t="shared" si="10"/>
        <v>0</v>
      </c>
      <c r="K103" s="478"/>
      <c r="L103" s="487"/>
      <c r="M103" s="478">
        <f t="shared" si="16"/>
        <v>0</v>
      </c>
      <c r="N103" s="487"/>
      <c r="O103" s="478">
        <f t="shared" si="17"/>
        <v>0</v>
      </c>
      <c r="P103" s="478">
        <f t="shared" si="18"/>
        <v>0</v>
      </c>
    </row>
    <row r="104" spans="1:16" ht="12.5">
      <c r="B104" s="160" t="str">
        <f t="shared" si="19"/>
        <v/>
      </c>
      <c r="C104" s="472">
        <f>IF(D93="","-",+C103+1)</f>
        <v>2023</v>
      </c>
      <c r="D104" s="346">
        <f>IF(F103+SUM(E$99:E103)=D$92,F103,D$92-SUM(E$99:E103))</f>
        <v>217359</v>
      </c>
      <c r="E104" s="484">
        <f t="shared" si="20"/>
        <v>5951</v>
      </c>
      <c r="F104" s="485">
        <f t="shared" si="21"/>
        <v>211408</v>
      </c>
      <c r="G104" s="485">
        <f t="shared" si="22"/>
        <v>214383.5</v>
      </c>
      <c r="H104" s="613">
        <f t="shared" si="14"/>
        <v>28056.94581025681</v>
      </c>
      <c r="I104" s="614">
        <f t="shared" si="15"/>
        <v>28056.94581025681</v>
      </c>
      <c r="J104" s="478">
        <f t="shared" si="10"/>
        <v>0</v>
      </c>
      <c r="K104" s="478"/>
      <c r="L104" s="487"/>
      <c r="M104" s="478">
        <f t="shared" si="16"/>
        <v>0</v>
      </c>
      <c r="N104" s="487"/>
      <c r="O104" s="478">
        <f t="shared" si="17"/>
        <v>0</v>
      </c>
      <c r="P104" s="478">
        <f t="shared" si="18"/>
        <v>0</v>
      </c>
    </row>
    <row r="105" spans="1:16" ht="12.5">
      <c r="B105" s="160" t="str">
        <f t="shared" si="19"/>
        <v/>
      </c>
      <c r="C105" s="472">
        <f>IF(D93="","-",+C104+1)</f>
        <v>2024</v>
      </c>
      <c r="D105" s="346">
        <f>IF(F104+SUM(E$99:E104)=D$92,F104,D$92-SUM(E$99:E104))</f>
        <v>211408</v>
      </c>
      <c r="E105" s="484">
        <f t="shared" si="20"/>
        <v>5951</v>
      </c>
      <c r="F105" s="485">
        <f t="shared" si="21"/>
        <v>205457</v>
      </c>
      <c r="G105" s="485">
        <f t="shared" si="22"/>
        <v>208432.5</v>
      </c>
      <c r="H105" s="613">
        <f t="shared" si="14"/>
        <v>27443.314241050979</v>
      </c>
      <c r="I105" s="614">
        <f t="shared" si="15"/>
        <v>27443.314241050979</v>
      </c>
      <c r="J105" s="478">
        <f t="shared" si="10"/>
        <v>0</v>
      </c>
      <c r="K105" s="478"/>
      <c r="L105" s="487"/>
      <c r="M105" s="478">
        <f t="shared" si="16"/>
        <v>0</v>
      </c>
      <c r="N105" s="487"/>
      <c r="O105" s="478">
        <f t="shared" si="17"/>
        <v>0</v>
      </c>
      <c r="P105" s="478">
        <f t="shared" si="18"/>
        <v>0</v>
      </c>
    </row>
    <row r="106" spans="1:16" ht="12.5">
      <c r="B106" s="160" t="str">
        <f t="shared" si="19"/>
        <v/>
      </c>
      <c r="C106" s="472">
        <f>IF(D93="","-",+C105+1)</f>
        <v>2025</v>
      </c>
      <c r="D106" s="346">
        <f>IF(F105+SUM(E$99:E105)=D$92,F105,D$92-SUM(E$99:E105))</f>
        <v>205457</v>
      </c>
      <c r="E106" s="484">
        <f t="shared" si="20"/>
        <v>5951</v>
      </c>
      <c r="F106" s="485">
        <f t="shared" si="21"/>
        <v>199506</v>
      </c>
      <c r="G106" s="485">
        <f t="shared" si="22"/>
        <v>202481.5</v>
      </c>
      <c r="H106" s="613">
        <f t="shared" si="14"/>
        <v>26829.682671845148</v>
      </c>
      <c r="I106" s="614">
        <f t="shared" si="15"/>
        <v>26829.682671845148</v>
      </c>
      <c r="J106" s="478">
        <f t="shared" si="10"/>
        <v>0</v>
      </c>
      <c r="K106" s="478"/>
      <c r="L106" s="487"/>
      <c r="M106" s="478">
        <f t="shared" si="16"/>
        <v>0</v>
      </c>
      <c r="N106" s="487"/>
      <c r="O106" s="478">
        <f t="shared" si="17"/>
        <v>0</v>
      </c>
      <c r="P106" s="478">
        <f t="shared" si="18"/>
        <v>0</v>
      </c>
    </row>
    <row r="107" spans="1:16" ht="12.5">
      <c r="B107" s="160" t="str">
        <f t="shared" si="19"/>
        <v/>
      </c>
      <c r="C107" s="472">
        <f>IF(D93="","-",+C106+1)</f>
        <v>2026</v>
      </c>
      <c r="D107" s="346">
        <f>IF(F106+SUM(E$99:E106)=D$92,F106,D$92-SUM(E$99:E106))</f>
        <v>199506</v>
      </c>
      <c r="E107" s="484">
        <f t="shared" si="20"/>
        <v>5951</v>
      </c>
      <c r="F107" s="485">
        <f t="shared" si="21"/>
        <v>193555</v>
      </c>
      <c r="G107" s="485">
        <f t="shared" si="22"/>
        <v>196530.5</v>
      </c>
      <c r="H107" s="613">
        <f t="shared" si="14"/>
        <v>26216.051102639318</v>
      </c>
      <c r="I107" s="614">
        <f t="shared" si="15"/>
        <v>26216.051102639318</v>
      </c>
      <c r="J107" s="478">
        <f t="shared" si="10"/>
        <v>0</v>
      </c>
      <c r="K107" s="478"/>
      <c r="L107" s="487"/>
      <c r="M107" s="478">
        <f t="shared" si="16"/>
        <v>0</v>
      </c>
      <c r="N107" s="487"/>
      <c r="O107" s="478">
        <f t="shared" si="17"/>
        <v>0</v>
      </c>
      <c r="P107" s="478">
        <f t="shared" si="18"/>
        <v>0</v>
      </c>
    </row>
    <row r="108" spans="1:16" ht="12.5">
      <c r="B108" s="160" t="str">
        <f t="shared" si="19"/>
        <v/>
      </c>
      <c r="C108" s="472">
        <f>IF(D93="","-",+C107+1)</f>
        <v>2027</v>
      </c>
      <c r="D108" s="346">
        <f>IF(F107+SUM(E$99:E107)=D$92,F107,D$92-SUM(E$99:E107))</f>
        <v>193555</v>
      </c>
      <c r="E108" s="484">
        <f t="shared" si="20"/>
        <v>5951</v>
      </c>
      <c r="F108" s="485">
        <f t="shared" si="21"/>
        <v>187604</v>
      </c>
      <c r="G108" s="485">
        <f t="shared" si="22"/>
        <v>190579.5</v>
      </c>
      <c r="H108" s="613">
        <f t="shared" si="14"/>
        <v>25602.419533433487</v>
      </c>
      <c r="I108" s="614">
        <f t="shared" si="15"/>
        <v>25602.419533433487</v>
      </c>
      <c r="J108" s="478">
        <f t="shared" si="10"/>
        <v>0</v>
      </c>
      <c r="K108" s="478"/>
      <c r="L108" s="487"/>
      <c r="M108" s="478">
        <f t="shared" si="16"/>
        <v>0</v>
      </c>
      <c r="N108" s="487"/>
      <c r="O108" s="478">
        <f t="shared" si="17"/>
        <v>0</v>
      </c>
      <c r="P108" s="478">
        <f t="shared" si="18"/>
        <v>0</v>
      </c>
    </row>
    <row r="109" spans="1:16" ht="12.5">
      <c r="B109" s="160" t="str">
        <f t="shared" si="19"/>
        <v/>
      </c>
      <c r="C109" s="472">
        <f>IF(D93="","-",+C108+1)</f>
        <v>2028</v>
      </c>
      <c r="D109" s="346">
        <f>IF(F108+SUM(E$99:E108)=D$92,F108,D$92-SUM(E$99:E108))</f>
        <v>187604</v>
      </c>
      <c r="E109" s="484">
        <f t="shared" si="20"/>
        <v>5951</v>
      </c>
      <c r="F109" s="485">
        <f t="shared" si="21"/>
        <v>181653</v>
      </c>
      <c r="G109" s="485">
        <f t="shared" si="22"/>
        <v>184628.5</v>
      </c>
      <c r="H109" s="613">
        <f t="shared" si="14"/>
        <v>24988.787964227657</v>
      </c>
      <c r="I109" s="614">
        <f t="shared" si="15"/>
        <v>24988.787964227657</v>
      </c>
      <c r="J109" s="478">
        <f t="shared" si="10"/>
        <v>0</v>
      </c>
      <c r="K109" s="478"/>
      <c r="L109" s="487"/>
      <c r="M109" s="478">
        <f t="shared" si="16"/>
        <v>0</v>
      </c>
      <c r="N109" s="487"/>
      <c r="O109" s="478">
        <f t="shared" si="17"/>
        <v>0</v>
      </c>
      <c r="P109" s="478">
        <f t="shared" si="18"/>
        <v>0</v>
      </c>
    </row>
    <row r="110" spans="1:16" ht="12.5">
      <c r="B110" s="160" t="str">
        <f t="shared" si="19"/>
        <v/>
      </c>
      <c r="C110" s="472">
        <f>IF(D93="","-",+C109+1)</f>
        <v>2029</v>
      </c>
      <c r="D110" s="346">
        <f>IF(F109+SUM(E$99:E109)=D$92,F109,D$92-SUM(E$99:E109))</f>
        <v>181653</v>
      </c>
      <c r="E110" s="484">
        <f t="shared" si="20"/>
        <v>5951</v>
      </c>
      <c r="F110" s="485">
        <f t="shared" si="21"/>
        <v>175702</v>
      </c>
      <c r="G110" s="485">
        <f t="shared" si="22"/>
        <v>178677.5</v>
      </c>
      <c r="H110" s="613">
        <f t="shared" si="14"/>
        <v>24375.156395021822</v>
      </c>
      <c r="I110" s="614">
        <f t="shared" si="15"/>
        <v>24375.156395021822</v>
      </c>
      <c r="J110" s="478">
        <f t="shared" si="10"/>
        <v>0</v>
      </c>
      <c r="K110" s="478"/>
      <c r="L110" s="487"/>
      <c r="M110" s="478">
        <f t="shared" si="16"/>
        <v>0</v>
      </c>
      <c r="N110" s="487"/>
      <c r="O110" s="478">
        <f t="shared" si="17"/>
        <v>0</v>
      </c>
      <c r="P110" s="478">
        <f t="shared" si="18"/>
        <v>0</v>
      </c>
    </row>
    <row r="111" spans="1:16" ht="12.5">
      <c r="B111" s="160" t="str">
        <f t="shared" si="19"/>
        <v/>
      </c>
      <c r="C111" s="472">
        <f>IF(D93="","-",+C110+1)</f>
        <v>2030</v>
      </c>
      <c r="D111" s="346">
        <f>IF(F110+SUM(E$99:E110)=D$92,F110,D$92-SUM(E$99:E110))</f>
        <v>175702</v>
      </c>
      <c r="E111" s="484">
        <f t="shared" si="20"/>
        <v>5951</v>
      </c>
      <c r="F111" s="485">
        <f t="shared" si="21"/>
        <v>169751</v>
      </c>
      <c r="G111" s="485">
        <f t="shared" si="22"/>
        <v>172726.5</v>
      </c>
      <c r="H111" s="613">
        <f t="shared" si="14"/>
        <v>23761.524825815992</v>
      </c>
      <c r="I111" s="614">
        <f t="shared" si="15"/>
        <v>23761.524825815992</v>
      </c>
      <c r="J111" s="478">
        <f t="shared" si="10"/>
        <v>0</v>
      </c>
      <c r="K111" s="478"/>
      <c r="L111" s="487"/>
      <c r="M111" s="478">
        <f t="shared" si="16"/>
        <v>0</v>
      </c>
      <c r="N111" s="487"/>
      <c r="O111" s="478">
        <f t="shared" si="17"/>
        <v>0</v>
      </c>
      <c r="P111" s="478">
        <f t="shared" si="18"/>
        <v>0</v>
      </c>
    </row>
    <row r="112" spans="1:16" ht="12.5">
      <c r="B112" s="160" t="str">
        <f t="shared" si="19"/>
        <v/>
      </c>
      <c r="C112" s="472">
        <f>IF(D93="","-",+C111+1)</f>
        <v>2031</v>
      </c>
      <c r="D112" s="346">
        <f>IF(F111+SUM(E$99:E111)=D$92,F111,D$92-SUM(E$99:E111))</f>
        <v>169751</v>
      </c>
      <c r="E112" s="484">
        <f t="shared" si="20"/>
        <v>5951</v>
      </c>
      <c r="F112" s="485">
        <f t="shared" si="21"/>
        <v>163800</v>
      </c>
      <c r="G112" s="485">
        <f t="shared" si="22"/>
        <v>166775.5</v>
      </c>
      <c r="H112" s="613">
        <f t="shared" si="14"/>
        <v>23147.893256610161</v>
      </c>
      <c r="I112" s="614">
        <f t="shared" si="15"/>
        <v>23147.893256610161</v>
      </c>
      <c r="J112" s="478">
        <f t="shared" si="10"/>
        <v>0</v>
      </c>
      <c r="K112" s="478"/>
      <c r="L112" s="487"/>
      <c r="M112" s="478">
        <f t="shared" si="16"/>
        <v>0</v>
      </c>
      <c r="N112" s="487"/>
      <c r="O112" s="478">
        <f t="shared" si="17"/>
        <v>0</v>
      </c>
      <c r="P112" s="478">
        <f t="shared" si="18"/>
        <v>0</v>
      </c>
    </row>
    <row r="113" spans="2:16" ht="12.5">
      <c r="B113" s="160" t="str">
        <f t="shared" si="19"/>
        <v/>
      </c>
      <c r="C113" s="472">
        <f>IF(D93="","-",+C112+1)</f>
        <v>2032</v>
      </c>
      <c r="D113" s="346">
        <f>IF(F112+SUM(E$99:E112)=D$92,F112,D$92-SUM(E$99:E112))</f>
        <v>163800</v>
      </c>
      <c r="E113" s="484">
        <f t="shared" si="20"/>
        <v>5951</v>
      </c>
      <c r="F113" s="485">
        <f t="shared" si="21"/>
        <v>157849</v>
      </c>
      <c r="G113" s="485">
        <f t="shared" si="22"/>
        <v>160824.5</v>
      </c>
      <c r="H113" s="613">
        <f t="shared" si="14"/>
        <v>22534.261687404331</v>
      </c>
      <c r="I113" s="614">
        <f t="shared" si="15"/>
        <v>22534.261687404331</v>
      </c>
      <c r="J113" s="478">
        <f t="shared" si="10"/>
        <v>0</v>
      </c>
      <c r="K113" s="478"/>
      <c r="L113" s="487"/>
      <c r="M113" s="478">
        <f t="shared" si="16"/>
        <v>0</v>
      </c>
      <c r="N113" s="487"/>
      <c r="O113" s="478">
        <f t="shared" si="17"/>
        <v>0</v>
      </c>
      <c r="P113" s="478">
        <f t="shared" si="18"/>
        <v>0</v>
      </c>
    </row>
    <row r="114" spans="2:16" ht="12.5">
      <c r="B114" s="160" t="str">
        <f t="shared" si="19"/>
        <v/>
      </c>
      <c r="C114" s="472">
        <f>IF(D93="","-",+C113+1)</f>
        <v>2033</v>
      </c>
      <c r="D114" s="346">
        <f>IF(F113+SUM(E$99:E113)=D$92,F113,D$92-SUM(E$99:E113))</f>
        <v>157849</v>
      </c>
      <c r="E114" s="484">
        <f t="shared" si="20"/>
        <v>5951</v>
      </c>
      <c r="F114" s="485">
        <f t="shared" si="21"/>
        <v>151898</v>
      </c>
      <c r="G114" s="485">
        <f t="shared" si="22"/>
        <v>154873.5</v>
      </c>
      <c r="H114" s="613">
        <f t="shared" si="14"/>
        <v>21920.6301181985</v>
      </c>
      <c r="I114" s="614">
        <f t="shared" si="15"/>
        <v>21920.6301181985</v>
      </c>
      <c r="J114" s="478">
        <f t="shared" si="10"/>
        <v>0</v>
      </c>
      <c r="K114" s="478"/>
      <c r="L114" s="487"/>
      <c r="M114" s="478">
        <f t="shared" si="16"/>
        <v>0</v>
      </c>
      <c r="N114" s="487"/>
      <c r="O114" s="478">
        <f t="shared" si="17"/>
        <v>0</v>
      </c>
      <c r="P114" s="478">
        <f t="shared" si="18"/>
        <v>0</v>
      </c>
    </row>
    <row r="115" spans="2:16" ht="12.5">
      <c r="B115" s="160" t="str">
        <f t="shared" si="19"/>
        <v/>
      </c>
      <c r="C115" s="472">
        <f>IF(D93="","-",+C114+1)</f>
        <v>2034</v>
      </c>
      <c r="D115" s="346">
        <f>IF(F114+SUM(E$99:E114)=D$92,F114,D$92-SUM(E$99:E114))</f>
        <v>151898</v>
      </c>
      <c r="E115" s="484">
        <f t="shared" si="20"/>
        <v>5951</v>
      </c>
      <c r="F115" s="485">
        <f t="shared" si="21"/>
        <v>145947</v>
      </c>
      <c r="G115" s="485">
        <f t="shared" si="22"/>
        <v>148922.5</v>
      </c>
      <c r="H115" s="613">
        <f t="shared" si="14"/>
        <v>21306.998548992669</v>
      </c>
      <c r="I115" s="614">
        <f t="shared" si="15"/>
        <v>21306.998548992669</v>
      </c>
      <c r="J115" s="478">
        <f t="shared" si="10"/>
        <v>0</v>
      </c>
      <c r="K115" s="478"/>
      <c r="L115" s="487"/>
      <c r="M115" s="478">
        <f t="shared" si="16"/>
        <v>0</v>
      </c>
      <c r="N115" s="487"/>
      <c r="O115" s="478">
        <f t="shared" si="17"/>
        <v>0</v>
      </c>
      <c r="P115" s="478">
        <f t="shared" si="18"/>
        <v>0</v>
      </c>
    </row>
    <row r="116" spans="2:16" ht="12.5">
      <c r="B116" s="160" t="str">
        <f t="shared" si="19"/>
        <v/>
      </c>
      <c r="C116" s="472">
        <f>IF(D93="","-",+C115+1)</f>
        <v>2035</v>
      </c>
      <c r="D116" s="346">
        <f>IF(F115+SUM(E$99:E115)=D$92,F115,D$92-SUM(E$99:E115))</f>
        <v>145947</v>
      </c>
      <c r="E116" s="484">
        <f t="shared" si="20"/>
        <v>5951</v>
      </c>
      <c r="F116" s="485">
        <f t="shared" si="21"/>
        <v>139996</v>
      </c>
      <c r="G116" s="485">
        <f t="shared" si="22"/>
        <v>142971.5</v>
      </c>
      <c r="H116" s="613">
        <f t="shared" si="14"/>
        <v>20693.366979786835</v>
      </c>
      <c r="I116" s="614">
        <f t="shared" si="15"/>
        <v>20693.366979786835</v>
      </c>
      <c r="J116" s="478">
        <f t="shared" si="10"/>
        <v>0</v>
      </c>
      <c r="K116" s="478"/>
      <c r="L116" s="487"/>
      <c r="M116" s="478">
        <f t="shared" si="16"/>
        <v>0</v>
      </c>
      <c r="N116" s="487"/>
      <c r="O116" s="478">
        <f t="shared" si="17"/>
        <v>0</v>
      </c>
      <c r="P116" s="478">
        <f t="shared" si="18"/>
        <v>0</v>
      </c>
    </row>
    <row r="117" spans="2:16" ht="12.5">
      <c r="B117" s="160" t="str">
        <f t="shared" si="19"/>
        <v/>
      </c>
      <c r="C117" s="472">
        <f>IF(D93="","-",+C116+1)</f>
        <v>2036</v>
      </c>
      <c r="D117" s="346">
        <f>IF(F116+SUM(E$99:E116)=D$92,F116,D$92-SUM(E$99:E116))</f>
        <v>139996</v>
      </c>
      <c r="E117" s="484">
        <f t="shared" si="20"/>
        <v>5951</v>
      </c>
      <c r="F117" s="485">
        <f t="shared" si="21"/>
        <v>134045</v>
      </c>
      <c r="G117" s="485">
        <f t="shared" si="22"/>
        <v>137020.5</v>
      </c>
      <c r="H117" s="613">
        <f t="shared" si="14"/>
        <v>20079.735410581008</v>
      </c>
      <c r="I117" s="614">
        <f t="shared" si="15"/>
        <v>20079.735410581008</v>
      </c>
      <c r="J117" s="478">
        <f t="shared" si="10"/>
        <v>0</v>
      </c>
      <c r="K117" s="478"/>
      <c r="L117" s="487"/>
      <c r="M117" s="478">
        <f t="shared" si="16"/>
        <v>0</v>
      </c>
      <c r="N117" s="487"/>
      <c r="O117" s="478">
        <f t="shared" si="17"/>
        <v>0</v>
      </c>
      <c r="P117" s="478">
        <f t="shared" si="18"/>
        <v>0</v>
      </c>
    </row>
    <row r="118" spans="2:16" ht="12.5">
      <c r="B118" s="160" t="str">
        <f t="shared" si="19"/>
        <v/>
      </c>
      <c r="C118" s="472">
        <f>IF(D93="","-",+C117+1)</f>
        <v>2037</v>
      </c>
      <c r="D118" s="346">
        <f>IF(F117+SUM(E$99:E117)=D$92,F117,D$92-SUM(E$99:E117))</f>
        <v>134045</v>
      </c>
      <c r="E118" s="484">
        <f t="shared" si="20"/>
        <v>5951</v>
      </c>
      <c r="F118" s="485">
        <f t="shared" si="21"/>
        <v>128094</v>
      </c>
      <c r="G118" s="485">
        <f t="shared" si="22"/>
        <v>131069.5</v>
      </c>
      <c r="H118" s="613">
        <f t="shared" si="14"/>
        <v>19466.103841375174</v>
      </c>
      <c r="I118" s="614">
        <f t="shared" si="15"/>
        <v>19466.103841375174</v>
      </c>
      <c r="J118" s="478">
        <f t="shared" si="10"/>
        <v>0</v>
      </c>
      <c r="K118" s="478"/>
      <c r="L118" s="487"/>
      <c r="M118" s="478">
        <f t="shared" si="16"/>
        <v>0</v>
      </c>
      <c r="N118" s="487"/>
      <c r="O118" s="478">
        <f t="shared" si="17"/>
        <v>0</v>
      </c>
      <c r="P118" s="478">
        <f t="shared" si="18"/>
        <v>0</v>
      </c>
    </row>
    <row r="119" spans="2:16" ht="12.5">
      <c r="B119" s="160" t="str">
        <f t="shared" si="19"/>
        <v/>
      </c>
      <c r="C119" s="472">
        <f>IF(D93="","-",+C118+1)</f>
        <v>2038</v>
      </c>
      <c r="D119" s="346">
        <f>IF(F118+SUM(E$99:E118)=D$92,F118,D$92-SUM(E$99:E118))</f>
        <v>128094</v>
      </c>
      <c r="E119" s="484">
        <f t="shared" si="20"/>
        <v>5951</v>
      </c>
      <c r="F119" s="485">
        <f t="shared" si="21"/>
        <v>122143</v>
      </c>
      <c r="G119" s="485">
        <f t="shared" si="22"/>
        <v>125118.5</v>
      </c>
      <c r="H119" s="613">
        <f t="shared" si="14"/>
        <v>18852.472272169347</v>
      </c>
      <c r="I119" s="614">
        <f t="shared" si="15"/>
        <v>18852.472272169347</v>
      </c>
      <c r="J119" s="478">
        <f t="shared" si="10"/>
        <v>0</v>
      </c>
      <c r="K119" s="478"/>
      <c r="L119" s="487"/>
      <c r="M119" s="478">
        <f t="shared" si="16"/>
        <v>0</v>
      </c>
      <c r="N119" s="487"/>
      <c r="O119" s="478">
        <f t="shared" si="17"/>
        <v>0</v>
      </c>
      <c r="P119" s="478">
        <f t="shared" si="18"/>
        <v>0</v>
      </c>
    </row>
    <row r="120" spans="2:16" ht="12.5">
      <c r="B120" s="160" t="str">
        <f t="shared" si="19"/>
        <v/>
      </c>
      <c r="C120" s="472">
        <f>IF(D93="","-",+C119+1)</f>
        <v>2039</v>
      </c>
      <c r="D120" s="346">
        <f>IF(F119+SUM(E$99:E119)=D$92,F119,D$92-SUM(E$99:E119))</f>
        <v>122143</v>
      </c>
      <c r="E120" s="484">
        <f t="shared" si="20"/>
        <v>5951</v>
      </c>
      <c r="F120" s="485">
        <f t="shared" si="21"/>
        <v>116192</v>
      </c>
      <c r="G120" s="485">
        <f t="shared" si="22"/>
        <v>119167.5</v>
      </c>
      <c r="H120" s="613">
        <f t="shared" si="14"/>
        <v>18238.840702963513</v>
      </c>
      <c r="I120" s="614">
        <f t="shared" si="15"/>
        <v>18238.840702963513</v>
      </c>
      <c r="J120" s="478">
        <f t="shared" si="10"/>
        <v>0</v>
      </c>
      <c r="K120" s="478"/>
      <c r="L120" s="487"/>
      <c r="M120" s="478">
        <f t="shared" si="16"/>
        <v>0</v>
      </c>
      <c r="N120" s="487"/>
      <c r="O120" s="478">
        <f t="shared" si="17"/>
        <v>0</v>
      </c>
      <c r="P120" s="478">
        <f t="shared" si="18"/>
        <v>0</v>
      </c>
    </row>
    <row r="121" spans="2:16" ht="12.5">
      <c r="B121" s="160" t="str">
        <f t="shared" si="19"/>
        <v/>
      </c>
      <c r="C121" s="472">
        <f>IF(D93="","-",+C120+1)</f>
        <v>2040</v>
      </c>
      <c r="D121" s="346">
        <f>IF(F120+SUM(E$99:E120)=D$92,F120,D$92-SUM(E$99:E120))</f>
        <v>116192</v>
      </c>
      <c r="E121" s="484">
        <f t="shared" si="20"/>
        <v>5951</v>
      </c>
      <c r="F121" s="485">
        <f t="shared" si="21"/>
        <v>110241</v>
      </c>
      <c r="G121" s="485">
        <f t="shared" si="22"/>
        <v>113216.5</v>
      </c>
      <c r="H121" s="613">
        <f t="shared" si="14"/>
        <v>17625.209133757682</v>
      </c>
      <c r="I121" s="614">
        <f t="shared" si="15"/>
        <v>17625.209133757682</v>
      </c>
      <c r="J121" s="478">
        <f t="shared" si="10"/>
        <v>0</v>
      </c>
      <c r="K121" s="478"/>
      <c r="L121" s="487"/>
      <c r="M121" s="478">
        <f t="shared" si="16"/>
        <v>0</v>
      </c>
      <c r="N121" s="487"/>
      <c r="O121" s="478">
        <f t="shared" si="17"/>
        <v>0</v>
      </c>
      <c r="P121" s="478">
        <f t="shared" si="18"/>
        <v>0</v>
      </c>
    </row>
    <row r="122" spans="2:16" ht="12.5">
      <c r="B122" s="160" t="str">
        <f t="shared" si="19"/>
        <v/>
      </c>
      <c r="C122" s="472">
        <f>IF(D93="","-",+C121+1)</f>
        <v>2041</v>
      </c>
      <c r="D122" s="346">
        <f>IF(F121+SUM(E$99:E121)=D$92,F121,D$92-SUM(E$99:E121))</f>
        <v>110241</v>
      </c>
      <c r="E122" s="484">
        <f t="shared" si="20"/>
        <v>5951</v>
      </c>
      <c r="F122" s="485">
        <f t="shared" si="21"/>
        <v>104290</v>
      </c>
      <c r="G122" s="485">
        <f t="shared" si="22"/>
        <v>107265.5</v>
      </c>
      <c r="H122" s="613">
        <f t="shared" si="14"/>
        <v>17011.577564551852</v>
      </c>
      <c r="I122" s="614">
        <f t="shared" si="15"/>
        <v>17011.577564551852</v>
      </c>
      <c r="J122" s="478">
        <f t="shared" si="10"/>
        <v>0</v>
      </c>
      <c r="K122" s="478"/>
      <c r="L122" s="487"/>
      <c r="M122" s="478">
        <f t="shared" si="16"/>
        <v>0</v>
      </c>
      <c r="N122" s="487"/>
      <c r="O122" s="478">
        <f t="shared" si="17"/>
        <v>0</v>
      </c>
      <c r="P122" s="478">
        <f t="shared" si="18"/>
        <v>0</v>
      </c>
    </row>
    <row r="123" spans="2:16" ht="12.5">
      <c r="B123" s="160" t="str">
        <f t="shared" si="19"/>
        <v/>
      </c>
      <c r="C123" s="472">
        <f>IF(D93="","-",+C122+1)</f>
        <v>2042</v>
      </c>
      <c r="D123" s="346">
        <f>IF(F122+SUM(E$99:E122)=D$92,F122,D$92-SUM(E$99:E122))</f>
        <v>104290</v>
      </c>
      <c r="E123" s="484">
        <f t="shared" si="20"/>
        <v>5951</v>
      </c>
      <c r="F123" s="485">
        <f t="shared" si="21"/>
        <v>98339</v>
      </c>
      <c r="G123" s="485">
        <f t="shared" si="22"/>
        <v>101314.5</v>
      </c>
      <c r="H123" s="613">
        <f t="shared" si="14"/>
        <v>16397.945995346021</v>
      </c>
      <c r="I123" s="614">
        <f t="shared" si="15"/>
        <v>16397.945995346021</v>
      </c>
      <c r="J123" s="478">
        <f t="shared" si="10"/>
        <v>0</v>
      </c>
      <c r="K123" s="478"/>
      <c r="L123" s="487"/>
      <c r="M123" s="478">
        <f t="shared" si="16"/>
        <v>0</v>
      </c>
      <c r="N123" s="487"/>
      <c r="O123" s="478">
        <f t="shared" si="17"/>
        <v>0</v>
      </c>
      <c r="P123" s="478">
        <f t="shared" si="18"/>
        <v>0</v>
      </c>
    </row>
    <row r="124" spans="2:16" ht="12.5">
      <c r="B124" s="160" t="str">
        <f t="shared" si="19"/>
        <v/>
      </c>
      <c r="C124" s="472">
        <f>IF(D93="","-",+C123+1)</f>
        <v>2043</v>
      </c>
      <c r="D124" s="346">
        <f>IF(F123+SUM(E$99:E123)=D$92,F123,D$92-SUM(E$99:E123))</f>
        <v>98339</v>
      </c>
      <c r="E124" s="484">
        <f t="shared" si="20"/>
        <v>5951</v>
      </c>
      <c r="F124" s="485">
        <f t="shared" si="21"/>
        <v>92388</v>
      </c>
      <c r="G124" s="485">
        <f t="shared" si="22"/>
        <v>95363.5</v>
      </c>
      <c r="H124" s="613">
        <f t="shared" si="14"/>
        <v>15784.31442614019</v>
      </c>
      <c r="I124" s="614">
        <f t="shared" si="15"/>
        <v>15784.31442614019</v>
      </c>
      <c r="J124" s="478">
        <f t="shared" si="10"/>
        <v>0</v>
      </c>
      <c r="K124" s="478"/>
      <c r="L124" s="487"/>
      <c r="M124" s="478">
        <f t="shared" si="16"/>
        <v>0</v>
      </c>
      <c r="N124" s="487"/>
      <c r="O124" s="478">
        <f t="shared" si="17"/>
        <v>0</v>
      </c>
      <c r="P124" s="478">
        <f t="shared" si="18"/>
        <v>0</v>
      </c>
    </row>
    <row r="125" spans="2:16" ht="12.5">
      <c r="B125" s="160" t="str">
        <f t="shared" si="19"/>
        <v/>
      </c>
      <c r="C125" s="472">
        <f>IF(D93="","-",+C124+1)</f>
        <v>2044</v>
      </c>
      <c r="D125" s="346">
        <f>IF(F124+SUM(E$99:E124)=D$92,F124,D$92-SUM(E$99:E124))</f>
        <v>92388</v>
      </c>
      <c r="E125" s="484">
        <f t="shared" si="20"/>
        <v>5951</v>
      </c>
      <c r="F125" s="485">
        <f t="shared" si="21"/>
        <v>86437</v>
      </c>
      <c r="G125" s="485">
        <f t="shared" si="22"/>
        <v>89412.5</v>
      </c>
      <c r="H125" s="613">
        <f t="shared" si="14"/>
        <v>15170.682856934358</v>
      </c>
      <c r="I125" s="614">
        <f t="shared" si="15"/>
        <v>15170.682856934358</v>
      </c>
      <c r="J125" s="478">
        <f t="shared" si="10"/>
        <v>0</v>
      </c>
      <c r="K125" s="478"/>
      <c r="L125" s="487"/>
      <c r="M125" s="478">
        <f t="shared" si="16"/>
        <v>0</v>
      </c>
      <c r="N125" s="487"/>
      <c r="O125" s="478">
        <f t="shared" si="17"/>
        <v>0</v>
      </c>
      <c r="P125" s="478">
        <f t="shared" si="18"/>
        <v>0</v>
      </c>
    </row>
    <row r="126" spans="2:16" ht="12.5">
      <c r="B126" s="160" t="str">
        <f t="shared" si="19"/>
        <v/>
      </c>
      <c r="C126" s="472">
        <f>IF(D93="","-",+C125+1)</f>
        <v>2045</v>
      </c>
      <c r="D126" s="346">
        <f>IF(F125+SUM(E$99:E125)=D$92,F125,D$92-SUM(E$99:E125))</f>
        <v>86437</v>
      </c>
      <c r="E126" s="484">
        <f t="shared" si="20"/>
        <v>5951</v>
      </c>
      <c r="F126" s="485">
        <f t="shared" si="21"/>
        <v>80486</v>
      </c>
      <c r="G126" s="485">
        <f t="shared" si="22"/>
        <v>83461.5</v>
      </c>
      <c r="H126" s="613">
        <f t="shared" si="14"/>
        <v>14557.051287728527</v>
      </c>
      <c r="I126" s="614">
        <f t="shared" si="15"/>
        <v>14557.051287728527</v>
      </c>
      <c r="J126" s="478">
        <f t="shared" si="10"/>
        <v>0</v>
      </c>
      <c r="K126" s="478"/>
      <c r="L126" s="487"/>
      <c r="M126" s="478">
        <f t="shared" si="16"/>
        <v>0</v>
      </c>
      <c r="N126" s="487"/>
      <c r="O126" s="478">
        <f t="shared" si="17"/>
        <v>0</v>
      </c>
      <c r="P126" s="478">
        <f t="shared" si="18"/>
        <v>0</v>
      </c>
    </row>
    <row r="127" spans="2:16" ht="12.5">
      <c r="B127" s="160" t="str">
        <f t="shared" si="19"/>
        <v/>
      </c>
      <c r="C127" s="472">
        <f>IF(D93="","-",+C126+1)</f>
        <v>2046</v>
      </c>
      <c r="D127" s="346">
        <f>IF(F126+SUM(E$99:E126)=D$92,F126,D$92-SUM(E$99:E126))</f>
        <v>80486</v>
      </c>
      <c r="E127" s="484">
        <f t="shared" si="20"/>
        <v>5951</v>
      </c>
      <c r="F127" s="485">
        <f t="shared" si="21"/>
        <v>74535</v>
      </c>
      <c r="G127" s="485">
        <f t="shared" si="22"/>
        <v>77510.5</v>
      </c>
      <c r="H127" s="613">
        <f t="shared" si="14"/>
        <v>13943.419718522697</v>
      </c>
      <c r="I127" s="614">
        <f t="shared" si="15"/>
        <v>13943.419718522697</v>
      </c>
      <c r="J127" s="478">
        <f t="shared" si="10"/>
        <v>0</v>
      </c>
      <c r="K127" s="478"/>
      <c r="L127" s="487"/>
      <c r="M127" s="478">
        <f t="shared" si="16"/>
        <v>0</v>
      </c>
      <c r="N127" s="487"/>
      <c r="O127" s="478">
        <f t="shared" si="17"/>
        <v>0</v>
      </c>
      <c r="P127" s="478">
        <f t="shared" si="18"/>
        <v>0</v>
      </c>
    </row>
    <row r="128" spans="2:16" ht="12.5">
      <c r="B128" s="160" t="str">
        <f t="shared" si="19"/>
        <v/>
      </c>
      <c r="C128" s="472">
        <f>IF(D93="","-",+C127+1)</f>
        <v>2047</v>
      </c>
      <c r="D128" s="346">
        <f>IF(F127+SUM(E$99:E127)=D$92,F127,D$92-SUM(E$99:E127))</f>
        <v>74535</v>
      </c>
      <c r="E128" s="484">
        <f t="shared" si="20"/>
        <v>5951</v>
      </c>
      <c r="F128" s="485">
        <f t="shared" si="21"/>
        <v>68584</v>
      </c>
      <c r="G128" s="485">
        <f t="shared" si="22"/>
        <v>71559.5</v>
      </c>
      <c r="H128" s="613">
        <f t="shared" si="14"/>
        <v>13329.788149316864</v>
      </c>
      <c r="I128" s="614">
        <f t="shared" si="15"/>
        <v>13329.788149316864</v>
      </c>
      <c r="J128" s="478">
        <f t="shared" si="10"/>
        <v>0</v>
      </c>
      <c r="K128" s="478"/>
      <c r="L128" s="487"/>
      <c r="M128" s="478">
        <f t="shared" si="16"/>
        <v>0</v>
      </c>
      <c r="N128" s="487"/>
      <c r="O128" s="478">
        <f t="shared" si="17"/>
        <v>0</v>
      </c>
      <c r="P128" s="478">
        <f t="shared" si="18"/>
        <v>0</v>
      </c>
    </row>
    <row r="129" spans="2:16" ht="12.5">
      <c r="B129" s="160" t="str">
        <f t="shared" si="19"/>
        <v/>
      </c>
      <c r="C129" s="472">
        <f>IF(D93="","-",+C128+1)</f>
        <v>2048</v>
      </c>
      <c r="D129" s="346">
        <f>IF(F128+SUM(E$99:E128)=D$92,F128,D$92-SUM(E$99:E128))</f>
        <v>68584</v>
      </c>
      <c r="E129" s="484">
        <f t="shared" si="20"/>
        <v>5951</v>
      </c>
      <c r="F129" s="485">
        <f t="shared" si="21"/>
        <v>62633</v>
      </c>
      <c r="G129" s="485">
        <f t="shared" si="22"/>
        <v>65608.5</v>
      </c>
      <c r="H129" s="613">
        <f t="shared" si="14"/>
        <v>12716.156580111034</v>
      </c>
      <c r="I129" s="614">
        <f t="shared" si="15"/>
        <v>12716.156580111034</v>
      </c>
      <c r="J129" s="478">
        <f t="shared" si="10"/>
        <v>0</v>
      </c>
      <c r="K129" s="478"/>
      <c r="L129" s="487"/>
      <c r="M129" s="478">
        <f t="shared" si="16"/>
        <v>0</v>
      </c>
      <c r="N129" s="487"/>
      <c r="O129" s="478">
        <f t="shared" si="17"/>
        <v>0</v>
      </c>
      <c r="P129" s="478">
        <f t="shared" si="18"/>
        <v>0</v>
      </c>
    </row>
    <row r="130" spans="2:16" ht="12.5">
      <c r="B130" s="160" t="str">
        <f t="shared" si="19"/>
        <v/>
      </c>
      <c r="C130" s="472">
        <f>IF(D93="","-",+C129+1)</f>
        <v>2049</v>
      </c>
      <c r="D130" s="346">
        <f>IF(F129+SUM(E$99:E129)=D$92,F129,D$92-SUM(E$99:E129))</f>
        <v>62633</v>
      </c>
      <c r="E130" s="484">
        <f t="shared" si="20"/>
        <v>5951</v>
      </c>
      <c r="F130" s="485">
        <f t="shared" si="21"/>
        <v>56682</v>
      </c>
      <c r="G130" s="485">
        <f t="shared" si="22"/>
        <v>59657.5</v>
      </c>
      <c r="H130" s="613">
        <f t="shared" si="14"/>
        <v>12102.525010905203</v>
      </c>
      <c r="I130" s="614">
        <f t="shared" si="15"/>
        <v>12102.525010905203</v>
      </c>
      <c r="J130" s="478">
        <f t="shared" si="10"/>
        <v>0</v>
      </c>
      <c r="K130" s="478"/>
      <c r="L130" s="487"/>
      <c r="M130" s="478">
        <f t="shared" si="16"/>
        <v>0</v>
      </c>
      <c r="N130" s="487"/>
      <c r="O130" s="478">
        <f t="shared" si="17"/>
        <v>0</v>
      </c>
      <c r="P130" s="478">
        <f t="shared" si="18"/>
        <v>0</v>
      </c>
    </row>
    <row r="131" spans="2:16" ht="12.5">
      <c r="B131" s="160" t="str">
        <f t="shared" si="19"/>
        <v/>
      </c>
      <c r="C131" s="472">
        <f>IF(D93="","-",+C130+1)</f>
        <v>2050</v>
      </c>
      <c r="D131" s="346">
        <f>IF(F130+SUM(E$99:E130)=D$92,F130,D$92-SUM(E$99:E130))</f>
        <v>56682</v>
      </c>
      <c r="E131" s="484">
        <f t="shared" si="20"/>
        <v>5951</v>
      </c>
      <c r="F131" s="485">
        <f t="shared" si="21"/>
        <v>50731</v>
      </c>
      <c r="G131" s="485">
        <f t="shared" si="22"/>
        <v>53706.5</v>
      </c>
      <c r="H131" s="613">
        <f t="shared" si="14"/>
        <v>11488.893441699372</v>
      </c>
      <c r="I131" s="614">
        <f t="shared" si="15"/>
        <v>11488.893441699372</v>
      </c>
      <c r="J131" s="478">
        <f t="shared" ref="J131:J154" si="23">+I541-H541</f>
        <v>0</v>
      </c>
      <c r="K131" s="478"/>
      <c r="L131" s="487"/>
      <c r="M131" s="478">
        <f t="shared" ref="M131:M154" si="24">IF(L541&lt;&gt;0,+H541-L541,0)</f>
        <v>0</v>
      </c>
      <c r="N131" s="487"/>
      <c r="O131" s="478">
        <f t="shared" ref="O131:O154" si="25">IF(N541&lt;&gt;0,+I541-N541,0)</f>
        <v>0</v>
      </c>
      <c r="P131" s="478">
        <f t="shared" ref="P131:P154" si="26">+O541-M541</f>
        <v>0</v>
      </c>
    </row>
    <row r="132" spans="2:16" ht="12.5">
      <c r="B132" s="160" t="str">
        <f t="shared" si="19"/>
        <v/>
      </c>
      <c r="C132" s="472">
        <f>IF(D93="","-",+C131+1)</f>
        <v>2051</v>
      </c>
      <c r="D132" s="346">
        <f>IF(F131+SUM(E$99:E131)=D$92,F131,D$92-SUM(E$99:E131))</f>
        <v>50731</v>
      </c>
      <c r="E132" s="484">
        <f t="shared" si="20"/>
        <v>5951</v>
      </c>
      <c r="F132" s="485">
        <f t="shared" si="21"/>
        <v>44780</v>
      </c>
      <c r="G132" s="485">
        <f t="shared" si="22"/>
        <v>47755.5</v>
      </c>
      <c r="H132" s="613">
        <f t="shared" si="14"/>
        <v>10875.261872493542</v>
      </c>
      <c r="I132" s="614">
        <f t="shared" si="15"/>
        <v>10875.261872493542</v>
      </c>
      <c r="J132" s="478">
        <f t="shared" si="23"/>
        <v>0</v>
      </c>
      <c r="K132" s="478"/>
      <c r="L132" s="487"/>
      <c r="M132" s="478">
        <f t="shared" si="24"/>
        <v>0</v>
      </c>
      <c r="N132" s="487"/>
      <c r="O132" s="478">
        <f t="shared" si="25"/>
        <v>0</v>
      </c>
      <c r="P132" s="478">
        <f t="shared" si="26"/>
        <v>0</v>
      </c>
    </row>
    <row r="133" spans="2:16" ht="12.5">
      <c r="B133" s="160" t="str">
        <f t="shared" si="19"/>
        <v/>
      </c>
      <c r="C133" s="472">
        <f>IF(D93="","-",+C132+1)</f>
        <v>2052</v>
      </c>
      <c r="D133" s="346">
        <f>IF(F132+SUM(E$99:E132)=D$92,F132,D$92-SUM(E$99:E132))</f>
        <v>44780</v>
      </c>
      <c r="E133" s="484">
        <f t="shared" si="20"/>
        <v>5951</v>
      </c>
      <c r="F133" s="485">
        <f t="shared" si="21"/>
        <v>38829</v>
      </c>
      <c r="G133" s="485">
        <f t="shared" si="22"/>
        <v>41804.5</v>
      </c>
      <c r="H133" s="613">
        <f t="shared" si="14"/>
        <v>10261.630303287711</v>
      </c>
      <c r="I133" s="614">
        <f t="shared" si="15"/>
        <v>10261.630303287711</v>
      </c>
      <c r="J133" s="478">
        <f t="shared" si="23"/>
        <v>0</v>
      </c>
      <c r="K133" s="478"/>
      <c r="L133" s="487"/>
      <c r="M133" s="478">
        <f t="shared" si="24"/>
        <v>0</v>
      </c>
      <c r="N133" s="487"/>
      <c r="O133" s="478">
        <f t="shared" si="25"/>
        <v>0</v>
      </c>
      <c r="P133" s="478">
        <f t="shared" si="26"/>
        <v>0</v>
      </c>
    </row>
    <row r="134" spans="2:16" ht="12.5">
      <c r="B134" s="160" t="str">
        <f t="shared" si="19"/>
        <v/>
      </c>
      <c r="C134" s="472">
        <f>IF(D93="","-",+C133+1)</f>
        <v>2053</v>
      </c>
      <c r="D134" s="346">
        <f>IF(F133+SUM(E$99:E133)=D$92,F133,D$92-SUM(E$99:E133))</f>
        <v>38829</v>
      </c>
      <c r="E134" s="484">
        <f t="shared" si="20"/>
        <v>5951</v>
      </c>
      <c r="F134" s="485">
        <f t="shared" si="21"/>
        <v>32878</v>
      </c>
      <c r="G134" s="485">
        <f t="shared" si="22"/>
        <v>35853.5</v>
      </c>
      <c r="H134" s="613">
        <f t="shared" si="14"/>
        <v>9647.9987340818789</v>
      </c>
      <c r="I134" s="614">
        <f t="shared" si="15"/>
        <v>9647.9987340818789</v>
      </c>
      <c r="J134" s="478">
        <f t="shared" si="23"/>
        <v>0</v>
      </c>
      <c r="K134" s="478"/>
      <c r="L134" s="487"/>
      <c r="M134" s="478">
        <f t="shared" si="24"/>
        <v>0</v>
      </c>
      <c r="N134" s="487"/>
      <c r="O134" s="478">
        <f t="shared" si="25"/>
        <v>0</v>
      </c>
      <c r="P134" s="478">
        <f t="shared" si="26"/>
        <v>0</v>
      </c>
    </row>
    <row r="135" spans="2:16" ht="12.5">
      <c r="B135" s="160" t="str">
        <f t="shared" si="19"/>
        <v/>
      </c>
      <c r="C135" s="472">
        <f>IF(D93="","-",+C134+1)</f>
        <v>2054</v>
      </c>
      <c r="D135" s="346">
        <f>IF(F134+SUM(E$99:E134)=D$92,F134,D$92-SUM(E$99:E134))</f>
        <v>32878</v>
      </c>
      <c r="E135" s="484">
        <f t="shared" si="20"/>
        <v>5951</v>
      </c>
      <c r="F135" s="485">
        <f t="shared" si="21"/>
        <v>26927</v>
      </c>
      <c r="G135" s="485">
        <f t="shared" si="22"/>
        <v>29902.5</v>
      </c>
      <c r="H135" s="613">
        <f t="shared" si="14"/>
        <v>9034.3671648760483</v>
      </c>
      <c r="I135" s="614">
        <f t="shared" si="15"/>
        <v>9034.3671648760483</v>
      </c>
      <c r="J135" s="478">
        <f t="shared" si="23"/>
        <v>0</v>
      </c>
      <c r="K135" s="478"/>
      <c r="L135" s="487"/>
      <c r="M135" s="478">
        <f t="shared" si="24"/>
        <v>0</v>
      </c>
      <c r="N135" s="487"/>
      <c r="O135" s="478">
        <f t="shared" si="25"/>
        <v>0</v>
      </c>
      <c r="P135" s="478">
        <f t="shared" si="26"/>
        <v>0</v>
      </c>
    </row>
    <row r="136" spans="2:16" ht="12.5">
      <c r="B136" s="160" t="str">
        <f t="shared" si="19"/>
        <v/>
      </c>
      <c r="C136" s="472">
        <f>IF(D93="","-",+C135+1)</f>
        <v>2055</v>
      </c>
      <c r="D136" s="346">
        <f>IF(F135+SUM(E$99:E135)=D$92,F135,D$92-SUM(E$99:E135))</f>
        <v>26927</v>
      </c>
      <c r="E136" s="484">
        <f t="shared" si="20"/>
        <v>5951</v>
      </c>
      <c r="F136" s="485">
        <f t="shared" si="21"/>
        <v>20976</v>
      </c>
      <c r="G136" s="485">
        <f t="shared" si="22"/>
        <v>23951.5</v>
      </c>
      <c r="H136" s="613">
        <f t="shared" si="14"/>
        <v>8420.7355956702177</v>
      </c>
      <c r="I136" s="614">
        <f t="shared" si="15"/>
        <v>8420.7355956702177</v>
      </c>
      <c r="J136" s="478">
        <f t="shared" si="23"/>
        <v>0</v>
      </c>
      <c r="K136" s="478"/>
      <c r="L136" s="487"/>
      <c r="M136" s="478">
        <f t="shared" si="24"/>
        <v>0</v>
      </c>
      <c r="N136" s="487"/>
      <c r="O136" s="478">
        <f t="shared" si="25"/>
        <v>0</v>
      </c>
      <c r="P136" s="478">
        <f t="shared" si="26"/>
        <v>0</v>
      </c>
    </row>
    <row r="137" spans="2:16" ht="12.5">
      <c r="B137" s="160" t="str">
        <f t="shared" si="19"/>
        <v/>
      </c>
      <c r="C137" s="472">
        <f>IF(D93="","-",+C136+1)</f>
        <v>2056</v>
      </c>
      <c r="D137" s="346">
        <f>IF(F136+SUM(E$99:E136)=D$92,F136,D$92-SUM(E$99:E136))</f>
        <v>20976</v>
      </c>
      <c r="E137" s="484">
        <f t="shared" si="20"/>
        <v>5951</v>
      </c>
      <c r="F137" s="485">
        <f t="shared" si="21"/>
        <v>15025</v>
      </c>
      <c r="G137" s="485">
        <f t="shared" si="22"/>
        <v>18000.5</v>
      </c>
      <c r="H137" s="613">
        <f t="shared" si="14"/>
        <v>7807.1040264643862</v>
      </c>
      <c r="I137" s="614">
        <f t="shared" si="15"/>
        <v>7807.1040264643862</v>
      </c>
      <c r="J137" s="478">
        <f t="shared" si="23"/>
        <v>0</v>
      </c>
      <c r="K137" s="478"/>
      <c r="L137" s="487"/>
      <c r="M137" s="478">
        <f t="shared" si="24"/>
        <v>0</v>
      </c>
      <c r="N137" s="487"/>
      <c r="O137" s="478">
        <f t="shared" si="25"/>
        <v>0</v>
      </c>
      <c r="P137" s="478">
        <f t="shared" si="26"/>
        <v>0</v>
      </c>
    </row>
    <row r="138" spans="2:16" ht="12.5">
      <c r="B138" s="160" t="str">
        <f t="shared" si="19"/>
        <v/>
      </c>
      <c r="C138" s="472">
        <f>IF(D93="","-",+C137+1)</f>
        <v>2057</v>
      </c>
      <c r="D138" s="346">
        <f>IF(F137+SUM(E$99:E137)=D$92,F137,D$92-SUM(E$99:E137))</f>
        <v>15025</v>
      </c>
      <c r="E138" s="484">
        <f t="shared" si="20"/>
        <v>5951</v>
      </c>
      <c r="F138" s="485">
        <f t="shared" si="21"/>
        <v>9074</v>
      </c>
      <c r="G138" s="485">
        <f t="shared" si="22"/>
        <v>12049.5</v>
      </c>
      <c r="H138" s="613">
        <f t="shared" si="14"/>
        <v>7193.4724572585546</v>
      </c>
      <c r="I138" s="614">
        <f t="shared" si="15"/>
        <v>7193.4724572585546</v>
      </c>
      <c r="J138" s="478">
        <f t="shared" si="23"/>
        <v>0</v>
      </c>
      <c r="K138" s="478"/>
      <c r="L138" s="487"/>
      <c r="M138" s="478">
        <f t="shared" si="24"/>
        <v>0</v>
      </c>
      <c r="N138" s="487"/>
      <c r="O138" s="478">
        <f t="shared" si="25"/>
        <v>0</v>
      </c>
      <c r="P138" s="478">
        <f t="shared" si="26"/>
        <v>0</v>
      </c>
    </row>
    <row r="139" spans="2:16" ht="12.5">
      <c r="B139" s="160" t="str">
        <f t="shared" si="19"/>
        <v/>
      </c>
      <c r="C139" s="472">
        <f>IF(D93="","-",+C138+1)</f>
        <v>2058</v>
      </c>
      <c r="D139" s="346">
        <f>IF(F138+SUM(E$99:E138)=D$92,F138,D$92-SUM(E$99:E138))</f>
        <v>9074</v>
      </c>
      <c r="E139" s="484">
        <f t="shared" si="20"/>
        <v>5951</v>
      </c>
      <c r="F139" s="485">
        <f t="shared" si="21"/>
        <v>3123</v>
      </c>
      <c r="G139" s="485">
        <f t="shared" si="22"/>
        <v>6098.5</v>
      </c>
      <c r="H139" s="613">
        <f t="shared" si="14"/>
        <v>6579.840888052724</v>
      </c>
      <c r="I139" s="614">
        <f t="shared" si="15"/>
        <v>6579.840888052724</v>
      </c>
      <c r="J139" s="478">
        <f t="shared" si="23"/>
        <v>0</v>
      </c>
      <c r="K139" s="478"/>
      <c r="L139" s="487"/>
      <c r="M139" s="478">
        <f t="shared" si="24"/>
        <v>0</v>
      </c>
      <c r="N139" s="487"/>
      <c r="O139" s="478">
        <f t="shared" si="25"/>
        <v>0</v>
      </c>
      <c r="P139" s="478">
        <f t="shared" si="26"/>
        <v>0</v>
      </c>
    </row>
    <row r="140" spans="2:16" ht="12.5">
      <c r="B140" s="160" t="str">
        <f t="shared" si="19"/>
        <v/>
      </c>
      <c r="C140" s="472">
        <f>IF(D93="","-",+C139+1)</f>
        <v>2059</v>
      </c>
      <c r="D140" s="346">
        <f>IF(F139+SUM(E$99:E139)=D$92,F139,D$92-SUM(E$99:E139))</f>
        <v>3123</v>
      </c>
      <c r="E140" s="484">
        <f t="shared" si="20"/>
        <v>3123</v>
      </c>
      <c r="F140" s="485">
        <f t="shared" si="21"/>
        <v>0</v>
      </c>
      <c r="G140" s="485">
        <f t="shared" si="22"/>
        <v>1561.5</v>
      </c>
      <c r="H140" s="613">
        <f t="shared" si="14"/>
        <v>3284.0125517249044</v>
      </c>
      <c r="I140" s="614">
        <f t="shared" si="15"/>
        <v>3284.0125517249044</v>
      </c>
      <c r="J140" s="478">
        <f t="shared" si="23"/>
        <v>0</v>
      </c>
      <c r="K140" s="478"/>
      <c r="L140" s="487"/>
      <c r="M140" s="478">
        <f t="shared" si="24"/>
        <v>0</v>
      </c>
      <c r="N140" s="487"/>
      <c r="O140" s="478">
        <f t="shared" si="25"/>
        <v>0</v>
      </c>
      <c r="P140" s="478">
        <f t="shared" si="26"/>
        <v>0</v>
      </c>
    </row>
    <row r="141" spans="2:16" ht="12.5">
      <c r="B141" s="160" t="str">
        <f t="shared" si="19"/>
        <v/>
      </c>
      <c r="C141" s="472">
        <f>IF(D93="","-",+C140+1)</f>
        <v>2060</v>
      </c>
      <c r="D141" s="346">
        <f>IF(F140+SUM(E$99:E140)=D$92,F140,D$92-SUM(E$99:E140))</f>
        <v>0</v>
      </c>
      <c r="E141" s="484">
        <f t="shared" si="20"/>
        <v>0</v>
      </c>
      <c r="F141" s="485">
        <f t="shared" si="21"/>
        <v>0</v>
      </c>
      <c r="G141" s="485">
        <f t="shared" si="22"/>
        <v>0</v>
      </c>
      <c r="H141" s="613">
        <f t="shared" si="14"/>
        <v>0</v>
      </c>
      <c r="I141" s="614">
        <f t="shared" si="15"/>
        <v>0</v>
      </c>
      <c r="J141" s="478">
        <f t="shared" si="23"/>
        <v>0</v>
      </c>
      <c r="K141" s="478"/>
      <c r="L141" s="487"/>
      <c r="M141" s="478">
        <f t="shared" si="24"/>
        <v>0</v>
      </c>
      <c r="N141" s="487"/>
      <c r="O141" s="478">
        <f t="shared" si="25"/>
        <v>0</v>
      </c>
      <c r="P141" s="478">
        <f t="shared" si="26"/>
        <v>0</v>
      </c>
    </row>
    <row r="142" spans="2:16" ht="12.5">
      <c r="B142" s="160" t="str">
        <f t="shared" si="19"/>
        <v/>
      </c>
      <c r="C142" s="472">
        <f>IF(D93="","-",+C141+1)</f>
        <v>2061</v>
      </c>
      <c r="D142" s="346">
        <f>IF(F141+SUM(E$99:E141)=D$92,F141,D$92-SUM(E$99:E141))</f>
        <v>0</v>
      </c>
      <c r="E142" s="484">
        <f t="shared" si="20"/>
        <v>0</v>
      </c>
      <c r="F142" s="485">
        <f t="shared" si="21"/>
        <v>0</v>
      </c>
      <c r="G142" s="485">
        <f t="shared" si="22"/>
        <v>0</v>
      </c>
      <c r="H142" s="613">
        <f t="shared" si="14"/>
        <v>0</v>
      </c>
      <c r="I142" s="614">
        <f t="shared" si="15"/>
        <v>0</v>
      </c>
      <c r="J142" s="478">
        <f t="shared" si="23"/>
        <v>0</v>
      </c>
      <c r="K142" s="478"/>
      <c r="L142" s="487"/>
      <c r="M142" s="478">
        <f t="shared" si="24"/>
        <v>0</v>
      </c>
      <c r="N142" s="487"/>
      <c r="O142" s="478">
        <f t="shared" si="25"/>
        <v>0</v>
      </c>
      <c r="P142" s="478">
        <f t="shared" si="26"/>
        <v>0</v>
      </c>
    </row>
    <row r="143" spans="2:16" ht="12.5">
      <c r="B143" s="160" t="str">
        <f t="shared" si="19"/>
        <v/>
      </c>
      <c r="C143" s="472">
        <f>IF(D93="","-",+C142+1)</f>
        <v>2062</v>
      </c>
      <c r="D143" s="346">
        <f>IF(F142+SUM(E$99:E142)=D$92,F142,D$92-SUM(E$99:E142))</f>
        <v>0</v>
      </c>
      <c r="E143" s="484">
        <f t="shared" si="20"/>
        <v>0</v>
      </c>
      <c r="F143" s="485">
        <f t="shared" si="21"/>
        <v>0</v>
      </c>
      <c r="G143" s="485">
        <f t="shared" si="22"/>
        <v>0</v>
      </c>
      <c r="H143" s="613">
        <f t="shared" si="14"/>
        <v>0</v>
      </c>
      <c r="I143" s="614">
        <f t="shared" si="15"/>
        <v>0</v>
      </c>
      <c r="J143" s="478">
        <f t="shared" si="23"/>
        <v>0</v>
      </c>
      <c r="K143" s="478"/>
      <c r="L143" s="487"/>
      <c r="M143" s="478">
        <f t="shared" si="24"/>
        <v>0</v>
      </c>
      <c r="N143" s="487"/>
      <c r="O143" s="478">
        <f t="shared" si="25"/>
        <v>0</v>
      </c>
      <c r="P143" s="478">
        <f t="shared" si="26"/>
        <v>0</v>
      </c>
    </row>
    <row r="144" spans="2:16" ht="12.5">
      <c r="B144" s="160" t="str">
        <f t="shared" si="19"/>
        <v/>
      </c>
      <c r="C144" s="472">
        <f>IF(D93="","-",+C143+1)</f>
        <v>2063</v>
      </c>
      <c r="D144" s="346">
        <f>IF(F143+SUM(E$99:E143)=D$92,F143,D$92-SUM(E$99:E143))</f>
        <v>0</v>
      </c>
      <c r="E144" s="484">
        <f t="shared" si="20"/>
        <v>0</v>
      </c>
      <c r="F144" s="485">
        <f t="shared" si="21"/>
        <v>0</v>
      </c>
      <c r="G144" s="485">
        <f t="shared" si="22"/>
        <v>0</v>
      </c>
      <c r="H144" s="613">
        <f t="shared" si="14"/>
        <v>0</v>
      </c>
      <c r="I144" s="614">
        <f t="shared" si="15"/>
        <v>0</v>
      </c>
      <c r="J144" s="478">
        <f t="shared" si="23"/>
        <v>0</v>
      </c>
      <c r="K144" s="478"/>
      <c r="L144" s="487"/>
      <c r="M144" s="478">
        <f t="shared" si="24"/>
        <v>0</v>
      </c>
      <c r="N144" s="487"/>
      <c r="O144" s="478">
        <f t="shared" si="25"/>
        <v>0</v>
      </c>
      <c r="P144" s="478">
        <f t="shared" si="26"/>
        <v>0</v>
      </c>
    </row>
    <row r="145" spans="2:16" ht="12.5">
      <c r="B145" s="160" t="str">
        <f t="shared" si="19"/>
        <v/>
      </c>
      <c r="C145" s="472">
        <f>IF(D93="","-",+C144+1)</f>
        <v>2064</v>
      </c>
      <c r="D145" s="346">
        <f>IF(F144+SUM(E$99:E144)=D$92,F144,D$92-SUM(E$99:E144))</f>
        <v>0</v>
      </c>
      <c r="E145" s="484">
        <f t="shared" si="20"/>
        <v>0</v>
      </c>
      <c r="F145" s="485">
        <f t="shared" si="21"/>
        <v>0</v>
      </c>
      <c r="G145" s="485">
        <f t="shared" si="22"/>
        <v>0</v>
      </c>
      <c r="H145" s="613">
        <f t="shared" si="14"/>
        <v>0</v>
      </c>
      <c r="I145" s="614">
        <f t="shared" si="15"/>
        <v>0</v>
      </c>
      <c r="J145" s="478">
        <f t="shared" si="23"/>
        <v>0</v>
      </c>
      <c r="K145" s="478"/>
      <c r="L145" s="487"/>
      <c r="M145" s="478">
        <f t="shared" si="24"/>
        <v>0</v>
      </c>
      <c r="N145" s="487"/>
      <c r="O145" s="478">
        <f t="shared" si="25"/>
        <v>0</v>
      </c>
      <c r="P145" s="478">
        <f t="shared" si="26"/>
        <v>0</v>
      </c>
    </row>
    <row r="146" spans="2:16" ht="12.5">
      <c r="B146" s="160" t="str">
        <f t="shared" si="19"/>
        <v/>
      </c>
      <c r="C146" s="472">
        <f>IF(D93="","-",+C145+1)</f>
        <v>2065</v>
      </c>
      <c r="D146" s="346">
        <f>IF(F145+SUM(E$99:E145)=D$92,F145,D$92-SUM(E$99:E145))</f>
        <v>0</v>
      </c>
      <c r="E146" s="484">
        <f t="shared" si="20"/>
        <v>0</v>
      </c>
      <c r="F146" s="485">
        <f t="shared" si="21"/>
        <v>0</v>
      </c>
      <c r="G146" s="485">
        <f t="shared" si="22"/>
        <v>0</v>
      </c>
      <c r="H146" s="613">
        <f t="shared" si="14"/>
        <v>0</v>
      </c>
      <c r="I146" s="614">
        <f t="shared" si="15"/>
        <v>0</v>
      </c>
      <c r="J146" s="478">
        <f t="shared" si="23"/>
        <v>0</v>
      </c>
      <c r="K146" s="478"/>
      <c r="L146" s="487"/>
      <c r="M146" s="478">
        <f t="shared" si="24"/>
        <v>0</v>
      </c>
      <c r="N146" s="487"/>
      <c r="O146" s="478">
        <f t="shared" si="25"/>
        <v>0</v>
      </c>
      <c r="P146" s="478">
        <f t="shared" si="26"/>
        <v>0</v>
      </c>
    </row>
    <row r="147" spans="2:16" ht="12.5">
      <c r="B147" s="160" t="str">
        <f t="shared" si="19"/>
        <v/>
      </c>
      <c r="C147" s="472">
        <f>IF(D93="","-",+C146+1)</f>
        <v>2066</v>
      </c>
      <c r="D147" s="346">
        <f>IF(F146+SUM(E$99:E146)=D$92,F146,D$92-SUM(E$99:E146))</f>
        <v>0</v>
      </c>
      <c r="E147" s="484">
        <f t="shared" si="20"/>
        <v>0</v>
      </c>
      <c r="F147" s="485">
        <f t="shared" si="21"/>
        <v>0</v>
      </c>
      <c r="G147" s="485">
        <f t="shared" si="22"/>
        <v>0</v>
      </c>
      <c r="H147" s="613">
        <f t="shared" si="14"/>
        <v>0</v>
      </c>
      <c r="I147" s="614">
        <f t="shared" si="15"/>
        <v>0</v>
      </c>
      <c r="J147" s="478">
        <f t="shared" si="23"/>
        <v>0</v>
      </c>
      <c r="K147" s="478"/>
      <c r="L147" s="487"/>
      <c r="M147" s="478">
        <f t="shared" si="24"/>
        <v>0</v>
      </c>
      <c r="N147" s="487"/>
      <c r="O147" s="478">
        <f t="shared" si="25"/>
        <v>0</v>
      </c>
      <c r="P147" s="478">
        <f t="shared" si="26"/>
        <v>0</v>
      </c>
    </row>
    <row r="148" spans="2:16" ht="12.5">
      <c r="B148" s="160" t="str">
        <f t="shared" si="19"/>
        <v/>
      </c>
      <c r="C148" s="472">
        <f>IF(D93="","-",+C147+1)</f>
        <v>2067</v>
      </c>
      <c r="D148" s="346">
        <f>IF(F147+SUM(E$99:E147)=D$92,F147,D$92-SUM(E$99:E147))</f>
        <v>0</v>
      </c>
      <c r="E148" s="484">
        <f t="shared" si="20"/>
        <v>0</v>
      </c>
      <c r="F148" s="485">
        <f t="shared" si="21"/>
        <v>0</v>
      </c>
      <c r="G148" s="485">
        <f t="shared" si="22"/>
        <v>0</v>
      </c>
      <c r="H148" s="613">
        <f t="shared" si="14"/>
        <v>0</v>
      </c>
      <c r="I148" s="614">
        <f t="shared" si="15"/>
        <v>0</v>
      </c>
      <c r="J148" s="478">
        <f t="shared" si="23"/>
        <v>0</v>
      </c>
      <c r="K148" s="478"/>
      <c r="L148" s="487"/>
      <c r="M148" s="478">
        <f t="shared" si="24"/>
        <v>0</v>
      </c>
      <c r="N148" s="487"/>
      <c r="O148" s="478">
        <f t="shared" si="25"/>
        <v>0</v>
      </c>
      <c r="P148" s="478">
        <f t="shared" si="26"/>
        <v>0</v>
      </c>
    </row>
    <row r="149" spans="2:16" ht="12.5">
      <c r="B149" s="160" t="str">
        <f t="shared" si="19"/>
        <v/>
      </c>
      <c r="C149" s="472">
        <f>IF(D93="","-",+C148+1)</f>
        <v>2068</v>
      </c>
      <c r="D149" s="346">
        <f>IF(F148+SUM(E$99:E148)=D$92,F148,D$92-SUM(E$99:E148))</f>
        <v>0</v>
      </c>
      <c r="E149" s="484">
        <f t="shared" si="20"/>
        <v>0</v>
      </c>
      <c r="F149" s="485">
        <f t="shared" si="21"/>
        <v>0</v>
      </c>
      <c r="G149" s="485">
        <f t="shared" si="22"/>
        <v>0</v>
      </c>
      <c r="H149" s="613">
        <f t="shared" si="14"/>
        <v>0</v>
      </c>
      <c r="I149" s="614">
        <f t="shared" si="15"/>
        <v>0</v>
      </c>
      <c r="J149" s="478">
        <f t="shared" si="23"/>
        <v>0</v>
      </c>
      <c r="K149" s="478"/>
      <c r="L149" s="487"/>
      <c r="M149" s="478">
        <f t="shared" si="24"/>
        <v>0</v>
      </c>
      <c r="N149" s="487"/>
      <c r="O149" s="478">
        <f t="shared" si="25"/>
        <v>0</v>
      </c>
      <c r="P149" s="478">
        <f t="shared" si="26"/>
        <v>0</v>
      </c>
    </row>
    <row r="150" spans="2:16" ht="12.5">
      <c r="B150" s="160" t="str">
        <f t="shared" si="19"/>
        <v/>
      </c>
      <c r="C150" s="472">
        <f>IF(D93="","-",+C149+1)</f>
        <v>2069</v>
      </c>
      <c r="D150" s="346">
        <f>IF(F149+SUM(E$99:E149)=D$92,F149,D$92-SUM(E$99:E149))</f>
        <v>0</v>
      </c>
      <c r="E150" s="484">
        <f t="shared" si="20"/>
        <v>0</v>
      </c>
      <c r="F150" s="485">
        <f t="shared" si="21"/>
        <v>0</v>
      </c>
      <c r="G150" s="485">
        <f t="shared" si="22"/>
        <v>0</v>
      </c>
      <c r="H150" s="613">
        <f t="shared" si="14"/>
        <v>0</v>
      </c>
      <c r="I150" s="614">
        <f t="shared" si="15"/>
        <v>0</v>
      </c>
      <c r="J150" s="478">
        <f t="shared" si="23"/>
        <v>0</v>
      </c>
      <c r="K150" s="478"/>
      <c r="L150" s="487"/>
      <c r="M150" s="478">
        <f t="shared" si="24"/>
        <v>0</v>
      </c>
      <c r="N150" s="487"/>
      <c r="O150" s="478">
        <f t="shared" si="25"/>
        <v>0</v>
      </c>
      <c r="P150" s="478">
        <f t="shared" si="26"/>
        <v>0</v>
      </c>
    </row>
    <row r="151" spans="2:16" ht="12.5">
      <c r="B151" s="160" t="str">
        <f t="shared" si="19"/>
        <v/>
      </c>
      <c r="C151" s="472">
        <f>IF(D93="","-",+C150+1)</f>
        <v>2070</v>
      </c>
      <c r="D151" s="346">
        <f>IF(F150+SUM(E$99:E150)=D$92,F150,D$92-SUM(E$99:E150))</f>
        <v>0</v>
      </c>
      <c r="E151" s="484">
        <f t="shared" si="20"/>
        <v>0</v>
      </c>
      <c r="F151" s="485">
        <f t="shared" si="21"/>
        <v>0</v>
      </c>
      <c r="G151" s="485">
        <f t="shared" si="22"/>
        <v>0</v>
      </c>
      <c r="H151" s="613">
        <f t="shared" si="14"/>
        <v>0</v>
      </c>
      <c r="I151" s="614">
        <f t="shared" si="15"/>
        <v>0</v>
      </c>
      <c r="J151" s="478">
        <f t="shared" si="23"/>
        <v>0</v>
      </c>
      <c r="K151" s="478"/>
      <c r="L151" s="487"/>
      <c r="M151" s="478">
        <f t="shared" si="24"/>
        <v>0</v>
      </c>
      <c r="N151" s="487"/>
      <c r="O151" s="478">
        <f t="shared" si="25"/>
        <v>0</v>
      </c>
      <c r="P151" s="478">
        <f t="shared" si="26"/>
        <v>0</v>
      </c>
    </row>
    <row r="152" spans="2:16" ht="12.5">
      <c r="B152" s="160" t="str">
        <f t="shared" si="19"/>
        <v/>
      </c>
      <c r="C152" s="472">
        <f>IF(D93="","-",+C151+1)</f>
        <v>2071</v>
      </c>
      <c r="D152" s="346">
        <f>IF(F151+SUM(E$99:E151)=D$92,F151,D$92-SUM(E$99:E151))</f>
        <v>0</v>
      </c>
      <c r="E152" s="484">
        <f t="shared" si="20"/>
        <v>0</v>
      </c>
      <c r="F152" s="485">
        <f t="shared" si="21"/>
        <v>0</v>
      </c>
      <c r="G152" s="485">
        <f t="shared" si="22"/>
        <v>0</v>
      </c>
      <c r="H152" s="613">
        <f t="shared" si="14"/>
        <v>0</v>
      </c>
      <c r="I152" s="614">
        <f t="shared" si="15"/>
        <v>0</v>
      </c>
      <c r="J152" s="478">
        <f t="shared" si="23"/>
        <v>0</v>
      </c>
      <c r="K152" s="478"/>
      <c r="L152" s="487"/>
      <c r="M152" s="478">
        <f t="shared" si="24"/>
        <v>0</v>
      </c>
      <c r="N152" s="487"/>
      <c r="O152" s="478">
        <f t="shared" si="25"/>
        <v>0</v>
      </c>
      <c r="P152" s="478">
        <f t="shared" si="26"/>
        <v>0</v>
      </c>
    </row>
    <row r="153" spans="2:16" ht="12.5">
      <c r="B153" s="160" t="str">
        <f t="shared" si="19"/>
        <v/>
      </c>
      <c r="C153" s="472">
        <f>IF(D93="","-",+C152+1)</f>
        <v>2072</v>
      </c>
      <c r="D153" s="346">
        <f>IF(F152+SUM(E$99:E152)=D$92,F152,D$92-SUM(E$99:E152))</f>
        <v>0</v>
      </c>
      <c r="E153" s="484">
        <f t="shared" si="20"/>
        <v>0</v>
      </c>
      <c r="F153" s="485">
        <f t="shared" si="21"/>
        <v>0</v>
      </c>
      <c r="G153" s="485">
        <f t="shared" si="22"/>
        <v>0</v>
      </c>
      <c r="H153" s="613">
        <f t="shared" si="14"/>
        <v>0</v>
      </c>
      <c r="I153" s="614">
        <f t="shared" si="15"/>
        <v>0</v>
      </c>
      <c r="J153" s="478">
        <f t="shared" si="23"/>
        <v>0</v>
      </c>
      <c r="K153" s="478"/>
      <c r="L153" s="487"/>
      <c r="M153" s="478">
        <f t="shared" si="24"/>
        <v>0</v>
      </c>
      <c r="N153" s="487"/>
      <c r="O153" s="478">
        <f t="shared" si="25"/>
        <v>0</v>
      </c>
      <c r="P153" s="478">
        <f t="shared" si="26"/>
        <v>0</v>
      </c>
    </row>
    <row r="154" spans="2:16" ht="13" thickBot="1">
      <c r="B154" s="160" t="str">
        <f t="shared" si="19"/>
        <v/>
      </c>
      <c r="C154" s="489">
        <f>IF(D93="","-",+C153+1)</f>
        <v>2073</v>
      </c>
      <c r="D154" s="491">
        <f>IF(F153+SUM(E$99:E153)=D$92,F153,D$92-SUM(E$99:E153))</f>
        <v>0</v>
      </c>
      <c r="E154" s="491">
        <f t="shared" si="20"/>
        <v>0</v>
      </c>
      <c r="F154" s="490">
        <f t="shared" si="21"/>
        <v>0</v>
      </c>
      <c r="G154" s="490">
        <f t="shared" si="22"/>
        <v>0</v>
      </c>
      <c r="H154" s="615">
        <f t="shared" si="14"/>
        <v>0</v>
      </c>
      <c r="I154" s="616">
        <f t="shared" si="15"/>
        <v>0</v>
      </c>
      <c r="J154" s="495">
        <f t="shared" si="23"/>
        <v>0</v>
      </c>
      <c r="K154" s="478"/>
      <c r="L154" s="494"/>
      <c r="M154" s="495">
        <f t="shared" si="24"/>
        <v>0</v>
      </c>
      <c r="N154" s="494"/>
      <c r="O154" s="495">
        <f t="shared" si="25"/>
        <v>0</v>
      </c>
      <c r="P154" s="495">
        <f t="shared" si="26"/>
        <v>0</v>
      </c>
    </row>
    <row r="155" spans="2:16" ht="12.5">
      <c r="C155" s="346" t="s">
        <v>77</v>
      </c>
      <c r="D155" s="347"/>
      <c r="E155" s="347">
        <f>SUM(E99:E154)</f>
        <v>244000</v>
      </c>
      <c r="F155" s="347"/>
      <c r="G155" s="347"/>
      <c r="H155" s="347">
        <f>SUM(H99:H154)</f>
        <v>760335.28080572211</v>
      </c>
      <c r="I155" s="347">
        <f>SUM(I99:I154)</f>
        <v>760335.28080572211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15" priority="1" stopIfTrue="1" operator="equal">
      <formula>$I$10</formula>
    </cfRule>
  </conditionalFormatting>
  <conditionalFormatting sqref="C99:C154">
    <cfRule type="cellIs" dxfId="14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80" zoomScaleNormal="80" workbookViewId="0">
      <selection activeCell="D11" sqref="D11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23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141993.72505975311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141993.72505975311</v>
      </c>
      <c r="O6" s="232"/>
      <c r="P6" s="232"/>
    </row>
    <row r="7" spans="1:16" ht="13.5" thickBot="1">
      <c r="C7" s="431" t="s">
        <v>46</v>
      </c>
      <c r="D7" s="599" t="s">
        <v>303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304</v>
      </c>
      <c r="E9" s="577" t="s">
        <v>305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1176180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27353.023255813954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2018</v>
      </c>
      <c r="D17" s="584">
        <v>0</v>
      </c>
      <c r="E17" s="608">
        <v>19755.555555555555</v>
      </c>
      <c r="F17" s="584">
        <v>1758244.4444444445</v>
      </c>
      <c r="G17" s="608">
        <v>125038.30164155026</v>
      </c>
      <c r="H17" s="587">
        <v>125038.30164155026</v>
      </c>
      <c r="I17" s="475">
        <f>H17-G17</f>
        <v>0</v>
      </c>
      <c r="J17" s="475"/>
      <c r="K17" s="554">
        <f>+G17</f>
        <v>125038.30164155026</v>
      </c>
      <c r="L17" s="477">
        <f t="shared" ref="L17:L72" si="0">IF(K17&lt;&gt;0,+G17-K17,0)</f>
        <v>0</v>
      </c>
      <c r="M17" s="554">
        <f>+H17</f>
        <v>125038.30164155026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2019</v>
      </c>
      <c r="D18" s="584">
        <v>2017244.4444444445</v>
      </c>
      <c r="E18" s="585">
        <v>50925</v>
      </c>
      <c r="F18" s="584">
        <v>1966319.4444444445</v>
      </c>
      <c r="G18" s="585">
        <v>273320.66219595348</v>
      </c>
      <c r="H18" s="587">
        <v>273320.66219595348</v>
      </c>
      <c r="I18" s="475">
        <f>H18-G18</f>
        <v>0</v>
      </c>
      <c r="J18" s="475"/>
      <c r="K18" s="478">
        <f>+G18</f>
        <v>273320.66219595348</v>
      </c>
      <c r="L18" s="478">
        <f t="shared" si="0"/>
        <v>0</v>
      </c>
      <c r="M18" s="478">
        <f>+H18</f>
        <v>273320.66219595348</v>
      </c>
      <c r="N18" s="478">
        <f t="shared" si="1"/>
        <v>0</v>
      </c>
      <c r="O18" s="478">
        <f t="shared" si="2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2020</v>
      </c>
      <c r="D19" s="584">
        <v>1141057.3333333333</v>
      </c>
      <c r="E19" s="585">
        <v>28579.142857142859</v>
      </c>
      <c r="F19" s="584">
        <v>1112478.1904761903</v>
      </c>
      <c r="G19" s="585">
        <v>150275.44361099388</v>
      </c>
      <c r="H19" s="587">
        <v>150275.44361099388</v>
      </c>
      <c r="I19" s="475">
        <f t="shared" ref="I19:I71" si="3">H19-G19</f>
        <v>0</v>
      </c>
      <c r="J19" s="475"/>
      <c r="K19" s="478">
        <f>+G19</f>
        <v>150275.44361099388</v>
      </c>
      <c r="L19" s="478">
        <f t="shared" ref="L19" si="4">IF(K19&lt;&gt;0,+G19-K19,0)</f>
        <v>0</v>
      </c>
      <c r="M19" s="478">
        <f>+H19</f>
        <v>150275.44361099388</v>
      </c>
      <c r="N19" s="478">
        <f t="shared" si="1"/>
        <v>0</v>
      </c>
      <c r="O19" s="478">
        <f t="shared" si="2"/>
        <v>0</v>
      </c>
      <c r="P19" s="242"/>
    </row>
    <row r="20" spans="2:16" ht="12.5">
      <c r="B20" s="160" t="str">
        <f t="shared" ref="B20:B72" si="5">IF(D20=F19,"","IU")</f>
        <v>IU</v>
      </c>
      <c r="C20" s="472">
        <f>IF(D11="","-",+C19+1)</f>
        <v>2021</v>
      </c>
      <c r="D20" s="483">
        <f>IF(F19+SUM(E$17:E19)=D$10,F19,D$10-SUM(E$17:E19))</f>
        <v>1076920.3015873015</v>
      </c>
      <c r="E20" s="484">
        <f t="shared" ref="E20:E71" si="6">IF(+I$14&lt;F19,I$14,D20)</f>
        <v>27353.023255813954</v>
      </c>
      <c r="F20" s="485">
        <f t="shared" ref="F20:F71" si="7">+D20-E20</f>
        <v>1049567.2783314877</v>
      </c>
      <c r="G20" s="486">
        <f t="shared" ref="G20:G71" si="8">(D20+F20)/2*I$12+E20</f>
        <v>141993.72505975311</v>
      </c>
      <c r="H20" s="455">
        <f t="shared" ref="H20:H71" si="9">+(D20+F20)/2*I$13+E20</f>
        <v>141993.72505975311</v>
      </c>
      <c r="I20" s="475">
        <f t="shared" si="3"/>
        <v>0</v>
      </c>
      <c r="J20" s="475"/>
      <c r="K20" s="487"/>
      <c r="L20" s="478">
        <f t="shared" si="0"/>
        <v>0</v>
      </c>
      <c r="M20" s="487"/>
      <c r="N20" s="478">
        <f t="shared" si="1"/>
        <v>0</v>
      </c>
      <c r="O20" s="478">
        <f t="shared" si="2"/>
        <v>0</v>
      </c>
      <c r="P20" s="242"/>
    </row>
    <row r="21" spans="2:16" ht="12.5">
      <c r="B21" s="160" t="str">
        <f t="shared" si="5"/>
        <v/>
      </c>
      <c r="C21" s="472">
        <f>IF(D11="","-",+C20+1)</f>
        <v>2022</v>
      </c>
      <c r="D21" s="483">
        <f>IF(F20+SUM(E$17:E20)=D$10,F20,D$10-SUM(E$17:E20))</f>
        <v>1049567.2783314877</v>
      </c>
      <c r="E21" s="484">
        <f t="shared" si="6"/>
        <v>27353.023255813954</v>
      </c>
      <c r="F21" s="485">
        <f t="shared" si="7"/>
        <v>1022214.2550756737</v>
      </c>
      <c r="G21" s="486">
        <f t="shared" si="8"/>
        <v>139044.47690790103</v>
      </c>
      <c r="H21" s="455">
        <f t="shared" si="9"/>
        <v>139044.47690790103</v>
      </c>
      <c r="I21" s="475">
        <f t="shared" si="3"/>
        <v>0</v>
      </c>
      <c r="J21" s="475"/>
      <c r="K21" s="487"/>
      <c r="L21" s="478">
        <f t="shared" si="0"/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 ht="12.5">
      <c r="B22" s="160" t="str">
        <f t="shared" si="5"/>
        <v/>
      </c>
      <c r="C22" s="472">
        <f>IF(D11="","-",+C21+1)</f>
        <v>2023</v>
      </c>
      <c r="D22" s="483">
        <f>IF(F21+SUM(E$17:E21)=D$10,F21,D$10-SUM(E$17:E21))</f>
        <v>1022214.2550756737</v>
      </c>
      <c r="E22" s="484">
        <f t="shared" si="6"/>
        <v>27353.023255813954</v>
      </c>
      <c r="F22" s="485">
        <f t="shared" si="7"/>
        <v>994861.23181985971</v>
      </c>
      <c r="G22" s="486">
        <f t="shared" si="8"/>
        <v>136095.22875604889</v>
      </c>
      <c r="H22" s="455">
        <f t="shared" si="9"/>
        <v>136095.22875604889</v>
      </c>
      <c r="I22" s="475">
        <f t="shared" si="3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 ht="12.5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994861.23181985971</v>
      </c>
      <c r="E23" s="484">
        <f t="shared" si="6"/>
        <v>27353.023255813954</v>
      </c>
      <c r="F23" s="485">
        <f t="shared" si="7"/>
        <v>967508.20856404572</v>
      </c>
      <c r="G23" s="486">
        <f t="shared" si="8"/>
        <v>133145.98060419678</v>
      </c>
      <c r="H23" s="455">
        <f t="shared" si="9"/>
        <v>133145.98060419678</v>
      </c>
      <c r="I23" s="475">
        <f t="shared" si="3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 ht="12.5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967508.20856404572</v>
      </c>
      <c r="E24" s="484">
        <f t="shared" si="6"/>
        <v>27353.023255813954</v>
      </c>
      <c r="F24" s="485">
        <f t="shared" si="7"/>
        <v>940155.18530823174</v>
      </c>
      <c r="G24" s="486">
        <f t="shared" si="8"/>
        <v>130196.73245234466</v>
      </c>
      <c r="H24" s="455">
        <f t="shared" si="9"/>
        <v>130196.73245234466</v>
      </c>
      <c r="I24" s="475">
        <f t="shared" si="3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 ht="12.5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940155.18530823174</v>
      </c>
      <c r="E25" s="484">
        <f t="shared" si="6"/>
        <v>27353.023255813954</v>
      </c>
      <c r="F25" s="485">
        <f t="shared" si="7"/>
        <v>912802.16205241776</v>
      </c>
      <c r="G25" s="486">
        <f t="shared" si="8"/>
        <v>127247.48430049256</v>
      </c>
      <c r="H25" s="455">
        <f t="shared" si="9"/>
        <v>127247.48430049256</v>
      </c>
      <c r="I25" s="475">
        <f t="shared" si="3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 ht="12.5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912802.16205241776</v>
      </c>
      <c r="E26" s="484">
        <f t="shared" si="6"/>
        <v>27353.023255813954</v>
      </c>
      <c r="F26" s="485">
        <f t="shared" si="7"/>
        <v>885449.13879660377</v>
      </c>
      <c r="G26" s="486">
        <f t="shared" si="8"/>
        <v>124298.23614864043</v>
      </c>
      <c r="H26" s="455">
        <f t="shared" si="9"/>
        <v>124298.23614864043</v>
      </c>
      <c r="I26" s="475">
        <f t="shared" si="3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 ht="12.5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885449.13879660377</v>
      </c>
      <c r="E27" s="484">
        <f t="shared" si="6"/>
        <v>27353.023255813954</v>
      </c>
      <c r="F27" s="485">
        <f t="shared" si="7"/>
        <v>858096.11554078979</v>
      </c>
      <c r="G27" s="486">
        <f t="shared" si="8"/>
        <v>121348.98799678833</v>
      </c>
      <c r="H27" s="455">
        <f t="shared" si="9"/>
        <v>121348.98799678833</v>
      </c>
      <c r="I27" s="475">
        <f t="shared" si="3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 ht="12.5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858096.11554078979</v>
      </c>
      <c r="E28" s="484">
        <f t="shared" si="6"/>
        <v>27353.023255813954</v>
      </c>
      <c r="F28" s="485">
        <f t="shared" si="7"/>
        <v>830743.09228497581</v>
      </c>
      <c r="G28" s="486">
        <f t="shared" si="8"/>
        <v>118399.73984493619</v>
      </c>
      <c r="H28" s="455">
        <f t="shared" si="9"/>
        <v>118399.73984493619</v>
      </c>
      <c r="I28" s="475">
        <f t="shared" si="3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 ht="12.5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830743.09228497581</v>
      </c>
      <c r="E29" s="484">
        <f t="shared" si="6"/>
        <v>27353.023255813954</v>
      </c>
      <c r="F29" s="485">
        <f t="shared" si="7"/>
        <v>803390.06902916182</v>
      </c>
      <c r="G29" s="486">
        <f t="shared" si="8"/>
        <v>115450.4916930841</v>
      </c>
      <c r="H29" s="455">
        <f t="shared" si="9"/>
        <v>115450.4916930841</v>
      </c>
      <c r="I29" s="475">
        <f t="shared" si="3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 ht="12.5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803390.06902916182</v>
      </c>
      <c r="E30" s="484">
        <f t="shared" si="6"/>
        <v>27353.023255813954</v>
      </c>
      <c r="F30" s="485">
        <f t="shared" si="7"/>
        <v>776037.04577334784</v>
      </c>
      <c r="G30" s="486">
        <f t="shared" si="8"/>
        <v>112501.24354123196</v>
      </c>
      <c r="H30" s="455">
        <f t="shared" si="9"/>
        <v>112501.24354123196</v>
      </c>
      <c r="I30" s="475">
        <f t="shared" si="3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 ht="12.5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776037.04577334784</v>
      </c>
      <c r="E31" s="484">
        <f t="shared" si="6"/>
        <v>27353.023255813954</v>
      </c>
      <c r="F31" s="485">
        <f t="shared" si="7"/>
        <v>748684.02251753386</v>
      </c>
      <c r="G31" s="486">
        <f t="shared" si="8"/>
        <v>109551.99538937987</v>
      </c>
      <c r="H31" s="455">
        <f t="shared" si="9"/>
        <v>109551.99538937987</v>
      </c>
      <c r="I31" s="475">
        <f t="shared" si="3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 ht="12.5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748684.02251753386</v>
      </c>
      <c r="E32" s="484">
        <f t="shared" si="6"/>
        <v>27353.023255813954</v>
      </c>
      <c r="F32" s="485">
        <f t="shared" si="7"/>
        <v>721330.99926171987</v>
      </c>
      <c r="G32" s="486">
        <f t="shared" si="8"/>
        <v>106602.74723752773</v>
      </c>
      <c r="H32" s="455">
        <f t="shared" si="9"/>
        <v>106602.74723752773</v>
      </c>
      <c r="I32" s="475">
        <f t="shared" si="3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 ht="12.5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721330.99926171987</v>
      </c>
      <c r="E33" s="484">
        <f t="shared" si="6"/>
        <v>27353.023255813954</v>
      </c>
      <c r="F33" s="485">
        <f t="shared" si="7"/>
        <v>693977.97600590589</v>
      </c>
      <c r="G33" s="486">
        <f t="shared" si="8"/>
        <v>103653.49908567563</v>
      </c>
      <c r="H33" s="455">
        <f t="shared" si="9"/>
        <v>103653.49908567563</v>
      </c>
      <c r="I33" s="475">
        <f t="shared" si="3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 ht="12.5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693977.97600590589</v>
      </c>
      <c r="E34" s="484">
        <f t="shared" si="6"/>
        <v>27353.023255813954</v>
      </c>
      <c r="F34" s="485">
        <f t="shared" si="7"/>
        <v>666624.95275009191</v>
      </c>
      <c r="G34" s="486">
        <f t="shared" si="8"/>
        <v>100704.2509338235</v>
      </c>
      <c r="H34" s="455">
        <f t="shared" si="9"/>
        <v>100704.2509338235</v>
      </c>
      <c r="I34" s="475">
        <f t="shared" si="3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 ht="12.5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666624.95275009191</v>
      </c>
      <c r="E35" s="484">
        <f t="shared" si="6"/>
        <v>27353.023255813954</v>
      </c>
      <c r="F35" s="485">
        <f t="shared" si="7"/>
        <v>639271.92949427792</v>
      </c>
      <c r="G35" s="486">
        <f t="shared" si="8"/>
        <v>97755.002781971401</v>
      </c>
      <c r="H35" s="455">
        <f t="shared" si="9"/>
        <v>97755.002781971401</v>
      </c>
      <c r="I35" s="475">
        <f t="shared" si="3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 ht="12.5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639271.92949427792</v>
      </c>
      <c r="E36" s="484">
        <f t="shared" si="6"/>
        <v>27353.023255813954</v>
      </c>
      <c r="F36" s="485">
        <f t="shared" si="7"/>
        <v>611918.90623846394</v>
      </c>
      <c r="G36" s="486">
        <f t="shared" si="8"/>
        <v>94805.754630119263</v>
      </c>
      <c r="H36" s="455">
        <f t="shared" si="9"/>
        <v>94805.754630119263</v>
      </c>
      <c r="I36" s="475">
        <f t="shared" si="3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 ht="12.5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611918.90623846394</v>
      </c>
      <c r="E37" s="484">
        <f t="shared" si="6"/>
        <v>27353.023255813954</v>
      </c>
      <c r="F37" s="485">
        <f t="shared" si="7"/>
        <v>584565.88298264996</v>
      </c>
      <c r="G37" s="486">
        <f t="shared" si="8"/>
        <v>91856.506478267169</v>
      </c>
      <c r="H37" s="455">
        <f t="shared" si="9"/>
        <v>91856.506478267169</v>
      </c>
      <c r="I37" s="475">
        <f t="shared" si="3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 ht="12.5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584565.88298264996</v>
      </c>
      <c r="E38" s="484">
        <f t="shared" si="6"/>
        <v>27353.023255813954</v>
      </c>
      <c r="F38" s="485">
        <f t="shared" si="7"/>
        <v>557212.85972683597</v>
      </c>
      <c r="G38" s="486">
        <f t="shared" si="8"/>
        <v>88907.258326415031</v>
      </c>
      <c r="H38" s="455">
        <f t="shared" si="9"/>
        <v>88907.258326415031</v>
      </c>
      <c r="I38" s="475">
        <f t="shared" si="3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 ht="12.5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557212.85972683597</v>
      </c>
      <c r="E39" s="484">
        <f t="shared" si="6"/>
        <v>27353.023255813954</v>
      </c>
      <c r="F39" s="485">
        <f t="shared" si="7"/>
        <v>529859.83647102199</v>
      </c>
      <c r="G39" s="486">
        <f t="shared" si="8"/>
        <v>85958.010174562922</v>
      </c>
      <c r="H39" s="455">
        <f t="shared" si="9"/>
        <v>85958.010174562922</v>
      </c>
      <c r="I39" s="475">
        <f t="shared" si="3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 ht="12.5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529859.83647102199</v>
      </c>
      <c r="E40" s="484">
        <f t="shared" si="6"/>
        <v>27353.023255813954</v>
      </c>
      <c r="F40" s="485">
        <f t="shared" si="7"/>
        <v>502506.81321520801</v>
      </c>
      <c r="G40" s="486">
        <f t="shared" si="8"/>
        <v>83008.762022710813</v>
      </c>
      <c r="H40" s="455">
        <f t="shared" si="9"/>
        <v>83008.762022710813</v>
      </c>
      <c r="I40" s="475">
        <f t="shared" si="3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 ht="12.5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502506.81321520801</v>
      </c>
      <c r="E41" s="484">
        <f t="shared" si="6"/>
        <v>27353.023255813954</v>
      </c>
      <c r="F41" s="485">
        <f t="shared" si="7"/>
        <v>475153.78995939402</v>
      </c>
      <c r="G41" s="486">
        <f t="shared" si="8"/>
        <v>80059.513870858689</v>
      </c>
      <c r="H41" s="455">
        <f t="shared" si="9"/>
        <v>80059.513870858689</v>
      </c>
      <c r="I41" s="475">
        <f t="shared" si="3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 ht="12.5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475153.78995939402</v>
      </c>
      <c r="E42" s="484">
        <f t="shared" si="6"/>
        <v>27353.023255813954</v>
      </c>
      <c r="F42" s="485">
        <f t="shared" si="7"/>
        <v>447800.76670358004</v>
      </c>
      <c r="G42" s="486">
        <f t="shared" si="8"/>
        <v>77110.265719006566</v>
      </c>
      <c r="H42" s="455">
        <f t="shared" si="9"/>
        <v>77110.265719006566</v>
      </c>
      <c r="I42" s="475">
        <f t="shared" si="3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 ht="12.5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447800.76670358004</v>
      </c>
      <c r="E43" s="484">
        <f t="shared" si="6"/>
        <v>27353.023255813954</v>
      </c>
      <c r="F43" s="485">
        <f t="shared" si="7"/>
        <v>420447.74344776606</v>
      </c>
      <c r="G43" s="486">
        <f t="shared" si="8"/>
        <v>74161.017567154457</v>
      </c>
      <c r="H43" s="455">
        <f t="shared" si="9"/>
        <v>74161.017567154457</v>
      </c>
      <c r="I43" s="475">
        <f t="shared" si="3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 ht="12.5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420447.74344776606</v>
      </c>
      <c r="E44" s="484">
        <f t="shared" si="6"/>
        <v>27353.023255813954</v>
      </c>
      <c r="F44" s="485">
        <f t="shared" si="7"/>
        <v>393094.72019195207</v>
      </c>
      <c r="G44" s="486">
        <f t="shared" si="8"/>
        <v>71211.769415302348</v>
      </c>
      <c r="H44" s="455">
        <f t="shared" si="9"/>
        <v>71211.769415302348</v>
      </c>
      <c r="I44" s="475">
        <f t="shared" si="3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 ht="12.5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393094.72019195207</v>
      </c>
      <c r="E45" s="484">
        <f t="shared" si="6"/>
        <v>27353.023255813954</v>
      </c>
      <c r="F45" s="485">
        <f t="shared" si="7"/>
        <v>365741.69693613809</v>
      </c>
      <c r="G45" s="486">
        <f t="shared" si="8"/>
        <v>68262.521263450224</v>
      </c>
      <c r="H45" s="455">
        <f t="shared" si="9"/>
        <v>68262.521263450224</v>
      </c>
      <c r="I45" s="475">
        <f t="shared" si="3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 ht="12.5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365741.69693613809</v>
      </c>
      <c r="E46" s="484">
        <f t="shared" si="6"/>
        <v>27353.023255813954</v>
      </c>
      <c r="F46" s="485">
        <f t="shared" si="7"/>
        <v>338388.67368032411</v>
      </c>
      <c r="G46" s="486">
        <f t="shared" si="8"/>
        <v>65313.273111598108</v>
      </c>
      <c r="H46" s="455">
        <f t="shared" si="9"/>
        <v>65313.273111598108</v>
      </c>
      <c r="I46" s="475">
        <f t="shared" si="3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 ht="12.5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338388.67368032411</v>
      </c>
      <c r="E47" s="484">
        <f t="shared" si="6"/>
        <v>27353.023255813954</v>
      </c>
      <c r="F47" s="485">
        <f t="shared" si="7"/>
        <v>311035.65042451012</v>
      </c>
      <c r="G47" s="486">
        <f t="shared" si="8"/>
        <v>62364.024959745992</v>
      </c>
      <c r="H47" s="455">
        <f t="shared" si="9"/>
        <v>62364.024959745992</v>
      </c>
      <c r="I47" s="475">
        <f t="shared" si="3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 ht="12.5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311035.65042451012</v>
      </c>
      <c r="E48" s="484">
        <f t="shared" si="6"/>
        <v>27353.023255813954</v>
      </c>
      <c r="F48" s="485">
        <f t="shared" si="7"/>
        <v>283682.62716869614</v>
      </c>
      <c r="G48" s="486">
        <f t="shared" si="8"/>
        <v>59414.776807893883</v>
      </c>
      <c r="H48" s="455">
        <f t="shared" si="9"/>
        <v>59414.776807893883</v>
      </c>
      <c r="I48" s="475">
        <f t="shared" si="3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 ht="12.5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283682.62716869614</v>
      </c>
      <c r="E49" s="484">
        <f t="shared" si="6"/>
        <v>27353.023255813954</v>
      </c>
      <c r="F49" s="485">
        <f t="shared" si="7"/>
        <v>256329.60391288219</v>
      </c>
      <c r="G49" s="486">
        <f t="shared" si="8"/>
        <v>56465.528656041759</v>
      </c>
      <c r="H49" s="455">
        <f t="shared" si="9"/>
        <v>56465.528656041759</v>
      </c>
      <c r="I49" s="475">
        <f t="shared" si="3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 ht="12.5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256329.60391288219</v>
      </c>
      <c r="E50" s="484">
        <f t="shared" si="6"/>
        <v>27353.023255813954</v>
      </c>
      <c r="F50" s="485">
        <f t="shared" si="7"/>
        <v>228976.58065706823</v>
      </c>
      <c r="G50" s="486">
        <f t="shared" si="8"/>
        <v>53516.28050418965</v>
      </c>
      <c r="H50" s="455">
        <f t="shared" si="9"/>
        <v>53516.28050418965</v>
      </c>
      <c r="I50" s="475">
        <f t="shared" si="3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 ht="12.5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228976.58065706823</v>
      </c>
      <c r="E51" s="484">
        <f t="shared" si="6"/>
        <v>27353.023255813954</v>
      </c>
      <c r="F51" s="485">
        <f t="shared" si="7"/>
        <v>201623.55740125428</v>
      </c>
      <c r="G51" s="486">
        <f t="shared" si="8"/>
        <v>50567.032352337534</v>
      </c>
      <c r="H51" s="455">
        <f t="shared" si="9"/>
        <v>50567.032352337534</v>
      </c>
      <c r="I51" s="475">
        <f t="shared" si="3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 ht="12.5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201623.55740125428</v>
      </c>
      <c r="E52" s="484">
        <f t="shared" si="6"/>
        <v>27353.023255813954</v>
      </c>
      <c r="F52" s="485">
        <f t="shared" si="7"/>
        <v>174270.53414544032</v>
      </c>
      <c r="G52" s="486">
        <f t="shared" si="8"/>
        <v>47617.784200485425</v>
      </c>
      <c r="H52" s="455">
        <f t="shared" si="9"/>
        <v>47617.784200485425</v>
      </c>
      <c r="I52" s="475">
        <f t="shared" si="3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 ht="12.5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174270.53414544032</v>
      </c>
      <c r="E53" s="484">
        <f t="shared" si="6"/>
        <v>27353.023255813954</v>
      </c>
      <c r="F53" s="485">
        <f t="shared" si="7"/>
        <v>146917.51088962637</v>
      </c>
      <c r="G53" s="486">
        <f t="shared" si="8"/>
        <v>44668.536048633308</v>
      </c>
      <c r="H53" s="455">
        <f t="shared" si="9"/>
        <v>44668.536048633308</v>
      </c>
      <c r="I53" s="475">
        <f t="shared" si="3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 ht="12.5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146917.51088962637</v>
      </c>
      <c r="E54" s="484">
        <f t="shared" si="6"/>
        <v>27353.023255813954</v>
      </c>
      <c r="F54" s="485">
        <f t="shared" si="7"/>
        <v>119564.48763381242</v>
      </c>
      <c r="G54" s="486">
        <f t="shared" si="8"/>
        <v>41719.287896781199</v>
      </c>
      <c r="H54" s="455">
        <f t="shared" si="9"/>
        <v>41719.287896781199</v>
      </c>
      <c r="I54" s="475">
        <f t="shared" si="3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 ht="12.5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119564.48763381242</v>
      </c>
      <c r="E55" s="484">
        <f t="shared" si="6"/>
        <v>27353.023255813954</v>
      </c>
      <c r="F55" s="485">
        <f t="shared" si="7"/>
        <v>92211.464377998462</v>
      </c>
      <c r="G55" s="486">
        <f t="shared" si="8"/>
        <v>38770.039744929083</v>
      </c>
      <c r="H55" s="455">
        <f t="shared" si="9"/>
        <v>38770.039744929083</v>
      </c>
      <c r="I55" s="475">
        <f t="shared" si="3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 ht="12.5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92211.464377998462</v>
      </c>
      <c r="E56" s="484">
        <f t="shared" si="6"/>
        <v>27353.023255813954</v>
      </c>
      <c r="F56" s="485">
        <f t="shared" si="7"/>
        <v>64858.441122184508</v>
      </c>
      <c r="G56" s="486">
        <f t="shared" si="8"/>
        <v>35820.791593076967</v>
      </c>
      <c r="H56" s="455">
        <f t="shared" si="9"/>
        <v>35820.791593076967</v>
      </c>
      <c r="I56" s="475">
        <f t="shared" si="3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 ht="12.5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64858.441122184508</v>
      </c>
      <c r="E57" s="484">
        <f t="shared" si="6"/>
        <v>27353.023255813954</v>
      </c>
      <c r="F57" s="485">
        <f t="shared" si="7"/>
        <v>37505.417866370553</v>
      </c>
      <c r="G57" s="486">
        <f t="shared" si="8"/>
        <v>32871.543441224858</v>
      </c>
      <c r="H57" s="455">
        <f t="shared" si="9"/>
        <v>32871.543441224858</v>
      </c>
      <c r="I57" s="475">
        <f t="shared" si="3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 ht="12.5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37505.417866370553</v>
      </c>
      <c r="E58" s="484">
        <f t="shared" si="6"/>
        <v>27353.023255813954</v>
      </c>
      <c r="F58" s="485">
        <f t="shared" si="7"/>
        <v>10152.394610556599</v>
      </c>
      <c r="G58" s="486">
        <f t="shared" si="8"/>
        <v>29922.295289372745</v>
      </c>
      <c r="H58" s="455">
        <f t="shared" si="9"/>
        <v>29922.295289372745</v>
      </c>
      <c r="I58" s="475">
        <f t="shared" si="3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 ht="12.5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10152.394610556599</v>
      </c>
      <c r="E59" s="484">
        <f t="shared" si="6"/>
        <v>10152.394610556599</v>
      </c>
      <c r="F59" s="485">
        <f t="shared" si="7"/>
        <v>0</v>
      </c>
      <c r="G59" s="486">
        <f t="shared" si="8"/>
        <v>10699.718589372966</v>
      </c>
      <c r="H59" s="455">
        <f t="shared" si="9"/>
        <v>10699.718589372966</v>
      </c>
      <c r="I59" s="475">
        <f t="shared" si="3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 ht="12.5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0</v>
      </c>
      <c r="E60" s="484">
        <f t="shared" si="6"/>
        <v>0</v>
      </c>
      <c r="F60" s="485">
        <f t="shared" si="7"/>
        <v>0</v>
      </c>
      <c r="G60" s="486">
        <f t="shared" si="8"/>
        <v>0</v>
      </c>
      <c r="H60" s="455">
        <f t="shared" si="9"/>
        <v>0</v>
      </c>
      <c r="I60" s="475">
        <f t="shared" si="3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 ht="12.5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6"/>
        <v>0</v>
      </c>
      <c r="F61" s="485">
        <f t="shared" si="7"/>
        <v>0</v>
      </c>
      <c r="G61" s="486">
        <f t="shared" si="8"/>
        <v>0</v>
      </c>
      <c r="H61" s="455">
        <f t="shared" si="9"/>
        <v>0</v>
      </c>
      <c r="I61" s="475">
        <f t="shared" si="3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 ht="12.5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6"/>
        <v>0</v>
      </c>
      <c r="F62" s="485">
        <f t="shared" si="7"/>
        <v>0</v>
      </c>
      <c r="G62" s="486">
        <f t="shared" si="8"/>
        <v>0</v>
      </c>
      <c r="H62" s="455">
        <f t="shared" si="9"/>
        <v>0</v>
      </c>
      <c r="I62" s="475">
        <f t="shared" si="3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 ht="12.5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6"/>
        <v>0</v>
      </c>
      <c r="F63" s="485">
        <f t="shared" si="7"/>
        <v>0</v>
      </c>
      <c r="G63" s="486">
        <f t="shared" si="8"/>
        <v>0</v>
      </c>
      <c r="H63" s="455">
        <f t="shared" si="9"/>
        <v>0</v>
      </c>
      <c r="I63" s="475">
        <f t="shared" si="3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 ht="12.5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6"/>
        <v>0</v>
      </c>
      <c r="F64" s="485">
        <f t="shared" si="7"/>
        <v>0</v>
      </c>
      <c r="G64" s="486">
        <f t="shared" si="8"/>
        <v>0</v>
      </c>
      <c r="H64" s="455">
        <f t="shared" si="9"/>
        <v>0</v>
      </c>
      <c r="I64" s="475">
        <f t="shared" si="3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 ht="12.5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6"/>
        <v>0</v>
      </c>
      <c r="F65" s="485">
        <f t="shared" si="7"/>
        <v>0</v>
      </c>
      <c r="G65" s="486">
        <f t="shared" si="8"/>
        <v>0</v>
      </c>
      <c r="H65" s="455">
        <f t="shared" si="9"/>
        <v>0</v>
      </c>
      <c r="I65" s="475">
        <f t="shared" si="3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 ht="12.5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6"/>
        <v>0</v>
      </c>
      <c r="F66" s="485">
        <f t="shared" si="7"/>
        <v>0</v>
      </c>
      <c r="G66" s="486">
        <f t="shared" si="8"/>
        <v>0</v>
      </c>
      <c r="H66" s="455">
        <f t="shared" si="9"/>
        <v>0</v>
      </c>
      <c r="I66" s="475">
        <f t="shared" si="3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 ht="12.5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6"/>
        <v>0</v>
      </c>
      <c r="F67" s="485">
        <f t="shared" si="7"/>
        <v>0</v>
      </c>
      <c r="G67" s="486">
        <f t="shared" si="8"/>
        <v>0</v>
      </c>
      <c r="H67" s="455">
        <f t="shared" si="9"/>
        <v>0</v>
      </c>
      <c r="I67" s="475">
        <f t="shared" si="3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 ht="12.5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6"/>
        <v>0</v>
      </c>
      <c r="F68" s="485">
        <f t="shared" si="7"/>
        <v>0</v>
      </c>
      <c r="G68" s="486">
        <f t="shared" si="8"/>
        <v>0</v>
      </c>
      <c r="H68" s="455">
        <f t="shared" si="9"/>
        <v>0</v>
      </c>
      <c r="I68" s="475">
        <f t="shared" si="3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 ht="12.5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6"/>
        <v>0</v>
      </c>
      <c r="F69" s="485">
        <f t="shared" si="7"/>
        <v>0</v>
      </c>
      <c r="G69" s="486">
        <f t="shared" si="8"/>
        <v>0</v>
      </c>
      <c r="H69" s="455">
        <f t="shared" si="9"/>
        <v>0</v>
      </c>
      <c r="I69" s="475">
        <f t="shared" si="3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 ht="12.5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6"/>
        <v>0</v>
      </c>
      <c r="F70" s="485">
        <f t="shared" si="7"/>
        <v>0</v>
      </c>
      <c r="G70" s="486">
        <f t="shared" si="8"/>
        <v>0</v>
      </c>
      <c r="H70" s="455">
        <f t="shared" si="9"/>
        <v>0</v>
      </c>
      <c r="I70" s="475">
        <f t="shared" si="3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 ht="12.5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6"/>
        <v>0</v>
      </c>
      <c r="F71" s="485">
        <f t="shared" si="7"/>
        <v>0</v>
      </c>
      <c r="G71" s="486">
        <f t="shared" si="8"/>
        <v>0</v>
      </c>
      <c r="H71" s="455">
        <f t="shared" si="9"/>
        <v>0</v>
      </c>
      <c r="I71" s="475">
        <f t="shared" si="3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 ht="12.5">
      <c r="C73" s="346" t="s">
        <v>77</v>
      </c>
      <c r="D73" s="347"/>
      <c r="E73" s="347">
        <f>SUM(E17:E72)</f>
        <v>1176179.9999999995</v>
      </c>
      <c r="F73" s="347"/>
      <c r="G73" s="347">
        <f>SUM(G17:G72)</f>
        <v>3911696.5228458238</v>
      </c>
      <c r="H73" s="347">
        <f>SUM(H17:H72)</f>
        <v>3911696.5228458238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23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273320.66219595348</v>
      </c>
      <c r="N87" s="508">
        <f>IF(J92&lt;D11,0,VLOOKUP(J92,C17:O72,11))</f>
        <v>273320.66219595348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146356.80823022424</v>
      </c>
      <c r="N88" s="512">
        <f>IF(J92&lt;D11,0,VLOOKUP(J92,C99:P154,7))</f>
        <v>146356.80823022424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Elk City 138KV Move Load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-126963.85396572924</v>
      </c>
      <c r="N89" s="517">
        <f>+N88-N87</f>
        <v>-126963.85396572924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TP2011110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1176180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v>5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28687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2018</v>
      </c>
      <c r="D99" s="584">
        <v>0</v>
      </c>
      <c r="E99" s="608">
        <v>20674.5</v>
      </c>
      <c r="F99" s="584">
        <v>1757325.5</v>
      </c>
      <c r="G99" s="608">
        <v>878662.75</v>
      </c>
      <c r="H99" s="587">
        <v>110944.41567094853</v>
      </c>
      <c r="I99" s="607">
        <v>110944.41567094853</v>
      </c>
      <c r="J99" s="478">
        <f>+I99-H99</f>
        <v>0</v>
      </c>
      <c r="K99" s="478"/>
      <c r="L99" s="477">
        <f>+H99</f>
        <v>110944.41567094853</v>
      </c>
      <c r="M99" s="477">
        <f t="shared" ref="M99" si="10">IF(L99&lt;&gt;0,+H99-L99,0)</f>
        <v>0</v>
      </c>
      <c r="N99" s="477">
        <f>+I99</f>
        <v>110944.41567094853</v>
      </c>
      <c r="O99" s="477">
        <f t="shared" ref="O99" si="11">IF(N99&lt;&gt;0,+I99-N99,0)</f>
        <v>0</v>
      </c>
      <c r="P99" s="477">
        <f t="shared" ref="P99" si="12">+O99-M99</f>
        <v>0</v>
      </c>
    </row>
    <row r="100" spans="1:16" ht="12.5">
      <c r="B100" s="160" t="str">
        <f>IF(D100=F99,"","IU")</f>
        <v>IU</v>
      </c>
      <c r="C100" s="472">
        <f>IF(D93="","-",+C99+1)</f>
        <v>2019</v>
      </c>
      <c r="D100" s="346">
        <f>IF(F99+SUM(E$99:E99)=D$92,F99,D$92-SUM(E$99:E99))</f>
        <v>1155505.5</v>
      </c>
      <c r="E100" s="484">
        <f>IF(+J$96&lt;F99,J$96,D100)</f>
        <v>28687</v>
      </c>
      <c r="F100" s="485">
        <f>+D100-E100</f>
        <v>1126818.5</v>
      </c>
      <c r="G100" s="485">
        <f>+(F100+D100)/2</f>
        <v>1141162</v>
      </c>
      <c r="H100" s="613">
        <f t="shared" ref="H100:H154" si="13">+J$94*G100+E100</f>
        <v>146356.80823022424</v>
      </c>
      <c r="I100" s="614">
        <f t="shared" ref="I100:I154" si="14">+J$95*G100+E100</f>
        <v>146356.80823022424</v>
      </c>
      <c r="J100" s="478">
        <f t="shared" ref="J100:J130" si="15">+I100-H100</f>
        <v>0</v>
      </c>
      <c r="K100" s="478"/>
      <c r="L100" s="487"/>
      <c r="M100" s="478">
        <f t="shared" ref="M100:M130" si="16">IF(L100&lt;&gt;0,+H100-L100,0)</f>
        <v>0</v>
      </c>
      <c r="N100" s="487"/>
      <c r="O100" s="478">
        <f t="shared" ref="O100:O130" si="17">IF(N100&lt;&gt;0,+I100-N100,0)</f>
        <v>0</v>
      </c>
      <c r="P100" s="478">
        <f t="shared" ref="P100:P130" si="18">+O100-M100</f>
        <v>0</v>
      </c>
    </row>
    <row r="101" spans="1:16" ht="12.5">
      <c r="B101" s="160" t="str">
        <f t="shared" ref="B101:B154" si="19">IF(D101=F100,"","IU")</f>
        <v/>
      </c>
      <c r="C101" s="472">
        <f>IF(D93="","-",+C100+1)</f>
        <v>2020</v>
      </c>
      <c r="D101" s="346">
        <f>IF(F100+SUM(E$99:E100)=D$92,F100,D$92-SUM(E$99:E100))</f>
        <v>1126818.5</v>
      </c>
      <c r="E101" s="484">
        <f t="shared" ref="E101:E154" si="20">IF(+J$96&lt;F100,J$96,D101)</f>
        <v>28687</v>
      </c>
      <c r="F101" s="485">
        <f t="shared" ref="F101:F154" si="21">+D101-E101</f>
        <v>1098131.5</v>
      </c>
      <c r="G101" s="485">
        <f t="shared" ref="G101:G154" si="22">+(F101+D101)/2</f>
        <v>1112475</v>
      </c>
      <c r="H101" s="613">
        <f t="shared" si="13"/>
        <v>143398.77616404922</v>
      </c>
      <c r="I101" s="614">
        <f t="shared" si="14"/>
        <v>143398.77616404922</v>
      </c>
      <c r="J101" s="478">
        <f t="shared" si="15"/>
        <v>0</v>
      </c>
      <c r="K101" s="478"/>
      <c r="L101" s="487"/>
      <c r="M101" s="478">
        <f t="shared" si="16"/>
        <v>0</v>
      </c>
      <c r="N101" s="487"/>
      <c r="O101" s="478">
        <f t="shared" si="17"/>
        <v>0</v>
      </c>
      <c r="P101" s="478">
        <f t="shared" si="18"/>
        <v>0</v>
      </c>
    </row>
    <row r="102" spans="1:16" ht="12.5">
      <c r="B102" s="160" t="str">
        <f t="shared" si="19"/>
        <v/>
      </c>
      <c r="C102" s="472">
        <f>IF(D93="","-",+C101+1)</f>
        <v>2021</v>
      </c>
      <c r="D102" s="346">
        <f>IF(F101+SUM(E$99:E101)=D$92,F101,D$92-SUM(E$99:E101))</f>
        <v>1098131.5</v>
      </c>
      <c r="E102" s="484">
        <f t="shared" si="20"/>
        <v>28687</v>
      </c>
      <c r="F102" s="485">
        <f t="shared" si="21"/>
        <v>1069444.5</v>
      </c>
      <c r="G102" s="485">
        <f t="shared" si="22"/>
        <v>1083788</v>
      </c>
      <c r="H102" s="613">
        <f t="shared" si="13"/>
        <v>140440.74409787418</v>
      </c>
      <c r="I102" s="614">
        <f t="shared" si="14"/>
        <v>140440.74409787418</v>
      </c>
      <c r="J102" s="478">
        <f t="shared" si="15"/>
        <v>0</v>
      </c>
      <c r="K102" s="478"/>
      <c r="L102" s="487"/>
      <c r="M102" s="478">
        <f t="shared" si="16"/>
        <v>0</v>
      </c>
      <c r="N102" s="487"/>
      <c r="O102" s="478">
        <f t="shared" si="17"/>
        <v>0</v>
      </c>
      <c r="P102" s="478">
        <f t="shared" si="18"/>
        <v>0</v>
      </c>
    </row>
    <row r="103" spans="1:16" ht="12.5">
      <c r="B103" s="160" t="str">
        <f t="shared" si="19"/>
        <v/>
      </c>
      <c r="C103" s="472">
        <f>IF(D93="","-",+C102+1)</f>
        <v>2022</v>
      </c>
      <c r="D103" s="346">
        <f>IF(F102+SUM(E$99:E102)=D$92,F102,D$92-SUM(E$99:E102))</f>
        <v>1069444.5</v>
      </c>
      <c r="E103" s="484">
        <f t="shared" si="20"/>
        <v>28687</v>
      </c>
      <c r="F103" s="485">
        <f t="shared" si="21"/>
        <v>1040757.5</v>
      </c>
      <c r="G103" s="485">
        <f t="shared" si="22"/>
        <v>1055101</v>
      </c>
      <c r="H103" s="613">
        <f t="shared" si="13"/>
        <v>137482.71203169913</v>
      </c>
      <c r="I103" s="614">
        <f t="shared" si="14"/>
        <v>137482.71203169913</v>
      </c>
      <c r="J103" s="478">
        <f t="shared" si="15"/>
        <v>0</v>
      </c>
      <c r="K103" s="478"/>
      <c r="L103" s="487"/>
      <c r="M103" s="478">
        <f t="shared" si="16"/>
        <v>0</v>
      </c>
      <c r="N103" s="487"/>
      <c r="O103" s="478">
        <f t="shared" si="17"/>
        <v>0</v>
      </c>
      <c r="P103" s="478">
        <f t="shared" si="18"/>
        <v>0</v>
      </c>
    </row>
    <row r="104" spans="1:16" ht="12.5">
      <c r="B104" s="160" t="str">
        <f t="shared" si="19"/>
        <v/>
      </c>
      <c r="C104" s="472">
        <f>IF(D93="","-",+C103+1)</f>
        <v>2023</v>
      </c>
      <c r="D104" s="346">
        <f>IF(F103+SUM(E$99:E103)=D$92,F103,D$92-SUM(E$99:E103))</f>
        <v>1040757.5</v>
      </c>
      <c r="E104" s="484">
        <f t="shared" si="20"/>
        <v>28687</v>
      </c>
      <c r="F104" s="485">
        <f t="shared" si="21"/>
        <v>1012070.5</v>
      </c>
      <c r="G104" s="485">
        <f t="shared" si="22"/>
        <v>1026414</v>
      </c>
      <c r="H104" s="613">
        <f t="shared" si="13"/>
        <v>134524.67996552409</v>
      </c>
      <c r="I104" s="614">
        <f t="shared" si="14"/>
        <v>134524.67996552409</v>
      </c>
      <c r="J104" s="478">
        <f t="shared" si="15"/>
        <v>0</v>
      </c>
      <c r="K104" s="478"/>
      <c r="L104" s="487"/>
      <c r="M104" s="478">
        <f t="shared" si="16"/>
        <v>0</v>
      </c>
      <c r="N104" s="487"/>
      <c r="O104" s="478">
        <f t="shared" si="17"/>
        <v>0</v>
      </c>
      <c r="P104" s="478">
        <f t="shared" si="18"/>
        <v>0</v>
      </c>
    </row>
    <row r="105" spans="1:16" ht="12.5">
      <c r="B105" s="160" t="str">
        <f t="shared" si="19"/>
        <v/>
      </c>
      <c r="C105" s="472">
        <f>IF(D93="","-",+C104+1)</f>
        <v>2024</v>
      </c>
      <c r="D105" s="346">
        <f>IF(F104+SUM(E$99:E104)=D$92,F104,D$92-SUM(E$99:E104))</f>
        <v>1012070.5</v>
      </c>
      <c r="E105" s="484">
        <f t="shared" si="20"/>
        <v>28687</v>
      </c>
      <c r="F105" s="485">
        <f t="shared" si="21"/>
        <v>983383.5</v>
      </c>
      <c r="G105" s="485">
        <f t="shared" si="22"/>
        <v>997727</v>
      </c>
      <c r="H105" s="613">
        <f t="shared" si="13"/>
        <v>131566.64789934905</v>
      </c>
      <c r="I105" s="614">
        <f t="shared" si="14"/>
        <v>131566.64789934905</v>
      </c>
      <c r="J105" s="478">
        <f t="shared" si="15"/>
        <v>0</v>
      </c>
      <c r="K105" s="478"/>
      <c r="L105" s="487"/>
      <c r="M105" s="478">
        <f t="shared" si="16"/>
        <v>0</v>
      </c>
      <c r="N105" s="487"/>
      <c r="O105" s="478">
        <f t="shared" si="17"/>
        <v>0</v>
      </c>
      <c r="P105" s="478">
        <f t="shared" si="18"/>
        <v>0</v>
      </c>
    </row>
    <row r="106" spans="1:16" ht="12.5">
      <c r="B106" s="160" t="str">
        <f t="shared" si="19"/>
        <v/>
      </c>
      <c r="C106" s="472">
        <f>IF(D93="","-",+C105+1)</f>
        <v>2025</v>
      </c>
      <c r="D106" s="346">
        <f>IF(F105+SUM(E$99:E105)=D$92,F105,D$92-SUM(E$99:E105))</f>
        <v>983383.5</v>
      </c>
      <c r="E106" s="484">
        <f t="shared" si="20"/>
        <v>28687</v>
      </c>
      <c r="F106" s="485">
        <f t="shared" si="21"/>
        <v>954696.5</v>
      </c>
      <c r="G106" s="485">
        <f t="shared" si="22"/>
        <v>969040</v>
      </c>
      <c r="H106" s="613">
        <f t="shared" si="13"/>
        <v>128608.615833174</v>
      </c>
      <c r="I106" s="614">
        <f t="shared" si="14"/>
        <v>128608.615833174</v>
      </c>
      <c r="J106" s="478">
        <f t="shared" si="15"/>
        <v>0</v>
      </c>
      <c r="K106" s="478"/>
      <c r="L106" s="487"/>
      <c r="M106" s="478">
        <f t="shared" si="16"/>
        <v>0</v>
      </c>
      <c r="N106" s="487"/>
      <c r="O106" s="478">
        <f t="shared" si="17"/>
        <v>0</v>
      </c>
      <c r="P106" s="478">
        <f t="shared" si="18"/>
        <v>0</v>
      </c>
    </row>
    <row r="107" spans="1:16" ht="12.5">
      <c r="B107" s="160" t="str">
        <f t="shared" si="19"/>
        <v/>
      </c>
      <c r="C107" s="472">
        <f>IF(D93="","-",+C106+1)</f>
        <v>2026</v>
      </c>
      <c r="D107" s="346">
        <f>IF(F106+SUM(E$99:E106)=D$92,F106,D$92-SUM(E$99:E106))</f>
        <v>954696.5</v>
      </c>
      <c r="E107" s="484">
        <f t="shared" si="20"/>
        <v>28687</v>
      </c>
      <c r="F107" s="485">
        <f t="shared" si="21"/>
        <v>926009.5</v>
      </c>
      <c r="G107" s="485">
        <f t="shared" si="22"/>
        <v>940353</v>
      </c>
      <c r="H107" s="613">
        <f t="shared" si="13"/>
        <v>125650.58376699896</v>
      </c>
      <c r="I107" s="614">
        <f t="shared" si="14"/>
        <v>125650.58376699896</v>
      </c>
      <c r="J107" s="478">
        <f t="shared" si="15"/>
        <v>0</v>
      </c>
      <c r="K107" s="478"/>
      <c r="L107" s="487"/>
      <c r="M107" s="478">
        <f t="shared" si="16"/>
        <v>0</v>
      </c>
      <c r="N107" s="487"/>
      <c r="O107" s="478">
        <f t="shared" si="17"/>
        <v>0</v>
      </c>
      <c r="P107" s="478">
        <f t="shared" si="18"/>
        <v>0</v>
      </c>
    </row>
    <row r="108" spans="1:16" ht="12.5">
      <c r="B108" s="160" t="str">
        <f t="shared" si="19"/>
        <v/>
      </c>
      <c r="C108" s="472">
        <f>IF(D93="","-",+C107+1)</f>
        <v>2027</v>
      </c>
      <c r="D108" s="346">
        <f>IF(F107+SUM(E$99:E107)=D$92,F107,D$92-SUM(E$99:E107))</f>
        <v>926009.5</v>
      </c>
      <c r="E108" s="484">
        <f t="shared" si="20"/>
        <v>28687</v>
      </c>
      <c r="F108" s="485">
        <f t="shared" si="21"/>
        <v>897322.5</v>
      </c>
      <c r="G108" s="485">
        <f t="shared" si="22"/>
        <v>911666</v>
      </c>
      <c r="H108" s="613">
        <f t="shared" si="13"/>
        <v>122692.55170082393</v>
      </c>
      <c r="I108" s="614">
        <f t="shared" si="14"/>
        <v>122692.55170082393</v>
      </c>
      <c r="J108" s="478">
        <f t="shared" si="15"/>
        <v>0</v>
      </c>
      <c r="K108" s="478"/>
      <c r="L108" s="487"/>
      <c r="M108" s="478">
        <f t="shared" si="16"/>
        <v>0</v>
      </c>
      <c r="N108" s="487"/>
      <c r="O108" s="478">
        <f t="shared" si="17"/>
        <v>0</v>
      </c>
      <c r="P108" s="478">
        <f t="shared" si="18"/>
        <v>0</v>
      </c>
    </row>
    <row r="109" spans="1:16" ht="12.5">
      <c r="B109" s="160" t="str">
        <f t="shared" si="19"/>
        <v/>
      </c>
      <c r="C109" s="472">
        <f>IF(D93="","-",+C108+1)</f>
        <v>2028</v>
      </c>
      <c r="D109" s="346">
        <f>IF(F108+SUM(E$99:E108)=D$92,F108,D$92-SUM(E$99:E108))</f>
        <v>897322.5</v>
      </c>
      <c r="E109" s="484">
        <f t="shared" si="20"/>
        <v>28687</v>
      </c>
      <c r="F109" s="485">
        <f t="shared" si="21"/>
        <v>868635.5</v>
      </c>
      <c r="G109" s="485">
        <f t="shared" si="22"/>
        <v>882979</v>
      </c>
      <c r="H109" s="613">
        <f t="shared" si="13"/>
        <v>119734.51963464888</v>
      </c>
      <c r="I109" s="614">
        <f t="shared" si="14"/>
        <v>119734.51963464888</v>
      </c>
      <c r="J109" s="478">
        <f t="shared" si="15"/>
        <v>0</v>
      </c>
      <c r="K109" s="478"/>
      <c r="L109" s="487"/>
      <c r="M109" s="478">
        <f t="shared" si="16"/>
        <v>0</v>
      </c>
      <c r="N109" s="487"/>
      <c r="O109" s="478">
        <f t="shared" si="17"/>
        <v>0</v>
      </c>
      <c r="P109" s="478">
        <f t="shared" si="18"/>
        <v>0</v>
      </c>
    </row>
    <row r="110" spans="1:16" ht="12.5">
      <c r="B110" s="160" t="str">
        <f t="shared" si="19"/>
        <v/>
      </c>
      <c r="C110" s="472">
        <f>IF(D93="","-",+C109+1)</f>
        <v>2029</v>
      </c>
      <c r="D110" s="346">
        <f>IF(F109+SUM(E$99:E109)=D$92,F109,D$92-SUM(E$99:E109))</f>
        <v>868635.5</v>
      </c>
      <c r="E110" s="484">
        <f t="shared" si="20"/>
        <v>28687</v>
      </c>
      <c r="F110" s="485">
        <f t="shared" si="21"/>
        <v>839948.5</v>
      </c>
      <c r="G110" s="485">
        <f t="shared" si="22"/>
        <v>854292</v>
      </c>
      <c r="H110" s="613">
        <f t="shared" si="13"/>
        <v>116776.48756847384</v>
      </c>
      <c r="I110" s="614">
        <f t="shared" si="14"/>
        <v>116776.48756847384</v>
      </c>
      <c r="J110" s="478">
        <f t="shared" si="15"/>
        <v>0</v>
      </c>
      <c r="K110" s="478"/>
      <c r="L110" s="487"/>
      <c r="M110" s="478">
        <f t="shared" si="16"/>
        <v>0</v>
      </c>
      <c r="N110" s="487"/>
      <c r="O110" s="478">
        <f t="shared" si="17"/>
        <v>0</v>
      </c>
      <c r="P110" s="478">
        <f t="shared" si="18"/>
        <v>0</v>
      </c>
    </row>
    <row r="111" spans="1:16" ht="12.5">
      <c r="B111" s="160" t="str">
        <f t="shared" si="19"/>
        <v/>
      </c>
      <c r="C111" s="472">
        <f>IF(D93="","-",+C110+1)</f>
        <v>2030</v>
      </c>
      <c r="D111" s="346">
        <f>IF(F110+SUM(E$99:E110)=D$92,F110,D$92-SUM(E$99:E110))</f>
        <v>839948.5</v>
      </c>
      <c r="E111" s="484">
        <f t="shared" si="20"/>
        <v>28687</v>
      </c>
      <c r="F111" s="485">
        <f t="shared" si="21"/>
        <v>811261.5</v>
      </c>
      <c r="G111" s="485">
        <f t="shared" si="22"/>
        <v>825605</v>
      </c>
      <c r="H111" s="613">
        <f t="shared" si="13"/>
        <v>113818.45550229879</v>
      </c>
      <c r="I111" s="614">
        <f t="shared" si="14"/>
        <v>113818.45550229879</v>
      </c>
      <c r="J111" s="478">
        <f t="shared" si="15"/>
        <v>0</v>
      </c>
      <c r="K111" s="478"/>
      <c r="L111" s="487"/>
      <c r="M111" s="478">
        <f t="shared" si="16"/>
        <v>0</v>
      </c>
      <c r="N111" s="487"/>
      <c r="O111" s="478">
        <f t="shared" si="17"/>
        <v>0</v>
      </c>
      <c r="P111" s="478">
        <f t="shared" si="18"/>
        <v>0</v>
      </c>
    </row>
    <row r="112" spans="1:16" ht="12.5">
      <c r="B112" s="160" t="str">
        <f t="shared" si="19"/>
        <v/>
      </c>
      <c r="C112" s="472">
        <f>IF(D93="","-",+C111+1)</f>
        <v>2031</v>
      </c>
      <c r="D112" s="346">
        <f>IF(F111+SUM(E$99:E111)=D$92,F111,D$92-SUM(E$99:E111))</f>
        <v>811261.5</v>
      </c>
      <c r="E112" s="484">
        <f t="shared" si="20"/>
        <v>28687</v>
      </c>
      <c r="F112" s="485">
        <f t="shared" si="21"/>
        <v>782574.5</v>
      </c>
      <c r="G112" s="485">
        <f t="shared" si="22"/>
        <v>796918</v>
      </c>
      <c r="H112" s="613">
        <f t="shared" si="13"/>
        <v>110860.42343612375</v>
      </c>
      <c r="I112" s="614">
        <f t="shared" si="14"/>
        <v>110860.42343612375</v>
      </c>
      <c r="J112" s="478">
        <f t="shared" si="15"/>
        <v>0</v>
      </c>
      <c r="K112" s="478"/>
      <c r="L112" s="487"/>
      <c r="M112" s="478">
        <f t="shared" si="16"/>
        <v>0</v>
      </c>
      <c r="N112" s="487"/>
      <c r="O112" s="478">
        <f t="shared" si="17"/>
        <v>0</v>
      </c>
      <c r="P112" s="478">
        <f t="shared" si="18"/>
        <v>0</v>
      </c>
    </row>
    <row r="113" spans="2:16" ht="12.5">
      <c r="B113" s="160" t="str">
        <f t="shared" si="19"/>
        <v/>
      </c>
      <c r="C113" s="472">
        <f>IF(D93="","-",+C112+1)</f>
        <v>2032</v>
      </c>
      <c r="D113" s="346">
        <f>IF(F112+SUM(E$99:E112)=D$92,F112,D$92-SUM(E$99:E112))</f>
        <v>782574.5</v>
      </c>
      <c r="E113" s="484">
        <f t="shared" si="20"/>
        <v>28687</v>
      </c>
      <c r="F113" s="485">
        <f t="shared" si="21"/>
        <v>753887.5</v>
      </c>
      <c r="G113" s="485">
        <f t="shared" si="22"/>
        <v>768231</v>
      </c>
      <c r="H113" s="613">
        <f t="shared" si="13"/>
        <v>107902.39136994872</v>
      </c>
      <c r="I113" s="614">
        <f t="shared" si="14"/>
        <v>107902.39136994872</v>
      </c>
      <c r="J113" s="478">
        <f t="shared" si="15"/>
        <v>0</v>
      </c>
      <c r="K113" s="478"/>
      <c r="L113" s="487"/>
      <c r="M113" s="478">
        <f t="shared" si="16"/>
        <v>0</v>
      </c>
      <c r="N113" s="487"/>
      <c r="O113" s="478">
        <f t="shared" si="17"/>
        <v>0</v>
      </c>
      <c r="P113" s="478">
        <f t="shared" si="18"/>
        <v>0</v>
      </c>
    </row>
    <row r="114" spans="2:16" ht="12.5">
      <c r="B114" s="160" t="str">
        <f t="shared" si="19"/>
        <v/>
      </c>
      <c r="C114" s="472">
        <f>IF(D93="","-",+C113+1)</f>
        <v>2033</v>
      </c>
      <c r="D114" s="346">
        <f>IF(F113+SUM(E$99:E113)=D$92,F113,D$92-SUM(E$99:E113))</f>
        <v>753887.5</v>
      </c>
      <c r="E114" s="484">
        <f t="shared" si="20"/>
        <v>28687</v>
      </c>
      <c r="F114" s="485">
        <f t="shared" si="21"/>
        <v>725200.5</v>
      </c>
      <c r="G114" s="485">
        <f t="shared" si="22"/>
        <v>739544</v>
      </c>
      <c r="H114" s="613">
        <f t="shared" si="13"/>
        <v>104944.35930377367</v>
      </c>
      <c r="I114" s="614">
        <f t="shared" si="14"/>
        <v>104944.35930377367</v>
      </c>
      <c r="J114" s="478">
        <f t="shared" si="15"/>
        <v>0</v>
      </c>
      <c r="K114" s="478"/>
      <c r="L114" s="487"/>
      <c r="M114" s="478">
        <f t="shared" si="16"/>
        <v>0</v>
      </c>
      <c r="N114" s="487"/>
      <c r="O114" s="478">
        <f t="shared" si="17"/>
        <v>0</v>
      </c>
      <c r="P114" s="478">
        <f t="shared" si="18"/>
        <v>0</v>
      </c>
    </row>
    <row r="115" spans="2:16" ht="12.5">
      <c r="B115" s="160" t="str">
        <f t="shared" si="19"/>
        <v/>
      </c>
      <c r="C115" s="472">
        <f>IF(D93="","-",+C114+1)</f>
        <v>2034</v>
      </c>
      <c r="D115" s="346">
        <f>IF(F114+SUM(E$99:E114)=D$92,F114,D$92-SUM(E$99:E114))</f>
        <v>725200.5</v>
      </c>
      <c r="E115" s="484">
        <f t="shared" si="20"/>
        <v>28687</v>
      </c>
      <c r="F115" s="485">
        <f t="shared" si="21"/>
        <v>696513.5</v>
      </c>
      <c r="G115" s="485">
        <f t="shared" si="22"/>
        <v>710857</v>
      </c>
      <c r="H115" s="613">
        <f t="shared" si="13"/>
        <v>101986.32723759863</v>
      </c>
      <c r="I115" s="614">
        <f t="shared" si="14"/>
        <v>101986.32723759863</v>
      </c>
      <c r="J115" s="478">
        <f t="shared" si="15"/>
        <v>0</v>
      </c>
      <c r="K115" s="478"/>
      <c r="L115" s="487"/>
      <c r="M115" s="478">
        <f t="shared" si="16"/>
        <v>0</v>
      </c>
      <c r="N115" s="487"/>
      <c r="O115" s="478">
        <f t="shared" si="17"/>
        <v>0</v>
      </c>
      <c r="P115" s="478">
        <f t="shared" si="18"/>
        <v>0</v>
      </c>
    </row>
    <row r="116" spans="2:16" ht="12.5">
      <c r="B116" s="160" t="str">
        <f t="shared" si="19"/>
        <v/>
      </c>
      <c r="C116" s="472">
        <f>IF(D93="","-",+C115+1)</f>
        <v>2035</v>
      </c>
      <c r="D116" s="346">
        <f>IF(F115+SUM(E$99:E115)=D$92,F115,D$92-SUM(E$99:E115))</f>
        <v>696513.5</v>
      </c>
      <c r="E116" s="484">
        <f t="shared" si="20"/>
        <v>28687</v>
      </c>
      <c r="F116" s="485">
        <f t="shared" si="21"/>
        <v>667826.5</v>
      </c>
      <c r="G116" s="485">
        <f t="shared" si="22"/>
        <v>682170</v>
      </c>
      <c r="H116" s="613">
        <f t="shared" si="13"/>
        <v>99028.295171423582</v>
      </c>
      <c r="I116" s="614">
        <f t="shared" si="14"/>
        <v>99028.295171423582</v>
      </c>
      <c r="J116" s="478">
        <f t="shared" si="15"/>
        <v>0</v>
      </c>
      <c r="K116" s="478"/>
      <c r="L116" s="487"/>
      <c r="M116" s="478">
        <f t="shared" si="16"/>
        <v>0</v>
      </c>
      <c r="N116" s="487"/>
      <c r="O116" s="478">
        <f t="shared" si="17"/>
        <v>0</v>
      </c>
      <c r="P116" s="478">
        <f t="shared" si="18"/>
        <v>0</v>
      </c>
    </row>
    <row r="117" spans="2:16" ht="12.5">
      <c r="B117" s="160" t="str">
        <f t="shared" si="19"/>
        <v/>
      </c>
      <c r="C117" s="472">
        <f>IF(D93="","-",+C116+1)</f>
        <v>2036</v>
      </c>
      <c r="D117" s="346">
        <f>IF(F116+SUM(E$99:E116)=D$92,F116,D$92-SUM(E$99:E116))</f>
        <v>667826.5</v>
      </c>
      <c r="E117" s="484">
        <f t="shared" si="20"/>
        <v>28687</v>
      </c>
      <c r="F117" s="485">
        <f t="shared" si="21"/>
        <v>639139.5</v>
      </c>
      <c r="G117" s="485">
        <f t="shared" si="22"/>
        <v>653483</v>
      </c>
      <c r="H117" s="613">
        <f t="shared" si="13"/>
        <v>96070.263105248538</v>
      </c>
      <c r="I117" s="614">
        <f t="shared" si="14"/>
        <v>96070.263105248538</v>
      </c>
      <c r="J117" s="478">
        <f t="shared" si="15"/>
        <v>0</v>
      </c>
      <c r="K117" s="478"/>
      <c r="L117" s="487"/>
      <c r="M117" s="478">
        <f t="shared" si="16"/>
        <v>0</v>
      </c>
      <c r="N117" s="487"/>
      <c r="O117" s="478">
        <f t="shared" si="17"/>
        <v>0</v>
      </c>
      <c r="P117" s="478">
        <f t="shared" si="18"/>
        <v>0</v>
      </c>
    </row>
    <row r="118" spans="2:16" ht="12.5">
      <c r="B118" s="160" t="str">
        <f t="shared" si="19"/>
        <v/>
      </c>
      <c r="C118" s="472">
        <f>IF(D93="","-",+C117+1)</f>
        <v>2037</v>
      </c>
      <c r="D118" s="346">
        <f>IF(F117+SUM(E$99:E117)=D$92,F117,D$92-SUM(E$99:E117))</f>
        <v>639139.5</v>
      </c>
      <c r="E118" s="484">
        <f t="shared" si="20"/>
        <v>28687</v>
      </c>
      <c r="F118" s="485">
        <f t="shared" si="21"/>
        <v>610452.5</v>
      </c>
      <c r="G118" s="485">
        <f t="shared" si="22"/>
        <v>624796</v>
      </c>
      <c r="H118" s="613">
        <f t="shared" si="13"/>
        <v>93112.231039073493</v>
      </c>
      <c r="I118" s="614">
        <f t="shared" si="14"/>
        <v>93112.231039073493</v>
      </c>
      <c r="J118" s="478">
        <f t="shared" si="15"/>
        <v>0</v>
      </c>
      <c r="K118" s="478"/>
      <c r="L118" s="487"/>
      <c r="M118" s="478">
        <f t="shared" si="16"/>
        <v>0</v>
      </c>
      <c r="N118" s="487"/>
      <c r="O118" s="478">
        <f t="shared" si="17"/>
        <v>0</v>
      </c>
      <c r="P118" s="478">
        <f t="shared" si="18"/>
        <v>0</v>
      </c>
    </row>
    <row r="119" spans="2:16" ht="12.5">
      <c r="B119" s="160" t="str">
        <f t="shared" si="19"/>
        <v/>
      </c>
      <c r="C119" s="472">
        <f>IF(D93="","-",+C118+1)</f>
        <v>2038</v>
      </c>
      <c r="D119" s="346">
        <f>IF(F118+SUM(E$99:E118)=D$92,F118,D$92-SUM(E$99:E118))</f>
        <v>610452.5</v>
      </c>
      <c r="E119" s="484">
        <f t="shared" si="20"/>
        <v>28687</v>
      </c>
      <c r="F119" s="485">
        <f t="shared" si="21"/>
        <v>581765.5</v>
      </c>
      <c r="G119" s="485">
        <f t="shared" si="22"/>
        <v>596109</v>
      </c>
      <c r="H119" s="613">
        <f t="shared" si="13"/>
        <v>90154.198972898463</v>
      </c>
      <c r="I119" s="614">
        <f t="shared" si="14"/>
        <v>90154.198972898463</v>
      </c>
      <c r="J119" s="478">
        <f t="shared" si="15"/>
        <v>0</v>
      </c>
      <c r="K119" s="478"/>
      <c r="L119" s="487"/>
      <c r="M119" s="478">
        <f t="shared" si="16"/>
        <v>0</v>
      </c>
      <c r="N119" s="487"/>
      <c r="O119" s="478">
        <f t="shared" si="17"/>
        <v>0</v>
      </c>
      <c r="P119" s="478">
        <f t="shared" si="18"/>
        <v>0</v>
      </c>
    </row>
    <row r="120" spans="2:16" ht="12.5">
      <c r="B120" s="160" t="str">
        <f t="shared" si="19"/>
        <v/>
      </c>
      <c r="C120" s="472">
        <f>IF(D93="","-",+C119+1)</f>
        <v>2039</v>
      </c>
      <c r="D120" s="346">
        <f>IF(F119+SUM(E$99:E119)=D$92,F119,D$92-SUM(E$99:E119))</f>
        <v>581765.5</v>
      </c>
      <c r="E120" s="484">
        <f t="shared" si="20"/>
        <v>28687</v>
      </c>
      <c r="F120" s="485">
        <f t="shared" si="21"/>
        <v>553078.5</v>
      </c>
      <c r="G120" s="485">
        <f t="shared" si="22"/>
        <v>567422</v>
      </c>
      <c r="H120" s="613">
        <f t="shared" si="13"/>
        <v>87196.166906723418</v>
      </c>
      <c r="I120" s="614">
        <f t="shared" si="14"/>
        <v>87196.166906723418</v>
      </c>
      <c r="J120" s="478">
        <f t="shared" si="15"/>
        <v>0</v>
      </c>
      <c r="K120" s="478"/>
      <c r="L120" s="487"/>
      <c r="M120" s="478">
        <f t="shared" si="16"/>
        <v>0</v>
      </c>
      <c r="N120" s="487"/>
      <c r="O120" s="478">
        <f t="shared" si="17"/>
        <v>0</v>
      </c>
      <c r="P120" s="478">
        <f t="shared" si="18"/>
        <v>0</v>
      </c>
    </row>
    <row r="121" spans="2:16" ht="12.5">
      <c r="B121" s="160" t="str">
        <f t="shared" si="19"/>
        <v/>
      </c>
      <c r="C121" s="472">
        <f>IF(D93="","-",+C120+1)</f>
        <v>2040</v>
      </c>
      <c r="D121" s="346">
        <f>IF(F120+SUM(E$99:E120)=D$92,F120,D$92-SUM(E$99:E120))</f>
        <v>553078.5</v>
      </c>
      <c r="E121" s="484">
        <f t="shared" si="20"/>
        <v>28687</v>
      </c>
      <c r="F121" s="485">
        <f t="shared" si="21"/>
        <v>524391.5</v>
      </c>
      <c r="G121" s="485">
        <f t="shared" si="22"/>
        <v>538735</v>
      </c>
      <c r="H121" s="613">
        <f t="shared" si="13"/>
        <v>84238.134840548373</v>
      </c>
      <c r="I121" s="614">
        <f t="shared" si="14"/>
        <v>84238.134840548373</v>
      </c>
      <c r="J121" s="478">
        <f t="shared" si="15"/>
        <v>0</v>
      </c>
      <c r="K121" s="478"/>
      <c r="L121" s="487"/>
      <c r="M121" s="478">
        <f t="shared" si="16"/>
        <v>0</v>
      </c>
      <c r="N121" s="487"/>
      <c r="O121" s="478">
        <f t="shared" si="17"/>
        <v>0</v>
      </c>
      <c r="P121" s="478">
        <f t="shared" si="18"/>
        <v>0</v>
      </c>
    </row>
    <row r="122" spans="2:16" ht="12.5">
      <c r="B122" s="160" t="str">
        <f t="shared" si="19"/>
        <v/>
      </c>
      <c r="C122" s="472">
        <f>IF(D93="","-",+C121+1)</f>
        <v>2041</v>
      </c>
      <c r="D122" s="346">
        <f>IF(F121+SUM(E$99:E121)=D$92,F121,D$92-SUM(E$99:E121))</f>
        <v>524391.5</v>
      </c>
      <c r="E122" s="484">
        <f t="shared" si="20"/>
        <v>28687</v>
      </c>
      <c r="F122" s="485">
        <f t="shared" si="21"/>
        <v>495704.5</v>
      </c>
      <c r="G122" s="485">
        <f t="shared" si="22"/>
        <v>510048</v>
      </c>
      <c r="H122" s="613">
        <f t="shared" si="13"/>
        <v>81280.102774373343</v>
      </c>
      <c r="I122" s="614">
        <f t="shared" si="14"/>
        <v>81280.102774373343</v>
      </c>
      <c r="J122" s="478">
        <f t="shared" si="15"/>
        <v>0</v>
      </c>
      <c r="K122" s="478"/>
      <c r="L122" s="487"/>
      <c r="M122" s="478">
        <f t="shared" si="16"/>
        <v>0</v>
      </c>
      <c r="N122" s="487"/>
      <c r="O122" s="478">
        <f t="shared" si="17"/>
        <v>0</v>
      </c>
      <c r="P122" s="478">
        <f t="shared" si="18"/>
        <v>0</v>
      </c>
    </row>
    <row r="123" spans="2:16" ht="12.5">
      <c r="B123" s="160" t="str">
        <f t="shared" si="19"/>
        <v/>
      </c>
      <c r="C123" s="472">
        <f>IF(D93="","-",+C122+1)</f>
        <v>2042</v>
      </c>
      <c r="D123" s="346">
        <f>IF(F122+SUM(E$99:E122)=D$92,F122,D$92-SUM(E$99:E122))</f>
        <v>495704.5</v>
      </c>
      <c r="E123" s="484">
        <f t="shared" si="20"/>
        <v>28687</v>
      </c>
      <c r="F123" s="485">
        <f t="shared" si="21"/>
        <v>467017.5</v>
      </c>
      <c r="G123" s="485">
        <f t="shared" si="22"/>
        <v>481361</v>
      </c>
      <c r="H123" s="613">
        <f t="shared" si="13"/>
        <v>78322.070708198298</v>
      </c>
      <c r="I123" s="614">
        <f t="shared" si="14"/>
        <v>78322.070708198298</v>
      </c>
      <c r="J123" s="478">
        <f t="shared" si="15"/>
        <v>0</v>
      </c>
      <c r="K123" s="478"/>
      <c r="L123" s="487"/>
      <c r="M123" s="478">
        <f t="shared" si="16"/>
        <v>0</v>
      </c>
      <c r="N123" s="487"/>
      <c r="O123" s="478">
        <f t="shared" si="17"/>
        <v>0</v>
      </c>
      <c r="P123" s="478">
        <f t="shared" si="18"/>
        <v>0</v>
      </c>
    </row>
    <row r="124" spans="2:16" ht="12.5">
      <c r="B124" s="160" t="str">
        <f t="shared" si="19"/>
        <v/>
      </c>
      <c r="C124" s="472">
        <f>IF(D93="","-",+C123+1)</f>
        <v>2043</v>
      </c>
      <c r="D124" s="346">
        <f>IF(F123+SUM(E$99:E123)=D$92,F123,D$92-SUM(E$99:E123))</f>
        <v>467017.5</v>
      </c>
      <c r="E124" s="484">
        <f t="shared" si="20"/>
        <v>28687</v>
      </c>
      <c r="F124" s="485">
        <f t="shared" si="21"/>
        <v>438330.5</v>
      </c>
      <c r="G124" s="485">
        <f t="shared" si="22"/>
        <v>452674</v>
      </c>
      <c r="H124" s="613">
        <f t="shared" si="13"/>
        <v>75364.038642023253</v>
      </c>
      <c r="I124" s="614">
        <f t="shared" si="14"/>
        <v>75364.038642023253</v>
      </c>
      <c r="J124" s="478">
        <f t="shared" si="15"/>
        <v>0</v>
      </c>
      <c r="K124" s="478"/>
      <c r="L124" s="487"/>
      <c r="M124" s="478">
        <f t="shared" si="16"/>
        <v>0</v>
      </c>
      <c r="N124" s="487"/>
      <c r="O124" s="478">
        <f t="shared" si="17"/>
        <v>0</v>
      </c>
      <c r="P124" s="478">
        <f t="shared" si="18"/>
        <v>0</v>
      </c>
    </row>
    <row r="125" spans="2:16" ht="12.5">
      <c r="B125" s="160" t="str">
        <f t="shared" si="19"/>
        <v/>
      </c>
      <c r="C125" s="472">
        <f>IF(D93="","-",+C124+1)</f>
        <v>2044</v>
      </c>
      <c r="D125" s="346">
        <f>IF(F124+SUM(E$99:E124)=D$92,F124,D$92-SUM(E$99:E124))</f>
        <v>438330.5</v>
      </c>
      <c r="E125" s="484">
        <f t="shared" si="20"/>
        <v>28687</v>
      </c>
      <c r="F125" s="485">
        <f t="shared" si="21"/>
        <v>409643.5</v>
      </c>
      <c r="G125" s="485">
        <f t="shared" si="22"/>
        <v>423987</v>
      </c>
      <c r="H125" s="613">
        <f t="shared" si="13"/>
        <v>72406.006575848209</v>
      </c>
      <c r="I125" s="614">
        <f t="shared" si="14"/>
        <v>72406.006575848209</v>
      </c>
      <c r="J125" s="478">
        <f t="shared" si="15"/>
        <v>0</v>
      </c>
      <c r="K125" s="478"/>
      <c r="L125" s="487"/>
      <c r="M125" s="478">
        <f t="shared" si="16"/>
        <v>0</v>
      </c>
      <c r="N125" s="487"/>
      <c r="O125" s="478">
        <f t="shared" si="17"/>
        <v>0</v>
      </c>
      <c r="P125" s="478">
        <f t="shared" si="18"/>
        <v>0</v>
      </c>
    </row>
    <row r="126" spans="2:16" ht="12.5">
      <c r="B126" s="160" t="str">
        <f t="shared" si="19"/>
        <v/>
      </c>
      <c r="C126" s="472">
        <f>IF(D93="","-",+C125+1)</f>
        <v>2045</v>
      </c>
      <c r="D126" s="346">
        <f>IF(F125+SUM(E$99:E125)=D$92,F125,D$92-SUM(E$99:E125))</f>
        <v>409643.5</v>
      </c>
      <c r="E126" s="484">
        <f t="shared" si="20"/>
        <v>28687</v>
      </c>
      <c r="F126" s="485">
        <f t="shared" si="21"/>
        <v>380956.5</v>
      </c>
      <c r="G126" s="485">
        <f t="shared" si="22"/>
        <v>395300</v>
      </c>
      <c r="H126" s="613">
        <f t="shared" si="13"/>
        <v>69447.974509673164</v>
      </c>
      <c r="I126" s="614">
        <f t="shared" si="14"/>
        <v>69447.974509673164</v>
      </c>
      <c r="J126" s="478">
        <f t="shared" si="15"/>
        <v>0</v>
      </c>
      <c r="K126" s="478"/>
      <c r="L126" s="487"/>
      <c r="M126" s="478">
        <f t="shared" si="16"/>
        <v>0</v>
      </c>
      <c r="N126" s="487"/>
      <c r="O126" s="478">
        <f t="shared" si="17"/>
        <v>0</v>
      </c>
      <c r="P126" s="478">
        <f t="shared" si="18"/>
        <v>0</v>
      </c>
    </row>
    <row r="127" spans="2:16" ht="12.5">
      <c r="B127" s="160" t="str">
        <f t="shared" si="19"/>
        <v/>
      </c>
      <c r="C127" s="472">
        <f>IF(D93="","-",+C126+1)</f>
        <v>2046</v>
      </c>
      <c r="D127" s="346">
        <f>IF(F126+SUM(E$99:E126)=D$92,F126,D$92-SUM(E$99:E126))</f>
        <v>380956.5</v>
      </c>
      <c r="E127" s="484">
        <f t="shared" si="20"/>
        <v>28687</v>
      </c>
      <c r="F127" s="485">
        <f t="shared" si="21"/>
        <v>352269.5</v>
      </c>
      <c r="G127" s="485">
        <f t="shared" si="22"/>
        <v>366613</v>
      </c>
      <c r="H127" s="613">
        <f t="shared" si="13"/>
        <v>66489.942443498119</v>
      </c>
      <c r="I127" s="614">
        <f t="shared" si="14"/>
        <v>66489.942443498119</v>
      </c>
      <c r="J127" s="478">
        <f t="shared" si="15"/>
        <v>0</v>
      </c>
      <c r="K127" s="478"/>
      <c r="L127" s="487"/>
      <c r="M127" s="478">
        <f t="shared" si="16"/>
        <v>0</v>
      </c>
      <c r="N127" s="487"/>
      <c r="O127" s="478">
        <f t="shared" si="17"/>
        <v>0</v>
      </c>
      <c r="P127" s="478">
        <f t="shared" si="18"/>
        <v>0</v>
      </c>
    </row>
    <row r="128" spans="2:16" ht="12.5">
      <c r="B128" s="160" t="str">
        <f t="shared" si="19"/>
        <v/>
      </c>
      <c r="C128" s="472">
        <f>IF(D93="","-",+C127+1)</f>
        <v>2047</v>
      </c>
      <c r="D128" s="346">
        <f>IF(F127+SUM(E$99:E127)=D$92,F127,D$92-SUM(E$99:E127))</f>
        <v>352269.5</v>
      </c>
      <c r="E128" s="484">
        <f t="shared" si="20"/>
        <v>28687</v>
      </c>
      <c r="F128" s="485">
        <f t="shared" si="21"/>
        <v>323582.5</v>
      </c>
      <c r="G128" s="485">
        <f t="shared" si="22"/>
        <v>337926</v>
      </c>
      <c r="H128" s="613">
        <f t="shared" si="13"/>
        <v>63531.910377323082</v>
      </c>
      <c r="I128" s="614">
        <f t="shared" si="14"/>
        <v>63531.910377323082</v>
      </c>
      <c r="J128" s="478">
        <f t="shared" si="15"/>
        <v>0</v>
      </c>
      <c r="K128" s="478"/>
      <c r="L128" s="487"/>
      <c r="M128" s="478">
        <f t="shared" si="16"/>
        <v>0</v>
      </c>
      <c r="N128" s="487"/>
      <c r="O128" s="478">
        <f t="shared" si="17"/>
        <v>0</v>
      </c>
      <c r="P128" s="478">
        <f t="shared" si="18"/>
        <v>0</v>
      </c>
    </row>
    <row r="129" spans="2:16" ht="12.5">
      <c r="B129" s="160" t="str">
        <f t="shared" si="19"/>
        <v/>
      </c>
      <c r="C129" s="472">
        <f>IF(D93="","-",+C128+1)</f>
        <v>2048</v>
      </c>
      <c r="D129" s="346">
        <f>IF(F128+SUM(E$99:E128)=D$92,F128,D$92-SUM(E$99:E128))</f>
        <v>323582.5</v>
      </c>
      <c r="E129" s="484">
        <f t="shared" si="20"/>
        <v>28687</v>
      </c>
      <c r="F129" s="485">
        <f t="shared" si="21"/>
        <v>294895.5</v>
      </c>
      <c r="G129" s="485">
        <f t="shared" si="22"/>
        <v>309239</v>
      </c>
      <c r="H129" s="613">
        <f t="shared" si="13"/>
        <v>60573.878311148044</v>
      </c>
      <c r="I129" s="614">
        <f t="shared" si="14"/>
        <v>60573.878311148044</v>
      </c>
      <c r="J129" s="478">
        <f t="shared" si="15"/>
        <v>0</v>
      </c>
      <c r="K129" s="478"/>
      <c r="L129" s="487"/>
      <c r="M129" s="478">
        <f t="shared" si="16"/>
        <v>0</v>
      </c>
      <c r="N129" s="487"/>
      <c r="O129" s="478">
        <f t="shared" si="17"/>
        <v>0</v>
      </c>
      <c r="P129" s="478">
        <f t="shared" si="18"/>
        <v>0</v>
      </c>
    </row>
    <row r="130" spans="2:16" ht="12.5">
      <c r="B130" s="160" t="str">
        <f t="shared" si="19"/>
        <v/>
      </c>
      <c r="C130" s="472">
        <f>IF(D93="","-",+C129+1)</f>
        <v>2049</v>
      </c>
      <c r="D130" s="346">
        <f>IF(F129+SUM(E$99:E129)=D$92,F129,D$92-SUM(E$99:E129))</f>
        <v>294895.5</v>
      </c>
      <c r="E130" s="484">
        <f t="shared" si="20"/>
        <v>28687</v>
      </c>
      <c r="F130" s="485">
        <f t="shared" si="21"/>
        <v>266208.5</v>
      </c>
      <c r="G130" s="485">
        <f t="shared" si="22"/>
        <v>280552</v>
      </c>
      <c r="H130" s="613">
        <f t="shared" si="13"/>
        <v>57615.846244973</v>
      </c>
      <c r="I130" s="614">
        <f t="shared" si="14"/>
        <v>57615.846244973</v>
      </c>
      <c r="J130" s="478">
        <f t="shared" si="15"/>
        <v>0</v>
      </c>
      <c r="K130" s="478"/>
      <c r="L130" s="487"/>
      <c r="M130" s="478">
        <f t="shared" si="16"/>
        <v>0</v>
      </c>
      <c r="N130" s="487"/>
      <c r="O130" s="478">
        <f t="shared" si="17"/>
        <v>0</v>
      </c>
      <c r="P130" s="478">
        <f t="shared" si="18"/>
        <v>0</v>
      </c>
    </row>
    <row r="131" spans="2:16" ht="12.5">
      <c r="B131" s="160" t="str">
        <f t="shared" si="19"/>
        <v/>
      </c>
      <c r="C131" s="472">
        <f>IF(D93="","-",+C130+1)</f>
        <v>2050</v>
      </c>
      <c r="D131" s="346">
        <f>IF(F130+SUM(E$99:E130)=D$92,F130,D$92-SUM(E$99:E130))</f>
        <v>266208.5</v>
      </c>
      <c r="E131" s="484">
        <f t="shared" si="20"/>
        <v>28687</v>
      </c>
      <c r="F131" s="485">
        <f t="shared" si="21"/>
        <v>237521.5</v>
      </c>
      <c r="G131" s="485">
        <f t="shared" si="22"/>
        <v>251865</v>
      </c>
      <c r="H131" s="613">
        <f t="shared" si="13"/>
        <v>54657.814178797955</v>
      </c>
      <c r="I131" s="614">
        <f t="shared" si="14"/>
        <v>54657.814178797955</v>
      </c>
      <c r="J131" s="478">
        <f t="shared" ref="J131:J154" si="23">+I541-H541</f>
        <v>0</v>
      </c>
      <c r="K131" s="478"/>
      <c r="L131" s="487"/>
      <c r="M131" s="478">
        <f t="shared" ref="M131:M154" si="24">IF(L541&lt;&gt;0,+H541-L541,0)</f>
        <v>0</v>
      </c>
      <c r="N131" s="487"/>
      <c r="O131" s="478">
        <f t="shared" ref="O131:O154" si="25">IF(N541&lt;&gt;0,+I541-N541,0)</f>
        <v>0</v>
      </c>
      <c r="P131" s="478">
        <f t="shared" ref="P131:P154" si="26">+O541-M541</f>
        <v>0</v>
      </c>
    </row>
    <row r="132" spans="2:16" ht="12.5">
      <c r="B132" s="160" t="str">
        <f t="shared" si="19"/>
        <v/>
      </c>
      <c r="C132" s="472">
        <f>IF(D93="","-",+C131+1)</f>
        <v>2051</v>
      </c>
      <c r="D132" s="346">
        <f>IF(F131+SUM(E$99:E131)=D$92,F131,D$92-SUM(E$99:E131))</f>
        <v>237521.5</v>
      </c>
      <c r="E132" s="484">
        <f t="shared" si="20"/>
        <v>28687</v>
      </c>
      <c r="F132" s="485">
        <f t="shared" si="21"/>
        <v>208834.5</v>
      </c>
      <c r="G132" s="485">
        <f t="shared" si="22"/>
        <v>223178</v>
      </c>
      <c r="H132" s="613">
        <f t="shared" si="13"/>
        <v>51699.78211262291</v>
      </c>
      <c r="I132" s="614">
        <f t="shared" si="14"/>
        <v>51699.78211262291</v>
      </c>
      <c r="J132" s="478">
        <f t="shared" si="23"/>
        <v>0</v>
      </c>
      <c r="K132" s="478"/>
      <c r="L132" s="487"/>
      <c r="M132" s="478">
        <f t="shared" si="24"/>
        <v>0</v>
      </c>
      <c r="N132" s="487"/>
      <c r="O132" s="478">
        <f t="shared" si="25"/>
        <v>0</v>
      </c>
      <c r="P132" s="478">
        <f t="shared" si="26"/>
        <v>0</v>
      </c>
    </row>
    <row r="133" spans="2:16" ht="12.5">
      <c r="B133" s="160" t="str">
        <f t="shared" si="19"/>
        <v/>
      </c>
      <c r="C133" s="472">
        <f>IF(D93="","-",+C132+1)</f>
        <v>2052</v>
      </c>
      <c r="D133" s="346">
        <f>IF(F132+SUM(E$99:E132)=D$92,F132,D$92-SUM(E$99:E132))</f>
        <v>208834.5</v>
      </c>
      <c r="E133" s="484">
        <f t="shared" si="20"/>
        <v>28687</v>
      </c>
      <c r="F133" s="485">
        <f t="shared" si="21"/>
        <v>180147.5</v>
      </c>
      <c r="G133" s="485">
        <f t="shared" si="22"/>
        <v>194491</v>
      </c>
      <c r="H133" s="613">
        <f t="shared" si="13"/>
        <v>48741.750046447873</v>
      </c>
      <c r="I133" s="614">
        <f t="shared" si="14"/>
        <v>48741.750046447873</v>
      </c>
      <c r="J133" s="478">
        <f t="shared" si="23"/>
        <v>0</v>
      </c>
      <c r="K133" s="478"/>
      <c r="L133" s="487"/>
      <c r="M133" s="478">
        <f t="shared" si="24"/>
        <v>0</v>
      </c>
      <c r="N133" s="487"/>
      <c r="O133" s="478">
        <f t="shared" si="25"/>
        <v>0</v>
      </c>
      <c r="P133" s="478">
        <f t="shared" si="26"/>
        <v>0</v>
      </c>
    </row>
    <row r="134" spans="2:16" ht="12.5">
      <c r="B134" s="160" t="str">
        <f t="shared" si="19"/>
        <v/>
      </c>
      <c r="C134" s="472">
        <f>IF(D93="","-",+C133+1)</f>
        <v>2053</v>
      </c>
      <c r="D134" s="346">
        <f>IF(F133+SUM(E$99:E133)=D$92,F133,D$92-SUM(E$99:E133))</f>
        <v>180147.5</v>
      </c>
      <c r="E134" s="484">
        <f t="shared" si="20"/>
        <v>28687</v>
      </c>
      <c r="F134" s="485">
        <f t="shared" si="21"/>
        <v>151460.5</v>
      </c>
      <c r="G134" s="485">
        <f t="shared" si="22"/>
        <v>165804</v>
      </c>
      <c r="H134" s="613">
        <f t="shared" si="13"/>
        <v>45783.717980272828</v>
      </c>
      <c r="I134" s="614">
        <f t="shared" si="14"/>
        <v>45783.717980272828</v>
      </c>
      <c r="J134" s="478">
        <f t="shared" si="23"/>
        <v>0</v>
      </c>
      <c r="K134" s="478"/>
      <c r="L134" s="487"/>
      <c r="M134" s="478">
        <f t="shared" si="24"/>
        <v>0</v>
      </c>
      <c r="N134" s="487"/>
      <c r="O134" s="478">
        <f t="shared" si="25"/>
        <v>0</v>
      </c>
      <c r="P134" s="478">
        <f t="shared" si="26"/>
        <v>0</v>
      </c>
    </row>
    <row r="135" spans="2:16" ht="12.5">
      <c r="B135" s="160" t="str">
        <f t="shared" si="19"/>
        <v/>
      </c>
      <c r="C135" s="472">
        <f>IF(D93="","-",+C134+1)</f>
        <v>2054</v>
      </c>
      <c r="D135" s="346">
        <f>IF(F134+SUM(E$99:E134)=D$92,F134,D$92-SUM(E$99:E134))</f>
        <v>151460.5</v>
      </c>
      <c r="E135" s="484">
        <f t="shared" si="20"/>
        <v>28687</v>
      </c>
      <c r="F135" s="485">
        <f t="shared" si="21"/>
        <v>122773.5</v>
      </c>
      <c r="G135" s="485">
        <f t="shared" si="22"/>
        <v>137117</v>
      </c>
      <c r="H135" s="613">
        <f t="shared" si="13"/>
        <v>42825.68591409779</v>
      </c>
      <c r="I135" s="614">
        <f t="shared" si="14"/>
        <v>42825.68591409779</v>
      </c>
      <c r="J135" s="478">
        <f t="shared" si="23"/>
        <v>0</v>
      </c>
      <c r="K135" s="478"/>
      <c r="L135" s="487"/>
      <c r="M135" s="478">
        <f t="shared" si="24"/>
        <v>0</v>
      </c>
      <c r="N135" s="487"/>
      <c r="O135" s="478">
        <f t="shared" si="25"/>
        <v>0</v>
      </c>
      <c r="P135" s="478">
        <f t="shared" si="26"/>
        <v>0</v>
      </c>
    </row>
    <row r="136" spans="2:16" ht="12.5">
      <c r="B136" s="160" t="str">
        <f t="shared" si="19"/>
        <v/>
      </c>
      <c r="C136" s="472">
        <f>IF(D93="","-",+C135+1)</f>
        <v>2055</v>
      </c>
      <c r="D136" s="346">
        <f>IF(F135+SUM(E$99:E135)=D$92,F135,D$92-SUM(E$99:E135))</f>
        <v>122773.5</v>
      </c>
      <c r="E136" s="484">
        <f t="shared" si="20"/>
        <v>28687</v>
      </c>
      <c r="F136" s="485">
        <f t="shared" si="21"/>
        <v>94086.5</v>
      </c>
      <c r="G136" s="485">
        <f t="shared" si="22"/>
        <v>108430</v>
      </c>
      <c r="H136" s="613">
        <f t="shared" si="13"/>
        <v>39867.653847922746</v>
      </c>
      <c r="I136" s="614">
        <f t="shared" si="14"/>
        <v>39867.653847922746</v>
      </c>
      <c r="J136" s="478">
        <f t="shared" si="23"/>
        <v>0</v>
      </c>
      <c r="K136" s="478"/>
      <c r="L136" s="487"/>
      <c r="M136" s="478">
        <f t="shared" si="24"/>
        <v>0</v>
      </c>
      <c r="N136" s="487"/>
      <c r="O136" s="478">
        <f t="shared" si="25"/>
        <v>0</v>
      </c>
      <c r="P136" s="478">
        <f t="shared" si="26"/>
        <v>0</v>
      </c>
    </row>
    <row r="137" spans="2:16" ht="12.5">
      <c r="B137" s="160" t="str">
        <f t="shared" si="19"/>
        <v/>
      </c>
      <c r="C137" s="472">
        <f>IF(D93="","-",+C136+1)</f>
        <v>2056</v>
      </c>
      <c r="D137" s="346">
        <f>IF(F136+SUM(E$99:E136)=D$92,F136,D$92-SUM(E$99:E136))</f>
        <v>94086.5</v>
      </c>
      <c r="E137" s="484">
        <f t="shared" si="20"/>
        <v>28687</v>
      </c>
      <c r="F137" s="485">
        <f t="shared" si="21"/>
        <v>65399.5</v>
      </c>
      <c r="G137" s="485">
        <f t="shared" si="22"/>
        <v>79743</v>
      </c>
      <c r="H137" s="613">
        <f t="shared" si="13"/>
        <v>36909.621781747701</v>
      </c>
      <c r="I137" s="614">
        <f t="shared" si="14"/>
        <v>36909.621781747701</v>
      </c>
      <c r="J137" s="478">
        <f t="shared" si="23"/>
        <v>0</v>
      </c>
      <c r="K137" s="478"/>
      <c r="L137" s="487"/>
      <c r="M137" s="478">
        <f t="shared" si="24"/>
        <v>0</v>
      </c>
      <c r="N137" s="487"/>
      <c r="O137" s="478">
        <f t="shared" si="25"/>
        <v>0</v>
      </c>
      <c r="P137" s="478">
        <f t="shared" si="26"/>
        <v>0</v>
      </c>
    </row>
    <row r="138" spans="2:16" ht="12.5">
      <c r="B138" s="160" t="str">
        <f t="shared" si="19"/>
        <v/>
      </c>
      <c r="C138" s="472">
        <f>IF(D93="","-",+C137+1)</f>
        <v>2057</v>
      </c>
      <c r="D138" s="346">
        <f>IF(F137+SUM(E$99:E137)=D$92,F137,D$92-SUM(E$99:E137))</f>
        <v>65399.5</v>
      </c>
      <c r="E138" s="484">
        <f t="shared" si="20"/>
        <v>28687</v>
      </c>
      <c r="F138" s="485">
        <f t="shared" si="21"/>
        <v>36712.5</v>
      </c>
      <c r="G138" s="485">
        <f t="shared" si="22"/>
        <v>51056</v>
      </c>
      <c r="H138" s="613">
        <f t="shared" si="13"/>
        <v>33951.589715572663</v>
      </c>
      <c r="I138" s="614">
        <f t="shared" si="14"/>
        <v>33951.589715572663</v>
      </c>
      <c r="J138" s="478">
        <f t="shared" si="23"/>
        <v>0</v>
      </c>
      <c r="K138" s="478"/>
      <c r="L138" s="487"/>
      <c r="M138" s="478">
        <f t="shared" si="24"/>
        <v>0</v>
      </c>
      <c r="N138" s="487"/>
      <c r="O138" s="478">
        <f t="shared" si="25"/>
        <v>0</v>
      </c>
      <c r="P138" s="478">
        <f t="shared" si="26"/>
        <v>0</v>
      </c>
    </row>
    <row r="139" spans="2:16" ht="12.5">
      <c r="B139" s="160" t="str">
        <f t="shared" si="19"/>
        <v/>
      </c>
      <c r="C139" s="472">
        <f>IF(D93="","-",+C138+1)</f>
        <v>2058</v>
      </c>
      <c r="D139" s="346">
        <f>IF(F138+SUM(E$99:E138)=D$92,F138,D$92-SUM(E$99:E138))</f>
        <v>36712.5</v>
      </c>
      <c r="E139" s="484">
        <f t="shared" si="20"/>
        <v>28687</v>
      </c>
      <c r="F139" s="485">
        <f t="shared" si="21"/>
        <v>8025.5</v>
      </c>
      <c r="G139" s="485">
        <f t="shared" si="22"/>
        <v>22369</v>
      </c>
      <c r="H139" s="613">
        <f t="shared" si="13"/>
        <v>30993.557649397619</v>
      </c>
      <c r="I139" s="614">
        <f t="shared" si="14"/>
        <v>30993.557649397619</v>
      </c>
      <c r="J139" s="478">
        <f t="shared" si="23"/>
        <v>0</v>
      </c>
      <c r="K139" s="478"/>
      <c r="L139" s="487"/>
      <c r="M139" s="478">
        <f t="shared" si="24"/>
        <v>0</v>
      </c>
      <c r="N139" s="487"/>
      <c r="O139" s="478">
        <f t="shared" si="25"/>
        <v>0</v>
      </c>
      <c r="P139" s="478">
        <f t="shared" si="26"/>
        <v>0</v>
      </c>
    </row>
    <row r="140" spans="2:16" ht="12.5">
      <c r="B140" s="160" t="str">
        <f t="shared" si="19"/>
        <v/>
      </c>
      <c r="C140" s="472">
        <f>IF(D93="","-",+C139+1)</f>
        <v>2059</v>
      </c>
      <c r="D140" s="346">
        <f>IF(F139+SUM(E$99:E139)=D$92,F139,D$92-SUM(E$99:E139))</f>
        <v>8025.5</v>
      </c>
      <c r="E140" s="484">
        <f t="shared" si="20"/>
        <v>8025.5</v>
      </c>
      <c r="F140" s="485">
        <f t="shared" si="21"/>
        <v>0</v>
      </c>
      <c r="G140" s="485">
        <f t="shared" si="22"/>
        <v>4012.75</v>
      </c>
      <c r="H140" s="613">
        <f t="shared" si="13"/>
        <v>8439.27080815505</v>
      </c>
      <c r="I140" s="614">
        <f t="shared" si="14"/>
        <v>8439.27080815505</v>
      </c>
      <c r="J140" s="478">
        <f t="shared" si="23"/>
        <v>0</v>
      </c>
      <c r="K140" s="478"/>
      <c r="L140" s="487"/>
      <c r="M140" s="478">
        <f t="shared" si="24"/>
        <v>0</v>
      </c>
      <c r="N140" s="487"/>
      <c r="O140" s="478">
        <f t="shared" si="25"/>
        <v>0</v>
      </c>
      <c r="P140" s="478">
        <f t="shared" si="26"/>
        <v>0</v>
      </c>
    </row>
    <row r="141" spans="2:16" ht="12.5">
      <c r="B141" s="160" t="str">
        <f t="shared" si="19"/>
        <v/>
      </c>
      <c r="C141" s="472">
        <f>IF(D93="","-",+C140+1)</f>
        <v>2060</v>
      </c>
      <c r="D141" s="346">
        <f>IF(F140+SUM(E$99:E140)=D$92,F140,D$92-SUM(E$99:E140))</f>
        <v>0</v>
      </c>
      <c r="E141" s="484">
        <f t="shared" si="20"/>
        <v>0</v>
      </c>
      <c r="F141" s="485">
        <f t="shared" si="21"/>
        <v>0</v>
      </c>
      <c r="G141" s="485">
        <f t="shared" si="22"/>
        <v>0</v>
      </c>
      <c r="H141" s="613">
        <f t="shared" si="13"/>
        <v>0</v>
      </c>
      <c r="I141" s="614">
        <f t="shared" si="14"/>
        <v>0</v>
      </c>
      <c r="J141" s="478">
        <f t="shared" si="23"/>
        <v>0</v>
      </c>
      <c r="K141" s="478"/>
      <c r="L141" s="487"/>
      <c r="M141" s="478">
        <f t="shared" si="24"/>
        <v>0</v>
      </c>
      <c r="N141" s="487"/>
      <c r="O141" s="478">
        <f t="shared" si="25"/>
        <v>0</v>
      </c>
      <c r="P141" s="478">
        <f t="shared" si="26"/>
        <v>0</v>
      </c>
    </row>
    <row r="142" spans="2:16" ht="12.5">
      <c r="B142" s="160" t="str">
        <f t="shared" si="19"/>
        <v/>
      </c>
      <c r="C142" s="472">
        <f>IF(D93="","-",+C141+1)</f>
        <v>2061</v>
      </c>
      <c r="D142" s="346">
        <f>IF(F141+SUM(E$99:E141)=D$92,F141,D$92-SUM(E$99:E141))</f>
        <v>0</v>
      </c>
      <c r="E142" s="484">
        <f t="shared" si="20"/>
        <v>0</v>
      </c>
      <c r="F142" s="485">
        <f t="shared" si="21"/>
        <v>0</v>
      </c>
      <c r="G142" s="485">
        <f t="shared" si="22"/>
        <v>0</v>
      </c>
      <c r="H142" s="613">
        <f t="shared" si="13"/>
        <v>0</v>
      </c>
      <c r="I142" s="614">
        <f t="shared" si="14"/>
        <v>0</v>
      </c>
      <c r="J142" s="478">
        <f t="shared" si="23"/>
        <v>0</v>
      </c>
      <c r="K142" s="478"/>
      <c r="L142" s="487"/>
      <c r="M142" s="478">
        <f t="shared" si="24"/>
        <v>0</v>
      </c>
      <c r="N142" s="487"/>
      <c r="O142" s="478">
        <f t="shared" si="25"/>
        <v>0</v>
      </c>
      <c r="P142" s="478">
        <f t="shared" si="26"/>
        <v>0</v>
      </c>
    </row>
    <row r="143" spans="2:16" ht="12.5">
      <c r="B143" s="160" t="str">
        <f t="shared" si="19"/>
        <v/>
      </c>
      <c r="C143" s="472">
        <f>IF(D93="","-",+C142+1)</f>
        <v>2062</v>
      </c>
      <c r="D143" s="346">
        <f>IF(F142+SUM(E$99:E142)=D$92,F142,D$92-SUM(E$99:E142))</f>
        <v>0</v>
      </c>
      <c r="E143" s="484">
        <f t="shared" si="20"/>
        <v>0</v>
      </c>
      <c r="F143" s="485">
        <f t="shared" si="21"/>
        <v>0</v>
      </c>
      <c r="G143" s="485">
        <f t="shared" si="22"/>
        <v>0</v>
      </c>
      <c r="H143" s="613">
        <f t="shared" si="13"/>
        <v>0</v>
      </c>
      <c r="I143" s="614">
        <f t="shared" si="14"/>
        <v>0</v>
      </c>
      <c r="J143" s="478">
        <f t="shared" si="23"/>
        <v>0</v>
      </c>
      <c r="K143" s="478"/>
      <c r="L143" s="487"/>
      <c r="M143" s="478">
        <f t="shared" si="24"/>
        <v>0</v>
      </c>
      <c r="N143" s="487"/>
      <c r="O143" s="478">
        <f t="shared" si="25"/>
        <v>0</v>
      </c>
      <c r="P143" s="478">
        <f t="shared" si="26"/>
        <v>0</v>
      </c>
    </row>
    <row r="144" spans="2:16" ht="12.5">
      <c r="B144" s="160" t="str">
        <f t="shared" si="19"/>
        <v/>
      </c>
      <c r="C144" s="472">
        <f>IF(D93="","-",+C143+1)</f>
        <v>2063</v>
      </c>
      <c r="D144" s="346">
        <f>IF(F143+SUM(E$99:E143)=D$92,F143,D$92-SUM(E$99:E143))</f>
        <v>0</v>
      </c>
      <c r="E144" s="484">
        <f t="shared" si="20"/>
        <v>0</v>
      </c>
      <c r="F144" s="485">
        <f t="shared" si="21"/>
        <v>0</v>
      </c>
      <c r="G144" s="485">
        <f t="shared" si="22"/>
        <v>0</v>
      </c>
      <c r="H144" s="613">
        <f t="shared" si="13"/>
        <v>0</v>
      </c>
      <c r="I144" s="614">
        <f t="shared" si="14"/>
        <v>0</v>
      </c>
      <c r="J144" s="478">
        <f t="shared" si="23"/>
        <v>0</v>
      </c>
      <c r="K144" s="478"/>
      <c r="L144" s="487"/>
      <c r="M144" s="478">
        <f t="shared" si="24"/>
        <v>0</v>
      </c>
      <c r="N144" s="487"/>
      <c r="O144" s="478">
        <f t="shared" si="25"/>
        <v>0</v>
      </c>
      <c r="P144" s="478">
        <f t="shared" si="26"/>
        <v>0</v>
      </c>
    </row>
    <row r="145" spans="2:16" ht="12.5">
      <c r="B145" s="160" t="str">
        <f t="shared" si="19"/>
        <v/>
      </c>
      <c r="C145" s="472">
        <f>IF(D93="","-",+C144+1)</f>
        <v>2064</v>
      </c>
      <c r="D145" s="346">
        <f>IF(F144+SUM(E$99:E144)=D$92,F144,D$92-SUM(E$99:E144))</f>
        <v>0</v>
      </c>
      <c r="E145" s="484">
        <f t="shared" si="20"/>
        <v>0</v>
      </c>
      <c r="F145" s="485">
        <f t="shared" si="21"/>
        <v>0</v>
      </c>
      <c r="G145" s="485">
        <f t="shared" si="22"/>
        <v>0</v>
      </c>
      <c r="H145" s="613">
        <f t="shared" si="13"/>
        <v>0</v>
      </c>
      <c r="I145" s="614">
        <f t="shared" si="14"/>
        <v>0</v>
      </c>
      <c r="J145" s="478">
        <f t="shared" si="23"/>
        <v>0</v>
      </c>
      <c r="K145" s="478"/>
      <c r="L145" s="487"/>
      <c r="M145" s="478">
        <f t="shared" si="24"/>
        <v>0</v>
      </c>
      <c r="N145" s="487"/>
      <c r="O145" s="478">
        <f t="shared" si="25"/>
        <v>0</v>
      </c>
      <c r="P145" s="478">
        <f t="shared" si="26"/>
        <v>0</v>
      </c>
    </row>
    <row r="146" spans="2:16" ht="12.5">
      <c r="B146" s="160" t="str">
        <f t="shared" si="19"/>
        <v/>
      </c>
      <c r="C146" s="472">
        <f>IF(D93="","-",+C145+1)</f>
        <v>2065</v>
      </c>
      <c r="D146" s="346">
        <f>IF(F145+SUM(E$99:E145)=D$92,F145,D$92-SUM(E$99:E145))</f>
        <v>0</v>
      </c>
      <c r="E146" s="484">
        <f t="shared" si="20"/>
        <v>0</v>
      </c>
      <c r="F146" s="485">
        <f t="shared" si="21"/>
        <v>0</v>
      </c>
      <c r="G146" s="485">
        <f t="shared" si="22"/>
        <v>0</v>
      </c>
      <c r="H146" s="613">
        <f t="shared" si="13"/>
        <v>0</v>
      </c>
      <c r="I146" s="614">
        <f t="shared" si="14"/>
        <v>0</v>
      </c>
      <c r="J146" s="478">
        <f t="shared" si="23"/>
        <v>0</v>
      </c>
      <c r="K146" s="478"/>
      <c r="L146" s="487"/>
      <c r="M146" s="478">
        <f t="shared" si="24"/>
        <v>0</v>
      </c>
      <c r="N146" s="487"/>
      <c r="O146" s="478">
        <f t="shared" si="25"/>
        <v>0</v>
      </c>
      <c r="P146" s="478">
        <f t="shared" si="26"/>
        <v>0</v>
      </c>
    </row>
    <row r="147" spans="2:16" ht="12.5">
      <c r="B147" s="160" t="str">
        <f t="shared" si="19"/>
        <v/>
      </c>
      <c r="C147" s="472">
        <f>IF(D93="","-",+C146+1)</f>
        <v>2066</v>
      </c>
      <c r="D147" s="346">
        <f>IF(F146+SUM(E$99:E146)=D$92,F146,D$92-SUM(E$99:E146))</f>
        <v>0</v>
      </c>
      <c r="E147" s="484">
        <f t="shared" si="20"/>
        <v>0</v>
      </c>
      <c r="F147" s="485">
        <f t="shared" si="21"/>
        <v>0</v>
      </c>
      <c r="G147" s="485">
        <f t="shared" si="22"/>
        <v>0</v>
      </c>
      <c r="H147" s="613">
        <f t="shared" si="13"/>
        <v>0</v>
      </c>
      <c r="I147" s="614">
        <f t="shared" si="14"/>
        <v>0</v>
      </c>
      <c r="J147" s="478">
        <f t="shared" si="23"/>
        <v>0</v>
      </c>
      <c r="K147" s="478"/>
      <c r="L147" s="487"/>
      <c r="M147" s="478">
        <f t="shared" si="24"/>
        <v>0</v>
      </c>
      <c r="N147" s="487"/>
      <c r="O147" s="478">
        <f t="shared" si="25"/>
        <v>0</v>
      </c>
      <c r="P147" s="478">
        <f t="shared" si="26"/>
        <v>0</v>
      </c>
    </row>
    <row r="148" spans="2:16" ht="12.5">
      <c r="B148" s="160" t="str">
        <f t="shared" si="19"/>
        <v/>
      </c>
      <c r="C148" s="472">
        <f>IF(D93="","-",+C147+1)</f>
        <v>2067</v>
      </c>
      <c r="D148" s="346">
        <f>IF(F147+SUM(E$99:E147)=D$92,F147,D$92-SUM(E$99:E147))</f>
        <v>0</v>
      </c>
      <c r="E148" s="484">
        <f t="shared" si="20"/>
        <v>0</v>
      </c>
      <c r="F148" s="485">
        <f t="shared" si="21"/>
        <v>0</v>
      </c>
      <c r="G148" s="485">
        <f t="shared" si="22"/>
        <v>0</v>
      </c>
      <c r="H148" s="613">
        <f t="shared" si="13"/>
        <v>0</v>
      </c>
      <c r="I148" s="614">
        <f t="shared" si="14"/>
        <v>0</v>
      </c>
      <c r="J148" s="478">
        <f t="shared" si="23"/>
        <v>0</v>
      </c>
      <c r="K148" s="478"/>
      <c r="L148" s="487"/>
      <c r="M148" s="478">
        <f t="shared" si="24"/>
        <v>0</v>
      </c>
      <c r="N148" s="487"/>
      <c r="O148" s="478">
        <f t="shared" si="25"/>
        <v>0</v>
      </c>
      <c r="P148" s="478">
        <f t="shared" si="26"/>
        <v>0</v>
      </c>
    </row>
    <row r="149" spans="2:16" ht="12.5">
      <c r="B149" s="160" t="str">
        <f t="shared" si="19"/>
        <v/>
      </c>
      <c r="C149" s="472">
        <f>IF(D93="","-",+C148+1)</f>
        <v>2068</v>
      </c>
      <c r="D149" s="346">
        <f>IF(F148+SUM(E$99:E148)=D$92,F148,D$92-SUM(E$99:E148))</f>
        <v>0</v>
      </c>
      <c r="E149" s="484">
        <f t="shared" si="20"/>
        <v>0</v>
      </c>
      <c r="F149" s="485">
        <f t="shared" si="21"/>
        <v>0</v>
      </c>
      <c r="G149" s="485">
        <f t="shared" si="22"/>
        <v>0</v>
      </c>
      <c r="H149" s="613">
        <f t="shared" si="13"/>
        <v>0</v>
      </c>
      <c r="I149" s="614">
        <f t="shared" si="14"/>
        <v>0</v>
      </c>
      <c r="J149" s="478">
        <f t="shared" si="23"/>
        <v>0</v>
      </c>
      <c r="K149" s="478"/>
      <c r="L149" s="487"/>
      <c r="M149" s="478">
        <f t="shared" si="24"/>
        <v>0</v>
      </c>
      <c r="N149" s="487"/>
      <c r="O149" s="478">
        <f t="shared" si="25"/>
        <v>0</v>
      </c>
      <c r="P149" s="478">
        <f t="shared" si="26"/>
        <v>0</v>
      </c>
    </row>
    <row r="150" spans="2:16" ht="12.5">
      <c r="B150" s="160" t="str">
        <f t="shared" si="19"/>
        <v/>
      </c>
      <c r="C150" s="472">
        <f>IF(D93="","-",+C149+1)</f>
        <v>2069</v>
      </c>
      <c r="D150" s="346">
        <f>IF(F149+SUM(E$99:E149)=D$92,F149,D$92-SUM(E$99:E149))</f>
        <v>0</v>
      </c>
      <c r="E150" s="484">
        <f t="shared" si="20"/>
        <v>0</v>
      </c>
      <c r="F150" s="485">
        <f t="shared" si="21"/>
        <v>0</v>
      </c>
      <c r="G150" s="485">
        <f t="shared" si="22"/>
        <v>0</v>
      </c>
      <c r="H150" s="613">
        <f t="shared" si="13"/>
        <v>0</v>
      </c>
      <c r="I150" s="614">
        <f t="shared" si="14"/>
        <v>0</v>
      </c>
      <c r="J150" s="478">
        <f t="shared" si="23"/>
        <v>0</v>
      </c>
      <c r="K150" s="478"/>
      <c r="L150" s="487"/>
      <c r="M150" s="478">
        <f t="shared" si="24"/>
        <v>0</v>
      </c>
      <c r="N150" s="487"/>
      <c r="O150" s="478">
        <f t="shared" si="25"/>
        <v>0</v>
      </c>
      <c r="P150" s="478">
        <f t="shared" si="26"/>
        <v>0</v>
      </c>
    </row>
    <row r="151" spans="2:16" ht="12.5">
      <c r="B151" s="160" t="str">
        <f t="shared" si="19"/>
        <v/>
      </c>
      <c r="C151" s="472">
        <f>IF(D93="","-",+C150+1)</f>
        <v>2070</v>
      </c>
      <c r="D151" s="346">
        <f>IF(F150+SUM(E$99:E150)=D$92,F150,D$92-SUM(E$99:E150))</f>
        <v>0</v>
      </c>
      <c r="E151" s="484">
        <f t="shared" si="20"/>
        <v>0</v>
      </c>
      <c r="F151" s="485">
        <f t="shared" si="21"/>
        <v>0</v>
      </c>
      <c r="G151" s="485">
        <f t="shared" si="22"/>
        <v>0</v>
      </c>
      <c r="H151" s="613">
        <f t="shared" si="13"/>
        <v>0</v>
      </c>
      <c r="I151" s="614">
        <f t="shared" si="14"/>
        <v>0</v>
      </c>
      <c r="J151" s="478">
        <f t="shared" si="23"/>
        <v>0</v>
      </c>
      <c r="K151" s="478"/>
      <c r="L151" s="487"/>
      <c r="M151" s="478">
        <f t="shared" si="24"/>
        <v>0</v>
      </c>
      <c r="N151" s="487"/>
      <c r="O151" s="478">
        <f t="shared" si="25"/>
        <v>0</v>
      </c>
      <c r="P151" s="478">
        <f t="shared" si="26"/>
        <v>0</v>
      </c>
    </row>
    <row r="152" spans="2:16" ht="12.5">
      <c r="B152" s="160" t="str">
        <f t="shared" si="19"/>
        <v/>
      </c>
      <c r="C152" s="472">
        <f>IF(D93="","-",+C151+1)</f>
        <v>2071</v>
      </c>
      <c r="D152" s="346">
        <f>IF(F151+SUM(E$99:E151)=D$92,F151,D$92-SUM(E$99:E151))</f>
        <v>0</v>
      </c>
      <c r="E152" s="484">
        <f t="shared" si="20"/>
        <v>0</v>
      </c>
      <c r="F152" s="485">
        <f t="shared" si="21"/>
        <v>0</v>
      </c>
      <c r="G152" s="485">
        <f t="shared" si="22"/>
        <v>0</v>
      </c>
      <c r="H152" s="613">
        <f t="shared" si="13"/>
        <v>0</v>
      </c>
      <c r="I152" s="614">
        <f t="shared" si="14"/>
        <v>0</v>
      </c>
      <c r="J152" s="478">
        <f t="shared" si="23"/>
        <v>0</v>
      </c>
      <c r="K152" s="478"/>
      <c r="L152" s="487"/>
      <c r="M152" s="478">
        <f t="shared" si="24"/>
        <v>0</v>
      </c>
      <c r="N152" s="487"/>
      <c r="O152" s="478">
        <f t="shared" si="25"/>
        <v>0</v>
      </c>
      <c r="P152" s="478">
        <f t="shared" si="26"/>
        <v>0</v>
      </c>
    </row>
    <row r="153" spans="2:16" ht="12.5">
      <c r="B153" s="160" t="str">
        <f t="shared" si="19"/>
        <v/>
      </c>
      <c r="C153" s="472">
        <f>IF(D93="","-",+C152+1)</f>
        <v>2072</v>
      </c>
      <c r="D153" s="346">
        <f>IF(F152+SUM(E$99:E152)=D$92,F152,D$92-SUM(E$99:E152))</f>
        <v>0</v>
      </c>
      <c r="E153" s="484">
        <f t="shared" si="20"/>
        <v>0</v>
      </c>
      <c r="F153" s="485">
        <f t="shared" si="21"/>
        <v>0</v>
      </c>
      <c r="G153" s="485">
        <f t="shared" si="22"/>
        <v>0</v>
      </c>
      <c r="H153" s="613">
        <f t="shared" si="13"/>
        <v>0</v>
      </c>
      <c r="I153" s="614">
        <f t="shared" si="14"/>
        <v>0</v>
      </c>
      <c r="J153" s="478">
        <f t="shared" si="23"/>
        <v>0</v>
      </c>
      <c r="K153" s="478"/>
      <c r="L153" s="487"/>
      <c r="M153" s="478">
        <f t="shared" si="24"/>
        <v>0</v>
      </c>
      <c r="N153" s="487"/>
      <c r="O153" s="478">
        <f t="shared" si="25"/>
        <v>0</v>
      </c>
      <c r="P153" s="478">
        <f t="shared" si="26"/>
        <v>0</v>
      </c>
    </row>
    <row r="154" spans="2:16" ht="13" thickBot="1">
      <c r="B154" s="160" t="str">
        <f t="shared" si="19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20"/>
        <v>0</v>
      </c>
      <c r="F154" s="490">
        <f t="shared" si="21"/>
        <v>0</v>
      </c>
      <c r="G154" s="490">
        <f t="shared" si="22"/>
        <v>0</v>
      </c>
      <c r="H154" s="615">
        <f t="shared" si="13"/>
        <v>0</v>
      </c>
      <c r="I154" s="616">
        <f t="shared" si="14"/>
        <v>0</v>
      </c>
      <c r="J154" s="495">
        <f t="shared" si="23"/>
        <v>0</v>
      </c>
      <c r="K154" s="478"/>
      <c r="L154" s="494"/>
      <c r="M154" s="495">
        <f t="shared" si="24"/>
        <v>0</v>
      </c>
      <c r="N154" s="494"/>
      <c r="O154" s="495">
        <f t="shared" si="25"/>
        <v>0</v>
      </c>
      <c r="P154" s="495">
        <f t="shared" si="26"/>
        <v>0</v>
      </c>
    </row>
    <row r="155" spans="2:16" ht="12.5">
      <c r="C155" s="346" t="s">
        <v>77</v>
      </c>
      <c r="D155" s="347"/>
      <c r="E155" s="347">
        <f>SUM(E99:E154)</f>
        <v>1176180</v>
      </c>
      <c r="F155" s="347"/>
      <c r="G155" s="347"/>
      <c r="H155" s="347">
        <f>SUM(H99:H154)</f>
        <v>3666391.0040715407</v>
      </c>
      <c r="I155" s="347">
        <f>SUM(I99:I154)</f>
        <v>3666391.0040715407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13" priority="1" stopIfTrue="1" operator="equal">
      <formula>$I$10</formula>
    </cfRule>
  </conditionalFormatting>
  <conditionalFormatting sqref="C99:C154">
    <cfRule type="cellIs" dxfId="12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80" zoomScaleNormal="80" workbookViewId="0">
      <selection activeCell="D20" sqref="D20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24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166475.36158990141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166475.36158990141</v>
      </c>
      <c r="O6" s="232"/>
      <c r="P6" s="232"/>
    </row>
    <row r="7" spans="1:16" ht="13.5" thickBot="1">
      <c r="C7" s="431" t="s">
        <v>46</v>
      </c>
      <c r="D7" s="599" t="s">
        <v>306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307</v>
      </c>
      <c r="E9" s="577" t="s">
        <v>308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1345383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31287.976744186046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2018</v>
      </c>
      <c r="D17" s="584">
        <v>0</v>
      </c>
      <c r="E17" s="608">
        <v>13511.111111111109</v>
      </c>
      <c r="F17" s="584">
        <v>1202488.888888889</v>
      </c>
      <c r="G17" s="608">
        <v>85515.508884209848</v>
      </c>
      <c r="H17" s="587">
        <v>85515.508884209848</v>
      </c>
      <c r="I17" s="475">
        <f>H17-G17</f>
        <v>0</v>
      </c>
      <c r="J17" s="475"/>
      <c r="K17" s="554">
        <f>+G17</f>
        <v>85515.508884209848</v>
      </c>
      <c r="L17" s="477">
        <f t="shared" ref="L17:L72" si="0">IF(K17&lt;&gt;0,+G17-K17,0)</f>
        <v>0</v>
      </c>
      <c r="M17" s="554">
        <f>+H17</f>
        <v>85515.508884209848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2019</v>
      </c>
      <c r="D18" s="584">
        <v>1202488.888888889</v>
      </c>
      <c r="E18" s="585">
        <v>30400</v>
      </c>
      <c r="F18" s="584">
        <v>1172088.888888889</v>
      </c>
      <c r="G18" s="585">
        <v>162968.67771034624</v>
      </c>
      <c r="H18" s="587">
        <v>162968.67771034624</v>
      </c>
      <c r="I18" s="475">
        <f>H18-G18</f>
        <v>0</v>
      </c>
      <c r="J18" s="475"/>
      <c r="K18" s="478">
        <f>+G18</f>
        <v>162968.67771034624</v>
      </c>
      <c r="L18" s="478">
        <f t="shared" si="0"/>
        <v>0</v>
      </c>
      <c r="M18" s="478">
        <f>+H18</f>
        <v>162968.67771034624</v>
      </c>
      <c r="N18" s="478">
        <f t="shared" si="1"/>
        <v>0</v>
      </c>
      <c r="O18" s="478">
        <f t="shared" si="2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2020</v>
      </c>
      <c r="D19" s="584">
        <v>1304405.6666666667</v>
      </c>
      <c r="E19" s="585">
        <v>32022.357142857141</v>
      </c>
      <c r="F19" s="584">
        <v>1272383.3095238097</v>
      </c>
      <c r="G19" s="585">
        <v>171175.11640159666</v>
      </c>
      <c r="H19" s="587">
        <v>171175.11640159666</v>
      </c>
      <c r="I19" s="475">
        <f t="shared" ref="I19:I71" si="3">H19-G19</f>
        <v>0</v>
      </c>
      <c r="J19" s="475"/>
      <c r="K19" s="478">
        <f>+G19</f>
        <v>171175.11640159666</v>
      </c>
      <c r="L19" s="478">
        <f t="shared" ref="L19" si="4">IF(K19&lt;&gt;0,+G19-K19,0)</f>
        <v>0</v>
      </c>
      <c r="M19" s="478">
        <f>+H19</f>
        <v>171175.11640159666</v>
      </c>
      <c r="N19" s="478">
        <f t="shared" si="1"/>
        <v>0</v>
      </c>
      <c r="O19" s="478">
        <f t="shared" si="2"/>
        <v>0</v>
      </c>
      <c r="P19" s="242"/>
    </row>
    <row r="20" spans="2:16" ht="12.5">
      <c r="B20" s="160" t="str">
        <f t="shared" ref="B20:B72" si="5">IF(D20=F19,"","IU")</f>
        <v>IU</v>
      </c>
      <c r="C20" s="472">
        <f>IF(D11="","-",+C19+1)</f>
        <v>2021</v>
      </c>
      <c r="D20" s="483">
        <f>IF(F19+SUM(E$17:E19)=D$10,F19,D$10-SUM(E$17:E19))</f>
        <v>1269449.5317460317</v>
      </c>
      <c r="E20" s="484">
        <f t="shared" ref="E20:E71" si="6">IF(+I$14&lt;F19,I$14,D20)</f>
        <v>31287.976744186046</v>
      </c>
      <c r="F20" s="485">
        <f t="shared" ref="F20:F71" si="7">+D20-E20</f>
        <v>1238161.5550018456</v>
      </c>
      <c r="G20" s="486">
        <f t="shared" ref="G20:G71" si="8">(D20+F20)/2*I$12+E20</f>
        <v>166475.36158990141</v>
      </c>
      <c r="H20" s="455">
        <f t="shared" ref="H20:H71" si="9">+(D20+F20)/2*I$13+E20</f>
        <v>166475.36158990141</v>
      </c>
      <c r="I20" s="475">
        <f t="shared" si="3"/>
        <v>0</v>
      </c>
      <c r="J20" s="475"/>
      <c r="K20" s="487"/>
      <c r="L20" s="478">
        <f t="shared" si="0"/>
        <v>0</v>
      </c>
      <c r="M20" s="487"/>
      <c r="N20" s="478">
        <f t="shared" si="1"/>
        <v>0</v>
      </c>
      <c r="O20" s="478">
        <f t="shared" si="2"/>
        <v>0</v>
      </c>
      <c r="P20" s="242"/>
    </row>
    <row r="21" spans="2:16" ht="12.5">
      <c r="B21" s="160" t="str">
        <f t="shared" si="5"/>
        <v/>
      </c>
      <c r="C21" s="472">
        <f>IF(D11="","-",+C20+1)</f>
        <v>2022</v>
      </c>
      <c r="D21" s="483">
        <f>IF(F20+SUM(E$17:E20)=D$10,F20,D$10-SUM(E$17:E20))</f>
        <v>1238161.5550018456</v>
      </c>
      <c r="E21" s="484">
        <f t="shared" si="6"/>
        <v>31287.976744186046</v>
      </c>
      <c r="F21" s="485">
        <f t="shared" si="7"/>
        <v>1206873.5782576595</v>
      </c>
      <c r="G21" s="486">
        <f t="shared" si="8"/>
        <v>163101.84025279037</v>
      </c>
      <c r="H21" s="455">
        <f t="shared" si="9"/>
        <v>163101.84025279037</v>
      </c>
      <c r="I21" s="475">
        <f t="shared" si="3"/>
        <v>0</v>
      </c>
      <c r="J21" s="475"/>
      <c r="K21" s="487"/>
      <c r="L21" s="478">
        <f t="shared" si="0"/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 ht="12.5">
      <c r="B22" s="160" t="str">
        <f t="shared" si="5"/>
        <v/>
      </c>
      <c r="C22" s="472">
        <f>IF(D11="","-",+C21+1)</f>
        <v>2023</v>
      </c>
      <c r="D22" s="483">
        <f>IF(F21+SUM(E$17:E21)=D$10,F21,D$10-SUM(E$17:E21))</f>
        <v>1206873.5782576595</v>
      </c>
      <c r="E22" s="484">
        <f t="shared" si="6"/>
        <v>31287.976744186046</v>
      </c>
      <c r="F22" s="485">
        <f t="shared" si="7"/>
        <v>1175585.6015134733</v>
      </c>
      <c r="G22" s="486">
        <f t="shared" si="8"/>
        <v>159728.31891567932</v>
      </c>
      <c r="H22" s="455">
        <f t="shared" si="9"/>
        <v>159728.31891567932</v>
      </c>
      <c r="I22" s="475">
        <f t="shared" si="3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 ht="12.5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1175585.6015134733</v>
      </c>
      <c r="E23" s="484">
        <f t="shared" si="6"/>
        <v>31287.976744186046</v>
      </c>
      <c r="F23" s="485">
        <f t="shared" si="7"/>
        <v>1144297.6247692872</v>
      </c>
      <c r="G23" s="486">
        <f t="shared" si="8"/>
        <v>156354.79757856828</v>
      </c>
      <c r="H23" s="455">
        <f t="shared" si="9"/>
        <v>156354.79757856828</v>
      </c>
      <c r="I23" s="475">
        <f t="shared" si="3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 ht="12.5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1144297.6247692872</v>
      </c>
      <c r="E24" s="484">
        <f t="shared" si="6"/>
        <v>31287.976744186046</v>
      </c>
      <c r="F24" s="485">
        <f t="shared" si="7"/>
        <v>1113009.6480251011</v>
      </c>
      <c r="G24" s="486">
        <f t="shared" si="8"/>
        <v>152981.27624145726</v>
      </c>
      <c r="H24" s="455">
        <f t="shared" si="9"/>
        <v>152981.27624145726</v>
      </c>
      <c r="I24" s="475">
        <f t="shared" si="3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 ht="12.5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1113009.6480251011</v>
      </c>
      <c r="E25" s="484">
        <f t="shared" si="6"/>
        <v>31287.976744186046</v>
      </c>
      <c r="F25" s="485">
        <f t="shared" si="7"/>
        <v>1081721.6712809149</v>
      </c>
      <c r="G25" s="486">
        <f t="shared" si="8"/>
        <v>149607.75490434619</v>
      </c>
      <c r="H25" s="455">
        <f t="shared" si="9"/>
        <v>149607.75490434619</v>
      </c>
      <c r="I25" s="475">
        <f t="shared" si="3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 ht="12.5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1081721.6712809149</v>
      </c>
      <c r="E26" s="484">
        <f t="shared" si="6"/>
        <v>31287.976744186046</v>
      </c>
      <c r="F26" s="485">
        <f t="shared" si="7"/>
        <v>1050433.6945367288</v>
      </c>
      <c r="G26" s="486">
        <f t="shared" si="8"/>
        <v>146234.23356723518</v>
      </c>
      <c r="H26" s="455">
        <f t="shared" si="9"/>
        <v>146234.23356723518</v>
      </c>
      <c r="I26" s="475">
        <f t="shared" si="3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 ht="12.5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1050433.6945367288</v>
      </c>
      <c r="E27" s="484">
        <f t="shared" si="6"/>
        <v>31287.976744186046</v>
      </c>
      <c r="F27" s="485">
        <f t="shared" si="7"/>
        <v>1019145.7177925428</v>
      </c>
      <c r="G27" s="486">
        <f t="shared" si="8"/>
        <v>142860.7122301241</v>
      </c>
      <c r="H27" s="455">
        <f t="shared" si="9"/>
        <v>142860.7122301241</v>
      </c>
      <c r="I27" s="475">
        <f t="shared" si="3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 ht="12.5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1019145.7177925428</v>
      </c>
      <c r="E28" s="484">
        <f t="shared" si="6"/>
        <v>31287.976744186046</v>
      </c>
      <c r="F28" s="485">
        <f t="shared" si="7"/>
        <v>987857.74104835675</v>
      </c>
      <c r="G28" s="486">
        <f t="shared" si="8"/>
        <v>139487.19089301312</v>
      </c>
      <c r="H28" s="455">
        <f t="shared" si="9"/>
        <v>139487.19089301312</v>
      </c>
      <c r="I28" s="475">
        <f t="shared" si="3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 ht="12.5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987857.74104835675</v>
      </c>
      <c r="E29" s="484">
        <f t="shared" si="6"/>
        <v>31287.976744186046</v>
      </c>
      <c r="F29" s="485">
        <f t="shared" si="7"/>
        <v>956569.76430417073</v>
      </c>
      <c r="G29" s="486">
        <f t="shared" si="8"/>
        <v>136113.66955590207</v>
      </c>
      <c r="H29" s="455">
        <f t="shared" si="9"/>
        <v>136113.66955590207</v>
      </c>
      <c r="I29" s="475">
        <f t="shared" si="3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 ht="12.5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956569.76430417073</v>
      </c>
      <c r="E30" s="484">
        <f t="shared" si="6"/>
        <v>31287.976744186046</v>
      </c>
      <c r="F30" s="485">
        <f t="shared" si="7"/>
        <v>925281.78755998472</v>
      </c>
      <c r="G30" s="486">
        <f t="shared" si="8"/>
        <v>132740.14821879106</v>
      </c>
      <c r="H30" s="455">
        <f t="shared" si="9"/>
        <v>132740.14821879106</v>
      </c>
      <c r="I30" s="475">
        <f t="shared" si="3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 ht="12.5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925281.78755998472</v>
      </c>
      <c r="E31" s="484">
        <f t="shared" si="6"/>
        <v>31287.976744186046</v>
      </c>
      <c r="F31" s="485">
        <f t="shared" si="7"/>
        <v>893993.8108157987</v>
      </c>
      <c r="G31" s="486">
        <f t="shared" si="8"/>
        <v>129366.62688168001</v>
      </c>
      <c r="H31" s="455">
        <f t="shared" si="9"/>
        <v>129366.62688168001</v>
      </c>
      <c r="I31" s="475">
        <f t="shared" si="3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 ht="12.5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893993.8108157987</v>
      </c>
      <c r="E32" s="484">
        <f t="shared" si="6"/>
        <v>31287.976744186046</v>
      </c>
      <c r="F32" s="485">
        <f t="shared" si="7"/>
        <v>862705.83407161268</v>
      </c>
      <c r="G32" s="486">
        <f t="shared" si="8"/>
        <v>125993.105544569</v>
      </c>
      <c r="H32" s="455">
        <f t="shared" si="9"/>
        <v>125993.105544569</v>
      </c>
      <c r="I32" s="475">
        <f t="shared" si="3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 ht="12.5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862705.83407161268</v>
      </c>
      <c r="E33" s="484">
        <f t="shared" si="6"/>
        <v>31287.976744186046</v>
      </c>
      <c r="F33" s="485">
        <f t="shared" si="7"/>
        <v>831417.85732742667</v>
      </c>
      <c r="G33" s="486">
        <f t="shared" si="8"/>
        <v>122619.58420745797</v>
      </c>
      <c r="H33" s="455">
        <f t="shared" si="9"/>
        <v>122619.58420745797</v>
      </c>
      <c r="I33" s="475">
        <f t="shared" si="3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 ht="12.5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831417.85732742667</v>
      </c>
      <c r="E34" s="484">
        <f t="shared" si="6"/>
        <v>31287.976744186046</v>
      </c>
      <c r="F34" s="485">
        <f t="shared" si="7"/>
        <v>800129.88058324065</v>
      </c>
      <c r="G34" s="486">
        <f t="shared" si="8"/>
        <v>119246.06287034696</v>
      </c>
      <c r="H34" s="455">
        <f t="shared" si="9"/>
        <v>119246.06287034696</v>
      </c>
      <c r="I34" s="475">
        <f t="shared" si="3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 ht="12.5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800129.88058324065</v>
      </c>
      <c r="E35" s="484">
        <f t="shared" si="6"/>
        <v>31287.976744186046</v>
      </c>
      <c r="F35" s="485">
        <f t="shared" si="7"/>
        <v>768841.90383905463</v>
      </c>
      <c r="G35" s="486">
        <f t="shared" si="8"/>
        <v>115872.54153323591</v>
      </c>
      <c r="H35" s="455">
        <f t="shared" si="9"/>
        <v>115872.54153323591</v>
      </c>
      <c r="I35" s="475">
        <f t="shared" si="3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 ht="12.5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768841.90383905463</v>
      </c>
      <c r="E36" s="484">
        <f t="shared" si="6"/>
        <v>31287.976744186046</v>
      </c>
      <c r="F36" s="485">
        <f t="shared" si="7"/>
        <v>737553.92709486862</v>
      </c>
      <c r="G36" s="486">
        <f t="shared" si="8"/>
        <v>112499.0201961249</v>
      </c>
      <c r="H36" s="455">
        <f t="shared" si="9"/>
        <v>112499.0201961249</v>
      </c>
      <c r="I36" s="475">
        <f t="shared" si="3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 ht="12.5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737553.92709486862</v>
      </c>
      <c r="E37" s="484">
        <f t="shared" si="6"/>
        <v>31287.976744186046</v>
      </c>
      <c r="F37" s="485">
        <f t="shared" si="7"/>
        <v>706265.9503506826</v>
      </c>
      <c r="G37" s="486">
        <f t="shared" si="8"/>
        <v>109125.49885901385</v>
      </c>
      <c r="H37" s="455">
        <f t="shared" si="9"/>
        <v>109125.49885901385</v>
      </c>
      <c r="I37" s="475">
        <f t="shared" si="3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 ht="12.5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706265.9503506826</v>
      </c>
      <c r="E38" s="484">
        <f t="shared" si="6"/>
        <v>31287.976744186046</v>
      </c>
      <c r="F38" s="485">
        <f t="shared" si="7"/>
        <v>674977.97360649658</v>
      </c>
      <c r="G38" s="486">
        <f t="shared" si="8"/>
        <v>105751.97752190284</v>
      </c>
      <c r="H38" s="455">
        <f t="shared" si="9"/>
        <v>105751.97752190284</v>
      </c>
      <c r="I38" s="475">
        <f t="shared" si="3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 ht="12.5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674977.97360649658</v>
      </c>
      <c r="E39" s="484">
        <f t="shared" si="6"/>
        <v>31287.976744186046</v>
      </c>
      <c r="F39" s="485">
        <f t="shared" si="7"/>
        <v>643689.99686231057</v>
      </c>
      <c r="G39" s="486">
        <f t="shared" si="8"/>
        <v>102378.45618479181</v>
      </c>
      <c r="H39" s="455">
        <f t="shared" si="9"/>
        <v>102378.45618479181</v>
      </c>
      <c r="I39" s="475">
        <f t="shared" si="3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 ht="12.5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643689.99686231057</v>
      </c>
      <c r="E40" s="484">
        <f t="shared" si="6"/>
        <v>31287.976744186046</v>
      </c>
      <c r="F40" s="485">
        <f t="shared" si="7"/>
        <v>612402.02011812455</v>
      </c>
      <c r="G40" s="486">
        <f t="shared" si="8"/>
        <v>99004.934847680794</v>
      </c>
      <c r="H40" s="455">
        <f t="shared" si="9"/>
        <v>99004.934847680794</v>
      </c>
      <c r="I40" s="475">
        <f t="shared" si="3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 ht="12.5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612402.02011812455</v>
      </c>
      <c r="E41" s="484">
        <f t="shared" si="6"/>
        <v>31287.976744186046</v>
      </c>
      <c r="F41" s="485">
        <f t="shared" si="7"/>
        <v>581114.04337393853</v>
      </c>
      <c r="G41" s="486">
        <f t="shared" si="8"/>
        <v>95631.41351056975</v>
      </c>
      <c r="H41" s="455">
        <f t="shared" si="9"/>
        <v>95631.41351056975</v>
      </c>
      <c r="I41" s="475">
        <f t="shared" si="3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 ht="12.5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581114.04337393853</v>
      </c>
      <c r="E42" s="484">
        <f t="shared" si="6"/>
        <v>31287.976744186046</v>
      </c>
      <c r="F42" s="485">
        <f t="shared" si="7"/>
        <v>549826.06662975252</v>
      </c>
      <c r="G42" s="486">
        <f t="shared" si="8"/>
        <v>92257.892173458735</v>
      </c>
      <c r="H42" s="455">
        <f t="shared" si="9"/>
        <v>92257.892173458735</v>
      </c>
      <c r="I42" s="475">
        <f t="shared" si="3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 ht="12.5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549826.06662975252</v>
      </c>
      <c r="E43" s="484">
        <f t="shared" si="6"/>
        <v>31287.976744186046</v>
      </c>
      <c r="F43" s="485">
        <f t="shared" si="7"/>
        <v>518538.0898855665</v>
      </c>
      <c r="G43" s="486">
        <f t="shared" si="8"/>
        <v>88884.370836347691</v>
      </c>
      <c r="H43" s="455">
        <f t="shared" si="9"/>
        <v>88884.370836347691</v>
      </c>
      <c r="I43" s="475">
        <f t="shared" si="3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 ht="12.5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518538.0898855665</v>
      </c>
      <c r="E44" s="484">
        <f t="shared" si="6"/>
        <v>31287.976744186046</v>
      </c>
      <c r="F44" s="485">
        <f t="shared" si="7"/>
        <v>487250.11314138048</v>
      </c>
      <c r="G44" s="486">
        <f t="shared" si="8"/>
        <v>85510.849499236676</v>
      </c>
      <c r="H44" s="455">
        <f t="shared" si="9"/>
        <v>85510.849499236676</v>
      </c>
      <c r="I44" s="475">
        <f t="shared" si="3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 ht="12.5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487250.11314138048</v>
      </c>
      <c r="E45" s="484">
        <f t="shared" si="6"/>
        <v>31287.976744186046</v>
      </c>
      <c r="F45" s="485">
        <f t="shared" si="7"/>
        <v>455962.13639719447</v>
      </c>
      <c r="G45" s="486">
        <f t="shared" si="8"/>
        <v>82137.328162125646</v>
      </c>
      <c r="H45" s="455">
        <f t="shared" si="9"/>
        <v>82137.328162125646</v>
      </c>
      <c r="I45" s="475">
        <f t="shared" si="3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 ht="12.5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455962.13639719447</v>
      </c>
      <c r="E46" s="484">
        <f t="shared" si="6"/>
        <v>31287.976744186046</v>
      </c>
      <c r="F46" s="485">
        <f t="shared" si="7"/>
        <v>424674.15965300845</v>
      </c>
      <c r="G46" s="486">
        <f t="shared" si="8"/>
        <v>78763.806825014617</v>
      </c>
      <c r="H46" s="455">
        <f t="shared" si="9"/>
        <v>78763.806825014617</v>
      </c>
      <c r="I46" s="475">
        <f t="shared" si="3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 ht="12.5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424674.15965300845</v>
      </c>
      <c r="E47" s="484">
        <f t="shared" si="6"/>
        <v>31287.976744186046</v>
      </c>
      <c r="F47" s="485">
        <f t="shared" si="7"/>
        <v>393386.18290882243</v>
      </c>
      <c r="G47" s="486">
        <f t="shared" si="8"/>
        <v>75390.285487903602</v>
      </c>
      <c r="H47" s="455">
        <f t="shared" si="9"/>
        <v>75390.285487903602</v>
      </c>
      <c r="I47" s="475">
        <f t="shared" si="3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 ht="12.5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393386.18290882243</v>
      </c>
      <c r="E48" s="484">
        <f t="shared" si="6"/>
        <v>31287.976744186046</v>
      </c>
      <c r="F48" s="485">
        <f t="shared" si="7"/>
        <v>362098.20616463642</v>
      </c>
      <c r="G48" s="486">
        <f t="shared" si="8"/>
        <v>72016.764150792558</v>
      </c>
      <c r="H48" s="455">
        <f t="shared" si="9"/>
        <v>72016.764150792558</v>
      </c>
      <c r="I48" s="475">
        <f t="shared" si="3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 ht="12.5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362098.20616463642</v>
      </c>
      <c r="E49" s="484">
        <f t="shared" si="6"/>
        <v>31287.976744186046</v>
      </c>
      <c r="F49" s="485">
        <f t="shared" si="7"/>
        <v>330810.2294204504</v>
      </c>
      <c r="G49" s="486">
        <f t="shared" si="8"/>
        <v>68643.242813681543</v>
      </c>
      <c r="H49" s="455">
        <f t="shared" si="9"/>
        <v>68643.242813681543</v>
      </c>
      <c r="I49" s="475">
        <f t="shared" si="3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 ht="12.5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330810.2294204504</v>
      </c>
      <c r="E50" s="484">
        <f t="shared" si="6"/>
        <v>31287.976744186046</v>
      </c>
      <c r="F50" s="485">
        <f t="shared" si="7"/>
        <v>299522.25267626438</v>
      </c>
      <c r="G50" s="486">
        <f t="shared" si="8"/>
        <v>65269.721476570514</v>
      </c>
      <c r="H50" s="455">
        <f t="shared" si="9"/>
        <v>65269.721476570514</v>
      </c>
      <c r="I50" s="475">
        <f t="shared" si="3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 ht="12.5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299522.25267626438</v>
      </c>
      <c r="E51" s="484">
        <f t="shared" si="6"/>
        <v>31287.976744186046</v>
      </c>
      <c r="F51" s="485">
        <f t="shared" si="7"/>
        <v>268234.27593207837</v>
      </c>
      <c r="G51" s="486">
        <f t="shared" si="8"/>
        <v>61896.200139459484</v>
      </c>
      <c r="H51" s="455">
        <f t="shared" si="9"/>
        <v>61896.200139459484</v>
      </c>
      <c r="I51" s="475">
        <f t="shared" si="3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 ht="12.5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268234.27593207837</v>
      </c>
      <c r="E52" s="484">
        <f t="shared" si="6"/>
        <v>31287.976744186046</v>
      </c>
      <c r="F52" s="485">
        <f t="shared" si="7"/>
        <v>236946.29918789232</v>
      </c>
      <c r="G52" s="486">
        <f t="shared" si="8"/>
        <v>58522.678802348455</v>
      </c>
      <c r="H52" s="455">
        <f t="shared" si="9"/>
        <v>58522.678802348455</v>
      </c>
      <c r="I52" s="475">
        <f t="shared" si="3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 ht="12.5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236946.29918789232</v>
      </c>
      <c r="E53" s="484">
        <f t="shared" si="6"/>
        <v>31287.976744186046</v>
      </c>
      <c r="F53" s="485">
        <f t="shared" si="7"/>
        <v>205658.32244370627</v>
      </c>
      <c r="G53" s="486">
        <f t="shared" si="8"/>
        <v>55149.157465237426</v>
      </c>
      <c r="H53" s="455">
        <f t="shared" si="9"/>
        <v>55149.157465237426</v>
      </c>
      <c r="I53" s="475">
        <f t="shared" si="3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 ht="12.5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205658.32244370627</v>
      </c>
      <c r="E54" s="484">
        <f t="shared" si="6"/>
        <v>31287.976744186046</v>
      </c>
      <c r="F54" s="485">
        <f t="shared" si="7"/>
        <v>174370.34569952023</v>
      </c>
      <c r="G54" s="486">
        <f t="shared" si="8"/>
        <v>51775.636128126396</v>
      </c>
      <c r="H54" s="455">
        <f t="shared" si="9"/>
        <v>51775.636128126396</v>
      </c>
      <c r="I54" s="475">
        <f t="shared" si="3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 ht="12.5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174370.34569952023</v>
      </c>
      <c r="E55" s="484">
        <f t="shared" si="6"/>
        <v>31287.976744186046</v>
      </c>
      <c r="F55" s="485">
        <f t="shared" si="7"/>
        <v>143082.36895533418</v>
      </c>
      <c r="G55" s="486">
        <f t="shared" si="8"/>
        <v>48402.114791015367</v>
      </c>
      <c r="H55" s="455">
        <f t="shared" si="9"/>
        <v>48402.114791015367</v>
      </c>
      <c r="I55" s="475">
        <f t="shared" si="3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 ht="12.5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143082.36895533418</v>
      </c>
      <c r="E56" s="484">
        <f t="shared" si="6"/>
        <v>31287.976744186046</v>
      </c>
      <c r="F56" s="485">
        <f t="shared" si="7"/>
        <v>111794.39221114814</v>
      </c>
      <c r="G56" s="486">
        <f t="shared" si="8"/>
        <v>45028.593453904337</v>
      </c>
      <c r="H56" s="455">
        <f t="shared" si="9"/>
        <v>45028.593453904337</v>
      </c>
      <c r="I56" s="475">
        <f t="shared" si="3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 ht="12.5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111794.39221114814</v>
      </c>
      <c r="E57" s="484">
        <f t="shared" si="6"/>
        <v>31287.976744186046</v>
      </c>
      <c r="F57" s="485">
        <f t="shared" si="7"/>
        <v>80506.415466962091</v>
      </c>
      <c r="G57" s="486">
        <f t="shared" si="8"/>
        <v>41655.072116793308</v>
      </c>
      <c r="H57" s="455">
        <f t="shared" si="9"/>
        <v>41655.072116793308</v>
      </c>
      <c r="I57" s="475">
        <f t="shared" si="3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 ht="12.5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80506.415466962091</v>
      </c>
      <c r="E58" s="484">
        <f t="shared" si="6"/>
        <v>31287.976744186046</v>
      </c>
      <c r="F58" s="485">
        <f t="shared" si="7"/>
        <v>49218.438722776045</v>
      </c>
      <c r="G58" s="486">
        <f t="shared" si="8"/>
        <v>38281.550779682279</v>
      </c>
      <c r="H58" s="455">
        <f t="shared" si="9"/>
        <v>38281.550779682279</v>
      </c>
      <c r="I58" s="475">
        <f t="shared" si="3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 ht="12.5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49218.438722776045</v>
      </c>
      <c r="E59" s="484">
        <f t="shared" si="6"/>
        <v>31287.976744186046</v>
      </c>
      <c r="F59" s="485">
        <f t="shared" si="7"/>
        <v>17930.461978589999</v>
      </c>
      <c r="G59" s="486">
        <f t="shared" si="8"/>
        <v>34908.029442571249</v>
      </c>
      <c r="H59" s="455">
        <f t="shared" si="9"/>
        <v>34908.029442571249</v>
      </c>
      <c r="I59" s="475">
        <f t="shared" si="3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 ht="12.5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17930.461978589999</v>
      </c>
      <c r="E60" s="484">
        <f t="shared" si="6"/>
        <v>17930.461978589999</v>
      </c>
      <c r="F60" s="485">
        <f t="shared" si="7"/>
        <v>0</v>
      </c>
      <c r="G60" s="486">
        <f t="shared" si="8"/>
        <v>18897.107993504844</v>
      </c>
      <c r="H60" s="455">
        <f t="shared" si="9"/>
        <v>18897.107993504844</v>
      </c>
      <c r="I60" s="475">
        <f t="shared" si="3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 ht="12.5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6"/>
        <v>0</v>
      </c>
      <c r="F61" s="485">
        <f t="shared" si="7"/>
        <v>0</v>
      </c>
      <c r="G61" s="486">
        <f t="shared" si="8"/>
        <v>0</v>
      </c>
      <c r="H61" s="455">
        <f t="shared" si="9"/>
        <v>0</v>
      </c>
      <c r="I61" s="475">
        <f t="shared" si="3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 ht="12.5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6"/>
        <v>0</v>
      </c>
      <c r="F62" s="485">
        <f t="shared" si="7"/>
        <v>0</v>
      </c>
      <c r="G62" s="486">
        <f t="shared" si="8"/>
        <v>0</v>
      </c>
      <c r="H62" s="455">
        <f t="shared" si="9"/>
        <v>0</v>
      </c>
      <c r="I62" s="475">
        <f t="shared" si="3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 ht="12.5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6"/>
        <v>0</v>
      </c>
      <c r="F63" s="485">
        <f t="shared" si="7"/>
        <v>0</v>
      </c>
      <c r="G63" s="486">
        <f t="shared" si="8"/>
        <v>0</v>
      </c>
      <c r="H63" s="455">
        <f t="shared" si="9"/>
        <v>0</v>
      </c>
      <c r="I63" s="475">
        <f t="shared" si="3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 ht="12.5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6"/>
        <v>0</v>
      </c>
      <c r="F64" s="485">
        <f t="shared" si="7"/>
        <v>0</v>
      </c>
      <c r="G64" s="486">
        <f t="shared" si="8"/>
        <v>0</v>
      </c>
      <c r="H64" s="455">
        <f t="shared" si="9"/>
        <v>0</v>
      </c>
      <c r="I64" s="475">
        <f t="shared" si="3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 ht="12.5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6"/>
        <v>0</v>
      </c>
      <c r="F65" s="485">
        <f t="shared" si="7"/>
        <v>0</v>
      </c>
      <c r="G65" s="486">
        <f t="shared" si="8"/>
        <v>0</v>
      </c>
      <c r="H65" s="455">
        <f t="shared" si="9"/>
        <v>0</v>
      </c>
      <c r="I65" s="475">
        <f t="shared" si="3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 ht="12.5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6"/>
        <v>0</v>
      </c>
      <c r="F66" s="485">
        <f t="shared" si="7"/>
        <v>0</v>
      </c>
      <c r="G66" s="486">
        <f t="shared" si="8"/>
        <v>0</v>
      </c>
      <c r="H66" s="455">
        <f t="shared" si="9"/>
        <v>0</v>
      </c>
      <c r="I66" s="475">
        <f t="shared" si="3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 ht="12.5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6"/>
        <v>0</v>
      </c>
      <c r="F67" s="485">
        <f t="shared" si="7"/>
        <v>0</v>
      </c>
      <c r="G67" s="486">
        <f t="shared" si="8"/>
        <v>0</v>
      </c>
      <c r="H67" s="455">
        <f t="shared" si="9"/>
        <v>0</v>
      </c>
      <c r="I67" s="475">
        <f t="shared" si="3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 ht="12.5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6"/>
        <v>0</v>
      </c>
      <c r="F68" s="485">
        <f t="shared" si="7"/>
        <v>0</v>
      </c>
      <c r="G68" s="486">
        <f t="shared" si="8"/>
        <v>0</v>
      </c>
      <c r="H68" s="455">
        <f t="shared" si="9"/>
        <v>0</v>
      </c>
      <c r="I68" s="475">
        <f t="shared" si="3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 ht="12.5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6"/>
        <v>0</v>
      </c>
      <c r="F69" s="485">
        <f t="shared" si="7"/>
        <v>0</v>
      </c>
      <c r="G69" s="486">
        <f t="shared" si="8"/>
        <v>0</v>
      </c>
      <c r="H69" s="455">
        <f t="shared" si="9"/>
        <v>0</v>
      </c>
      <c r="I69" s="475">
        <f t="shared" si="3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 ht="12.5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6"/>
        <v>0</v>
      </c>
      <c r="F70" s="485">
        <f t="shared" si="7"/>
        <v>0</v>
      </c>
      <c r="G70" s="486">
        <f t="shared" si="8"/>
        <v>0</v>
      </c>
      <c r="H70" s="455">
        <f t="shared" si="9"/>
        <v>0</v>
      </c>
      <c r="I70" s="475">
        <f t="shared" si="3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 ht="12.5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6"/>
        <v>0</v>
      </c>
      <c r="F71" s="485">
        <f t="shared" si="7"/>
        <v>0</v>
      </c>
      <c r="G71" s="486">
        <f t="shared" si="8"/>
        <v>0</v>
      </c>
      <c r="H71" s="455">
        <f t="shared" si="9"/>
        <v>0</v>
      </c>
      <c r="I71" s="475">
        <f t="shared" si="3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 ht="12.5">
      <c r="C73" s="346" t="s">
        <v>77</v>
      </c>
      <c r="D73" s="347"/>
      <c r="E73" s="347">
        <f>SUM(E17:E72)</f>
        <v>1345383</v>
      </c>
      <c r="F73" s="347"/>
      <c r="G73" s="347">
        <f>SUM(G17:G72)</f>
        <v>4466224.2316391114</v>
      </c>
      <c r="H73" s="347">
        <f>SUM(H17:H72)</f>
        <v>4466224.2316391114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24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162968.67771034624</v>
      </c>
      <c r="N87" s="508">
        <f>IF(J92&lt;D11,0,VLOOKUP(J92,C17:O72,11))</f>
        <v>162968.67771034624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168273.45246575892</v>
      </c>
      <c r="N88" s="512">
        <f>IF(J92&lt;D11,0,VLOOKUP(J92,C99:P154,7))</f>
        <v>168273.45246575892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Duncan-Comanche Tap 69 KV Rebuild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5304.7747554126836</v>
      </c>
      <c r="N89" s="517">
        <f>+N88-N87</f>
        <v>5304.7747554126836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TP2015191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1345383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v>5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32814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2018</v>
      </c>
      <c r="D99" s="584">
        <v>0</v>
      </c>
      <c r="E99" s="608">
        <v>15290</v>
      </c>
      <c r="F99" s="584">
        <v>1299649</v>
      </c>
      <c r="G99" s="608">
        <v>649824.5</v>
      </c>
      <c r="H99" s="587">
        <v>82050.088345518569</v>
      </c>
      <c r="I99" s="607">
        <v>82050.088345518569</v>
      </c>
      <c r="J99" s="478">
        <f>+I99-H99</f>
        <v>0</v>
      </c>
      <c r="K99" s="478"/>
      <c r="L99" s="477">
        <f>+H99</f>
        <v>82050.088345518569</v>
      </c>
      <c r="M99" s="477">
        <f t="shared" ref="M99" si="10">IF(L99&lt;&gt;0,+H99-L99,0)</f>
        <v>0</v>
      </c>
      <c r="N99" s="477">
        <f>+I99</f>
        <v>82050.088345518569</v>
      </c>
      <c r="O99" s="477">
        <f t="shared" ref="O99" si="11">IF(N99&lt;&gt;0,+I99-N99,0)</f>
        <v>0</v>
      </c>
      <c r="P99" s="477">
        <f t="shared" ref="P99" si="12">+O99-M99</f>
        <v>0</v>
      </c>
    </row>
    <row r="100" spans="1:16" ht="12.5">
      <c r="B100" s="160" t="str">
        <f>IF(D100=F99,"","IU")</f>
        <v>IU</v>
      </c>
      <c r="C100" s="472">
        <f>IF(D93="","-",+C99+1)</f>
        <v>2019</v>
      </c>
      <c r="D100" s="346">
        <f>IF(F99+SUM(E$99:E99)=D$92,F99,D$92-SUM(E$99:E99))</f>
        <v>1330093</v>
      </c>
      <c r="E100" s="484">
        <f>IF(+J$96&lt;F99,J$96,D100)</f>
        <v>32814</v>
      </c>
      <c r="F100" s="485">
        <f>+D100-E100</f>
        <v>1297279</v>
      </c>
      <c r="G100" s="485">
        <f>+(F100+D100)/2</f>
        <v>1313686</v>
      </c>
      <c r="H100" s="613">
        <f t="shared" ref="H100:H154" si="13">+J$94*G100+E100</f>
        <v>168273.45246575892</v>
      </c>
      <c r="I100" s="614">
        <f t="shared" ref="I100:I154" si="14">+J$95*G100+E100</f>
        <v>168273.45246575892</v>
      </c>
      <c r="J100" s="478">
        <f t="shared" ref="J100:J130" si="15">+I100-H100</f>
        <v>0</v>
      </c>
      <c r="K100" s="478"/>
      <c r="L100" s="487"/>
      <c r="M100" s="478">
        <f t="shared" ref="M100:M130" si="16">IF(L100&lt;&gt;0,+H100-L100,0)</f>
        <v>0</v>
      </c>
      <c r="N100" s="487"/>
      <c r="O100" s="478">
        <f t="shared" ref="O100:O130" si="17">IF(N100&lt;&gt;0,+I100-N100,0)</f>
        <v>0</v>
      </c>
      <c r="P100" s="478">
        <f t="shared" ref="P100:P130" si="18">+O100-M100</f>
        <v>0</v>
      </c>
    </row>
    <row r="101" spans="1:16" ht="12.5">
      <c r="B101" s="160" t="str">
        <f t="shared" ref="B101:B154" si="19">IF(D101=F100,"","IU")</f>
        <v/>
      </c>
      <c r="C101" s="472">
        <f>IF(D93="","-",+C100+1)</f>
        <v>2020</v>
      </c>
      <c r="D101" s="346">
        <f>IF(F100+SUM(E$99:E100)=D$92,F100,D$92-SUM(E$99:E100))</f>
        <v>1297279</v>
      </c>
      <c r="E101" s="484">
        <f t="shared" ref="E101:E154" si="20">IF(+J$96&lt;F100,J$96,D101)</f>
        <v>32814</v>
      </c>
      <c r="F101" s="485">
        <f t="shared" ref="F101:F154" si="21">+D101-E101</f>
        <v>1264465</v>
      </c>
      <c r="G101" s="485">
        <f t="shared" ref="G101:G154" si="22">+(F101+D101)/2</f>
        <v>1280872</v>
      </c>
      <c r="H101" s="613">
        <f t="shared" si="13"/>
        <v>164889.86881394911</v>
      </c>
      <c r="I101" s="614">
        <f t="shared" si="14"/>
        <v>164889.86881394911</v>
      </c>
      <c r="J101" s="478">
        <f t="shared" si="15"/>
        <v>0</v>
      </c>
      <c r="K101" s="478"/>
      <c r="L101" s="487"/>
      <c r="M101" s="478">
        <f t="shared" si="16"/>
        <v>0</v>
      </c>
      <c r="N101" s="487"/>
      <c r="O101" s="478">
        <f t="shared" si="17"/>
        <v>0</v>
      </c>
      <c r="P101" s="478">
        <f t="shared" si="18"/>
        <v>0</v>
      </c>
    </row>
    <row r="102" spans="1:16" ht="12.5">
      <c r="B102" s="160" t="str">
        <f t="shared" si="19"/>
        <v/>
      </c>
      <c r="C102" s="472">
        <f>IF(D93="","-",+C101+1)</f>
        <v>2021</v>
      </c>
      <c r="D102" s="346">
        <f>IF(F101+SUM(E$99:E101)=D$92,F101,D$92-SUM(E$99:E101))</f>
        <v>1264465</v>
      </c>
      <c r="E102" s="484">
        <f t="shared" si="20"/>
        <v>32814</v>
      </c>
      <c r="F102" s="485">
        <f t="shared" si="21"/>
        <v>1231651</v>
      </c>
      <c r="G102" s="485">
        <f t="shared" si="22"/>
        <v>1248058</v>
      </c>
      <c r="H102" s="613">
        <f t="shared" si="13"/>
        <v>161506.28516213933</v>
      </c>
      <c r="I102" s="614">
        <f t="shared" si="14"/>
        <v>161506.28516213933</v>
      </c>
      <c r="J102" s="478">
        <f t="shared" si="15"/>
        <v>0</v>
      </c>
      <c r="K102" s="478"/>
      <c r="L102" s="487"/>
      <c r="M102" s="478">
        <f t="shared" si="16"/>
        <v>0</v>
      </c>
      <c r="N102" s="487"/>
      <c r="O102" s="478">
        <f t="shared" si="17"/>
        <v>0</v>
      </c>
      <c r="P102" s="478">
        <f t="shared" si="18"/>
        <v>0</v>
      </c>
    </row>
    <row r="103" spans="1:16" ht="12.5">
      <c r="B103" s="160" t="str">
        <f t="shared" si="19"/>
        <v/>
      </c>
      <c r="C103" s="472">
        <f>IF(D93="","-",+C102+1)</f>
        <v>2022</v>
      </c>
      <c r="D103" s="346">
        <f>IF(F102+SUM(E$99:E102)=D$92,F102,D$92-SUM(E$99:E102))</f>
        <v>1231651</v>
      </c>
      <c r="E103" s="484">
        <f t="shared" si="20"/>
        <v>32814</v>
      </c>
      <c r="F103" s="485">
        <f t="shared" si="21"/>
        <v>1198837</v>
      </c>
      <c r="G103" s="485">
        <f t="shared" si="22"/>
        <v>1215244</v>
      </c>
      <c r="H103" s="613">
        <f t="shared" si="13"/>
        <v>158122.7015103295</v>
      </c>
      <c r="I103" s="614">
        <f t="shared" si="14"/>
        <v>158122.7015103295</v>
      </c>
      <c r="J103" s="478">
        <f t="shared" si="15"/>
        <v>0</v>
      </c>
      <c r="K103" s="478"/>
      <c r="L103" s="487"/>
      <c r="M103" s="478">
        <f t="shared" si="16"/>
        <v>0</v>
      </c>
      <c r="N103" s="487"/>
      <c r="O103" s="478">
        <f t="shared" si="17"/>
        <v>0</v>
      </c>
      <c r="P103" s="478">
        <f t="shared" si="18"/>
        <v>0</v>
      </c>
    </row>
    <row r="104" spans="1:16" ht="12.5">
      <c r="B104" s="160" t="str">
        <f t="shared" si="19"/>
        <v/>
      </c>
      <c r="C104" s="472">
        <f>IF(D93="","-",+C103+1)</f>
        <v>2023</v>
      </c>
      <c r="D104" s="346">
        <f>IF(F103+SUM(E$99:E103)=D$92,F103,D$92-SUM(E$99:E103))</f>
        <v>1198837</v>
      </c>
      <c r="E104" s="484">
        <f t="shared" si="20"/>
        <v>32814</v>
      </c>
      <c r="F104" s="485">
        <f t="shared" si="21"/>
        <v>1166023</v>
      </c>
      <c r="G104" s="485">
        <f t="shared" si="22"/>
        <v>1182430</v>
      </c>
      <c r="H104" s="613">
        <f t="shared" si="13"/>
        <v>154739.11785851972</v>
      </c>
      <c r="I104" s="614">
        <f t="shared" si="14"/>
        <v>154739.11785851972</v>
      </c>
      <c r="J104" s="478">
        <f t="shared" si="15"/>
        <v>0</v>
      </c>
      <c r="K104" s="478"/>
      <c r="L104" s="487"/>
      <c r="M104" s="478">
        <f t="shared" si="16"/>
        <v>0</v>
      </c>
      <c r="N104" s="487"/>
      <c r="O104" s="478">
        <f t="shared" si="17"/>
        <v>0</v>
      </c>
      <c r="P104" s="478">
        <f t="shared" si="18"/>
        <v>0</v>
      </c>
    </row>
    <row r="105" spans="1:16" ht="12.5">
      <c r="B105" s="160" t="str">
        <f t="shared" si="19"/>
        <v/>
      </c>
      <c r="C105" s="472">
        <f>IF(D93="","-",+C104+1)</f>
        <v>2024</v>
      </c>
      <c r="D105" s="346">
        <f>IF(F104+SUM(E$99:E104)=D$92,F104,D$92-SUM(E$99:E104))</f>
        <v>1166023</v>
      </c>
      <c r="E105" s="484">
        <f t="shared" si="20"/>
        <v>32814</v>
      </c>
      <c r="F105" s="485">
        <f t="shared" si="21"/>
        <v>1133209</v>
      </c>
      <c r="G105" s="485">
        <f t="shared" si="22"/>
        <v>1149616</v>
      </c>
      <c r="H105" s="613">
        <f t="shared" si="13"/>
        <v>151355.53420670991</v>
      </c>
      <c r="I105" s="614">
        <f t="shared" si="14"/>
        <v>151355.53420670991</v>
      </c>
      <c r="J105" s="478">
        <f t="shared" si="15"/>
        <v>0</v>
      </c>
      <c r="K105" s="478"/>
      <c r="L105" s="487"/>
      <c r="M105" s="478">
        <f t="shared" si="16"/>
        <v>0</v>
      </c>
      <c r="N105" s="487"/>
      <c r="O105" s="478">
        <f t="shared" si="17"/>
        <v>0</v>
      </c>
      <c r="P105" s="478">
        <f t="shared" si="18"/>
        <v>0</v>
      </c>
    </row>
    <row r="106" spans="1:16" ht="12.5">
      <c r="B106" s="160" t="str">
        <f t="shared" si="19"/>
        <v/>
      </c>
      <c r="C106" s="472">
        <f>IF(D93="","-",+C105+1)</f>
        <v>2025</v>
      </c>
      <c r="D106" s="346">
        <f>IF(F105+SUM(E$99:E105)=D$92,F105,D$92-SUM(E$99:E105))</f>
        <v>1133209</v>
      </c>
      <c r="E106" s="484">
        <f t="shared" si="20"/>
        <v>32814</v>
      </c>
      <c r="F106" s="485">
        <f t="shared" si="21"/>
        <v>1100395</v>
      </c>
      <c r="G106" s="485">
        <f t="shared" si="22"/>
        <v>1116802</v>
      </c>
      <c r="H106" s="613">
        <f t="shared" si="13"/>
        <v>147971.9505549001</v>
      </c>
      <c r="I106" s="614">
        <f t="shared" si="14"/>
        <v>147971.9505549001</v>
      </c>
      <c r="J106" s="478">
        <f t="shared" si="15"/>
        <v>0</v>
      </c>
      <c r="K106" s="478"/>
      <c r="L106" s="487"/>
      <c r="M106" s="478">
        <f t="shared" si="16"/>
        <v>0</v>
      </c>
      <c r="N106" s="487"/>
      <c r="O106" s="478">
        <f t="shared" si="17"/>
        <v>0</v>
      </c>
      <c r="P106" s="478">
        <f t="shared" si="18"/>
        <v>0</v>
      </c>
    </row>
    <row r="107" spans="1:16" ht="12.5">
      <c r="B107" s="160" t="str">
        <f t="shared" si="19"/>
        <v/>
      </c>
      <c r="C107" s="472">
        <f>IF(D93="","-",+C106+1)</f>
        <v>2026</v>
      </c>
      <c r="D107" s="346">
        <f>IF(F106+SUM(E$99:E106)=D$92,F106,D$92-SUM(E$99:E106))</f>
        <v>1100395</v>
      </c>
      <c r="E107" s="484">
        <f t="shared" si="20"/>
        <v>32814</v>
      </c>
      <c r="F107" s="485">
        <f t="shared" si="21"/>
        <v>1067581</v>
      </c>
      <c r="G107" s="485">
        <f t="shared" si="22"/>
        <v>1083988</v>
      </c>
      <c r="H107" s="613">
        <f t="shared" si="13"/>
        <v>144588.3669030903</v>
      </c>
      <c r="I107" s="614">
        <f t="shared" si="14"/>
        <v>144588.3669030903</v>
      </c>
      <c r="J107" s="478">
        <f t="shared" si="15"/>
        <v>0</v>
      </c>
      <c r="K107" s="478"/>
      <c r="L107" s="487"/>
      <c r="M107" s="478">
        <f t="shared" si="16"/>
        <v>0</v>
      </c>
      <c r="N107" s="487"/>
      <c r="O107" s="478">
        <f t="shared" si="17"/>
        <v>0</v>
      </c>
      <c r="P107" s="478">
        <f t="shared" si="18"/>
        <v>0</v>
      </c>
    </row>
    <row r="108" spans="1:16" ht="12.5">
      <c r="B108" s="160" t="str">
        <f t="shared" si="19"/>
        <v/>
      </c>
      <c r="C108" s="472">
        <f>IF(D93="","-",+C107+1)</f>
        <v>2027</v>
      </c>
      <c r="D108" s="346">
        <f>IF(F107+SUM(E$99:E107)=D$92,F107,D$92-SUM(E$99:E107))</f>
        <v>1067581</v>
      </c>
      <c r="E108" s="484">
        <f t="shared" si="20"/>
        <v>32814</v>
      </c>
      <c r="F108" s="485">
        <f t="shared" si="21"/>
        <v>1034767</v>
      </c>
      <c r="G108" s="485">
        <f t="shared" si="22"/>
        <v>1051174</v>
      </c>
      <c r="H108" s="613">
        <f t="shared" si="13"/>
        <v>141204.78325128049</v>
      </c>
      <c r="I108" s="614">
        <f t="shared" si="14"/>
        <v>141204.78325128049</v>
      </c>
      <c r="J108" s="478">
        <f t="shared" si="15"/>
        <v>0</v>
      </c>
      <c r="K108" s="478"/>
      <c r="L108" s="487"/>
      <c r="M108" s="478">
        <f t="shared" si="16"/>
        <v>0</v>
      </c>
      <c r="N108" s="487"/>
      <c r="O108" s="478">
        <f t="shared" si="17"/>
        <v>0</v>
      </c>
      <c r="P108" s="478">
        <f t="shared" si="18"/>
        <v>0</v>
      </c>
    </row>
    <row r="109" spans="1:16" ht="12.5">
      <c r="B109" s="160" t="str">
        <f t="shared" si="19"/>
        <v/>
      </c>
      <c r="C109" s="472">
        <f>IF(D93="","-",+C108+1)</f>
        <v>2028</v>
      </c>
      <c r="D109" s="346">
        <f>IF(F108+SUM(E$99:E108)=D$92,F108,D$92-SUM(E$99:E108))</f>
        <v>1034767</v>
      </c>
      <c r="E109" s="484">
        <f t="shared" si="20"/>
        <v>32814</v>
      </c>
      <c r="F109" s="485">
        <f t="shared" si="21"/>
        <v>1001953</v>
      </c>
      <c r="G109" s="485">
        <f t="shared" si="22"/>
        <v>1018360</v>
      </c>
      <c r="H109" s="613">
        <f t="shared" si="13"/>
        <v>137821.19959947071</v>
      </c>
      <c r="I109" s="614">
        <f t="shared" si="14"/>
        <v>137821.19959947071</v>
      </c>
      <c r="J109" s="478">
        <f t="shared" si="15"/>
        <v>0</v>
      </c>
      <c r="K109" s="478"/>
      <c r="L109" s="487"/>
      <c r="M109" s="478">
        <f t="shared" si="16"/>
        <v>0</v>
      </c>
      <c r="N109" s="487"/>
      <c r="O109" s="478">
        <f t="shared" si="17"/>
        <v>0</v>
      </c>
      <c r="P109" s="478">
        <f t="shared" si="18"/>
        <v>0</v>
      </c>
    </row>
    <row r="110" spans="1:16" ht="12.5">
      <c r="B110" s="160" t="str">
        <f t="shared" si="19"/>
        <v/>
      </c>
      <c r="C110" s="472">
        <f>IF(D93="","-",+C109+1)</f>
        <v>2029</v>
      </c>
      <c r="D110" s="346">
        <f>IF(F109+SUM(E$99:E109)=D$92,F109,D$92-SUM(E$99:E109))</f>
        <v>1001953</v>
      </c>
      <c r="E110" s="484">
        <f t="shared" si="20"/>
        <v>32814</v>
      </c>
      <c r="F110" s="485">
        <f t="shared" si="21"/>
        <v>969139</v>
      </c>
      <c r="G110" s="485">
        <f t="shared" si="22"/>
        <v>985546</v>
      </c>
      <c r="H110" s="613">
        <f t="shared" si="13"/>
        <v>134437.61594766087</v>
      </c>
      <c r="I110" s="614">
        <f t="shared" si="14"/>
        <v>134437.61594766087</v>
      </c>
      <c r="J110" s="478">
        <f t="shared" si="15"/>
        <v>0</v>
      </c>
      <c r="K110" s="478"/>
      <c r="L110" s="487"/>
      <c r="M110" s="478">
        <f t="shared" si="16"/>
        <v>0</v>
      </c>
      <c r="N110" s="487"/>
      <c r="O110" s="478">
        <f t="shared" si="17"/>
        <v>0</v>
      </c>
      <c r="P110" s="478">
        <f t="shared" si="18"/>
        <v>0</v>
      </c>
    </row>
    <row r="111" spans="1:16" ht="12.5">
      <c r="B111" s="160" t="str">
        <f t="shared" si="19"/>
        <v/>
      </c>
      <c r="C111" s="472">
        <f>IF(D93="","-",+C110+1)</f>
        <v>2030</v>
      </c>
      <c r="D111" s="346">
        <f>IF(F110+SUM(E$99:E110)=D$92,F110,D$92-SUM(E$99:E110))</f>
        <v>969139</v>
      </c>
      <c r="E111" s="484">
        <f t="shared" si="20"/>
        <v>32814</v>
      </c>
      <c r="F111" s="485">
        <f t="shared" si="21"/>
        <v>936325</v>
      </c>
      <c r="G111" s="485">
        <f t="shared" si="22"/>
        <v>952732</v>
      </c>
      <c r="H111" s="613">
        <f t="shared" si="13"/>
        <v>131054.03229585108</v>
      </c>
      <c r="I111" s="614">
        <f t="shared" si="14"/>
        <v>131054.03229585108</v>
      </c>
      <c r="J111" s="478">
        <f t="shared" si="15"/>
        <v>0</v>
      </c>
      <c r="K111" s="478"/>
      <c r="L111" s="487"/>
      <c r="M111" s="478">
        <f t="shared" si="16"/>
        <v>0</v>
      </c>
      <c r="N111" s="487"/>
      <c r="O111" s="478">
        <f t="shared" si="17"/>
        <v>0</v>
      </c>
      <c r="P111" s="478">
        <f t="shared" si="18"/>
        <v>0</v>
      </c>
    </row>
    <row r="112" spans="1:16" ht="12.5">
      <c r="B112" s="160" t="str">
        <f t="shared" si="19"/>
        <v/>
      </c>
      <c r="C112" s="472">
        <f>IF(D93="","-",+C111+1)</f>
        <v>2031</v>
      </c>
      <c r="D112" s="346">
        <f>IF(F111+SUM(E$99:E111)=D$92,F111,D$92-SUM(E$99:E111))</f>
        <v>936325</v>
      </c>
      <c r="E112" s="484">
        <f t="shared" si="20"/>
        <v>32814</v>
      </c>
      <c r="F112" s="485">
        <f t="shared" si="21"/>
        <v>903511</v>
      </c>
      <c r="G112" s="485">
        <f t="shared" si="22"/>
        <v>919918</v>
      </c>
      <c r="H112" s="613">
        <f t="shared" si="13"/>
        <v>127670.44864404129</v>
      </c>
      <c r="I112" s="614">
        <f t="shared" si="14"/>
        <v>127670.44864404129</v>
      </c>
      <c r="J112" s="478">
        <f t="shared" si="15"/>
        <v>0</v>
      </c>
      <c r="K112" s="478"/>
      <c r="L112" s="487"/>
      <c r="M112" s="478">
        <f t="shared" si="16"/>
        <v>0</v>
      </c>
      <c r="N112" s="487"/>
      <c r="O112" s="478">
        <f t="shared" si="17"/>
        <v>0</v>
      </c>
      <c r="P112" s="478">
        <f t="shared" si="18"/>
        <v>0</v>
      </c>
    </row>
    <row r="113" spans="2:16" ht="12.5">
      <c r="B113" s="160" t="str">
        <f t="shared" si="19"/>
        <v/>
      </c>
      <c r="C113" s="472">
        <f>IF(D93="","-",+C112+1)</f>
        <v>2032</v>
      </c>
      <c r="D113" s="346">
        <f>IF(F112+SUM(E$99:E112)=D$92,F112,D$92-SUM(E$99:E112))</f>
        <v>903511</v>
      </c>
      <c r="E113" s="484">
        <f t="shared" si="20"/>
        <v>32814</v>
      </c>
      <c r="F113" s="485">
        <f t="shared" si="21"/>
        <v>870697</v>
      </c>
      <c r="G113" s="485">
        <f t="shared" si="22"/>
        <v>887104</v>
      </c>
      <c r="H113" s="613">
        <f t="shared" si="13"/>
        <v>124286.86499223148</v>
      </c>
      <c r="I113" s="614">
        <f t="shared" si="14"/>
        <v>124286.86499223148</v>
      </c>
      <c r="J113" s="478">
        <f t="shared" si="15"/>
        <v>0</v>
      </c>
      <c r="K113" s="478"/>
      <c r="L113" s="487"/>
      <c r="M113" s="478">
        <f t="shared" si="16"/>
        <v>0</v>
      </c>
      <c r="N113" s="487"/>
      <c r="O113" s="478">
        <f t="shared" si="17"/>
        <v>0</v>
      </c>
      <c r="P113" s="478">
        <f t="shared" si="18"/>
        <v>0</v>
      </c>
    </row>
    <row r="114" spans="2:16" ht="12.5">
      <c r="B114" s="160" t="str">
        <f t="shared" si="19"/>
        <v/>
      </c>
      <c r="C114" s="472">
        <f>IF(D93="","-",+C113+1)</f>
        <v>2033</v>
      </c>
      <c r="D114" s="346">
        <f>IF(F113+SUM(E$99:E113)=D$92,F113,D$92-SUM(E$99:E113))</f>
        <v>870697</v>
      </c>
      <c r="E114" s="484">
        <f t="shared" si="20"/>
        <v>32814</v>
      </c>
      <c r="F114" s="485">
        <f t="shared" si="21"/>
        <v>837883</v>
      </c>
      <c r="G114" s="485">
        <f t="shared" si="22"/>
        <v>854290</v>
      </c>
      <c r="H114" s="613">
        <f t="shared" si="13"/>
        <v>120903.28134042167</v>
      </c>
      <c r="I114" s="614">
        <f t="shared" si="14"/>
        <v>120903.28134042167</v>
      </c>
      <c r="J114" s="478">
        <f t="shared" si="15"/>
        <v>0</v>
      </c>
      <c r="K114" s="478"/>
      <c r="L114" s="487"/>
      <c r="M114" s="478">
        <f t="shared" si="16"/>
        <v>0</v>
      </c>
      <c r="N114" s="487"/>
      <c r="O114" s="478">
        <f t="shared" si="17"/>
        <v>0</v>
      </c>
      <c r="P114" s="478">
        <f t="shared" si="18"/>
        <v>0</v>
      </c>
    </row>
    <row r="115" spans="2:16" ht="12.5">
      <c r="B115" s="160" t="str">
        <f t="shared" si="19"/>
        <v/>
      </c>
      <c r="C115" s="472">
        <f>IF(D93="","-",+C114+1)</f>
        <v>2034</v>
      </c>
      <c r="D115" s="346">
        <f>IF(F114+SUM(E$99:E114)=D$92,F114,D$92-SUM(E$99:E114))</f>
        <v>837883</v>
      </c>
      <c r="E115" s="484">
        <f t="shared" si="20"/>
        <v>32814</v>
      </c>
      <c r="F115" s="485">
        <f t="shared" si="21"/>
        <v>805069</v>
      </c>
      <c r="G115" s="485">
        <f t="shared" si="22"/>
        <v>821476</v>
      </c>
      <c r="H115" s="613">
        <f t="shared" si="13"/>
        <v>117519.69768861188</v>
      </c>
      <c r="I115" s="614">
        <f t="shared" si="14"/>
        <v>117519.69768861188</v>
      </c>
      <c r="J115" s="478">
        <f t="shared" si="15"/>
        <v>0</v>
      </c>
      <c r="K115" s="478"/>
      <c r="L115" s="487"/>
      <c r="M115" s="478">
        <f t="shared" si="16"/>
        <v>0</v>
      </c>
      <c r="N115" s="487"/>
      <c r="O115" s="478">
        <f t="shared" si="17"/>
        <v>0</v>
      </c>
      <c r="P115" s="478">
        <f t="shared" si="18"/>
        <v>0</v>
      </c>
    </row>
    <row r="116" spans="2:16" ht="12.5">
      <c r="B116" s="160" t="str">
        <f t="shared" si="19"/>
        <v/>
      </c>
      <c r="C116" s="472">
        <f>IF(D93="","-",+C115+1)</f>
        <v>2035</v>
      </c>
      <c r="D116" s="346">
        <f>IF(F115+SUM(E$99:E115)=D$92,F115,D$92-SUM(E$99:E115))</f>
        <v>805069</v>
      </c>
      <c r="E116" s="484">
        <f t="shared" si="20"/>
        <v>32814</v>
      </c>
      <c r="F116" s="485">
        <f t="shared" si="21"/>
        <v>772255</v>
      </c>
      <c r="G116" s="485">
        <f t="shared" si="22"/>
        <v>788662</v>
      </c>
      <c r="H116" s="613">
        <f t="shared" si="13"/>
        <v>114136.11403680207</v>
      </c>
      <c r="I116" s="614">
        <f t="shared" si="14"/>
        <v>114136.11403680207</v>
      </c>
      <c r="J116" s="478">
        <f t="shared" si="15"/>
        <v>0</v>
      </c>
      <c r="K116" s="478"/>
      <c r="L116" s="487"/>
      <c r="M116" s="478">
        <f t="shared" si="16"/>
        <v>0</v>
      </c>
      <c r="N116" s="487"/>
      <c r="O116" s="478">
        <f t="shared" si="17"/>
        <v>0</v>
      </c>
      <c r="P116" s="478">
        <f t="shared" si="18"/>
        <v>0</v>
      </c>
    </row>
    <row r="117" spans="2:16" ht="12.5">
      <c r="B117" s="160" t="str">
        <f t="shared" si="19"/>
        <v/>
      </c>
      <c r="C117" s="472">
        <f>IF(D93="","-",+C116+1)</f>
        <v>2036</v>
      </c>
      <c r="D117" s="346">
        <f>IF(F116+SUM(E$99:E116)=D$92,F116,D$92-SUM(E$99:E116))</f>
        <v>772255</v>
      </c>
      <c r="E117" s="484">
        <f t="shared" si="20"/>
        <v>32814</v>
      </c>
      <c r="F117" s="485">
        <f t="shared" si="21"/>
        <v>739441</v>
      </c>
      <c r="G117" s="485">
        <f t="shared" si="22"/>
        <v>755848</v>
      </c>
      <c r="H117" s="613">
        <f t="shared" si="13"/>
        <v>110752.53038499226</v>
      </c>
      <c r="I117" s="614">
        <f t="shared" si="14"/>
        <v>110752.53038499226</v>
      </c>
      <c r="J117" s="478">
        <f t="shared" si="15"/>
        <v>0</v>
      </c>
      <c r="K117" s="478"/>
      <c r="L117" s="487"/>
      <c r="M117" s="478">
        <f t="shared" si="16"/>
        <v>0</v>
      </c>
      <c r="N117" s="487"/>
      <c r="O117" s="478">
        <f t="shared" si="17"/>
        <v>0</v>
      </c>
      <c r="P117" s="478">
        <f t="shared" si="18"/>
        <v>0</v>
      </c>
    </row>
    <row r="118" spans="2:16" ht="12.5">
      <c r="B118" s="160" t="str">
        <f t="shared" si="19"/>
        <v/>
      </c>
      <c r="C118" s="472">
        <f>IF(D93="","-",+C117+1)</f>
        <v>2037</v>
      </c>
      <c r="D118" s="346">
        <f>IF(F117+SUM(E$99:E117)=D$92,F117,D$92-SUM(E$99:E117))</f>
        <v>739441</v>
      </c>
      <c r="E118" s="484">
        <f t="shared" si="20"/>
        <v>32814</v>
      </c>
      <c r="F118" s="485">
        <f t="shared" si="21"/>
        <v>706627</v>
      </c>
      <c r="G118" s="485">
        <f t="shared" si="22"/>
        <v>723034</v>
      </c>
      <c r="H118" s="613">
        <f t="shared" si="13"/>
        <v>107368.94673318246</v>
      </c>
      <c r="I118" s="614">
        <f t="shared" si="14"/>
        <v>107368.94673318246</v>
      </c>
      <c r="J118" s="478">
        <f t="shared" si="15"/>
        <v>0</v>
      </c>
      <c r="K118" s="478"/>
      <c r="L118" s="487"/>
      <c r="M118" s="478">
        <f t="shared" si="16"/>
        <v>0</v>
      </c>
      <c r="N118" s="487"/>
      <c r="O118" s="478">
        <f t="shared" si="17"/>
        <v>0</v>
      </c>
      <c r="P118" s="478">
        <f t="shared" si="18"/>
        <v>0</v>
      </c>
    </row>
    <row r="119" spans="2:16" ht="12.5">
      <c r="B119" s="160" t="str">
        <f t="shared" si="19"/>
        <v/>
      </c>
      <c r="C119" s="472">
        <f>IF(D93="","-",+C118+1)</f>
        <v>2038</v>
      </c>
      <c r="D119" s="346">
        <f>IF(F118+SUM(E$99:E118)=D$92,F118,D$92-SUM(E$99:E118))</f>
        <v>706627</v>
      </c>
      <c r="E119" s="484">
        <f t="shared" si="20"/>
        <v>32814</v>
      </c>
      <c r="F119" s="485">
        <f t="shared" si="21"/>
        <v>673813</v>
      </c>
      <c r="G119" s="485">
        <f t="shared" si="22"/>
        <v>690220</v>
      </c>
      <c r="H119" s="613">
        <f t="shared" si="13"/>
        <v>103985.36308137266</v>
      </c>
      <c r="I119" s="614">
        <f t="shared" si="14"/>
        <v>103985.36308137266</v>
      </c>
      <c r="J119" s="478">
        <f t="shared" si="15"/>
        <v>0</v>
      </c>
      <c r="K119" s="478"/>
      <c r="L119" s="487"/>
      <c r="M119" s="478">
        <f t="shared" si="16"/>
        <v>0</v>
      </c>
      <c r="N119" s="487"/>
      <c r="O119" s="478">
        <f t="shared" si="17"/>
        <v>0</v>
      </c>
      <c r="P119" s="478">
        <f t="shared" si="18"/>
        <v>0</v>
      </c>
    </row>
    <row r="120" spans="2:16" ht="12.5">
      <c r="B120" s="160" t="str">
        <f t="shared" si="19"/>
        <v/>
      </c>
      <c r="C120" s="472">
        <f>IF(D93="","-",+C119+1)</f>
        <v>2039</v>
      </c>
      <c r="D120" s="346">
        <f>IF(F119+SUM(E$99:E119)=D$92,F119,D$92-SUM(E$99:E119))</f>
        <v>673813</v>
      </c>
      <c r="E120" s="484">
        <f t="shared" si="20"/>
        <v>32814</v>
      </c>
      <c r="F120" s="485">
        <f t="shared" si="21"/>
        <v>640999</v>
      </c>
      <c r="G120" s="485">
        <f t="shared" si="22"/>
        <v>657406</v>
      </c>
      <c r="H120" s="613">
        <f t="shared" si="13"/>
        <v>100601.77942956286</v>
      </c>
      <c r="I120" s="614">
        <f t="shared" si="14"/>
        <v>100601.77942956286</v>
      </c>
      <c r="J120" s="478">
        <f t="shared" si="15"/>
        <v>0</v>
      </c>
      <c r="K120" s="478"/>
      <c r="L120" s="487"/>
      <c r="M120" s="478">
        <f t="shared" si="16"/>
        <v>0</v>
      </c>
      <c r="N120" s="487"/>
      <c r="O120" s="478">
        <f t="shared" si="17"/>
        <v>0</v>
      </c>
      <c r="P120" s="478">
        <f t="shared" si="18"/>
        <v>0</v>
      </c>
    </row>
    <row r="121" spans="2:16" ht="12.5">
      <c r="B121" s="160" t="str">
        <f t="shared" si="19"/>
        <v/>
      </c>
      <c r="C121" s="472">
        <f>IF(D93="","-",+C120+1)</f>
        <v>2040</v>
      </c>
      <c r="D121" s="346">
        <f>IF(F120+SUM(E$99:E120)=D$92,F120,D$92-SUM(E$99:E120))</f>
        <v>640999</v>
      </c>
      <c r="E121" s="484">
        <f t="shared" si="20"/>
        <v>32814</v>
      </c>
      <c r="F121" s="485">
        <f t="shared" si="21"/>
        <v>608185</v>
      </c>
      <c r="G121" s="485">
        <f t="shared" si="22"/>
        <v>624592</v>
      </c>
      <c r="H121" s="613">
        <f t="shared" si="13"/>
        <v>97218.195777753048</v>
      </c>
      <c r="I121" s="614">
        <f t="shared" si="14"/>
        <v>97218.195777753048</v>
      </c>
      <c r="J121" s="478">
        <f t="shared" si="15"/>
        <v>0</v>
      </c>
      <c r="K121" s="478"/>
      <c r="L121" s="487"/>
      <c r="M121" s="478">
        <f t="shared" si="16"/>
        <v>0</v>
      </c>
      <c r="N121" s="487"/>
      <c r="O121" s="478">
        <f t="shared" si="17"/>
        <v>0</v>
      </c>
      <c r="P121" s="478">
        <f t="shared" si="18"/>
        <v>0</v>
      </c>
    </row>
    <row r="122" spans="2:16" ht="12.5">
      <c r="B122" s="160" t="str">
        <f t="shared" si="19"/>
        <v/>
      </c>
      <c r="C122" s="472">
        <f>IF(D93="","-",+C121+1)</f>
        <v>2041</v>
      </c>
      <c r="D122" s="346">
        <f>IF(F121+SUM(E$99:E121)=D$92,F121,D$92-SUM(E$99:E121))</f>
        <v>608185</v>
      </c>
      <c r="E122" s="484">
        <f t="shared" si="20"/>
        <v>32814</v>
      </c>
      <c r="F122" s="485">
        <f t="shared" si="21"/>
        <v>575371</v>
      </c>
      <c r="G122" s="485">
        <f t="shared" si="22"/>
        <v>591778</v>
      </c>
      <c r="H122" s="613">
        <f t="shared" si="13"/>
        <v>93834.61212594324</v>
      </c>
      <c r="I122" s="614">
        <f t="shared" si="14"/>
        <v>93834.61212594324</v>
      </c>
      <c r="J122" s="478">
        <f t="shared" si="15"/>
        <v>0</v>
      </c>
      <c r="K122" s="478"/>
      <c r="L122" s="487"/>
      <c r="M122" s="478">
        <f t="shared" si="16"/>
        <v>0</v>
      </c>
      <c r="N122" s="487"/>
      <c r="O122" s="478">
        <f t="shared" si="17"/>
        <v>0</v>
      </c>
      <c r="P122" s="478">
        <f t="shared" si="18"/>
        <v>0</v>
      </c>
    </row>
    <row r="123" spans="2:16" ht="12.5">
      <c r="B123" s="160" t="str">
        <f t="shared" si="19"/>
        <v/>
      </c>
      <c r="C123" s="472">
        <f>IF(D93="","-",+C122+1)</f>
        <v>2042</v>
      </c>
      <c r="D123" s="346">
        <f>IF(F122+SUM(E$99:E122)=D$92,F122,D$92-SUM(E$99:E122))</f>
        <v>575371</v>
      </c>
      <c r="E123" s="484">
        <f t="shared" si="20"/>
        <v>32814</v>
      </c>
      <c r="F123" s="485">
        <f t="shared" si="21"/>
        <v>542557</v>
      </c>
      <c r="G123" s="485">
        <f t="shared" si="22"/>
        <v>558964</v>
      </c>
      <c r="H123" s="613">
        <f t="shared" si="13"/>
        <v>90451.028474133447</v>
      </c>
      <c r="I123" s="614">
        <f t="shared" si="14"/>
        <v>90451.028474133447</v>
      </c>
      <c r="J123" s="478">
        <f t="shared" si="15"/>
        <v>0</v>
      </c>
      <c r="K123" s="478"/>
      <c r="L123" s="487"/>
      <c r="M123" s="478">
        <f t="shared" si="16"/>
        <v>0</v>
      </c>
      <c r="N123" s="487"/>
      <c r="O123" s="478">
        <f t="shared" si="17"/>
        <v>0</v>
      </c>
      <c r="P123" s="478">
        <f t="shared" si="18"/>
        <v>0</v>
      </c>
    </row>
    <row r="124" spans="2:16" ht="12.5">
      <c r="B124" s="160" t="str">
        <f t="shared" si="19"/>
        <v/>
      </c>
      <c r="C124" s="472">
        <f>IF(D93="","-",+C123+1)</f>
        <v>2043</v>
      </c>
      <c r="D124" s="346">
        <f>IF(F123+SUM(E$99:E123)=D$92,F123,D$92-SUM(E$99:E123))</f>
        <v>542557</v>
      </c>
      <c r="E124" s="484">
        <f t="shared" si="20"/>
        <v>32814</v>
      </c>
      <c r="F124" s="485">
        <f t="shared" si="21"/>
        <v>509743</v>
      </c>
      <c r="G124" s="485">
        <f t="shared" si="22"/>
        <v>526150</v>
      </c>
      <c r="H124" s="613">
        <f t="shared" si="13"/>
        <v>87067.44482232364</v>
      </c>
      <c r="I124" s="614">
        <f t="shared" si="14"/>
        <v>87067.44482232364</v>
      </c>
      <c r="J124" s="478">
        <f t="shared" si="15"/>
        <v>0</v>
      </c>
      <c r="K124" s="478"/>
      <c r="L124" s="487"/>
      <c r="M124" s="478">
        <f t="shared" si="16"/>
        <v>0</v>
      </c>
      <c r="N124" s="487"/>
      <c r="O124" s="478">
        <f t="shared" si="17"/>
        <v>0</v>
      </c>
      <c r="P124" s="478">
        <f t="shared" si="18"/>
        <v>0</v>
      </c>
    </row>
    <row r="125" spans="2:16" ht="12.5">
      <c r="B125" s="160" t="str">
        <f t="shared" si="19"/>
        <v/>
      </c>
      <c r="C125" s="472">
        <f>IF(D93="","-",+C124+1)</f>
        <v>2044</v>
      </c>
      <c r="D125" s="346">
        <f>IF(F124+SUM(E$99:E124)=D$92,F124,D$92-SUM(E$99:E124))</f>
        <v>509743</v>
      </c>
      <c r="E125" s="484">
        <f t="shared" si="20"/>
        <v>32814</v>
      </c>
      <c r="F125" s="485">
        <f t="shared" si="21"/>
        <v>476929</v>
      </c>
      <c r="G125" s="485">
        <f t="shared" si="22"/>
        <v>493336</v>
      </c>
      <c r="H125" s="613">
        <f t="shared" si="13"/>
        <v>83683.861170513846</v>
      </c>
      <c r="I125" s="614">
        <f t="shared" si="14"/>
        <v>83683.861170513846</v>
      </c>
      <c r="J125" s="478">
        <f t="shared" si="15"/>
        <v>0</v>
      </c>
      <c r="K125" s="478"/>
      <c r="L125" s="487"/>
      <c r="M125" s="478">
        <f t="shared" si="16"/>
        <v>0</v>
      </c>
      <c r="N125" s="487"/>
      <c r="O125" s="478">
        <f t="shared" si="17"/>
        <v>0</v>
      </c>
      <c r="P125" s="478">
        <f t="shared" si="18"/>
        <v>0</v>
      </c>
    </row>
    <row r="126" spans="2:16" ht="12.5">
      <c r="B126" s="160" t="str">
        <f t="shared" si="19"/>
        <v/>
      </c>
      <c r="C126" s="472">
        <f>IF(D93="","-",+C125+1)</f>
        <v>2045</v>
      </c>
      <c r="D126" s="346">
        <f>IF(F125+SUM(E$99:E125)=D$92,F125,D$92-SUM(E$99:E125))</f>
        <v>476929</v>
      </c>
      <c r="E126" s="484">
        <f t="shared" si="20"/>
        <v>32814</v>
      </c>
      <c r="F126" s="485">
        <f t="shared" si="21"/>
        <v>444115</v>
      </c>
      <c r="G126" s="485">
        <f t="shared" si="22"/>
        <v>460522</v>
      </c>
      <c r="H126" s="613">
        <f t="shared" si="13"/>
        <v>80300.277518704039</v>
      </c>
      <c r="I126" s="614">
        <f t="shared" si="14"/>
        <v>80300.277518704039</v>
      </c>
      <c r="J126" s="478">
        <f t="shared" si="15"/>
        <v>0</v>
      </c>
      <c r="K126" s="478"/>
      <c r="L126" s="487"/>
      <c r="M126" s="478">
        <f t="shared" si="16"/>
        <v>0</v>
      </c>
      <c r="N126" s="487"/>
      <c r="O126" s="478">
        <f t="shared" si="17"/>
        <v>0</v>
      </c>
      <c r="P126" s="478">
        <f t="shared" si="18"/>
        <v>0</v>
      </c>
    </row>
    <row r="127" spans="2:16" ht="12.5">
      <c r="B127" s="160" t="str">
        <f t="shared" si="19"/>
        <v/>
      </c>
      <c r="C127" s="472">
        <f>IF(D93="","-",+C126+1)</f>
        <v>2046</v>
      </c>
      <c r="D127" s="346">
        <f>IF(F126+SUM(E$99:E126)=D$92,F126,D$92-SUM(E$99:E126))</f>
        <v>444115</v>
      </c>
      <c r="E127" s="484">
        <f t="shared" si="20"/>
        <v>32814</v>
      </c>
      <c r="F127" s="485">
        <f t="shared" si="21"/>
        <v>411301</v>
      </c>
      <c r="G127" s="485">
        <f t="shared" si="22"/>
        <v>427708</v>
      </c>
      <c r="H127" s="613">
        <f t="shared" si="13"/>
        <v>76916.693866894231</v>
      </c>
      <c r="I127" s="614">
        <f t="shared" si="14"/>
        <v>76916.693866894231</v>
      </c>
      <c r="J127" s="478">
        <f t="shared" si="15"/>
        <v>0</v>
      </c>
      <c r="K127" s="478"/>
      <c r="L127" s="487"/>
      <c r="M127" s="478">
        <f t="shared" si="16"/>
        <v>0</v>
      </c>
      <c r="N127" s="487"/>
      <c r="O127" s="478">
        <f t="shared" si="17"/>
        <v>0</v>
      </c>
      <c r="P127" s="478">
        <f t="shared" si="18"/>
        <v>0</v>
      </c>
    </row>
    <row r="128" spans="2:16" ht="12.5">
      <c r="B128" s="160" t="str">
        <f t="shared" si="19"/>
        <v/>
      </c>
      <c r="C128" s="472">
        <f>IF(D93="","-",+C127+1)</f>
        <v>2047</v>
      </c>
      <c r="D128" s="346">
        <f>IF(F127+SUM(E$99:E127)=D$92,F127,D$92-SUM(E$99:E127))</f>
        <v>411301</v>
      </c>
      <c r="E128" s="484">
        <f t="shared" si="20"/>
        <v>32814</v>
      </c>
      <c r="F128" s="485">
        <f t="shared" si="21"/>
        <v>378487</v>
      </c>
      <c r="G128" s="485">
        <f t="shared" si="22"/>
        <v>394894</v>
      </c>
      <c r="H128" s="613">
        <f t="shared" si="13"/>
        <v>73533.110215084424</v>
      </c>
      <c r="I128" s="614">
        <f t="shared" si="14"/>
        <v>73533.110215084424</v>
      </c>
      <c r="J128" s="478">
        <f t="shared" si="15"/>
        <v>0</v>
      </c>
      <c r="K128" s="478"/>
      <c r="L128" s="487"/>
      <c r="M128" s="478">
        <f t="shared" si="16"/>
        <v>0</v>
      </c>
      <c r="N128" s="487"/>
      <c r="O128" s="478">
        <f t="shared" si="17"/>
        <v>0</v>
      </c>
      <c r="P128" s="478">
        <f t="shared" si="18"/>
        <v>0</v>
      </c>
    </row>
    <row r="129" spans="2:16" ht="12.5">
      <c r="B129" s="160" t="str">
        <f t="shared" si="19"/>
        <v/>
      </c>
      <c r="C129" s="472">
        <f>IF(D93="","-",+C128+1)</f>
        <v>2048</v>
      </c>
      <c r="D129" s="346">
        <f>IF(F128+SUM(E$99:E128)=D$92,F128,D$92-SUM(E$99:E128))</f>
        <v>378487</v>
      </c>
      <c r="E129" s="484">
        <f t="shared" si="20"/>
        <v>32814</v>
      </c>
      <c r="F129" s="485">
        <f t="shared" si="21"/>
        <v>345673</v>
      </c>
      <c r="G129" s="485">
        <f t="shared" si="22"/>
        <v>362080</v>
      </c>
      <c r="H129" s="613">
        <f t="shared" si="13"/>
        <v>70149.526563274616</v>
      </c>
      <c r="I129" s="614">
        <f t="shared" si="14"/>
        <v>70149.526563274616</v>
      </c>
      <c r="J129" s="478">
        <f t="shared" si="15"/>
        <v>0</v>
      </c>
      <c r="K129" s="478"/>
      <c r="L129" s="487"/>
      <c r="M129" s="478">
        <f t="shared" si="16"/>
        <v>0</v>
      </c>
      <c r="N129" s="487"/>
      <c r="O129" s="478">
        <f t="shared" si="17"/>
        <v>0</v>
      </c>
      <c r="P129" s="478">
        <f t="shared" si="18"/>
        <v>0</v>
      </c>
    </row>
    <row r="130" spans="2:16" ht="12.5">
      <c r="B130" s="160" t="str">
        <f t="shared" si="19"/>
        <v/>
      </c>
      <c r="C130" s="472">
        <f>IF(D93="","-",+C129+1)</f>
        <v>2049</v>
      </c>
      <c r="D130" s="346">
        <f>IF(F129+SUM(E$99:E129)=D$92,F129,D$92-SUM(E$99:E129))</f>
        <v>345673</v>
      </c>
      <c r="E130" s="484">
        <f t="shared" si="20"/>
        <v>32814</v>
      </c>
      <c r="F130" s="485">
        <f t="shared" si="21"/>
        <v>312859</v>
      </c>
      <c r="G130" s="485">
        <f t="shared" si="22"/>
        <v>329266</v>
      </c>
      <c r="H130" s="613">
        <f t="shared" si="13"/>
        <v>66765.942911464823</v>
      </c>
      <c r="I130" s="614">
        <f t="shared" si="14"/>
        <v>66765.942911464823</v>
      </c>
      <c r="J130" s="478">
        <f t="shared" si="15"/>
        <v>0</v>
      </c>
      <c r="K130" s="478"/>
      <c r="L130" s="487"/>
      <c r="M130" s="478">
        <f t="shared" si="16"/>
        <v>0</v>
      </c>
      <c r="N130" s="487"/>
      <c r="O130" s="478">
        <f t="shared" si="17"/>
        <v>0</v>
      </c>
      <c r="P130" s="478">
        <f t="shared" si="18"/>
        <v>0</v>
      </c>
    </row>
    <row r="131" spans="2:16" ht="12.5">
      <c r="B131" s="160" t="str">
        <f t="shared" si="19"/>
        <v/>
      </c>
      <c r="C131" s="472">
        <f>IF(D93="","-",+C130+1)</f>
        <v>2050</v>
      </c>
      <c r="D131" s="346">
        <f>IF(F130+SUM(E$99:E130)=D$92,F130,D$92-SUM(E$99:E130))</f>
        <v>312859</v>
      </c>
      <c r="E131" s="484">
        <f t="shared" si="20"/>
        <v>32814</v>
      </c>
      <c r="F131" s="485">
        <f t="shared" si="21"/>
        <v>280045</v>
      </c>
      <c r="G131" s="485">
        <f t="shared" si="22"/>
        <v>296452</v>
      </c>
      <c r="H131" s="613">
        <f t="shared" si="13"/>
        <v>63382.359259655015</v>
      </c>
      <c r="I131" s="614">
        <f t="shared" si="14"/>
        <v>63382.359259655015</v>
      </c>
      <c r="J131" s="478">
        <f t="shared" ref="J131:J154" si="23">+I541-H541</f>
        <v>0</v>
      </c>
      <c r="K131" s="478"/>
      <c r="L131" s="487"/>
      <c r="M131" s="478">
        <f t="shared" ref="M131:M154" si="24">IF(L541&lt;&gt;0,+H541-L541,0)</f>
        <v>0</v>
      </c>
      <c r="N131" s="487"/>
      <c r="O131" s="478">
        <f t="shared" ref="O131:O154" si="25">IF(N541&lt;&gt;0,+I541-N541,0)</f>
        <v>0</v>
      </c>
      <c r="P131" s="478">
        <f t="shared" ref="P131:P154" si="26">+O541-M541</f>
        <v>0</v>
      </c>
    </row>
    <row r="132" spans="2:16" ht="12.5">
      <c r="B132" s="160" t="str">
        <f t="shared" si="19"/>
        <v/>
      </c>
      <c r="C132" s="472">
        <f>IF(D93="","-",+C131+1)</f>
        <v>2051</v>
      </c>
      <c r="D132" s="346">
        <f>IF(F131+SUM(E$99:E131)=D$92,F131,D$92-SUM(E$99:E131))</f>
        <v>280045</v>
      </c>
      <c r="E132" s="484">
        <f t="shared" si="20"/>
        <v>32814</v>
      </c>
      <c r="F132" s="485">
        <f t="shared" si="21"/>
        <v>247231</v>
      </c>
      <c r="G132" s="485">
        <f t="shared" si="22"/>
        <v>263638</v>
      </c>
      <c r="H132" s="613">
        <f t="shared" si="13"/>
        <v>59998.775607845215</v>
      </c>
      <c r="I132" s="614">
        <f t="shared" si="14"/>
        <v>59998.775607845215</v>
      </c>
      <c r="J132" s="478">
        <f t="shared" si="23"/>
        <v>0</v>
      </c>
      <c r="K132" s="478"/>
      <c r="L132" s="487"/>
      <c r="M132" s="478">
        <f t="shared" si="24"/>
        <v>0</v>
      </c>
      <c r="N132" s="487"/>
      <c r="O132" s="478">
        <f t="shared" si="25"/>
        <v>0</v>
      </c>
      <c r="P132" s="478">
        <f t="shared" si="26"/>
        <v>0</v>
      </c>
    </row>
    <row r="133" spans="2:16" ht="12.5">
      <c r="B133" s="160" t="str">
        <f t="shared" si="19"/>
        <v/>
      </c>
      <c r="C133" s="472">
        <f>IF(D93="","-",+C132+1)</f>
        <v>2052</v>
      </c>
      <c r="D133" s="346">
        <f>IF(F132+SUM(E$99:E132)=D$92,F132,D$92-SUM(E$99:E132))</f>
        <v>247231</v>
      </c>
      <c r="E133" s="484">
        <f t="shared" si="20"/>
        <v>32814</v>
      </c>
      <c r="F133" s="485">
        <f t="shared" si="21"/>
        <v>214417</v>
      </c>
      <c r="G133" s="485">
        <f t="shared" si="22"/>
        <v>230824</v>
      </c>
      <c r="H133" s="613">
        <f t="shared" si="13"/>
        <v>56615.191956035414</v>
      </c>
      <c r="I133" s="614">
        <f t="shared" si="14"/>
        <v>56615.191956035414</v>
      </c>
      <c r="J133" s="478">
        <f t="shared" si="23"/>
        <v>0</v>
      </c>
      <c r="K133" s="478"/>
      <c r="L133" s="487"/>
      <c r="M133" s="478">
        <f t="shared" si="24"/>
        <v>0</v>
      </c>
      <c r="N133" s="487"/>
      <c r="O133" s="478">
        <f t="shared" si="25"/>
        <v>0</v>
      </c>
      <c r="P133" s="478">
        <f t="shared" si="26"/>
        <v>0</v>
      </c>
    </row>
    <row r="134" spans="2:16" ht="12.5">
      <c r="B134" s="160" t="str">
        <f t="shared" si="19"/>
        <v/>
      </c>
      <c r="C134" s="472">
        <f>IF(D93="","-",+C133+1)</f>
        <v>2053</v>
      </c>
      <c r="D134" s="346">
        <f>IF(F133+SUM(E$99:E133)=D$92,F133,D$92-SUM(E$99:E133))</f>
        <v>214417</v>
      </c>
      <c r="E134" s="484">
        <f t="shared" si="20"/>
        <v>32814</v>
      </c>
      <c r="F134" s="485">
        <f t="shared" si="21"/>
        <v>181603</v>
      </c>
      <c r="G134" s="485">
        <f t="shared" si="22"/>
        <v>198010</v>
      </c>
      <c r="H134" s="613">
        <f t="shared" si="13"/>
        <v>53231.608304225607</v>
      </c>
      <c r="I134" s="614">
        <f t="shared" si="14"/>
        <v>53231.608304225607</v>
      </c>
      <c r="J134" s="478">
        <f t="shared" si="23"/>
        <v>0</v>
      </c>
      <c r="K134" s="478"/>
      <c r="L134" s="487"/>
      <c r="M134" s="478">
        <f t="shared" si="24"/>
        <v>0</v>
      </c>
      <c r="N134" s="487"/>
      <c r="O134" s="478">
        <f t="shared" si="25"/>
        <v>0</v>
      </c>
      <c r="P134" s="478">
        <f t="shared" si="26"/>
        <v>0</v>
      </c>
    </row>
    <row r="135" spans="2:16" ht="12.5">
      <c r="B135" s="160" t="str">
        <f t="shared" si="19"/>
        <v/>
      </c>
      <c r="C135" s="472">
        <f>IF(D93="","-",+C134+1)</f>
        <v>2054</v>
      </c>
      <c r="D135" s="346">
        <f>IF(F134+SUM(E$99:E134)=D$92,F134,D$92-SUM(E$99:E134))</f>
        <v>181603</v>
      </c>
      <c r="E135" s="484">
        <f t="shared" si="20"/>
        <v>32814</v>
      </c>
      <c r="F135" s="485">
        <f t="shared" si="21"/>
        <v>148789</v>
      </c>
      <c r="G135" s="485">
        <f t="shared" si="22"/>
        <v>165196</v>
      </c>
      <c r="H135" s="613">
        <f t="shared" si="13"/>
        <v>49848.024652415806</v>
      </c>
      <c r="I135" s="614">
        <f t="shared" si="14"/>
        <v>49848.024652415806</v>
      </c>
      <c r="J135" s="478">
        <f t="shared" si="23"/>
        <v>0</v>
      </c>
      <c r="K135" s="478"/>
      <c r="L135" s="487"/>
      <c r="M135" s="478">
        <f t="shared" si="24"/>
        <v>0</v>
      </c>
      <c r="N135" s="487"/>
      <c r="O135" s="478">
        <f t="shared" si="25"/>
        <v>0</v>
      </c>
      <c r="P135" s="478">
        <f t="shared" si="26"/>
        <v>0</v>
      </c>
    </row>
    <row r="136" spans="2:16" ht="12.5">
      <c r="B136" s="160" t="str">
        <f t="shared" si="19"/>
        <v/>
      </c>
      <c r="C136" s="472">
        <f>IF(D93="","-",+C135+1)</f>
        <v>2055</v>
      </c>
      <c r="D136" s="346">
        <f>IF(F135+SUM(E$99:E135)=D$92,F135,D$92-SUM(E$99:E135))</f>
        <v>148789</v>
      </c>
      <c r="E136" s="484">
        <f t="shared" si="20"/>
        <v>32814</v>
      </c>
      <c r="F136" s="485">
        <f t="shared" si="21"/>
        <v>115975</v>
      </c>
      <c r="G136" s="485">
        <f t="shared" si="22"/>
        <v>132382</v>
      </c>
      <c r="H136" s="613">
        <f t="shared" si="13"/>
        <v>46464.441000606006</v>
      </c>
      <c r="I136" s="614">
        <f t="shared" si="14"/>
        <v>46464.441000606006</v>
      </c>
      <c r="J136" s="478">
        <f t="shared" si="23"/>
        <v>0</v>
      </c>
      <c r="K136" s="478"/>
      <c r="L136" s="487"/>
      <c r="M136" s="478">
        <f t="shared" si="24"/>
        <v>0</v>
      </c>
      <c r="N136" s="487"/>
      <c r="O136" s="478">
        <f t="shared" si="25"/>
        <v>0</v>
      </c>
      <c r="P136" s="478">
        <f t="shared" si="26"/>
        <v>0</v>
      </c>
    </row>
    <row r="137" spans="2:16" ht="12.5">
      <c r="B137" s="160" t="str">
        <f t="shared" si="19"/>
        <v/>
      </c>
      <c r="C137" s="472">
        <f>IF(D93="","-",+C136+1)</f>
        <v>2056</v>
      </c>
      <c r="D137" s="346">
        <f>IF(F136+SUM(E$99:E136)=D$92,F136,D$92-SUM(E$99:E136))</f>
        <v>115975</v>
      </c>
      <c r="E137" s="484">
        <f t="shared" si="20"/>
        <v>32814</v>
      </c>
      <c r="F137" s="485">
        <f t="shared" si="21"/>
        <v>83161</v>
      </c>
      <c r="G137" s="485">
        <f t="shared" si="22"/>
        <v>99568</v>
      </c>
      <c r="H137" s="613">
        <f t="shared" si="13"/>
        <v>43080.857348796198</v>
      </c>
      <c r="I137" s="614">
        <f t="shared" si="14"/>
        <v>43080.857348796198</v>
      </c>
      <c r="J137" s="478">
        <f t="shared" si="23"/>
        <v>0</v>
      </c>
      <c r="K137" s="478"/>
      <c r="L137" s="487"/>
      <c r="M137" s="478">
        <f t="shared" si="24"/>
        <v>0</v>
      </c>
      <c r="N137" s="487"/>
      <c r="O137" s="478">
        <f t="shared" si="25"/>
        <v>0</v>
      </c>
      <c r="P137" s="478">
        <f t="shared" si="26"/>
        <v>0</v>
      </c>
    </row>
    <row r="138" spans="2:16" ht="12.5">
      <c r="B138" s="160" t="str">
        <f t="shared" si="19"/>
        <v/>
      </c>
      <c r="C138" s="472">
        <f>IF(D93="","-",+C137+1)</f>
        <v>2057</v>
      </c>
      <c r="D138" s="346">
        <f>IF(F137+SUM(E$99:E137)=D$92,F137,D$92-SUM(E$99:E137))</f>
        <v>83161</v>
      </c>
      <c r="E138" s="484">
        <f t="shared" si="20"/>
        <v>32814</v>
      </c>
      <c r="F138" s="485">
        <f t="shared" si="21"/>
        <v>50347</v>
      </c>
      <c r="G138" s="485">
        <f t="shared" si="22"/>
        <v>66754</v>
      </c>
      <c r="H138" s="613">
        <f t="shared" si="13"/>
        <v>39697.273696986398</v>
      </c>
      <c r="I138" s="614">
        <f t="shared" si="14"/>
        <v>39697.273696986398</v>
      </c>
      <c r="J138" s="478">
        <f t="shared" si="23"/>
        <v>0</v>
      </c>
      <c r="K138" s="478"/>
      <c r="L138" s="487"/>
      <c r="M138" s="478">
        <f t="shared" si="24"/>
        <v>0</v>
      </c>
      <c r="N138" s="487"/>
      <c r="O138" s="478">
        <f t="shared" si="25"/>
        <v>0</v>
      </c>
      <c r="P138" s="478">
        <f t="shared" si="26"/>
        <v>0</v>
      </c>
    </row>
    <row r="139" spans="2:16" ht="12.5">
      <c r="B139" s="160" t="str">
        <f t="shared" si="19"/>
        <v/>
      </c>
      <c r="C139" s="472">
        <f>IF(D93="","-",+C138+1)</f>
        <v>2058</v>
      </c>
      <c r="D139" s="346">
        <f>IF(F138+SUM(E$99:E138)=D$92,F138,D$92-SUM(E$99:E138))</f>
        <v>50347</v>
      </c>
      <c r="E139" s="484">
        <f t="shared" si="20"/>
        <v>32814</v>
      </c>
      <c r="F139" s="485">
        <f t="shared" si="21"/>
        <v>17533</v>
      </c>
      <c r="G139" s="485">
        <f t="shared" si="22"/>
        <v>33940</v>
      </c>
      <c r="H139" s="613">
        <f t="shared" si="13"/>
        <v>36313.690045176591</v>
      </c>
      <c r="I139" s="614">
        <f t="shared" si="14"/>
        <v>36313.690045176591</v>
      </c>
      <c r="J139" s="478">
        <f t="shared" si="23"/>
        <v>0</v>
      </c>
      <c r="K139" s="478"/>
      <c r="L139" s="487"/>
      <c r="M139" s="478">
        <f t="shared" si="24"/>
        <v>0</v>
      </c>
      <c r="N139" s="487"/>
      <c r="O139" s="478">
        <f t="shared" si="25"/>
        <v>0</v>
      </c>
      <c r="P139" s="478">
        <f t="shared" si="26"/>
        <v>0</v>
      </c>
    </row>
    <row r="140" spans="2:16" ht="12.5">
      <c r="B140" s="160" t="str">
        <f t="shared" si="19"/>
        <v/>
      </c>
      <c r="C140" s="472">
        <f>IF(D93="","-",+C139+1)</f>
        <v>2059</v>
      </c>
      <c r="D140" s="346">
        <f>IF(F139+SUM(E$99:E139)=D$92,F139,D$92-SUM(E$99:E139))</f>
        <v>17533</v>
      </c>
      <c r="E140" s="484">
        <f t="shared" si="20"/>
        <v>17533</v>
      </c>
      <c r="F140" s="485">
        <f t="shared" si="21"/>
        <v>0</v>
      </c>
      <c r="G140" s="485">
        <f t="shared" si="22"/>
        <v>8766.5</v>
      </c>
      <c r="H140" s="613">
        <f t="shared" si="13"/>
        <v>18436.949109635847</v>
      </c>
      <c r="I140" s="614">
        <f t="shared" si="14"/>
        <v>18436.949109635847</v>
      </c>
      <c r="J140" s="478">
        <f t="shared" si="23"/>
        <v>0</v>
      </c>
      <c r="K140" s="478"/>
      <c r="L140" s="487"/>
      <c r="M140" s="478">
        <f t="shared" si="24"/>
        <v>0</v>
      </c>
      <c r="N140" s="487"/>
      <c r="O140" s="478">
        <f t="shared" si="25"/>
        <v>0</v>
      </c>
      <c r="P140" s="478">
        <f t="shared" si="26"/>
        <v>0</v>
      </c>
    </row>
    <row r="141" spans="2:16" ht="12.5">
      <c r="B141" s="160" t="str">
        <f t="shared" si="19"/>
        <v/>
      </c>
      <c r="C141" s="472">
        <f>IF(D93="","-",+C140+1)</f>
        <v>2060</v>
      </c>
      <c r="D141" s="346">
        <f>IF(F140+SUM(E$99:E140)=D$92,F140,D$92-SUM(E$99:E140))</f>
        <v>0</v>
      </c>
      <c r="E141" s="484">
        <f t="shared" si="20"/>
        <v>0</v>
      </c>
      <c r="F141" s="485">
        <f t="shared" si="21"/>
        <v>0</v>
      </c>
      <c r="G141" s="485">
        <f t="shared" si="22"/>
        <v>0</v>
      </c>
      <c r="H141" s="613">
        <f t="shared" si="13"/>
        <v>0</v>
      </c>
      <c r="I141" s="614">
        <f t="shared" si="14"/>
        <v>0</v>
      </c>
      <c r="J141" s="478">
        <f t="shared" si="23"/>
        <v>0</v>
      </c>
      <c r="K141" s="478"/>
      <c r="L141" s="487"/>
      <c r="M141" s="478">
        <f t="shared" si="24"/>
        <v>0</v>
      </c>
      <c r="N141" s="487"/>
      <c r="O141" s="478">
        <f t="shared" si="25"/>
        <v>0</v>
      </c>
      <c r="P141" s="478">
        <f t="shared" si="26"/>
        <v>0</v>
      </c>
    </row>
    <row r="142" spans="2:16" ht="12.5">
      <c r="B142" s="160" t="str">
        <f t="shared" si="19"/>
        <v/>
      </c>
      <c r="C142" s="472">
        <f>IF(D93="","-",+C141+1)</f>
        <v>2061</v>
      </c>
      <c r="D142" s="346">
        <f>IF(F141+SUM(E$99:E141)=D$92,F141,D$92-SUM(E$99:E141))</f>
        <v>0</v>
      </c>
      <c r="E142" s="484">
        <f t="shared" si="20"/>
        <v>0</v>
      </c>
      <c r="F142" s="485">
        <f t="shared" si="21"/>
        <v>0</v>
      </c>
      <c r="G142" s="485">
        <f t="shared" si="22"/>
        <v>0</v>
      </c>
      <c r="H142" s="613">
        <f t="shared" si="13"/>
        <v>0</v>
      </c>
      <c r="I142" s="614">
        <f t="shared" si="14"/>
        <v>0</v>
      </c>
      <c r="J142" s="478">
        <f t="shared" si="23"/>
        <v>0</v>
      </c>
      <c r="K142" s="478"/>
      <c r="L142" s="487"/>
      <c r="M142" s="478">
        <f t="shared" si="24"/>
        <v>0</v>
      </c>
      <c r="N142" s="487"/>
      <c r="O142" s="478">
        <f t="shared" si="25"/>
        <v>0</v>
      </c>
      <c r="P142" s="478">
        <f t="shared" si="26"/>
        <v>0</v>
      </c>
    </row>
    <row r="143" spans="2:16" ht="12.5">
      <c r="B143" s="160" t="str">
        <f t="shared" si="19"/>
        <v/>
      </c>
      <c r="C143" s="472">
        <f>IF(D93="","-",+C142+1)</f>
        <v>2062</v>
      </c>
      <c r="D143" s="346">
        <f>IF(F142+SUM(E$99:E142)=D$92,F142,D$92-SUM(E$99:E142))</f>
        <v>0</v>
      </c>
      <c r="E143" s="484">
        <f t="shared" si="20"/>
        <v>0</v>
      </c>
      <c r="F143" s="485">
        <f t="shared" si="21"/>
        <v>0</v>
      </c>
      <c r="G143" s="485">
        <f t="shared" si="22"/>
        <v>0</v>
      </c>
      <c r="H143" s="613">
        <f t="shared" si="13"/>
        <v>0</v>
      </c>
      <c r="I143" s="614">
        <f t="shared" si="14"/>
        <v>0</v>
      </c>
      <c r="J143" s="478">
        <f t="shared" si="23"/>
        <v>0</v>
      </c>
      <c r="K143" s="478"/>
      <c r="L143" s="487"/>
      <c r="M143" s="478">
        <f t="shared" si="24"/>
        <v>0</v>
      </c>
      <c r="N143" s="487"/>
      <c r="O143" s="478">
        <f t="shared" si="25"/>
        <v>0</v>
      </c>
      <c r="P143" s="478">
        <f t="shared" si="26"/>
        <v>0</v>
      </c>
    </row>
    <row r="144" spans="2:16" ht="12.5">
      <c r="B144" s="160" t="str">
        <f t="shared" si="19"/>
        <v/>
      </c>
      <c r="C144" s="472">
        <f>IF(D93="","-",+C143+1)</f>
        <v>2063</v>
      </c>
      <c r="D144" s="346">
        <f>IF(F143+SUM(E$99:E143)=D$92,F143,D$92-SUM(E$99:E143))</f>
        <v>0</v>
      </c>
      <c r="E144" s="484">
        <f t="shared" si="20"/>
        <v>0</v>
      </c>
      <c r="F144" s="485">
        <f t="shared" si="21"/>
        <v>0</v>
      </c>
      <c r="G144" s="485">
        <f t="shared" si="22"/>
        <v>0</v>
      </c>
      <c r="H144" s="613">
        <f t="shared" si="13"/>
        <v>0</v>
      </c>
      <c r="I144" s="614">
        <f t="shared" si="14"/>
        <v>0</v>
      </c>
      <c r="J144" s="478">
        <f t="shared" si="23"/>
        <v>0</v>
      </c>
      <c r="K144" s="478"/>
      <c r="L144" s="487"/>
      <c r="M144" s="478">
        <f t="shared" si="24"/>
        <v>0</v>
      </c>
      <c r="N144" s="487"/>
      <c r="O144" s="478">
        <f t="shared" si="25"/>
        <v>0</v>
      </c>
      <c r="P144" s="478">
        <f t="shared" si="26"/>
        <v>0</v>
      </c>
    </row>
    <row r="145" spans="2:16" ht="12.5">
      <c r="B145" s="160" t="str">
        <f t="shared" si="19"/>
        <v/>
      </c>
      <c r="C145" s="472">
        <f>IF(D93="","-",+C144+1)</f>
        <v>2064</v>
      </c>
      <c r="D145" s="346">
        <f>IF(F144+SUM(E$99:E144)=D$92,F144,D$92-SUM(E$99:E144))</f>
        <v>0</v>
      </c>
      <c r="E145" s="484">
        <f t="shared" si="20"/>
        <v>0</v>
      </c>
      <c r="F145" s="485">
        <f t="shared" si="21"/>
        <v>0</v>
      </c>
      <c r="G145" s="485">
        <f t="shared" si="22"/>
        <v>0</v>
      </c>
      <c r="H145" s="613">
        <f t="shared" si="13"/>
        <v>0</v>
      </c>
      <c r="I145" s="614">
        <f t="shared" si="14"/>
        <v>0</v>
      </c>
      <c r="J145" s="478">
        <f t="shared" si="23"/>
        <v>0</v>
      </c>
      <c r="K145" s="478"/>
      <c r="L145" s="487"/>
      <c r="M145" s="478">
        <f t="shared" si="24"/>
        <v>0</v>
      </c>
      <c r="N145" s="487"/>
      <c r="O145" s="478">
        <f t="shared" si="25"/>
        <v>0</v>
      </c>
      <c r="P145" s="478">
        <f t="shared" si="26"/>
        <v>0</v>
      </c>
    </row>
    <row r="146" spans="2:16" ht="12.5">
      <c r="B146" s="160" t="str">
        <f t="shared" si="19"/>
        <v/>
      </c>
      <c r="C146" s="472">
        <f>IF(D93="","-",+C145+1)</f>
        <v>2065</v>
      </c>
      <c r="D146" s="346">
        <f>IF(F145+SUM(E$99:E145)=D$92,F145,D$92-SUM(E$99:E145))</f>
        <v>0</v>
      </c>
      <c r="E146" s="484">
        <f t="shared" si="20"/>
        <v>0</v>
      </c>
      <c r="F146" s="485">
        <f t="shared" si="21"/>
        <v>0</v>
      </c>
      <c r="G146" s="485">
        <f t="shared" si="22"/>
        <v>0</v>
      </c>
      <c r="H146" s="613">
        <f t="shared" si="13"/>
        <v>0</v>
      </c>
      <c r="I146" s="614">
        <f t="shared" si="14"/>
        <v>0</v>
      </c>
      <c r="J146" s="478">
        <f t="shared" si="23"/>
        <v>0</v>
      </c>
      <c r="K146" s="478"/>
      <c r="L146" s="487"/>
      <c r="M146" s="478">
        <f t="shared" si="24"/>
        <v>0</v>
      </c>
      <c r="N146" s="487"/>
      <c r="O146" s="478">
        <f t="shared" si="25"/>
        <v>0</v>
      </c>
      <c r="P146" s="478">
        <f t="shared" si="26"/>
        <v>0</v>
      </c>
    </row>
    <row r="147" spans="2:16" ht="12.5">
      <c r="B147" s="160" t="str">
        <f t="shared" si="19"/>
        <v/>
      </c>
      <c r="C147" s="472">
        <f>IF(D93="","-",+C146+1)</f>
        <v>2066</v>
      </c>
      <c r="D147" s="346">
        <f>IF(F146+SUM(E$99:E146)=D$92,F146,D$92-SUM(E$99:E146))</f>
        <v>0</v>
      </c>
      <c r="E147" s="484">
        <f t="shared" si="20"/>
        <v>0</v>
      </c>
      <c r="F147" s="485">
        <f t="shared" si="21"/>
        <v>0</v>
      </c>
      <c r="G147" s="485">
        <f t="shared" si="22"/>
        <v>0</v>
      </c>
      <c r="H147" s="613">
        <f t="shared" si="13"/>
        <v>0</v>
      </c>
      <c r="I147" s="614">
        <f t="shared" si="14"/>
        <v>0</v>
      </c>
      <c r="J147" s="478">
        <f t="shared" si="23"/>
        <v>0</v>
      </c>
      <c r="K147" s="478"/>
      <c r="L147" s="487"/>
      <c r="M147" s="478">
        <f t="shared" si="24"/>
        <v>0</v>
      </c>
      <c r="N147" s="487"/>
      <c r="O147" s="478">
        <f t="shared" si="25"/>
        <v>0</v>
      </c>
      <c r="P147" s="478">
        <f t="shared" si="26"/>
        <v>0</v>
      </c>
    </row>
    <row r="148" spans="2:16" ht="12.5">
      <c r="B148" s="160" t="str">
        <f t="shared" si="19"/>
        <v/>
      </c>
      <c r="C148" s="472">
        <f>IF(D93="","-",+C147+1)</f>
        <v>2067</v>
      </c>
      <c r="D148" s="346">
        <f>IF(F147+SUM(E$99:E147)=D$92,F147,D$92-SUM(E$99:E147))</f>
        <v>0</v>
      </c>
      <c r="E148" s="484">
        <f t="shared" si="20"/>
        <v>0</v>
      </c>
      <c r="F148" s="485">
        <f t="shared" si="21"/>
        <v>0</v>
      </c>
      <c r="G148" s="485">
        <f t="shared" si="22"/>
        <v>0</v>
      </c>
      <c r="H148" s="613">
        <f t="shared" si="13"/>
        <v>0</v>
      </c>
      <c r="I148" s="614">
        <f t="shared" si="14"/>
        <v>0</v>
      </c>
      <c r="J148" s="478">
        <f t="shared" si="23"/>
        <v>0</v>
      </c>
      <c r="K148" s="478"/>
      <c r="L148" s="487"/>
      <c r="M148" s="478">
        <f t="shared" si="24"/>
        <v>0</v>
      </c>
      <c r="N148" s="487"/>
      <c r="O148" s="478">
        <f t="shared" si="25"/>
        <v>0</v>
      </c>
      <c r="P148" s="478">
        <f t="shared" si="26"/>
        <v>0</v>
      </c>
    </row>
    <row r="149" spans="2:16" ht="12.5">
      <c r="B149" s="160" t="str">
        <f t="shared" si="19"/>
        <v/>
      </c>
      <c r="C149" s="472">
        <f>IF(D93="","-",+C148+1)</f>
        <v>2068</v>
      </c>
      <c r="D149" s="346">
        <f>IF(F148+SUM(E$99:E148)=D$92,F148,D$92-SUM(E$99:E148))</f>
        <v>0</v>
      </c>
      <c r="E149" s="484">
        <f t="shared" si="20"/>
        <v>0</v>
      </c>
      <c r="F149" s="485">
        <f t="shared" si="21"/>
        <v>0</v>
      </c>
      <c r="G149" s="485">
        <f t="shared" si="22"/>
        <v>0</v>
      </c>
      <c r="H149" s="613">
        <f t="shared" si="13"/>
        <v>0</v>
      </c>
      <c r="I149" s="614">
        <f t="shared" si="14"/>
        <v>0</v>
      </c>
      <c r="J149" s="478">
        <f t="shared" si="23"/>
        <v>0</v>
      </c>
      <c r="K149" s="478"/>
      <c r="L149" s="487"/>
      <c r="M149" s="478">
        <f t="shared" si="24"/>
        <v>0</v>
      </c>
      <c r="N149" s="487"/>
      <c r="O149" s="478">
        <f t="shared" si="25"/>
        <v>0</v>
      </c>
      <c r="P149" s="478">
        <f t="shared" si="26"/>
        <v>0</v>
      </c>
    </row>
    <row r="150" spans="2:16" ht="12.5">
      <c r="B150" s="160" t="str">
        <f t="shared" si="19"/>
        <v/>
      </c>
      <c r="C150" s="472">
        <f>IF(D93="","-",+C149+1)</f>
        <v>2069</v>
      </c>
      <c r="D150" s="346">
        <f>IF(F149+SUM(E$99:E149)=D$92,F149,D$92-SUM(E$99:E149))</f>
        <v>0</v>
      </c>
      <c r="E150" s="484">
        <f t="shared" si="20"/>
        <v>0</v>
      </c>
      <c r="F150" s="485">
        <f t="shared" si="21"/>
        <v>0</v>
      </c>
      <c r="G150" s="485">
        <f t="shared" si="22"/>
        <v>0</v>
      </c>
      <c r="H150" s="613">
        <f t="shared" si="13"/>
        <v>0</v>
      </c>
      <c r="I150" s="614">
        <f t="shared" si="14"/>
        <v>0</v>
      </c>
      <c r="J150" s="478">
        <f t="shared" si="23"/>
        <v>0</v>
      </c>
      <c r="K150" s="478"/>
      <c r="L150" s="487"/>
      <c r="M150" s="478">
        <f t="shared" si="24"/>
        <v>0</v>
      </c>
      <c r="N150" s="487"/>
      <c r="O150" s="478">
        <f t="shared" si="25"/>
        <v>0</v>
      </c>
      <c r="P150" s="478">
        <f t="shared" si="26"/>
        <v>0</v>
      </c>
    </row>
    <row r="151" spans="2:16" ht="12.5">
      <c r="B151" s="160" t="str">
        <f t="shared" si="19"/>
        <v/>
      </c>
      <c r="C151" s="472">
        <f>IF(D93="","-",+C150+1)</f>
        <v>2070</v>
      </c>
      <c r="D151" s="346">
        <f>IF(F150+SUM(E$99:E150)=D$92,F150,D$92-SUM(E$99:E150))</f>
        <v>0</v>
      </c>
      <c r="E151" s="484">
        <f t="shared" si="20"/>
        <v>0</v>
      </c>
      <c r="F151" s="485">
        <f t="shared" si="21"/>
        <v>0</v>
      </c>
      <c r="G151" s="485">
        <f t="shared" si="22"/>
        <v>0</v>
      </c>
      <c r="H151" s="613">
        <f t="shared" si="13"/>
        <v>0</v>
      </c>
      <c r="I151" s="614">
        <f t="shared" si="14"/>
        <v>0</v>
      </c>
      <c r="J151" s="478">
        <f t="shared" si="23"/>
        <v>0</v>
      </c>
      <c r="K151" s="478"/>
      <c r="L151" s="487"/>
      <c r="M151" s="478">
        <f t="shared" si="24"/>
        <v>0</v>
      </c>
      <c r="N151" s="487"/>
      <c r="O151" s="478">
        <f t="shared" si="25"/>
        <v>0</v>
      </c>
      <c r="P151" s="478">
        <f t="shared" si="26"/>
        <v>0</v>
      </c>
    </row>
    <row r="152" spans="2:16" ht="12.5">
      <c r="B152" s="160" t="str">
        <f t="shared" si="19"/>
        <v/>
      </c>
      <c r="C152" s="472">
        <f>IF(D93="","-",+C151+1)</f>
        <v>2071</v>
      </c>
      <c r="D152" s="346">
        <f>IF(F151+SUM(E$99:E151)=D$92,F151,D$92-SUM(E$99:E151))</f>
        <v>0</v>
      </c>
      <c r="E152" s="484">
        <f t="shared" si="20"/>
        <v>0</v>
      </c>
      <c r="F152" s="485">
        <f t="shared" si="21"/>
        <v>0</v>
      </c>
      <c r="G152" s="485">
        <f t="shared" si="22"/>
        <v>0</v>
      </c>
      <c r="H152" s="613">
        <f t="shared" si="13"/>
        <v>0</v>
      </c>
      <c r="I152" s="614">
        <f t="shared" si="14"/>
        <v>0</v>
      </c>
      <c r="J152" s="478">
        <f t="shared" si="23"/>
        <v>0</v>
      </c>
      <c r="K152" s="478"/>
      <c r="L152" s="487"/>
      <c r="M152" s="478">
        <f t="shared" si="24"/>
        <v>0</v>
      </c>
      <c r="N152" s="487"/>
      <c r="O152" s="478">
        <f t="shared" si="25"/>
        <v>0</v>
      </c>
      <c r="P152" s="478">
        <f t="shared" si="26"/>
        <v>0</v>
      </c>
    </row>
    <row r="153" spans="2:16" ht="12.5">
      <c r="B153" s="160" t="str">
        <f t="shared" si="19"/>
        <v/>
      </c>
      <c r="C153" s="472">
        <f>IF(D93="","-",+C152+1)</f>
        <v>2072</v>
      </c>
      <c r="D153" s="346">
        <f>IF(F152+SUM(E$99:E152)=D$92,F152,D$92-SUM(E$99:E152))</f>
        <v>0</v>
      </c>
      <c r="E153" s="484">
        <f t="shared" si="20"/>
        <v>0</v>
      </c>
      <c r="F153" s="485">
        <f t="shared" si="21"/>
        <v>0</v>
      </c>
      <c r="G153" s="485">
        <f t="shared" si="22"/>
        <v>0</v>
      </c>
      <c r="H153" s="613">
        <f t="shared" si="13"/>
        <v>0</v>
      </c>
      <c r="I153" s="614">
        <f t="shared" si="14"/>
        <v>0</v>
      </c>
      <c r="J153" s="478">
        <f t="shared" si="23"/>
        <v>0</v>
      </c>
      <c r="K153" s="478"/>
      <c r="L153" s="487"/>
      <c r="M153" s="478">
        <f t="shared" si="24"/>
        <v>0</v>
      </c>
      <c r="N153" s="487"/>
      <c r="O153" s="478">
        <f t="shared" si="25"/>
        <v>0</v>
      </c>
      <c r="P153" s="478">
        <f t="shared" si="26"/>
        <v>0</v>
      </c>
    </row>
    <row r="154" spans="2:16" ht="13" thickBot="1">
      <c r="B154" s="160" t="str">
        <f t="shared" si="19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20"/>
        <v>0</v>
      </c>
      <c r="F154" s="490">
        <f t="shared" si="21"/>
        <v>0</v>
      </c>
      <c r="G154" s="490">
        <f t="shared" si="22"/>
        <v>0</v>
      </c>
      <c r="H154" s="615">
        <f t="shared" si="13"/>
        <v>0</v>
      </c>
      <c r="I154" s="616">
        <f t="shared" si="14"/>
        <v>0</v>
      </c>
      <c r="J154" s="495">
        <f t="shared" si="23"/>
        <v>0</v>
      </c>
      <c r="K154" s="478"/>
      <c r="L154" s="494"/>
      <c r="M154" s="495">
        <f t="shared" si="24"/>
        <v>0</v>
      </c>
      <c r="N154" s="494"/>
      <c r="O154" s="495">
        <f t="shared" si="25"/>
        <v>0</v>
      </c>
      <c r="P154" s="495">
        <f t="shared" si="26"/>
        <v>0</v>
      </c>
    </row>
    <row r="155" spans="2:16" ht="12.5">
      <c r="C155" s="346" t="s">
        <v>77</v>
      </c>
      <c r="D155" s="347"/>
      <c r="E155" s="347">
        <f>SUM(E99:E154)</f>
        <v>1345383</v>
      </c>
      <c r="F155" s="347"/>
      <c r="G155" s="347"/>
      <c r="H155" s="347">
        <f>SUM(H99:H154)</f>
        <v>4192229.8876738646</v>
      </c>
      <c r="I155" s="347">
        <f>SUM(I99:I154)</f>
        <v>4192229.8876738646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11" priority="1" stopIfTrue="1" operator="equal">
      <formula>$I$10</formula>
    </cfRule>
  </conditionalFormatting>
  <conditionalFormatting sqref="C99:C154">
    <cfRule type="cellIs" dxfId="10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85" zoomScaleNormal="85" workbookViewId="0">
      <selection activeCell="E10" sqref="E10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25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34223.924690152948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34223.924690152948</v>
      </c>
      <c r="O6" s="232"/>
      <c r="P6" s="232"/>
    </row>
    <row r="7" spans="1:16" ht="13.5" thickBot="1">
      <c r="C7" s="431" t="s">
        <v>46</v>
      </c>
      <c r="D7" s="599" t="s">
        <v>320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321</v>
      </c>
      <c r="E9" s="625" t="s">
        <v>343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288860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6717.6744186046508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2018</v>
      </c>
      <c r="D17" s="584">
        <v>0</v>
      </c>
      <c r="E17" s="608">
        <v>11600</v>
      </c>
      <c r="F17" s="584">
        <v>1032400</v>
      </c>
      <c r="G17" s="608">
        <v>81460.13871045578</v>
      </c>
      <c r="H17" s="587">
        <v>81460.13871045578</v>
      </c>
      <c r="I17" s="475">
        <f>H17-G17</f>
        <v>0</v>
      </c>
      <c r="J17" s="475"/>
      <c r="K17" s="554">
        <f>+G17</f>
        <v>81460.13871045578</v>
      </c>
      <c r="L17" s="477">
        <f t="shared" ref="L17:L72" si="0">IF(K17&lt;&gt;0,+G17-K17,0)</f>
        <v>0</v>
      </c>
      <c r="M17" s="554">
        <f>+H17</f>
        <v>81460.13871045578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2019</v>
      </c>
      <c r="D18" s="584">
        <v>0</v>
      </c>
      <c r="E18" s="585">
        <v>11600</v>
      </c>
      <c r="F18" s="584">
        <v>1032400</v>
      </c>
      <c r="G18" s="585">
        <v>73419.565193351213</v>
      </c>
      <c r="H18" s="587">
        <v>73419.565193351213</v>
      </c>
      <c r="I18" s="475">
        <f>H18-G18</f>
        <v>0</v>
      </c>
      <c r="J18" s="475"/>
      <c r="K18" s="478">
        <f>+G18</f>
        <v>73419.565193351213</v>
      </c>
      <c r="L18" s="478">
        <f t="shared" si="0"/>
        <v>0</v>
      </c>
      <c r="M18" s="478">
        <f>+H18</f>
        <v>73419.565193351213</v>
      </c>
      <c r="N18" s="478">
        <f t="shared" si="1"/>
        <v>0</v>
      </c>
      <c r="O18" s="478">
        <f t="shared" si="2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2020</v>
      </c>
      <c r="D19" s="584">
        <v>267280</v>
      </c>
      <c r="E19" s="585">
        <v>7192.3809523809523</v>
      </c>
      <c r="F19" s="584">
        <v>260087.61904761905</v>
      </c>
      <c r="G19" s="585">
        <v>35671.491974766584</v>
      </c>
      <c r="H19" s="587">
        <v>35671.491974766584</v>
      </c>
      <c r="I19" s="475">
        <f t="shared" ref="I19:I71" si="3">H19-G19</f>
        <v>0</v>
      </c>
      <c r="J19" s="475"/>
      <c r="K19" s="478">
        <f>+G19</f>
        <v>35671.491974766584</v>
      </c>
      <c r="L19" s="478">
        <f t="shared" ref="L19" si="4">IF(K19&lt;&gt;0,+G19-K19,0)</f>
        <v>0</v>
      </c>
      <c r="M19" s="478">
        <f>+H19</f>
        <v>35671.491974766584</v>
      </c>
      <c r="N19" s="478">
        <f t="shared" si="1"/>
        <v>0</v>
      </c>
      <c r="O19" s="478">
        <f t="shared" si="2"/>
        <v>0</v>
      </c>
      <c r="P19" s="242"/>
    </row>
    <row r="20" spans="2:16" ht="12.5">
      <c r="B20" s="160" t="str">
        <f t="shared" ref="B20:B72" si="5">IF(D20=F19,"","IU")</f>
        <v>IU</v>
      </c>
      <c r="C20" s="472">
        <f>IF(D11="","-",+C19+1)</f>
        <v>2021</v>
      </c>
      <c r="D20" s="483">
        <f>IF(F19+SUM(E$17:E19)=D$10,F19,D$10-SUM(E$17:E19))</f>
        <v>258467.61904761905</v>
      </c>
      <c r="E20" s="484">
        <f t="shared" ref="E20:E71" si="6">IF(+I$14&lt;F19,I$14,D20)</f>
        <v>6717.6744186046508</v>
      </c>
      <c r="F20" s="485">
        <f t="shared" ref="F20:F71" si="7">+D20-E20</f>
        <v>251749.94462901441</v>
      </c>
      <c r="G20" s="486">
        <f t="shared" ref="G20:G71" si="8">(D20+F20)/2*I$12+E20</f>
        <v>34223.924690152948</v>
      </c>
      <c r="H20" s="455">
        <f t="shared" ref="H20:H71" si="9">+(D20+F20)/2*I$13+E20</f>
        <v>34223.924690152948</v>
      </c>
      <c r="I20" s="475">
        <f t="shared" si="3"/>
        <v>0</v>
      </c>
      <c r="J20" s="475"/>
      <c r="K20" s="487"/>
      <c r="L20" s="478">
        <f t="shared" si="0"/>
        <v>0</v>
      </c>
      <c r="M20" s="487"/>
      <c r="N20" s="478">
        <f t="shared" si="1"/>
        <v>0</v>
      </c>
      <c r="O20" s="478">
        <f t="shared" si="2"/>
        <v>0</v>
      </c>
      <c r="P20" s="242"/>
    </row>
    <row r="21" spans="2:16" ht="12.5">
      <c r="B21" s="160" t="str">
        <f t="shared" si="5"/>
        <v/>
      </c>
      <c r="C21" s="472">
        <f>IF(D11="","-",+C20+1)</f>
        <v>2022</v>
      </c>
      <c r="D21" s="483">
        <f>IF(F20+SUM(E$17:E20)=D$10,F20,D$10-SUM(E$17:E20))</f>
        <v>251749.94462901441</v>
      </c>
      <c r="E21" s="484">
        <f t="shared" si="6"/>
        <v>6717.6744186046508</v>
      </c>
      <c r="F21" s="485">
        <f t="shared" si="7"/>
        <v>245032.27021040977</v>
      </c>
      <c r="G21" s="486">
        <f t="shared" si="8"/>
        <v>33499.613937424627</v>
      </c>
      <c r="H21" s="455">
        <f t="shared" si="9"/>
        <v>33499.613937424627</v>
      </c>
      <c r="I21" s="475">
        <f t="shared" si="3"/>
        <v>0</v>
      </c>
      <c r="J21" s="475"/>
      <c r="K21" s="487"/>
      <c r="L21" s="478">
        <f t="shared" si="0"/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 ht="12.5">
      <c r="B22" s="160" t="str">
        <f t="shared" si="5"/>
        <v/>
      </c>
      <c r="C22" s="472">
        <f>IF(D11="","-",+C21+1)</f>
        <v>2023</v>
      </c>
      <c r="D22" s="483">
        <f>IF(F21+SUM(E$17:E21)=D$10,F21,D$10-SUM(E$17:E21))</f>
        <v>245032.27021040977</v>
      </c>
      <c r="E22" s="484">
        <f t="shared" si="6"/>
        <v>6717.6744186046508</v>
      </c>
      <c r="F22" s="485">
        <f t="shared" si="7"/>
        <v>238314.59579180513</v>
      </c>
      <c r="G22" s="486">
        <f t="shared" si="8"/>
        <v>32775.303184696306</v>
      </c>
      <c r="H22" s="455">
        <f t="shared" si="9"/>
        <v>32775.303184696306</v>
      </c>
      <c r="I22" s="475">
        <f t="shared" si="3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 ht="12.5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238314.59579180513</v>
      </c>
      <c r="E23" s="484">
        <f t="shared" si="6"/>
        <v>6717.6744186046508</v>
      </c>
      <c r="F23" s="485">
        <f t="shared" si="7"/>
        <v>231596.92137320049</v>
      </c>
      <c r="G23" s="486">
        <f t="shared" si="8"/>
        <v>32050.992431967978</v>
      </c>
      <c r="H23" s="455">
        <f t="shared" si="9"/>
        <v>32050.992431967978</v>
      </c>
      <c r="I23" s="475">
        <f t="shared" si="3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 ht="12.5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231596.92137320049</v>
      </c>
      <c r="E24" s="484">
        <f t="shared" si="6"/>
        <v>6717.6744186046508</v>
      </c>
      <c r="F24" s="485">
        <f t="shared" si="7"/>
        <v>224879.24695459584</v>
      </c>
      <c r="G24" s="486">
        <f t="shared" si="8"/>
        <v>31326.681679239657</v>
      </c>
      <c r="H24" s="455">
        <f t="shared" si="9"/>
        <v>31326.681679239657</v>
      </c>
      <c r="I24" s="475">
        <f t="shared" si="3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 ht="12.5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224879.24695459584</v>
      </c>
      <c r="E25" s="484">
        <f t="shared" si="6"/>
        <v>6717.6744186046508</v>
      </c>
      <c r="F25" s="485">
        <f t="shared" si="7"/>
        <v>218161.5725359912</v>
      </c>
      <c r="G25" s="486">
        <f t="shared" si="8"/>
        <v>30602.370926511328</v>
      </c>
      <c r="H25" s="455">
        <f t="shared" si="9"/>
        <v>30602.370926511328</v>
      </c>
      <c r="I25" s="475">
        <f t="shared" si="3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 ht="12.5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218161.5725359912</v>
      </c>
      <c r="E26" s="484">
        <f t="shared" si="6"/>
        <v>6717.6744186046508</v>
      </c>
      <c r="F26" s="485">
        <f t="shared" si="7"/>
        <v>211443.89811738656</v>
      </c>
      <c r="G26" s="486">
        <f t="shared" si="8"/>
        <v>29878.060173783007</v>
      </c>
      <c r="H26" s="455">
        <f t="shared" si="9"/>
        <v>29878.060173783007</v>
      </c>
      <c r="I26" s="475">
        <f t="shared" si="3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 ht="12.5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211443.89811738656</v>
      </c>
      <c r="E27" s="484">
        <f t="shared" si="6"/>
        <v>6717.6744186046508</v>
      </c>
      <c r="F27" s="485">
        <f t="shared" si="7"/>
        <v>204726.22369878192</v>
      </c>
      <c r="G27" s="486">
        <f t="shared" si="8"/>
        <v>29153.749421054679</v>
      </c>
      <c r="H27" s="455">
        <f t="shared" si="9"/>
        <v>29153.749421054679</v>
      </c>
      <c r="I27" s="475">
        <f t="shared" si="3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 ht="12.5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204726.22369878192</v>
      </c>
      <c r="E28" s="484">
        <f t="shared" si="6"/>
        <v>6717.6744186046508</v>
      </c>
      <c r="F28" s="485">
        <f t="shared" si="7"/>
        <v>198008.54928017728</v>
      </c>
      <c r="G28" s="486">
        <f t="shared" si="8"/>
        <v>28429.438668326358</v>
      </c>
      <c r="H28" s="455">
        <f t="shared" si="9"/>
        <v>28429.438668326358</v>
      </c>
      <c r="I28" s="475">
        <f t="shared" si="3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 ht="12.5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198008.54928017728</v>
      </c>
      <c r="E29" s="484">
        <f t="shared" si="6"/>
        <v>6717.6744186046508</v>
      </c>
      <c r="F29" s="485">
        <f t="shared" si="7"/>
        <v>191290.87486157264</v>
      </c>
      <c r="G29" s="486">
        <f t="shared" si="8"/>
        <v>27705.127915598037</v>
      </c>
      <c r="H29" s="455">
        <f t="shared" si="9"/>
        <v>27705.127915598037</v>
      </c>
      <c r="I29" s="475">
        <f t="shared" si="3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 ht="12.5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191290.87486157264</v>
      </c>
      <c r="E30" s="484">
        <f t="shared" si="6"/>
        <v>6717.6744186046508</v>
      </c>
      <c r="F30" s="485">
        <f t="shared" si="7"/>
        <v>184573.20044296799</v>
      </c>
      <c r="G30" s="486">
        <f t="shared" si="8"/>
        <v>26980.817162869709</v>
      </c>
      <c r="H30" s="455">
        <f t="shared" si="9"/>
        <v>26980.817162869709</v>
      </c>
      <c r="I30" s="475">
        <f t="shared" si="3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 ht="12.5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184573.20044296799</v>
      </c>
      <c r="E31" s="484">
        <f t="shared" si="6"/>
        <v>6717.6744186046508</v>
      </c>
      <c r="F31" s="485">
        <f t="shared" si="7"/>
        <v>177855.52602436335</v>
      </c>
      <c r="G31" s="486">
        <f t="shared" si="8"/>
        <v>26256.506410141388</v>
      </c>
      <c r="H31" s="455">
        <f t="shared" si="9"/>
        <v>26256.506410141388</v>
      </c>
      <c r="I31" s="475">
        <f t="shared" si="3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 ht="12.5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177855.52602436335</v>
      </c>
      <c r="E32" s="484">
        <f t="shared" si="6"/>
        <v>6717.6744186046508</v>
      </c>
      <c r="F32" s="485">
        <f t="shared" si="7"/>
        <v>171137.85160575871</v>
      </c>
      <c r="G32" s="486">
        <f t="shared" si="8"/>
        <v>25532.19565741306</v>
      </c>
      <c r="H32" s="455">
        <f t="shared" si="9"/>
        <v>25532.19565741306</v>
      </c>
      <c r="I32" s="475">
        <f t="shared" si="3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 ht="12.5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171137.85160575871</v>
      </c>
      <c r="E33" s="484">
        <f t="shared" si="6"/>
        <v>6717.6744186046508</v>
      </c>
      <c r="F33" s="485">
        <f t="shared" si="7"/>
        <v>164420.17718715407</v>
      </c>
      <c r="G33" s="486">
        <f t="shared" si="8"/>
        <v>24807.884904684739</v>
      </c>
      <c r="H33" s="455">
        <f t="shared" si="9"/>
        <v>24807.884904684739</v>
      </c>
      <c r="I33" s="475">
        <f t="shared" si="3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 ht="12.5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164420.17718715407</v>
      </c>
      <c r="E34" s="484">
        <f t="shared" si="6"/>
        <v>6717.6744186046508</v>
      </c>
      <c r="F34" s="485">
        <f t="shared" si="7"/>
        <v>157702.50276854943</v>
      </c>
      <c r="G34" s="486">
        <f t="shared" si="8"/>
        <v>24083.574151956411</v>
      </c>
      <c r="H34" s="455">
        <f t="shared" si="9"/>
        <v>24083.574151956411</v>
      </c>
      <c r="I34" s="475">
        <f t="shared" si="3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 ht="12.5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157702.50276854943</v>
      </c>
      <c r="E35" s="484">
        <f t="shared" si="6"/>
        <v>6717.6744186046508</v>
      </c>
      <c r="F35" s="485">
        <f t="shared" si="7"/>
        <v>150984.82834994479</v>
      </c>
      <c r="G35" s="486">
        <f t="shared" si="8"/>
        <v>23359.26339922809</v>
      </c>
      <c r="H35" s="455">
        <f t="shared" si="9"/>
        <v>23359.26339922809</v>
      </c>
      <c r="I35" s="475">
        <f t="shared" si="3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 ht="12.5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150984.82834994479</v>
      </c>
      <c r="E36" s="484">
        <f t="shared" si="6"/>
        <v>6717.6744186046508</v>
      </c>
      <c r="F36" s="485">
        <f t="shared" si="7"/>
        <v>144267.15393134014</v>
      </c>
      <c r="G36" s="486">
        <f t="shared" si="8"/>
        <v>22634.952646499769</v>
      </c>
      <c r="H36" s="455">
        <f t="shared" si="9"/>
        <v>22634.952646499769</v>
      </c>
      <c r="I36" s="475">
        <f t="shared" si="3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 ht="12.5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144267.15393134014</v>
      </c>
      <c r="E37" s="484">
        <f t="shared" si="6"/>
        <v>6717.6744186046508</v>
      </c>
      <c r="F37" s="485">
        <f t="shared" si="7"/>
        <v>137549.4795127355</v>
      </c>
      <c r="G37" s="486">
        <f t="shared" si="8"/>
        <v>21910.641893771441</v>
      </c>
      <c r="H37" s="455">
        <f t="shared" si="9"/>
        <v>21910.641893771441</v>
      </c>
      <c r="I37" s="475">
        <f t="shared" si="3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 ht="12.5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137549.4795127355</v>
      </c>
      <c r="E38" s="484">
        <f t="shared" si="6"/>
        <v>6717.6744186046508</v>
      </c>
      <c r="F38" s="485">
        <f t="shared" si="7"/>
        <v>130831.80509413085</v>
      </c>
      <c r="G38" s="486">
        <f t="shared" si="8"/>
        <v>21186.33114104312</v>
      </c>
      <c r="H38" s="455">
        <f t="shared" si="9"/>
        <v>21186.33114104312</v>
      </c>
      <c r="I38" s="475">
        <f t="shared" si="3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 ht="12.5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130831.80509413085</v>
      </c>
      <c r="E39" s="484">
        <f t="shared" si="6"/>
        <v>6717.6744186046508</v>
      </c>
      <c r="F39" s="485">
        <f t="shared" si="7"/>
        <v>124114.13067552619</v>
      </c>
      <c r="G39" s="486">
        <f t="shared" si="8"/>
        <v>20462.020388314791</v>
      </c>
      <c r="H39" s="455">
        <f t="shared" si="9"/>
        <v>20462.020388314791</v>
      </c>
      <c r="I39" s="475">
        <f t="shared" si="3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 ht="12.5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124114.13067552619</v>
      </c>
      <c r="E40" s="484">
        <f t="shared" si="6"/>
        <v>6717.6744186046508</v>
      </c>
      <c r="F40" s="485">
        <f t="shared" si="7"/>
        <v>117396.45625692153</v>
      </c>
      <c r="G40" s="486">
        <f t="shared" si="8"/>
        <v>19737.709635586467</v>
      </c>
      <c r="H40" s="455">
        <f t="shared" si="9"/>
        <v>19737.709635586467</v>
      </c>
      <c r="I40" s="475">
        <f t="shared" si="3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 ht="12.5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117396.45625692153</v>
      </c>
      <c r="E41" s="484">
        <f t="shared" si="6"/>
        <v>6717.6744186046508</v>
      </c>
      <c r="F41" s="485">
        <f t="shared" si="7"/>
        <v>110678.78183831688</v>
      </c>
      <c r="G41" s="486">
        <f t="shared" si="8"/>
        <v>19013.398882858142</v>
      </c>
      <c r="H41" s="455">
        <f t="shared" si="9"/>
        <v>19013.398882858142</v>
      </c>
      <c r="I41" s="475">
        <f t="shared" si="3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 ht="12.5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110678.78183831688</v>
      </c>
      <c r="E42" s="484">
        <f t="shared" si="6"/>
        <v>6717.6744186046508</v>
      </c>
      <c r="F42" s="485">
        <f t="shared" si="7"/>
        <v>103961.10741971222</v>
      </c>
      <c r="G42" s="486">
        <f t="shared" si="8"/>
        <v>18289.088130129814</v>
      </c>
      <c r="H42" s="455">
        <f t="shared" si="9"/>
        <v>18289.088130129814</v>
      </c>
      <c r="I42" s="475">
        <f t="shared" si="3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 ht="12.5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103961.10741971222</v>
      </c>
      <c r="E43" s="484">
        <f t="shared" si="6"/>
        <v>6717.6744186046508</v>
      </c>
      <c r="F43" s="485">
        <f t="shared" si="7"/>
        <v>97243.433001107565</v>
      </c>
      <c r="G43" s="486">
        <f t="shared" si="8"/>
        <v>17564.777377401486</v>
      </c>
      <c r="H43" s="455">
        <f t="shared" si="9"/>
        <v>17564.777377401486</v>
      </c>
      <c r="I43" s="475">
        <f t="shared" si="3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 ht="12.5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97243.433001107565</v>
      </c>
      <c r="E44" s="484">
        <f t="shared" si="6"/>
        <v>6717.6744186046508</v>
      </c>
      <c r="F44" s="485">
        <f t="shared" si="7"/>
        <v>90525.758582502909</v>
      </c>
      <c r="G44" s="486">
        <f t="shared" si="8"/>
        <v>16840.466624673165</v>
      </c>
      <c r="H44" s="455">
        <f t="shared" si="9"/>
        <v>16840.466624673165</v>
      </c>
      <c r="I44" s="475">
        <f t="shared" si="3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 ht="12.5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90525.758582502909</v>
      </c>
      <c r="E45" s="484">
        <f t="shared" si="6"/>
        <v>6717.6744186046508</v>
      </c>
      <c r="F45" s="485">
        <f t="shared" si="7"/>
        <v>83808.084163898253</v>
      </c>
      <c r="G45" s="486">
        <f t="shared" si="8"/>
        <v>16116.155871944837</v>
      </c>
      <c r="H45" s="455">
        <f t="shared" si="9"/>
        <v>16116.155871944837</v>
      </c>
      <c r="I45" s="475">
        <f t="shared" si="3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 ht="12.5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83808.084163898253</v>
      </c>
      <c r="E46" s="484">
        <f t="shared" si="6"/>
        <v>6717.6744186046508</v>
      </c>
      <c r="F46" s="485">
        <f t="shared" si="7"/>
        <v>77090.409745293597</v>
      </c>
      <c r="G46" s="486">
        <f t="shared" si="8"/>
        <v>15391.845119216514</v>
      </c>
      <c r="H46" s="455">
        <f t="shared" si="9"/>
        <v>15391.845119216514</v>
      </c>
      <c r="I46" s="475">
        <f t="shared" si="3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 ht="12.5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77090.409745293597</v>
      </c>
      <c r="E47" s="484">
        <f t="shared" si="6"/>
        <v>6717.6744186046508</v>
      </c>
      <c r="F47" s="485">
        <f t="shared" si="7"/>
        <v>70372.73532668894</v>
      </c>
      <c r="G47" s="486">
        <f t="shared" si="8"/>
        <v>14667.534366488186</v>
      </c>
      <c r="H47" s="455">
        <f t="shared" si="9"/>
        <v>14667.534366488186</v>
      </c>
      <c r="I47" s="475">
        <f t="shared" si="3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 ht="12.5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70372.73532668894</v>
      </c>
      <c r="E48" s="484">
        <f t="shared" si="6"/>
        <v>6717.6744186046508</v>
      </c>
      <c r="F48" s="485">
        <f t="shared" si="7"/>
        <v>63655.060908084291</v>
      </c>
      <c r="G48" s="486">
        <f t="shared" si="8"/>
        <v>13943.223613759863</v>
      </c>
      <c r="H48" s="455">
        <f t="shared" si="9"/>
        <v>13943.223613759863</v>
      </c>
      <c r="I48" s="475">
        <f t="shared" si="3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 ht="12.5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63655.060908084291</v>
      </c>
      <c r="E49" s="484">
        <f t="shared" si="6"/>
        <v>6717.6744186046508</v>
      </c>
      <c r="F49" s="485">
        <f t="shared" si="7"/>
        <v>56937.386489479642</v>
      </c>
      <c r="G49" s="486">
        <f t="shared" si="8"/>
        <v>13218.912861031537</v>
      </c>
      <c r="H49" s="455">
        <f t="shared" si="9"/>
        <v>13218.912861031537</v>
      </c>
      <c r="I49" s="475">
        <f t="shared" si="3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 ht="12.5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56937.386489479642</v>
      </c>
      <c r="E50" s="484">
        <f t="shared" si="6"/>
        <v>6717.6744186046508</v>
      </c>
      <c r="F50" s="485">
        <f t="shared" si="7"/>
        <v>50219.712070874994</v>
      </c>
      <c r="G50" s="486">
        <f t="shared" si="8"/>
        <v>12494.602108303212</v>
      </c>
      <c r="H50" s="455">
        <f t="shared" si="9"/>
        <v>12494.602108303212</v>
      </c>
      <c r="I50" s="475">
        <f t="shared" si="3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 ht="12.5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50219.712070874994</v>
      </c>
      <c r="E51" s="484">
        <f t="shared" si="6"/>
        <v>6717.6744186046508</v>
      </c>
      <c r="F51" s="485">
        <f t="shared" si="7"/>
        <v>43502.037652270345</v>
      </c>
      <c r="G51" s="486">
        <f t="shared" si="8"/>
        <v>11770.291355574886</v>
      </c>
      <c r="H51" s="455">
        <f t="shared" si="9"/>
        <v>11770.291355574886</v>
      </c>
      <c r="I51" s="475">
        <f t="shared" si="3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 ht="12.5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43502.037652270345</v>
      </c>
      <c r="E52" s="484">
        <f t="shared" si="6"/>
        <v>6717.6744186046508</v>
      </c>
      <c r="F52" s="485">
        <f t="shared" si="7"/>
        <v>36784.363233665696</v>
      </c>
      <c r="G52" s="486">
        <f t="shared" si="8"/>
        <v>11045.980602846563</v>
      </c>
      <c r="H52" s="455">
        <f t="shared" si="9"/>
        <v>11045.980602846563</v>
      </c>
      <c r="I52" s="475">
        <f t="shared" si="3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 ht="12.5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36784.363233665696</v>
      </c>
      <c r="E53" s="484">
        <f t="shared" si="6"/>
        <v>6717.6744186046508</v>
      </c>
      <c r="F53" s="485">
        <f t="shared" si="7"/>
        <v>30066.688815061047</v>
      </c>
      <c r="G53" s="486">
        <f t="shared" si="8"/>
        <v>10321.669850118236</v>
      </c>
      <c r="H53" s="455">
        <f t="shared" si="9"/>
        <v>10321.669850118236</v>
      </c>
      <c r="I53" s="475">
        <f t="shared" si="3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 ht="12.5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30066.688815061047</v>
      </c>
      <c r="E54" s="484">
        <f t="shared" si="6"/>
        <v>6717.6744186046508</v>
      </c>
      <c r="F54" s="485">
        <f t="shared" si="7"/>
        <v>23349.014396456398</v>
      </c>
      <c r="G54" s="486">
        <f t="shared" si="8"/>
        <v>9597.3590973899118</v>
      </c>
      <c r="H54" s="455">
        <f t="shared" si="9"/>
        <v>9597.3590973899118</v>
      </c>
      <c r="I54" s="475">
        <f t="shared" si="3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 ht="12.5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23349.014396456398</v>
      </c>
      <c r="E55" s="484">
        <f t="shared" si="6"/>
        <v>6717.6744186046508</v>
      </c>
      <c r="F55" s="485">
        <f t="shared" si="7"/>
        <v>16631.339977851749</v>
      </c>
      <c r="G55" s="486">
        <f t="shared" si="8"/>
        <v>8873.0483446615872</v>
      </c>
      <c r="H55" s="455">
        <f t="shared" si="9"/>
        <v>8873.0483446615872</v>
      </c>
      <c r="I55" s="475">
        <f t="shared" si="3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 ht="12.5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16631.339977851749</v>
      </c>
      <c r="E56" s="484">
        <f t="shared" si="6"/>
        <v>6717.6744186046508</v>
      </c>
      <c r="F56" s="485">
        <f t="shared" si="7"/>
        <v>9913.6655592470979</v>
      </c>
      <c r="G56" s="486">
        <f t="shared" si="8"/>
        <v>8148.7375919332626</v>
      </c>
      <c r="H56" s="455">
        <f t="shared" si="9"/>
        <v>8148.7375919332626</v>
      </c>
      <c r="I56" s="475">
        <f t="shared" si="3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 ht="12.5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9913.6655592470979</v>
      </c>
      <c r="E57" s="484">
        <f t="shared" si="6"/>
        <v>6717.6744186046508</v>
      </c>
      <c r="F57" s="485">
        <f t="shared" si="7"/>
        <v>3195.9911406424471</v>
      </c>
      <c r="G57" s="486">
        <f t="shared" si="8"/>
        <v>7424.426839204938</v>
      </c>
      <c r="H57" s="455">
        <f t="shared" si="9"/>
        <v>7424.426839204938</v>
      </c>
      <c r="I57" s="475">
        <f t="shared" si="3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 ht="12.5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3195.9911406424471</v>
      </c>
      <c r="E58" s="484">
        <f t="shared" si="6"/>
        <v>3195.9911406424471</v>
      </c>
      <c r="F58" s="485">
        <f t="shared" si="7"/>
        <v>0</v>
      </c>
      <c r="G58" s="486">
        <f t="shared" si="8"/>
        <v>3368.2896627605096</v>
      </c>
      <c r="H58" s="455">
        <f t="shared" si="9"/>
        <v>3368.2896627605096</v>
      </c>
      <c r="I58" s="475">
        <f t="shared" si="3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 ht="12.5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0</v>
      </c>
      <c r="E59" s="484">
        <f t="shared" si="6"/>
        <v>0</v>
      </c>
      <c r="F59" s="485">
        <f t="shared" si="7"/>
        <v>0</v>
      </c>
      <c r="G59" s="486">
        <f t="shared" si="8"/>
        <v>0</v>
      </c>
      <c r="H59" s="455">
        <f t="shared" si="9"/>
        <v>0</v>
      </c>
      <c r="I59" s="475">
        <f t="shared" si="3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 ht="12.5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0</v>
      </c>
      <c r="E60" s="484">
        <f t="shared" si="6"/>
        <v>0</v>
      </c>
      <c r="F60" s="485">
        <f t="shared" si="7"/>
        <v>0</v>
      </c>
      <c r="G60" s="486">
        <f t="shared" si="8"/>
        <v>0</v>
      </c>
      <c r="H60" s="455">
        <f t="shared" si="9"/>
        <v>0</v>
      </c>
      <c r="I60" s="475">
        <f t="shared" si="3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 ht="12.5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6"/>
        <v>0</v>
      </c>
      <c r="F61" s="485">
        <f t="shared" si="7"/>
        <v>0</v>
      </c>
      <c r="G61" s="486">
        <f t="shared" si="8"/>
        <v>0</v>
      </c>
      <c r="H61" s="455">
        <f t="shared" si="9"/>
        <v>0</v>
      </c>
      <c r="I61" s="475">
        <f t="shared" si="3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 ht="12.5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6"/>
        <v>0</v>
      </c>
      <c r="F62" s="485">
        <f t="shared" si="7"/>
        <v>0</v>
      </c>
      <c r="G62" s="486">
        <f t="shared" si="8"/>
        <v>0</v>
      </c>
      <c r="H62" s="455">
        <f t="shared" si="9"/>
        <v>0</v>
      </c>
      <c r="I62" s="475">
        <f t="shared" si="3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 ht="12.5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6"/>
        <v>0</v>
      </c>
      <c r="F63" s="485">
        <f t="shared" si="7"/>
        <v>0</v>
      </c>
      <c r="G63" s="486">
        <f t="shared" si="8"/>
        <v>0</v>
      </c>
      <c r="H63" s="455">
        <f t="shared" si="9"/>
        <v>0</v>
      </c>
      <c r="I63" s="475">
        <f t="shared" si="3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 ht="12.5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6"/>
        <v>0</v>
      </c>
      <c r="F64" s="485">
        <f t="shared" si="7"/>
        <v>0</v>
      </c>
      <c r="G64" s="486">
        <f t="shared" si="8"/>
        <v>0</v>
      </c>
      <c r="H64" s="455">
        <f t="shared" si="9"/>
        <v>0</v>
      </c>
      <c r="I64" s="475">
        <f t="shared" si="3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 ht="12.5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6"/>
        <v>0</v>
      </c>
      <c r="F65" s="485">
        <f t="shared" si="7"/>
        <v>0</v>
      </c>
      <c r="G65" s="486">
        <f t="shared" si="8"/>
        <v>0</v>
      </c>
      <c r="H65" s="455">
        <f t="shared" si="9"/>
        <v>0</v>
      </c>
      <c r="I65" s="475">
        <f t="shared" si="3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 ht="12.5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6"/>
        <v>0</v>
      </c>
      <c r="F66" s="485">
        <f t="shared" si="7"/>
        <v>0</v>
      </c>
      <c r="G66" s="486">
        <f t="shared" si="8"/>
        <v>0</v>
      </c>
      <c r="H66" s="455">
        <f t="shared" si="9"/>
        <v>0</v>
      </c>
      <c r="I66" s="475">
        <f t="shared" si="3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 ht="12.5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6"/>
        <v>0</v>
      </c>
      <c r="F67" s="485">
        <f t="shared" si="7"/>
        <v>0</v>
      </c>
      <c r="G67" s="486">
        <f t="shared" si="8"/>
        <v>0</v>
      </c>
      <c r="H67" s="455">
        <f t="shared" si="9"/>
        <v>0</v>
      </c>
      <c r="I67" s="475">
        <f t="shared" si="3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 ht="12.5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6"/>
        <v>0</v>
      </c>
      <c r="F68" s="485">
        <f t="shared" si="7"/>
        <v>0</v>
      </c>
      <c r="G68" s="486">
        <f t="shared" si="8"/>
        <v>0</v>
      </c>
      <c r="H68" s="455">
        <f t="shared" si="9"/>
        <v>0</v>
      </c>
      <c r="I68" s="475">
        <f t="shared" si="3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 ht="12.5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6"/>
        <v>0</v>
      </c>
      <c r="F69" s="485">
        <f t="shared" si="7"/>
        <v>0</v>
      </c>
      <c r="G69" s="486">
        <f t="shared" si="8"/>
        <v>0</v>
      </c>
      <c r="H69" s="455">
        <f t="shared" si="9"/>
        <v>0</v>
      </c>
      <c r="I69" s="475">
        <f t="shared" si="3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 ht="12.5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6"/>
        <v>0</v>
      </c>
      <c r="F70" s="485">
        <f t="shared" si="7"/>
        <v>0</v>
      </c>
      <c r="G70" s="486">
        <f t="shared" si="8"/>
        <v>0</v>
      </c>
      <c r="H70" s="455">
        <f t="shared" si="9"/>
        <v>0</v>
      </c>
      <c r="I70" s="475">
        <f t="shared" si="3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 ht="12.5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6"/>
        <v>0</v>
      </c>
      <c r="F71" s="485">
        <f t="shared" si="7"/>
        <v>0</v>
      </c>
      <c r="G71" s="486">
        <f t="shared" si="8"/>
        <v>0</v>
      </c>
      <c r="H71" s="455">
        <f t="shared" si="9"/>
        <v>0</v>
      </c>
      <c r="I71" s="475">
        <f t="shared" si="3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 ht="12.5">
      <c r="C73" s="346" t="s">
        <v>77</v>
      </c>
      <c r="D73" s="347"/>
      <c r="E73" s="347">
        <f>SUM(E17:E72)</f>
        <v>288859.99999999994</v>
      </c>
      <c r="F73" s="347"/>
      <c r="G73" s="347">
        <f>SUM(G17:G72)</f>
        <v>985238.16459913435</v>
      </c>
      <c r="H73" s="347">
        <f>SUM(H17:H72)</f>
        <v>985238.16459913435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25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73419.565193351213</v>
      </c>
      <c r="N87" s="508">
        <f>IF(J92&lt;D11,0,VLOOKUP(J92,C17:O72,11))</f>
        <v>73419.565193351213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36105.110400173638</v>
      </c>
      <c r="N88" s="512">
        <f>IF(J92&lt;D11,0,VLOOKUP(J92,C99:P154,7))</f>
        <v>36105.110400173638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Fort Towson-Valliant Line Rebuild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-37314.454793177574</v>
      </c>
      <c r="N89" s="517">
        <f>+N88-N87</f>
        <v>-37314.454793177574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TP2015204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288860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v>12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7045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2018</v>
      </c>
      <c r="D99" s="584">
        <v>0</v>
      </c>
      <c r="E99" s="608">
        <v>3512.5</v>
      </c>
      <c r="F99" s="584">
        <v>298567.5</v>
      </c>
      <c r="G99" s="608">
        <v>149283.75</v>
      </c>
      <c r="H99" s="587">
        <v>18849.250674297917</v>
      </c>
      <c r="I99" s="607">
        <v>18849.250674297917</v>
      </c>
      <c r="J99" s="478">
        <f>+I99-H99</f>
        <v>0</v>
      </c>
      <c r="K99" s="478"/>
      <c r="L99" s="477">
        <f>+H99</f>
        <v>18849.250674297917</v>
      </c>
      <c r="M99" s="477">
        <f t="shared" ref="M99" si="10">IF(L99&lt;&gt;0,+H99-L99,0)</f>
        <v>0</v>
      </c>
      <c r="N99" s="477">
        <f>+I99</f>
        <v>18849.250674297917</v>
      </c>
      <c r="O99" s="477">
        <f t="shared" ref="O99" si="11">IF(N99&lt;&gt;0,+I99-N99,0)</f>
        <v>0</v>
      </c>
      <c r="P99" s="477">
        <f t="shared" ref="P99" si="12">+O99-M99</f>
        <v>0</v>
      </c>
    </row>
    <row r="100" spans="1:16" ht="12.5">
      <c r="B100" s="160" t="str">
        <f>IF(D100=F99,"","IU")</f>
        <v>IU</v>
      </c>
      <c r="C100" s="472">
        <f>IF(D93="","-",+C99+1)</f>
        <v>2019</v>
      </c>
      <c r="D100" s="346">
        <f>IF(F99+SUM(E$99:E99)=D$92,F99,D$92-SUM(E$99:E99))</f>
        <v>285347.5</v>
      </c>
      <c r="E100" s="484">
        <f>IF(+J$96&lt;F99,J$96,D100)</f>
        <v>7045</v>
      </c>
      <c r="F100" s="485">
        <f>+D100-E100</f>
        <v>278302.5</v>
      </c>
      <c r="G100" s="485">
        <f>+(F100+D100)/2</f>
        <v>281825</v>
      </c>
      <c r="H100" s="613">
        <f t="shared" ref="H100:H154" si="13">+J$94*G100+E100</f>
        <v>36105.110400173638</v>
      </c>
      <c r="I100" s="614">
        <f t="shared" ref="I100:I154" si="14">+J$95*G100+E100</f>
        <v>36105.110400173638</v>
      </c>
      <c r="J100" s="478">
        <f t="shared" ref="J100:J130" si="15">+I100-H100</f>
        <v>0</v>
      </c>
      <c r="K100" s="478"/>
      <c r="L100" s="487"/>
      <c r="M100" s="478">
        <f t="shared" ref="M100:M130" si="16">IF(L100&lt;&gt;0,+H100-L100,0)</f>
        <v>0</v>
      </c>
      <c r="N100" s="487"/>
      <c r="O100" s="478">
        <f t="shared" ref="O100:O130" si="17">IF(N100&lt;&gt;0,+I100-N100,0)</f>
        <v>0</v>
      </c>
      <c r="P100" s="478">
        <f t="shared" ref="P100:P130" si="18">+O100-M100</f>
        <v>0</v>
      </c>
    </row>
    <row r="101" spans="1:16" ht="12.5">
      <c r="B101" s="160" t="str">
        <f t="shared" ref="B101:B154" si="19">IF(D101=F100,"","IU")</f>
        <v/>
      </c>
      <c r="C101" s="472">
        <f>IF(D93="","-",+C100+1)</f>
        <v>2020</v>
      </c>
      <c r="D101" s="346">
        <f>IF(F100+SUM(E$99:E100)=D$92,F100,D$92-SUM(E$99:E100))</f>
        <v>278302.5</v>
      </c>
      <c r="E101" s="484">
        <f t="shared" ref="E101:E154" si="20">IF(+J$96&lt;F100,J$96,D101)</f>
        <v>7045</v>
      </c>
      <c r="F101" s="485">
        <f t="shared" ref="F101:F154" si="21">+D101-E101</f>
        <v>271257.5</v>
      </c>
      <c r="G101" s="485">
        <f t="shared" ref="G101:G154" si="22">+(F101+D101)/2</f>
        <v>274780</v>
      </c>
      <c r="H101" s="613">
        <f t="shared" si="13"/>
        <v>35378.672086435603</v>
      </c>
      <c r="I101" s="614">
        <f t="shared" si="14"/>
        <v>35378.672086435603</v>
      </c>
      <c r="J101" s="478">
        <f t="shared" si="15"/>
        <v>0</v>
      </c>
      <c r="K101" s="478"/>
      <c r="L101" s="487"/>
      <c r="M101" s="478">
        <f t="shared" si="16"/>
        <v>0</v>
      </c>
      <c r="N101" s="487"/>
      <c r="O101" s="478">
        <f t="shared" si="17"/>
        <v>0</v>
      </c>
      <c r="P101" s="478">
        <f t="shared" si="18"/>
        <v>0</v>
      </c>
    </row>
    <row r="102" spans="1:16" ht="12.5">
      <c r="B102" s="160" t="str">
        <f t="shared" si="19"/>
        <v/>
      </c>
      <c r="C102" s="472">
        <f>IF(D93="","-",+C101+1)</f>
        <v>2021</v>
      </c>
      <c r="D102" s="346">
        <f>IF(F101+SUM(E$99:E101)=D$92,F101,D$92-SUM(E$99:E101))</f>
        <v>271257.5</v>
      </c>
      <c r="E102" s="484">
        <f t="shared" si="20"/>
        <v>7045</v>
      </c>
      <c r="F102" s="485">
        <f t="shared" si="21"/>
        <v>264212.5</v>
      </c>
      <c r="G102" s="485">
        <f t="shared" si="22"/>
        <v>267735</v>
      </c>
      <c r="H102" s="613">
        <f t="shared" si="13"/>
        <v>34652.23377269756</v>
      </c>
      <c r="I102" s="614">
        <f t="shared" si="14"/>
        <v>34652.23377269756</v>
      </c>
      <c r="J102" s="478">
        <f t="shared" si="15"/>
        <v>0</v>
      </c>
      <c r="K102" s="478"/>
      <c r="L102" s="487"/>
      <c r="M102" s="478">
        <f t="shared" si="16"/>
        <v>0</v>
      </c>
      <c r="N102" s="487"/>
      <c r="O102" s="478">
        <f t="shared" si="17"/>
        <v>0</v>
      </c>
      <c r="P102" s="478">
        <f t="shared" si="18"/>
        <v>0</v>
      </c>
    </row>
    <row r="103" spans="1:16" ht="12.5">
      <c r="B103" s="160" t="str">
        <f t="shared" si="19"/>
        <v/>
      </c>
      <c r="C103" s="472">
        <f>IF(D93="","-",+C102+1)</f>
        <v>2022</v>
      </c>
      <c r="D103" s="346">
        <f>IF(F102+SUM(E$99:E102)=D$92,F102,D$92-SUM(E$99:E102))</f>
        <v>264212.5</v>
      </c>
      <c r="E103" s="484">
        <f t="shared" si="20"/>
        <v>7045</v>
      </c>
      <c r="F103" s="485">
        <f t="shared" si="21"/>
        <v>257167.5</v>
      </c>
      <c r="G103" s="485">
        <f t="shared" si="22"/>
        <v>260690</v>
      </c>
      <c r="H103" s="613">
        <f t="shared" si="13"/>
        <v>33925.795458959517</v>
      </c>
      <c r="I103" s="614">
        <f t="shared" si="14"/>
        <v>33925.795458959517</v>
      </c>
      <c r="J103" s="478">
        <f t="shared" si="15"/>
        <v>0</v>
      </c>
      <c r="K103" s="478"/>
      <c r="L103" s="487"/>
      <c r="M103" s="478">
        <f t="shared" si="16"/>
        <v>0</v>
      </c>
      <c r="N103" s="487"/>
      <c r="O103" s="478">
        <f t="shared" si="17"/>
        <v>0</v>
      </c>
      <c r="P103" s="478">
        <f t="shared" si="18"/>
        <v>0</v>
      </c>
    </row>
    <row r="104" spans="1:16" ht="12.5">
      <c r="B104" s="160" t="str">
        <f t="shared" si="19"/>
        <v/>
      </c>
      <c r="C104" s="472">
        <f>IF(D93="","-",+C103+1)</f>
        <v>2023</v>
      </c>
      <c r="D104" s="346">
        <f>IF(F103+SUM(E$99:E103)=D$92,F103,D$92-SUM(E$99:E103))</f>
        <v>257167.5</v>
      </c>
      <c r="E104" s="484">
        <f t="shared" si="20"/>
        <v>7045</v>
      </c>
      <c r="F104" s="485">
        <f t="shared" si="21"/>
        <v>250122.5</v>
      </c>
      <c r="G104" s="485">
        <f t="shared" si="22"/>
        <v>253645</v>
      </c>
      <c r="H104" s="613">
        <f t="shared" si="13"/>
        <v>33199.357145221482</v>
      </c>
      <c r="I104" s="614">
        <f t="shared" si="14"/>
        <v>33199.357145221482</v>
      </c>
      <c r="J104" s="478">
        <f t="shared" si="15"/>
        <v>0</v>
      </c>
      <c r="K104" s="478"/>
      <c r="L104" s="487"/>
      <c r="M104" s="478">
        <f t="shared" si="16"/>
        <v>0</v>
      </c>
      <c r="N104" s="487"/>
      <c r="O104" s="478">
        <f t="shared" si="17"/>
        <v>0</v>
      </c>
      <c r="P104" s="478">
        <f t="shared" si="18"/>
        <v>0</v>
      </c>
    </row>
    <row r="105" spans="1:16" ht="12.5">
      <c r="B105" s="160" t="str">
        <f t="shared" si="19"/>
        <v/>
      </c>
      <c r="C105" s="472">
        <f>IF(D93="","-",+C104+1)</f>
        <v>2024</v>
      </c>
      <c r="D105" s="346">
        <f>IF(F104+SUM(E$99:E104)=D$92,F104,D$92-SUM(E$99:E104))</f>
        <v>250122.5</v>
      </c>
      <c r="E105" s="484">
        <f t="shared" si="20"/>
        <v>7045</v>
      </c>
      <c r="F105" s="485">
        <f t="shared" si="21"/>
        <v>243077.5</v>
      </c>
      <c r="G105" s="485">
        <f t="shared" si="22"/>
        <v>246600</v>
      </c>
      <c r="H105" s="613">
        <f t="shared" si="13"/>
        <v>32472.918831483435</v>
      </c>
      <c r="I105" s="614">
        <f t="shared" si="14"/>
        <v>32472.918831483435</v>
      </c>
      <c r="J105" s="478">
        <f t="shared" si="15"/>
        <v>0</v>
      </c>
      <c r="K105" s="478"/>
      <c r="L105" s="487"/>
      <c r="M105" s="478">
        <f t="shared" si="16"/>
        <v>0</v>
      </c>
      <c r="N105" s="487"/>
      <c r="O105" s="478">
        <f t="shared" si="17"/>
        <v>0</v>
      </c>
      <c r="P105" s="478">
        <f t="shared" si="18"/>
        <v>0</v>
      </c>
    </row>
    <row r="106" spans="1:16" ht="12.5">
      <c r="B106" s="160" t="str">
        <f t="shared" si="19"/>
        <v/>
      </c>
      <c r="C106" s="472">
        <f>IF(D93="","-",+C105+1)</f>
        <v>2025</v>
      </c>
      <c r="D106" s="346">
        <f>IF(F105+SUM(E$99:E105)=D$92,F105,D$92-SUM(E$99:E105))</f>
        <v>243077.5</v>
      </c>
      <c r="E106" s="484">
        <f t="shared" si="20"/>
        <v>7045</v>
      </c>
      <c r="F106" s="485">
        <f t="shared" si="21"/>
        <v>236032.5</v>
      </c>
      <c r="G106" s="485">
        <f t="shared" si="22"/>
        <v>239555</v>
      </c>
      <c r="H106" s="613">
        <f t="shared" si="13"/>
        <v>31746.480517745396</v>
      </c>
      <c r="I106" s="614">
        <f t="shared" si="14"/>
        <v>31746.480517745396</v>
      </c>
      <c r="J106" s="478">
        <f t="shared" si="15"/>
        <v>0</v>
      </c>
      <c r="K106" s="478"/>
      <c r="L106" s="487"/>
      <c r="M106" s="478">
        <f t="shared" si="16"/>
        <v>0</v>
      </c>
      <c r="N106" s="487"/>
      <c r="O106" s="478">
        <f t="shared" si="17"/>
        <v>0</v>
      </c>
      <c r="P106" s="478">
        <f t="shared" si="18"/>
        <v>0</v>
      </c>
    </row>
    <row r="107" spans="1:16" ht="12.5">
      <c r="B107" s="160" t="str">
        <f t="shared" si="19"/>
        <v/>
      </c>
      <c r="C107" s="472">
        <f>IF(D93="","-",+C106+1)</f>
        <v>2026</v>
      </c>
      <c r="D107" s="346">
        <f>IF(F106+SUM(E$99:E106)=D$92,F106,D$92-SUM(E$99:E106))</f>
        <v>236032.5</v>
      </c>
      <c r="E107" s="484">
        <f t="shared" si="20"/>
        <v>7045</v>
      </c>
      <c r="F107" s="485">
        <f t="shared" si="21"/>
        <v>228987.5</v>
      </c>
      <c r="G107" s="485">
        <f t="shared" si="22"/>
        <v>232510</v>
      </c>
      <c r="H107" s="613">
        <f t="shared" si="13"/>
        <v>31020.042204007357</v>
      </c>
      <c r="I107" s="614">
        <f t="shared" si="14"/>
        <v>31020.042204007357</v>
      </c>
      <c r="J107" s="478">
        <f t="shared" si="15"/>
        <v>0</v>
      </c>
      <c r="K107" s="478"/>
      <c r="L107" s="487"/>
      <c r="M107" s="478">
        <f t="shared" si="16"/>
        <v>0</v>
      </c>
      <c r="N107" s="487"/>
      <c r="O107" s="478">
        <f t="shared" si="17"/>
        <v>0</v>
      </c>
      <c r="P107" s="478">
        <f t="shared" si="18"/>
        <v>0</v>
      </c>
    </row>
    <row r="108" spans="1:16" ht="12.5">
      <c r="B108" s="160" t="str">
        <f t="shared" si="19"/>
        <v/>
      </c>
      <c r="C108" s="472">
        <f>IF(D93="","-",+C107+1)</f>
        <v>2027</v>
      </c>
      <c r="D108" s="346">
        <f>IF(F107+SUM(E$99:E107)=D$92,F107,D$92-SUM(E$99:E107))</f>
        <v>228987.5</v>
      </c>
      <c r="E108" s="484">
        <f t="shared" si="20"/>
        <v>7045</v>
      </c>
      <c r="F108" s="485">
        <f t="shared" si="21"/>
        <v>221942.5</v>
      </c>
      <c r="G108" s="485">
        <f t="shared" si="22"/>
        <v>225465</v>
      </c>
      <c r="H108" s="613">
        <f t="shared" si="13"/>
        <v>30293.603890269314</v>
      </c>
      <c r="I108" s="614">
        <f t="shared" si="14"/>
        <v>30293.603890269314</v>
      </c>
      <c r="J108" s="478">
        <f t="shared" si="15"/>
        <v>0</v>
      </c>
      <c r="K108" s="478"/>
      <c r="L108" s="487"/>
      <c r="M108" s="478">
        <f t="shared" si="16"/>
        <v>0</v>
      </c>
      <c r="N108" s="487"/>
      <c r="O108" s="478">
        <f t="shared" si="17"/>
        <v>0</v>
      </c>
      <c r="P108" s="478">
        <f t="shared" si="18"/>
        <v>0</v>
      </c>
    </row>
    <row r="109" spans="1:16" ht="12.5">
      <c r="B109" s="160" t="str">
        <f t="shared" si="19"/>
        <v/>
      </c>
      <c r="C109" s="472">
        <f>IF(D93="","-",+C108+1)</f>
        <v>2028</v>
      </c>
      <c r="D109" s="346">
        <f>IF(F108+SUM(E$99:E108)=D$92,F108,D$92-SUM(E$99:E108))</f>
        <v>221942.5</v>
      </c>
      <c r="E109" s="484">
        <f t="shared" si="20"/>
        <v>7045</v>
      </c>
      <c r="F109" s="485">
        <f t="shared" si="21"/>
        <v>214897.5</v>
      </c>
      <c r="G109" s="485">
        <f t="shared" si="22"/>
        <v>218420</v>
      </c>
      <c r="H109" s="613">
        <f t="shared" si="13"/>
        <v>29567.165576531275</v>
      </c>
      <c r="I109" s="614">
        <f t="shared" si="14"/>
        <v>29567.165576531275</v>
      </c>
      <c r="J109" s="478">
        <f t="shared" si="15"/>
        <v>0</v>
      </c>
      <c r="K109" s="478"/>
      <c r="L109" s="487"/>
      <c r="M109" s="478">
        <f t="shared" si="16"/>
        <v>0</v>
      </c>
      <c r="N109" s="487"/>
      <c r="O109" s="478">
        <f t="shared" si="17"/>
        <v>0</v>
      </c>
      <c r="P109" s="478">
        <f t="shared" si="18"/>
        <v>0</v>
      </c>
    </row>
    <row r="110" spans="1:16" ht="12.5">
      <c r="B110" s="160" t="str">
        <f t="shared" si="19"/>
        <v/>
      </c>
      <c r="C110" s="472">
        <f>IF(D93="","-",+C109+1)</f>
        <v>2029</v>
      </c>
      <c r="D110" s="346">
        <f>IF(F109+SUM(E$99:E109)=D$92,F109,D$92-SUM(E$99:E109))</f>
        <v>214897.5</v>
      </c>
      <c r="E110" s="484">
        <f t="shared" si="20"/>
        <v>7045</v>
      </c>
      <c r="F110" s="485">
        <f t="shared" si="21"/>
        <v>207852.5</v>
      </c>
      <c r="G110" s="485">
        <f t="shared" si="22"/>
        <v>211375</v>
      </c>
      <c r="H110" s="613">
        <f t="shared" si="13"/>
        <v>28840.727262793233</v>
      </c>
      <c r="I110" s="614">
        <f t="shared" si="14"/>
        <v>28840.727262793233</v>
      </c>
      <c r="J110" s="478">
        <f t="shared" si="15"/>
        <v>0</v>
      </c>
      <c r="K110" s="478"/>
      <c r="L110" s="487"/>
      <c r="M110" s="478">
        <f t="shared" si="16"/>
        <v>0</v>
      </c>
      <c r="N110" s="487"/>
      <c r="O110" s="478">
        <f t="shared" si="17"/>
        <v>0</v>
      </c>
      <c r="P110" s="478">
        <f t="shared" si="18"/>
        <v>0</v>
      </c>
    </row>
    <row r="111" spans="1:16" ht="12.5">
      <c r="B111" s="160" t="str">
        <f t="shared" si="19"/>
        <v/>
      </c>
      <c r="C111" s="472">
        <f>IF(D93="","-",+C110+1)</f>
        <v>2030</v>
      </c>
      <c r="D111" s="346">
        <f>IF(F110+SUM(E$99:E110)=D$92,F110,D$92-SUM(E$99:E110))</f>
        <v>207852.5</v>
      </c>
      <c r="E111" s="484">
        <f t="shared" si="20"/>
        <v>7045</v>
      </c>
      <c r="F111" s="485">
        <f t="shared" si="21"/>
        <v>200807.5</v>
      </c>
      <c r="G111" s="485">
        <f t="shared" si="22"/>
        <v>204330</v>
      </c>
      <c r="H111" s="613">
        <f t="shared" si="13"/>
        <v>28114.288949055193</v>
      </c>
      <c r="I111" s="614">
        <f t="shared" si="14"/>
        <v>28114.288949055193</v>
      </c>
      <c r="J111" s="478">
        <f t="shared" si="15"/>
        <v>0</v>
      </c>
      <c r="K111" s="478"/>
      <c r="L111" s="487"/>
      <c r="M111" s="478">
        <f t="shared" si="16"/>
        <v>0</v>
      </c>
      <c r="N111" s="487"/>
      <c r="O111" s="478">
        <f t="shared" si="17"/>
        <v>0</v>
      </c>
      <c r="P111" s="478">
        <f t="shared" si="18"/>
        <v>0</v>
      </c>
    </row>
    <row r="112" spans="1:16" ht="12.5">
      <c r="B112" s="160" t="str">
        <f t="shared" si="19"/>
        <v/>
      </c>
      <c r="C112" s="472">
        <f>IF(D93="","-",+C111+1)</f>
        <v>2031</v>
      </c>
      <c r="D112" s="346">
        <f>IF(F111+SUM(E$99:E111)=D$92,F111,D$92-SUM(E$99:E111))</f>
        <v>200807.5</v>
      </c>
      <c r="E112" s="484">
        <f t="shared" si="20"/>
        <v>7045</v>
      </c>
      <c r="F112" s="485">
        <f t="shared" si="21"/>
        <v>193762.5</v>
      </c>
      <c r="G112" s="485">
        <f t="shared" si="22"/>
        <v>197285</v>
      </c>
      <c r="H112" s="613">
        <f t="shared" si="13"/>
        <v>27387.850635317154</v>
      </c>
      <c r="I112" s="614">
        <f t="shared" si="14"/>
        <v>27387.850635317154</v>
      </c>
      <c r="J112" s="478">
        <f t="shared" si="15"/>
        <v>0</v>
      </c>
      <c r="K112" s="478"/>
      <c r="L112" s="487"/>
      <c r="M112" s="478">
        <f t="shared" si="16"/>
        <v>0</v>
      </c>
      <c r="N112" s="487"/>
      <c r="O112" s="478">
        <f t="shared" si="17"/>
        <v>0</v>
      </c>
      <c r="P112" s="478">
        <f t="shared" si="18"/>
        <v>0</v>
      </c>
    </row>
    <row r="113" spans="2:16" ht="12.5">
      <c r="B113" s="160" t="str">
        <f t="shared" si="19"/>
        <v/>
      </c>
      <c r="C113" s="472">
        <f>IF(D93="","-",+C112+1)</f>
        <v>2032</v>
      </c>
      <c r="D113" s="346">
        <f>IF(F112+SUM(E$99:E112)=D$92,F112,D$92-SUM(E$99:E112))</f>
        <v>193762.5</v>
      </c>
      <c r="E113" s="484">
        <f t="shared" si="20"/>
        <v>7045</v>
      </c>
      <c r="F113" s="485">
        <f t="shared" si="21"/>
        <v>186717.5</v>
      </c>
      <c r="G113" s="485">
        <f t="shared" si="22"/>
        <v>190240</v>
      </c>
      <c r="H113" s="613">
        <f t="shared" si="13"/>
        <v>26661.412321579111</v>
      </c>
      <c r="I113" s="614">
        <f t="shared" si="14"/>
        <v>26661.412321579111</v>
      </c>
      <c r="J113" s="478">
        <f t="shared" si="15"/>
        <v>0</v>
      </c>
      <c r="K113" s="478"/>
      <c r="L113" s="487"/>
      <c r="M113" s="478">
        <f t="shared" si="16"/>
        <v>0</v>
      </c>
      <c r="N113" s="487"/>
      <c r="O113" s="478">
        <f t="shared" si="17"/>
        <v>0</v>
      </c>
      <c r="P113" s="478">
        <f t="shared" si="18"/>
        <v>0</v>
      </c>
    </row>
    <row r="114" spans="2:16" ht="12.5">
      <c r="B114" s="160" t="str">
        <f t="shared" si="19"/>
        <v/>
      </c>
      <c r="C114" s="472">
        <f>IF(D93="","-",+C113+1)</f>
        <v>2033</v>
      </c>
      <c r="D114" s="346">
        <f>IF(F113+SUM(E$99:E113)=D$92,F113,D$92-SUM(E$99:E113))</f>
        <v>186717.5</v>
      </c>
      <c r="E114" s="484">
        <f t="shared" si="20"/>
        <v>7045</v>
      </c>
      <c r="F114" s="485">
        <f t="shared" si="21"/>
        <v>179672.5</v>
      </c>
      <c r="G114" s="485">
        <f t="shared" si="22"/>
        <v>183195</v>
      </c>
      <c r="H114" s="613">
        <f t="shared" si="13"/>
        <v>25934.974007841072</v>
      </c>
      <c r="I114" s="614">
        <f t="shared" si="14"/>
        <v>25934.974007841072</v>
      </c>
      <c r="J114" s="478">
        <f t="shared" si="15"/>
        <v>0</v>
      </c>
      <c r="K114" s="478"/>
      <c r="L114" s="487"/>
      <c r="M114" s="478">
        <f t="shared" si="16"/>
        <v>0</v>
      </c>
      <c r="N114" s="487"/>
      <c r="O114" s="478">
        <f t="shared" si="17"/>
        <v>0</v>
      </c>
      <c r="P114" s="478">
        <f t="shared" si="18"/>
        <v>0</v>
      </c>
    </row>
    <row r="115" spans="2:16" ht="12.5">
      <c r="B115" s="160" t="str">
        <f t="shared" si="19"/>
        <v/>
      </c>
      <c r="C115" s="472">
        <f>IF(D93="","-",+C114+1)</f>
        <v>2034</v>
      </c>
      <c r="D115" s="346">
        <f>IF(F114+SUM(E$99:E114)=D$92,F114,D$92-SUM(E$99:E114))</f>
        <v>179672.5</v>
      </c>
      <c r="E115" s="484">
        <f t="shared" si="20"/>
        <v>7045</v>
      </c>
      <c r="F115" s="485">
        <f t="shared" si="21"/>
        <v>172627.5</v>
      </c>
      <c r="G115" s="485">
        <f t="shared" si="22"/>
        <v>176150</v>
      </c>
      <c r="H115" s="613">
        <f t="shared" si="13"/>
        <v>25208.53569410303</v>
      </c>
      <c r="I115" s="614">
        <f t="shared" si="14"/>
        <v>25208.53569410303</v>
      </c>
      <c r="J115" s="478">
        <f t="shared" si="15"/>
        <v>0</v>
      </c>
      <c r="K115" s="478"/>
      <c r="L115" s="487"/>
      <c r="M115" s="478">
        <f t="shared" si="16"/>
        <v>0</v>
      </c>
      <c r="N115" s="487"/>
      <c r="O115" s="478">
        <f t="shared" si="17"/>
        <v>0</v>
      </c>
      <c r="P115" s="478">
        <f t="shared" si="18"/>
        <v>0</v>
      </c>
    </row>
    <row r="116" spans="2:16" ht="12.5">
      <c r="B116" s="160" t="str">
        <f t="shared" si="19"/>
        <v/>
      </c>
      <c r="C116" s="472">
        <f>IF(D93="","-",+C115+1)</f>
        <v>2035</v>
      </c>
      <c r="D116" s="346">
        <f>IF(F115+SUM(E$99:E115)=D$92,F115,D$92-SUM(E$99:E115))</f>
        <v>172627.5</v>
      </c>
      <c r="E116" s="484">
        <f t="shared" si="20"/>
        <v>7045</v>
      </c>
      <c r="F116" s="485">
        <f t="shared" si="21"/>
        <v>165582.5</v>
      </c>
      <c r="G116" s="485">
        <f t="shared" si="22"/>
        <v>169105</v>
      </c>
      <c r="H116" s="613">
        <f t="shared" si="13"/>
        <v>24482.09738036499</v>
      </c>
      <c r="I116" s="614">
        <f t="shared" si="14"/>
        <v>24482.09738036499</v>
      </c>
      <c r="J116" s="478">
        <f t="shared" si="15"/>
        <v>0</v>
      </c>
      <c r="K116" s="478"/>
      <c r="L116" s="487"/>
      <c r="M116" s="478">
        <f t="shared" si="16"/>
        <v>0</v>
      </c>
      <c r="N116" s="487"/>
      <c r="O116" s="478">
        <f t="shared" si="17"/>
        <v>0</v>
      </c>
      <c r="P116" s="478">
        <f t="shared" si="18"/>
        <v>0</v>
      </c>
    </row>
    <row r="117" spans="2:16" ht="12.5">
      <c r="B117" s="160" t="str">
        <f t="shared" si="19"/>
        <v/>
      </c>
      <c r="C117" s="472">
        <f>IF(D93="","-",+C116+1)</f>
        <v>2036</v>
      </c>
      <c r="D117" s="346">
        <f>IF(F116+SUM(E$99:E116)=D$92,F116,D$92-SUM(E$99:E116))</f>
        <v>165582.5</v>
      </c>
      <c r="E117" s="484">
        <f t="shared" si="20"/>
        <v>7045</v>
      </c>
      <c r="F117" s="485">
        <f t="shared" si="21"/>
        <v>158537.5</v>
      </c>
      <c r="G117" s="485">
        <f t="shared" si="22"/>
        <v>162060</v>
      </c>
      <c r="H117" s="613">
        <f t="shared" si="13"/>
        <v>23755.659066626951</v>
      </c>
      <c r="I117" s="614">
        <f t="shared" si="14"/>
        <v>23755.659066626951</v>
      </c>
      <c r="J117" s="478">
        <f t="shared" si="15"/>
        <v>0</v>
      </c>
      <c r="K117" s="478"/>
      <c r="L117" s="487"/>
      <c r="M117" s="478">
        <f t="shared" si="16"/>
        <v>0</v>
      </c>
      <c r="N117" s="487"/>
      <c r="O117" s="478">
        <f t="shared" si="17"/>
        <v>0</v>
      </c>
      <c r="P117" s="478">
        <f t="shared" si="18"/>
        <v>0</v>
      </c>
    </row>
    <row r="118" spans="2:16" ht="12.5">
      <c r="B118" s="160" t="str">
        <f t="shared" si="19"/>
        <v/>
      </c>
      <c r="C118" s="472">
        <f>IF(D93="","-",+C117+1)</f>
        <v>2037</v>
      </c>
      <c r="D118" s="346">
        <f>IF(F117+SUM(E$99:E117)=D$92,F117,D$92-SUM(E$99:E117))</f>
        <v>158537.5</v>
      </c>
      <c r="E118" s="484">
        <f t="shared" si="20"/>
        <v>7045</v>
      </c>
      <c r="F118" s="485">
        <f t="shared" si="21"/>
        <v>151492.5</v>
      </c>
      <c r="G118" s="485">
        <f t="shared" si="22"/>
        <v>155015</v>
      </c>
      <c r="H118" s="613">
        <f t="shared" si="13"/>
        <v>23029.220752888908</v>
      </c>
      <c r="I118" s="614">
        <f t="shared" si="14"/>
        <v>23029.220752888908</v>
      </c>
      <c r="J118" s="478">
        <f t="shared" si="15"/>
        <v>0</v>
      </c>
      <c r="K118" s="478"/>
      <c r="L118" s="487"/>
      <c r="M118" s="478">
        <f t="shared" si="16"/>
        <v>0</v>
      </c>
      <c r="N118" s="487"/>
      <c r="O118" s="478">
        <f t="shared" si="17"/>
        <v>0</v>
      </c>
      <c r="P118" s="478">
        <f t="shared" si="18"/>
        <v>0</v>
      </c>
    </row>
    <row r="119" spans="2:16" ht="12.5">
      <c r="B119" s="160" t="str">
        <f t="shared" si="19"/>
        <v/>
      </c>
      <c r="C119" s="472">
        <f>IF(D93="","-",+C118+1)</f>
        <v>2038</v>
      </c>
      <c r="D119" s="346">
        <f>IF(F118+SUM(E$99:E118)=D$92,F118,D$92-SUM(E$99:E118))</f>
        <v>151492.5</v>
      </c>
      <c r="E119" s="484">
        <f t="shared" si="20"/>
        <v>7045</v>
      </c>
      <c r="F119" s="485">
        <f t="shared" si="21"/>
        <v>144447.5</v>
      </c>
      <c r="G119" s="485">
        <f t="shared" si="22"/>
        <v>147970</v>
      </c>
      <c r="H119" s="613">
        <f t="shared" si="13"/>
        <v>22302.782439150869</v>
      </c>
      <c r="I119" s="614">
        <f t="shared" si="14"/>
        <v>22302.782439150869</v>
      </c>
      <c r="J119" s="478">
        <f t="shared" si="15"/>
        <v>0</v>
      </c>
      <c r="K119" s="478"/>
      <c r="L119" s="487"/>
      <c r="M119" s="478">
        <f t="shared" si="16"/>
        <v>0</v>
      </c>
      <c r="N119" s="487"/>
      <c r="O119" s="478">
        <f t="shared" si="17"/>
        <v>0</v>
      </c>
      <c r="P119" s="478">
        <f t="shared" si="18"/>
        <v>0</v>
      </c>
    </row>
    <row r="120" spans="2:16" ht="12.5">
      <c r="B120" s="160" t="str">
        <f t="shared" si="19"/>
        <v/>
      </c>
      <c r="C120" s="472">
        <f>IF(D93="","-",+C119+1)</f>
        <v>2039</v>
      </c>
      <c r="D120" s="346">
        <f>IF(F119+SUM(E$99:E119)=D$92,F119,D$92-SUM(E$99:E119))</f>
        <v>144447.5</v>
      </c>
      <c r="E120" s="484">
        <f t="shared" si="20"/>
        <v>7045</v>
      </c>
      <c r="F120" s="485">
        <f t="shared" si="21"/>
        <v>137402.5</v>
      </c>
      <c r="G120" s="485">
        <f t="shared" si="22"/>
        <v>140925</v>
      </c>
      <c r="H120" s="613">
        <f t="shared" si="13"/>
        <v>21576.344125412827</v>
      </c>
      <c r="I120" s="614">
        <f t="shared" si="14"/>
        <v>21576.344125412827</v>
      </c>
      <c r="J120" s="478">
        <f t="shared" si="15"/>
        <v>0</v>
      </c>
      <c r="K120" s="478"/>
      <c r="L120" s="487"/>
      <c r="M120" s="478">
        <f t="shared" si="16"/>
        <v>0</v>
      </c>
      <c r="N120" s="487"/>
      <c r="O120" s="478">
        <f t="shared" si="17"/>
        <v>0</v>
      </c>
      <c r="P120" s="478">
        <f t="shared" si="18"/>
        <v>0</v>
      </c>
    </row>
    <row r="121" spans="2:16" ht="12.5">
      <c r="B121" s="160" t="str">
        <f t="shared" si="19"/>
        <v/>
      </c>
      <c r="C121" s="472">
        <f>IF(D93="","-",+C120+1)</f>
        <v>2040</v>
      </c>
      <c r="D121" s="346">
        <f>IF(F120+SUM(E$99:E120)=D$92,F120,D$92-SUM(E$99:E120))</f>
        <v>137402.5</v>
      </c>
      <c r="E121" s="484">
        <f t="shared" si="20"/>
        <v>7045</v>
      </c>
      <c r="F121" s="485">
        <f t="shared" si="21"/>
        <v>130357.5</v>
      </c>
      <c r="G121" s="485">
        <f t="shared" si="22"/>
        <v>133880</v>
      </c>
      <c r="H121" s="613">
        <f t="shared" si="13"/>
        <v>20849.905811674787</v>
      </c>
      <c r="I121" s="614">
        <f t="shared" si="14"/>
        <v>20849.905811674787</v>
      </c>
      <c r="J121" s="478">
        <f t="shared" si="15"/>
        <v>0</v>
      </c>
      <c r="K121" s="478"/>
      <c r="L121" s="487"/>
      <c r="M121" s="478">
        <f t="shared" si="16"/>
        <v>0</v>
      </c>
      <c r="N121" s="487"/>
      <c r="O121" s="478">
        <f t="shared" si="17"/>
        <v>0</v>
      </c>
      <c r="P121" s="478">
        <f t="shared" si="18"/>
        <v>0</v>
      </c>
    </row>
    <row r="122" spans="2:16" ht="12.5">
      <c r="B122" s="160" t="str">
        <f t="shared" si="19"/>
        <v/>
      </c>
      <c r="C122" s="472">
        <f>IF(D93="","-",+C121+1)</f>
        <v>2041</v>
      </c>
      <c r="D122" s="346">
        <f>IF(F121+SUM(E$99:E121)=D$92,F121,D$92-SUM(E$99:E121))</f>
        <v>130357.5</v>
      </c>
      <c r="E122" s="484">
        <f t="shared" si="20"/>
        <v>7045</v>
      </c>
      <c r="F122" s="485">
        <f t="shared" si="21"/>
        <v>123312.5</v>
      </c>
      <c r="G122" s="485">
        <f t="shared" si="22"/>
        <v>126835</v>
      </c>
      <c r="H122" s="613">
        <f t="shared" si="13"/>
        <v>20123.467497936748</v>
      </c>
      <c r="I122" s="614">
        <f t="shared" si="14"/>
        <v>20123.467497936748</v>
      </c>
      <c r="J122" s="478">
        <f t="shared" si="15"/>
        <v>0</v>
      </c>
      <c r="K122" s="478"/>
      <c r="L122" s="487"/>
      <c r="M122" s="478">
        <f t="shared" si="16"/>
        <v>0</v>
      </c>
      <c r="N122" s="487"/>
      <c r="O122" s="478">
        <f t="shared" si="17"/>
        <v>0</v>
      </c>
      <c r="P122" s="478">
        <f t="shared" si="18"/>
        <v>0</v>
      </c>
    </row>
    <row r="123" spans="2:16" ht="12.5">
      <c r="B123" s="160" t="str">
        <f t="shared" si="19"/>
        <v/>
      </c>
      <c r="C123" s="472">
        <f>IF(D93="","-",+C122+1)</f>
        <v>2042</v>
      </c>
      <c r="D123" s="346">
        <f>IF(F122+SUM(E$99:E122)=D$92,F122,D$92-SUM(E$99:E122))</f>
        <v>123312.5</v>
      </c>
      <c r="E123" s="484">
        <f t="shared" si="20"/>
        <v>7045</v>
      </c>
      <c r="F123" s="485">
        <f t="shared" si="21"/>
        <v>116267.5</v>
      </c>
      <c r="G123" s="485">
        <f t="shared" si="22"/>
        <v>119790</v>
      </c>
      <c r="H123" s="613">
        <f t="shared" si="13"/>
        <v>19397.029184198705</v>
      </c>
      <c r="I123" s="614">
        <f t="shared" si="14"/>
        <v>19397.029184198705</v>
      </c>
      <c r="J123" s="478">
        <f t="shared" si="15"/>
        <v>0</v>
      </c>
      <c r="K123" s="478"/>
      <c r="L123" s="487"/>
      <c r="M123" s="478">
        <f t="shared" si="16"/>
        <v>0</v>
      </c>
      <c r="N123" s="487"/>
      <c r="O123" s="478">
        <f t="shared" si="17"/>
        <v>0</v>
      </c>
      <c r="P123" s="478">
        <f t="shared" si="18"/>
        <v>0</v>
      </c>
    </row>
    <row r="124" spans="2:16" ht="12.5">
      <c r="B124" s="160" t="str">
        <f t="shared" si="19"/>
        <v/>
      </c>
      <c r="C124" s="472">
        <f>IF(D93="","-",+C123+1)</f>
        <v>2043</v>
      </c>
      <c r="D124" s="346">
        <f>IF(F123+SUM(E$99:E123)=D$92,F123,D$92-SUM(E$99:E123))</f>
        <v>116267.5</v>
      </c>
      <c r="E124" s="484">
        <f t="shared" si="20"/>
        <v>7045</v>
      </c>
      <c r="F124" s="485">
        <f t="shared" si="21"/>
        <v>109222.5</v>
      </c>
      <c r="G124" s="485">
        <f t="shared" si="22"/>
        <v>112745</v>
      </c>
      <c r="H124" s="613">
        <f t="shared" si="13"/>
        <v>18670.590870460663</v>
      </c>
      <c r="I124" s="614">
        <f t="shared" si="14"/>
        <v>18670.590870460663</v>
      </c>
      <c r="J124" s="478">
        <f t="shared" si="15"/>
        <v>0</v>
      </c>
      <c r="K124" s="478"/>
      <c r="L124" s="487"/>
      <c r="M124" s="478">
        <f t="shared" si="16"/>
        <v>0</v>
      </c>
      <c r="N124" s="487"/>
      <c r="O124" s="478">
        <f t="shared" si="17"/>
        <v>0</v>
      </c>
      <c r="P124" s="478">
        <f t="shared" si="18"/>
        <v>0</v>
      </c>
    </row>
    <row r="125" spans="2:16" ht="12.5">
      <c r="B125" s="160" t="str">
        <f t="shared" si="19"/>
        <v/>
      </c>
      <c r="C125" s="472">
        <f>IF(D93="","-",+C124+1)</f>
        <v>2044</v>
      </c>
      <c r="D125" s="346">
        <f>IF(F124+SUM(E$99:E124)=D$92,F124,D$92-SUM(E$99:E124))</f>
        <v>109222.5</v>
      </c>
      <c r="E125" s="484">
        <f t="shared" si="20"/>
        <v>7045</v>
      </c>
      <c r="F125" s="485">
        <f t="shared" si="21"/>
        <v>102177.5</v>
      </c>
      <c r="G125" s="485">
        <f t="shared" si="22"/>
        <v>105700</v>
      </c>
      <c r="H125" s="613">
        <f t="shared" si="13"/>
        <v>17944.152556722627</v>
      </c>
      <c r="I125" s="614">
        <f t="shared" si="14"/>
        <v>17944.152556722627</v>
      </c>
      <c r="J125" s="478">
        <f t="shared" si="15"/>
        <v>0</v>
      </c>
      <c r="K125" s="478"/>
      <c r="L125" s="487"/>
      <c r="M125" s="478">
        <f t="shared" si="16"/>
        <v>0</v>
      </c>
      <c r="N125" s="487"/>
      <c r="O125" s="478">
        <f t="shared" si="17"/>
        <v>0</v>
      </c>
      <c r="P125" s="478">
        <f t="shared" si="18"/>
        <v>0</v>
      </c>
    </row>
    <row r="126" spans="2:16" ht="12.5">
      <c r="B126" s="160" t="str">
        <f t="shared" si="19"/>
        <v/>
      </c>
      <c r="C126" s="472">
        <f>IF(D93="","-",+C125+1)</f>
        <v>2045</v>
      </c>
      <c r="D126" s="346">
        <f>IF(F125+SUM(E$99:E125)=D$92,F125,D$92-SUM(E$99:E125))</f>
        <v>102177.5</v>
      </c>
      <c r="E126" s="484">
        <f t="shared" si="20"/>
        <v>7045</v>
      </c>
      <c r="F126" s="485">
        <f t="shared" si="21"/>
        <v>95132.5</v>
      </c>
      <c r="G126" s="485">
        <f t="shared" si="22"/>
        <v>98655</v>
      </c>
      <c r="H126" s="613">
        <f t="shared" si="13"/>
        <v>17217.714242984584</v>
      </c>
      <c r="I126" s="614">
        <f t="shared" si="14"/>
        <v>17217.714242984584</v>
      </c>
      <c r="J126" s="478">
        <f t="shared" si="15"/>
        <v>0</v>
      </c>
      <c r="K126" s="478"/>
      <c r="L126" s="487"/>
      <c r="M126" s="478">
        <f t="shared" si="16"/>
        <v>0</v>
      </c>
      <c r="N126" s="487"/>
      <c r="O126" s="478">
        <f t="shared" si="17"/>
        <v>0</v>
      </c>
      <c r="P126" s="478">
        <f t="shared" si="18"/>
        <v>0</v>
      </c>
    </row>
    <row r="127" spans="2:16" ht="12.5">
      <c r="B127" s="160" t="str">
        <f t="shared" si="19"/>
        <v/>
      </c>
      <c r="C127" s="472">
        <f>IF(D93="","-",+C126+1)</f>
        <v>2046</v>
      </c>
      <c r="D127" s="346">
        <f>IF(F126+SUM(E$99:E126)=D$92,F126,D$92-SUM(E$99:E126))</f>
        <v>95132.5</v>
      </c>
      <c r="E127" s="484">
        <f t="shared" si="20"/>
        <v>7045</v>
      </c>
      <c r="F127" s="485">
        <f t="shared" si="21"/>
        <v>88087.5</v>
      </c>
      <c r="G127" s="485">
        <f t="shared" si="22"/>
        <v>91610</v>
      </c>
      <c r="H127" s="613">
        <f t="shared" si="13"/>
        <v>16491.275929246542</v>
      </c>
      <c r="I127" s="614">
        <f t="shared" si="14"/>
        <v>16491.275929246542</v>
      </c>
      <c r="J127" s="478">
        <f t="shared" si="15"/>
        <v>0</v>
      </c>
      <c r="K127" s="478"/>
      <c r="L127" s="487"/>
      <c r="M127" s="478">
        <f t="shared" si="16"/>
        <v>0</v>
      </c>
      <c r="N127" s="487"/>
      <c r="O127" s="478">
        <f t="shared" si="17"/>
        <v>0</v>
      </c>
      <c r="P127" s="478">
        <f t="shared" si="18"/>
        <v>0</v>
      </c>
    </row>
    <row r="128" spans="2:16" ht="12.5">
      <c r="B128" s="160" t="str">
        <f t="shared" si="19"/>
        <v/>
      </c>
      <c r="C128" s="472">
        <f>IF(D93="","-",+C127+1)</f>
        <v>2047</v>
      </c>
      <c r="D128" s="346">
        <f>IF(F127+SUM(E$99:E127)=D$92,F127,D$92-SUM(E$99:E127))</f>
        <v>88087.5</v>
      </c>
      <c r="E128" s="484">
        <f t="shared" si="20"/>
        <v>7045</v>
      </c>
      <c r="F128" s="485">
        <f t="shared" si="21"/>
        <v>81042.5</v>
      </c>
      <c r="G128" s="485">
        <f t="shared" si="22"/>
        <v>84565</v>
      </c>
      <c r="H128" s="613">
        <f t="shared" si="13"/>
        <v>15764.837615508502</v>
      </c>
      <c r="I128" s="614">
        <f t="shared" si="14"/>
        <v>15764.837615508502</v>
      </c>
      <c r="J128" s="478">
        <f t="shared" si="15"/>
        <v>0</v>
      </c>
      <c r="K128" s="478"/>
      <c r="L128" s="487"/>
      <c r="M128" s="478">
        <f t="shared" si="16"/>
        <v>0</v>
      </c>
      <c r="N128" s="487"/>
      <c r="O128" s="478">
        <f t="shared" si="17"/>
        <v>0</v>
      </c>
      <c r="P128" s="478">
        <f t="shared" si="18"/>
        <v>0</v>
      </c>
    </row>
    <row r="129" spans="2:16" ht="12.5">
      <c r="B129" s="160" t="str">
        <f t="shared" si="19"/>
        <v/>
      </c>
      <c r="C129" s="472">
        <f>IF(D93="","-",+C128+1)</f>
        <v>2048</v>
      </c>
      <c r="D129" s="346">
        <f>IF(F128+SUM(E$99:E128)=D$92,F128,D$92-SUM(E$99:E128))</f>
        <v>81042.5</v>
      </c>
      <c r="E129" s="484">
        <f t="shared" si="20"/>
        <v>7045</v>
      </c>
      <c r="F129" s="485">
        <f t="shared" si="21"/>
        <v>73997.5</v>
      </c>
      <c r="G129" s="485">
        <f t="shared" si="22"/>
        <v>77520</v>
      </c>
      <c r="H129" s="613">
        <f t="shared" si="13"/>
        <v>15038.399301770463</v>
      </c>
      <c r="I129" s="614">
        <f t="shared" si="14"/>
        <v>15038.399301770463</v>
      </c>
      <c r="J129" s="478">
        <f t="shared" si="15"/>
        <v>0</v>
      </c>
      <c r="K129" s="478"/>
      <c r="L129" s="487"/>
      <c r="M129" s="478">
        <f t="shared" si="16"/>
        <v>0</v>
      </c>
      <c r="N129" s="487"/>
      <c r="O129" s="478">
        <f t="shared" si="17"/>
        <v>0</v>
      </c>
      <c r="P129" s="478">
        <f t="shared" si="18"/>
        <v>0</v>
      </c>
    </row>
    <row r="130" spans="2:16" ht="12.5">
      <c r="B130" s="160" t="str">
        <f t="shared" si="19"/>
        <v/>
      </c>
      <c r="C130" s="472">
        <f>IF(D93="","-",+C129+1)</f>
        <v>2049</v>
      </c>
      <c r="D130" s="346">
        <f>IF(F129+SUM(E$99:E129)=D$92,F129,D$92-SUM(E$99:E129))</f>
        <v>73997.5</v>
      </c>
      <c r="E130" s="484">
        <f t="shared" si="20"/>
        <v>7045</v>
      </c>
      <c r="F130" s="485">
        <f t="shared" si="21"/>
        <v>66952.5</v>
      </c>
      <c r="G130" s="485">
        <f t="shared" si="22"/>
        <v>70475</v>
      </c>
      <c r="H130" s="613">
        <f t="shared" si="13"/>
        <v>14311.960988032421</v>
      </c>
      <c r="I130" s="614">
        <f t="shared" si="14"/>
        <v>14311.960988032421</v>
      </c>
      <c r="J130" s="478">
        <f t="shared" si="15"/>
        <v>0</v>
      </c>
      <c r="K130" s="478"/>
      <c r="L130" s="487"/>
      <c r="M130" s="478">
        <f t="shared" si="16"/>
        <v>0</v>
      </c>
      <c r="N130" s="487"/>
      <c r="O130" s="478">
        <f t="shared" si="17"/>
        <v>0</v>
      </c>
      <c r="P130" s="478">
        <f t="shared" si="18"/>
        <v>0</v>
      </c>
    </row>
    <row r="131" spans="2:16" ht="12.5">
      <c r="B131" s="160" t="str">
        <f t="shared" si="19"/>
        <v/>
      </c>
      <c r="C131" s="472">
        <f>IF(D93="","-",+C130+1)</f>
        <v>2050</v>
      </c>
      <c r="D131" s="346">
        <f>IF(F130+SUM(E$99:E130)=D$92,F130,D$92-SUM(E$99:E130))</f>
        <v>66952.5</v>
      </c>
      <c r="E131" s="484">
        <f t="shared" si="20"/>
        <v>7045</v>
      </c>
      <c r="F131" s="485">
        <f t="shared" si="21"/>
        <v>59907.5</v>
      </c>
      <c r="G131" s="485">
        <f t="shared" si="22"/>
        <v>63430</v>
      </c>
      <c r="H131" s="613">
        <f t="shared" si="13"/>
        <v>13585.522674294381</v>
      </c>
      <c r="I131" s="614">
        <f t="shared" si="14"/>
        <v>13585.522674294381</v>
      </c>
      <c r="J131" s="478">
        <f t="shared" ref="J131:J154" si="23">+I541-H541</f>
        <v>0</v>
      </c>
      <c r="K131" s="478"/>
      <c r="L131" s="487"/>
      <c r="M131" s="478">
        <f t="shared" ref="M131:M154" si="24">IF(L541&lt;&gt;0,+H541-L541,0)</f>
        <v>0</v>
      </c>
      <c r="N131" s="487"/>
      <c r="O131" s="478">
        <f t="shared" ref="O131:O154" si="25">IF(N541&lt;&gt;0,+I541-N541,0)</f>
        <v>0</v>
      </c>
      <c r="P131" s="478">
        <f t="shared" ref="P131:P154" si="26">+O541-M541</f>
        <v>0</v>
      </c>
    </row>
    <row r="132" spans="2:16" ht="12.5">
      <c r="B132" s="160" t="str">
        <f t="shared" si="19"/>
        <v/>
      </c>
      <c r="C132" s="472">
        <f>IF(D93="","-",+C131+1)</f>
        <v>2051</v>
      </c>
      <c r="D132" s="346">
        <f>IF(F131+SUM(E$99:E131)=D$92,F131,D$92-SUM(E$99:E131))</f>
        <v>59907.5</v>
      </c>
      <c r="E132" s="484">
        <f t="shared" si="20"/>
        <v>7045</v>
      </c>
      <c r="F132" s="485">
        <f t="shared" si="21"/>
        <v>52862.5</v>
      </c>
      <c r="G132" s="485">
        <f t="shared" si="22"/>
        <v>56385</v>
      </c>
      <c r="H132" s="613">
        <f t="shared" si="13"/>
        <v>12859.08436055634</v>
      </c>
      <c r="I132" s="614">
        <f t="shared" si="14"/>
        <v>12859.08436055634</v>
      </c>
      <c r="J132" s="478">
        <f t="shared" si="23"/>
        <v>0</v>
      </c>
      <c r="K132" s="478"/>
      <c r="L132" s="487"/>
      <c r="M132" s="478">
        <f t="shared" si="24"/>
        <v>0</v>
      </c>
      <c r="N132" s="487"/>
      <c r="O132" s="478">
        <f t="shared" si="25"/>
        <v>0</v>
      </c>
      <c r="P132" s="478">
        <f t="shared" si="26"/>
        <v>0</v>
      </c>
    </row>
    <row r="133" spans="2:16" ht="12.5">
      <c r="B133" s="160" t="str">
        <f t="shared" si="19"/>
        <v/>
      </c>
      <c r="C133" s="472">
        <f>IF(D93="","-",+C132+1)</f>
        <v>2052</v>
      </c>
      <c r="D133" s="346">
        <f>IF(F132+SUM(E$99:E132)=D$92,F132,D$92-SUM(E$99:E132))</f>
        <v>52862.5</v>
      </c>
      <c r="E133" s="484">
        <f t="shared" si="20"/>
        <v>7045</v>
      </c>
      <c r="F133" s="485">
        <f t="shared" si="21"/>
        <v>45817.5</v>
      </c>
      <c r="G133" s="485">
        <f t="shared" si="22"/>
        <v>49340</v>
      </c>
      <c r="H133" s="613">
        <f t="shared" si="13"/>
        <v>12132.6460468183</v>
      </c>
      <c r="I133" s="614">
        <f t="shared" si="14"/>
        <v>12132.6460468183</v>
      </c>
      <c r="J133" s="478">
        <f t="shared" si="23"/>
        <v>0</v>
      </c>
      <c r="K133" s="478"/>
      <c r="L133" s="487"/>
      <c r="M133" s="478">
        <f t="shared" si="24"/>
        <v>0</v>
      </c>
      <c r="N133" s="487"/>
      <c r="O133" s="478">
        <f t="shared" si="25"/>
        <v>0</v>
      </c>
      <c r="P133" s="478">
        <f t="shared" si="26"/>
        <v>0</v>
      </c>
    </row>
    <row r="134" spans="2:16" ht="12.5">
      <c r="B134" s="160" t="str">
        <f t="shared" si="19"/>
        <v/>
      </c>
      <c r="C134" s="472">
        <f>IF(D93="","-",+C133+1)</f>
        <v>2053</v>
      </c>
      <c r="D134" s="346">
        <f>IF(F133+SUM(E$99:E133)=D$92,F133,D$92-SUM(E$99:E133))</f>
        <v>45817.5</v>
      </c>
      <c r="E134" s="484">
        <f t="shared" si="20"/>
        <v>7045</v>
      </c>
      <c r="F134" s="485">
        <f t="shared" si="21"/>
        <v>38772.5</v>
      </c>
      <c r="G134" s="485">
        <f t="shared" si="22"/>
        <v>42295</v>
      </c>
      <c r="H134" s="613">
        <f t="shared" si="13"/>
        <v>11406.20773308026</v>
      </c>
      <c r="I134" s="614">
        <f t="shared" si="14"/>
        <v>11406.20773308026</v>
      </c>
      <c r="J134" s="478">
        <f t="shared" si="23"/>
        <v>0</v>
      </c>
      <c r="K134" s="478"/>
      <c r="L134" s="487"/>
      <c r="M134" s="478">
        <f t="shared" si="24"/>
        <v>0</v>
      </c>
      <c r="N134" s="487"/>
      <c r="O134" s="478">
        <f t="shared" si="25"/>
        <v>0</v>
      </c>
      <c r="P134" s="478">
        <f t="shared" si="26"/>
        <v>0</v>
      </c>
    </row>
    <row r="135" spans="2:16" ht="12.5">
      <c r="B135" s="160" t="str">
        <f t="shared" si="19"/>
        <v/>
      </c>
      <c r="C135" s="472">
        <f>IF(D93="","-",+C134+1)</f>
        <v>2054</v>
      </c>
      <c r="D135" s="346">
        <f>IF(F134+SUM(E$99:E134)=D$92,F134,D$92-SUM(E$99:E134))</f>
        <v>38772.5</v>
      </c>
      <c r="E135" s="484">
        <f t="shared" si="20"/>
        <v>7045</v>
      </c>
      <c r="F135" s="485">
        <f t="shared" si="21"/>
        <v>31727.5</v>
      </c>
      <c r="G135" s="485">
        <f t="shared" si="22"/>
        <v>35250</v>
      </c>
      <c r="H135" s="613">
        <f t="shared" si="13"/>
        <v>10679.769419342219</v>
      </c>
      <c r="I135" s="614">
        <f t="shared" si="14"/>
        <v>10679.769419342219</v>
      </c>
      <c r="J135" s="478">
        <f t="shared" si="23"/>
        <v>0</v>
      </c>
      <c r="K135" s="478"/>
      <c r="L135" s="487"/>
      <c r="M135" s="478">
        <f t="shared" si="24"/>
        <v>0</v>
      </c>
      <c r="N135" s="487"/>
      <c r="O135" s="478">
        <f t="shared" si="25"/>
        <v>0</v>
      </c>
      <c r="P135" s="478">
        <f t="shared" si="26"/>
        <v>0</v>
      </c>
    </row>
    <row r="136" spans="2:16" ht="12.5">
      <c r="B136" s="160" t="str">
        <f t="shared" si="19"/>
        <v/>
      </c>
      <c r="C136" s="472">
        <f>IF(D93="","-",+C135+1)</f>
        <v>2055</v>
      </c>
      <c r="D136" s="346">
        <f>IF(F135+SUM(E$99:E135)=D$92,F135,D$92-SUM(E$99:E135))</f>
        <v>31727.5</v>
      </c>
      <c r="E136" s="484">
        <f t="shared" si="20"/>
        <v>7045</v>
      </c>
      <c r="F136" s="485">
        <f t="shared" si="21"/>
        <v>24682.5</v>
      </c>
      <c r="G136" s="485">
        <f t="shared" si="22"/>
        <v>28205</v>
      </c>
      <c r="H136" s="613">
        <f t="shared" si="13"/>
        <v>9953.3311056041784</v>
      </c>
      <c r="I136" s="614">
        <f t="shared" si="14"/>
        <v>9953.3311056041784</v>
      </c>
      <c r="J136" s="478">
        <f t="shared" si="23"/>
        <v>0</v>
      </c>
      <c r="K136" s="478"/>
      <c r="L136" s="487"/>
      <c r="M136" s="478">
        <f t="shared" si="24"/>
        <v>0</v>
      </c>
      <c r="N136" s="487"/>
      <c r="O136" s="478">
        <f t="shared" si="25"/>
        <v>0</v>
      </c>
      <c r="P136" s="478">
        <f t="shared" si="26"/>
        <v>0</v>
      </c>
    </row>
    <row r="137" spans="2:16" ht="12.5">
      <c r="B137" s="160" t="str">
        <f t="shared" si="19"/>
        <v/>
      </c>
      <c r="C137" s="472">
        <f>IF(D93="","-",+C136+1)</f>
        <v>2056</v>
      </c>
      <c r="D137" s="346">
        <f>IF(F136+SUM(E$99:E136)=D$92,F136,D$92-SUM(E$99:E136))</f>
        <v>24682.5</v>
      </c>
      <c r="E137" s="484">
        <f t="shared" si="20"/>
        <v>7045</v>
      </c>
      <c r="F137" s="485">
        <f t="shared" si="21"/>
        <v>17637.5</v>
      </c>
      <c r="G137" s="485">
        <f t="shared" si="22"/>
        <v>21160</v>
      </c>
      <c r="H137" s="613">
        <f t="shared" si="13"/>
        <v>9226.8927918661375</v>
      </c>
      <c r="I137" s="614">
        <f t="shared" si="14"/>
        <v>9226.8927918661375</v>
      </c>
      <c r="J137" s="478">
        <f t="shared" si="23"/>
        <v>0</v>
      </c>
      <c r="K137" s="478"/>
      <c r="L137" s="487"/>
      <c r="M137" s="478">
        <f t="shared" si="24"/>
        <v>0</v>
      </c>
      <c r="N137" s="487"/>
      <c r="O137" s="478">
        <f t="shared" si="25"/>
        <v>0</v>
      </c>
      <c r="P137" s="478">
        <f t="shared" si="26"/>
        <v>0</v>
      </c>
    </row>
    <row r="138" spans="2:16" ht="12.5">
      <c r="B138" s="160" t="str">
        <f t="shared" si="19"/>
        <v/>
      </c>
      <c r="C138" s="472">
        <f>IF(D93="","-",+C137+1)</f>
        <v>2057</v>
      </c>
      <c r="D138" s="346">
        <f>IF(F137+SUM(E$99:E137)=D$92,F137,D$92-SUM(E$99:E137))</f>
        <v>17637.5</v>
      </c>
      <c r="E138" s="484">
        <f t="shared" si="20"/>
        <v>7045</v>
      </c>
      <c r="F138" s="485">
        <f t="shared" si="21"/>
        <v>10592.5</v>
      </c>
      <c r="G138" s="485">
        <f t="shared" si="22"/>
        <v>14115</v>
      </c>
      <c r="H138" s="613">
        <f t="shared" si="13"/>
        <v>8500.4544781280965</v>
      </c>
      <c r="I138" s="614">
        <f t="shared" si="14"/>
        <v>8500.4544781280965</v>
      </c>
      <c r="J138" s="478">
        <f t="shared" si="23"/>
        <v>0</v>
      </c>
      <c r="K138" s="478"/>
      <c r="L138" s="487"/>
      <c r="M138" s="478">
        <f t="shared" si="24"/>
        <v>0</v>
      </c>
      <c r="N138" s="487"/>
      <c r="O138" s="478">
        <f t="shared" si="25"/>
        <v>0</v>
      </c>
      <c r="P138" s="478">
        <f t="shared" si="26"/>
        <v>0</v>
      </c>
    </row>
    <row r="139" spans="2:16" ht="12.5">
      <c r="B139" s="160" t="str">
        <f t="shared" si="19"/>
        <v/>
      </c>
      <c r="C139" s="472">
        <f>IF(D93="","-",+C138+1)</f>
        <v>2058</v>
      </c>
      <c r="D139" s="346">
        <f>IF(F138+SUM(E$99:E138)=D$92,F138,D$92-SUM(E$99:E138))</f>
        <v>10592.5</v>
      </c>
      <c r="E139" s="484">
        <f t="shared" si="20"/>
        <v>7045</v>
      </c>
      <c r="F139" s="485">
        <f t="shared" si="21"/>
        <v>3547.5</v>
      </c>
      <c r="G139" s="485">
        <f t="shared" si="22"/>
        <v>7070</v>
      </c>
      <c r="H139" s="613">
        <f t="shared" si="13"/>
        <v>7774.0161643900565</v>
      </c>
      <c r="I139" s="614">
        <f t="shared" si="14"/>
        <v>7774.0161643900565</v>
      </c>
      <c r="J139" s="478">
        <f t="shared" si="23"/>
        <v>0</v>
      </c>
      <c r="K139" s="478"/>
      <c r="L139" s="487"/>
      <c r="M139" s="478">
        <f t="shared" si="24"/>
        <v>0</v>
      </c>
      <c r="N139" s="487"/>
      <c r="O139" s="478">
        <f t="shared" si="25"/>
        <v>0</v>
      </c>
      <c r="P139" s="478">
        <f t="shared" si="26"/>
        <v>0</v>
      </c>
    </row>
    <row r="140" spans="2:16" ht="12.5">
      <c r="B140" s="160" t="str">
        <f t="shared" si="19"/>
        <v/>
      </c>
      <c r="C140" s="472">
        <f>IF(D93="","-",+C139+1)</f>
        <v>2059</v>
      </c>
      <c r="D140" s="346">
        <f>IF(F139+SUM(E$99:E139)=D$92,F139,D$92-SUM(E$99:E139))</f>
        <v>3547.5</v>
      </c>
      <c r="E140" s="484">
        <f t="shared" si="20"/>
        <v>3547.5</v>
      </c>
      <c r="F140" s="485">
        <f t="shared" si="21"/>
        <v>0</v>
      </c>
      <c r="G140" s="485">
        <f t="shared" si="22"/>
        <v>1773.75</v>
      </c>
      <c r="H140" s="613">
        <f t="shared" si="13"/>
        <v>3730.398503760518</v>
      </c>
      <c r="I140" s="614">
        <f t="shared" si="14"/>
        <v>3730.398503760518</v>
      </c>
      <c r="J140" s="478">
        <f t="shared" si="23"/>
        <v>0</v>
      </c>
      <c r="K140" s="478"/>
      <c r="L140" s="487"/>
      <c r="M140" s="478">
        <f t="shared" si="24"/>
        <v>0</v>
      </c>
      <c r="N140" s="487"/>
      <c r="O140" s="478">
        <f t="shared" si="25"/>
        <v>0</v>
      </c>
      <c r="P140" s="478">
        <f t="shared" si="26"/>
        <v>0</v>
      </c>
    </row>
    <row r="141" spans="2:16" ht="12.5">
      <c r="B141" s="160" t="str">
        <f t="shared" si="19"/>
        <v/>
      </c>
      <c r="C141" s="472">
        <f>IF(D93="","-",+C140+1)</f>
        <v>2060</v>
      </c>
      <c r="D141" s="346">
        <f>IF(F140+SUM(E$99:E140)=D$92,F140,D$92-SUM(E$99:E140))</f>
        <v>0</v>
      </c>
      <c r="E141" s="484">
        <f t="shared" si="20"/>
        <v>0</v>
      </c>
      <c r="F141" s="485">
        <f t="shared" si="21"/>
        <v>0</v>
      </c>
      <c r="G141" s="485">
        <f t="shared" si="22"/>
        <v>0</v>
      </c>
      <c r="H141" s="613">
        <f t="shared" si="13"/>
        <v>0</v>
      </c>
      <c r="I141" s="614">
        <f t="shared" si="14"/>
        <v>0</v>
      </c>
      <c r="J141" s="478">
        <f t="shared" si="23"/>
        <v>0</v>
      </c>
      <c r="K141" s="478"/>
      <c r="L141" s="487"/>
      <c r="M141" s="478">
        <f t="shared" si="24"/>
        <v>0</v>
      </c>
      <c r="N141" s="487"/>
      <c r="O141" s="478">
        <f t="shared" si="25"/>
        <v>0</v>
      </c>
      <c r="P141" s="478">
        <f t="shared" si="26"/>
        <v>0</v>
      </c>
    </row>
    <row r="142" spans="2:16" ht="12.5">
      <c r="B142" s="160" t="str">
        <f t="shared" si="19"/>
        <v/>
      </c>
      <c r="C142" s="472">
        <f>IF(D93="","-",+C141+1)</f>
        <v>2061</v>
      </c>
      <c r="D142" s="346">
        <f>IF(F141+SUM(E$99:E141)=D$92,F141,D$92-SUM(E$99:E141))</f>
        <v>0</v>
      </c>
      <c r="E142" s="484">
        <f t="shared" si="20"/>
        <v>0</v>
      </c>
      <c r="F142" s="485">
        <f t="shared" si="21"/>
        <v>0</v>
      </c>
      <c r="G142" s="485">
        <f t="shared" si="22"/>
        <v>0</v>
      </c>
      <c r="H142" s="613">
        <f t="shared" si="13"/>
        <v>0</v>
      </c>
      <c r="I142" s="614">
        <f t="shared" si="14"/>
        <v>0</v>
      </c>
      <c r="J142" s="478">
        <f t="shared" si="23"/>
        <v>0</v>
      </c>
      <c r="K142" s="478"/>
      <c r="L142" s="487"/>
      <c r="M142" s="478">
        <f t="shared" si="24"/>
        <v>0</v>
      </c>
      <c r="N142" s="487"/>
      <c r="O142" s="478">
        <f t="shared" si="25"/>
        <v>0</v>
      </c>
      <c r="P142" s="478">
        <f t="shared" si="26"/>
        <v>0</v>
      </c>
    </row>
    <row r="143" spans="2:16" ht="12.5">
      <c r="B143" s="160" t="str">
        <f t="shared" si="19"/>
        <v/>
      </c>
      <c r="C143" s="472">
        <f>IF(D93="","-",+C142+1)</f>
        <v>2062</v>
      </c>
      <c r="D143" s="346">
        <f>IF(F142+SUM(E$99:E142)=D$92,F142,D$92-SUM(E$99:E142))</f>
        <v>0</v>
      </c>
      <c r="E143" s="484">
        <f t="shared" si="20"/>
        <v>0</v>
      </c>
      <c r="F143" s="485">
        <f t="shared" si="21"/>
        <v>0</v>
      </c>
      <c r="G143" s="485">
        <f t="shared" si="22"/>
        <v>0</v>
      </c>
      <c r="H143" s="613">
        <f t="shared" si="13"/>
        <v>0</v>
      </c>
      <c r="I143" s="614">
        <f t="shared" si="14"/>
        <v>0</v>
      </c>
      <c r="J143" s="478">
        <f t="shared" si="23"/>
        <v>0</v>
      </c>
      <c r="K143" s="478"/>
      <c r="L143" s="487"/>
      <c r="M143" s="478">
        <f t="shared" si="24"/>
        <v>0</v>
      </c>
      <c r="N143" s="487"/>
      <c r="O143" s="478">
        <f t="shared" si="25"/>
        <v>0</v>
      </c>
      <c r="P143" s="478">
        <f t="shared" si="26"/>
        <v>0</v>
      </c>
    </row>
    <row r="144" spans="2:16" ht="12.5">
      <c r="B144" s="160" t="str">
        <f t="shared" si="19"/>
        <v/>
      </c>
      <c r="C144" s="472">
        <f>IF(D93="","-",+C143+1)</f>
        <v>2063</v>
      </c>
      <c r="D144" s="346">
        <f>IF(F143+SUM(E$99:E143)=D$92,F143,D$92-SUM(E$99:E143))</f>
        <v>0</v>
      </c>
      <c r="E144" s="484">
        <f t="shared" si="20"/>
        <v>0</v>
      </c>
      <c r="F144" s="485">
        <f t="shared" si="21"/>
        <v>0</v>
      </c>
      <c r="G144" s="485">
        <f t="shared" si="22"/>
        <v>0</v>
      </c>
      <c r="H144" s="613">
        <f t="shared" si="13"/>
        <v>0</v>
      </c>
      <c r="I144" s="614">
        <f t="shared" si="14"/>
        <v>0</v>
      </c>
      <c r="J144" s="478">
        <f t="shared" si="23"/>
        <v>0</v>
      </c>
      <c r="K144" s="478"/>
      <c r="L144" s="487"/>
      <c r="M144" s="478">
        <f t="shared" si="24"/>
        <v>0</v>
      </c>
      <c r="N144" s="487"/>
      <c r="O144" s="478">
        <f t="shared" si="25"/>
        <v>0</v>
      </c>
      <c r="P144" s="478">
        <f t="shared" si="26"/>
        <v>0</v>
      </c>
    </row>
    <row r="145" spans="2:16" ht="12.5">
      <c r="B145" s="160" t="str">
        <f t="shared" si="19"/>
        <v/>
      </c>
      <c r="C145" s="472">
        <f>IF(D93="","-",+C144+1)</f>
        <v>2064</v>
      </c>
      <c r="D145" s="346">
        <f>IF(F144+SUM(E$99:E144)=D$92,F144,D$92-SUM(E$99:E144))</f>
        <v>0</v>
      </c>
      <c r="E145" s="484">
        <f t="shared" si="20"/>
        <v>0</v>
      </c>
      <c r="F145" s="485">
        <f t="shared" si="21"/>
        <v>0</v>
      </c>
      <c r="G145" s="485">
        <f t="shared" si="22"/>
        <v>0</v>
      </c>
      <c r="H145" s="613">
        <f t="shared" si="13"/>
        <v>0</v>
      </c>
      <c r="I145" s="614">
        <f t="shared" si="14"/>
        <v>0</v>
      </c>
      <c r="J145" s="478">
        <f t="shared" si="23"/>
        <v>0</v>
      </c>
      <c r="K145" s="478"/>
      <c r="L145" s="487"/>
      <c r="M145" s="478">
        <f t="shared" si="24"/>
        <v>0</v>
      </c>
      <c r="N145" s="487"/>
      <c r="O145" s="478">
        <f t="shared" si="25"/>
        <v>0</v>
      </c>
      <c r="P145" s="478">
        <f t="shared" si="26"/>
        <v>0</v>
      </c>
    </row>
    <row r="146" spans="2:16" ht="12.5">
      <c r="B146" s="160" t="str">
        <f t="shared" si="19"/>
        <v/>
      </c>
      <c r="C146" s="472">
        <f>IF(D93="","-",+C145+1)</f>
        <v>2065</v>
      </c>
      <c r="D146" s="346">
        <f>IF(F145+SUM(E$99:E145)=D$92,F145,D$92-SUM(E$99:E145))</f>
        <v>0</v>
      </c>
      <c r="E146" s="484">
        <f t="shared" si="20"/>
        <v>0</v>
      </c>
      <c r="F146" s="485">
        <f t="shared" si="21"/>
        <v>0</v>
      </c>
      <c r="G146" s="485">
        <f t="shared" si="22"/>
        <v>0</v>
      </c>
      <c r="H146" s="613">
        <f t="shared" si="13"/>
        <v>0</v>
      </c>
      <c r="I146" s="614">
        <f t="shared" si="14"/>
        <v>0</v>
      </c>
      <c r="J146" s="478">
        <f t="shared" si="23"/>
        <v>0</v>
      </c>
      <c r="K146" s="478"/>
      <c r="L146" s="487"/>
      <c r="M146" s="478">
        <f t="shared" si="24"/>
        <v>0</v>
      </c>
      <c r="N146" s="487"/>
      <c r="O146" s="478">
        <f t="shared" si="25"/>
        <v>0</v>
      </c>
      <c r="P146" s="478">
        <f t="shared" si="26"/>
        <v>0</v>
      </c>
    </row>
    <row r="147" spans="2:16" ht="12.5">
      <c r="B147" s="160" t="str">
        <f t="shared" si="19"/>
        <v/>
      </c>
      <c r="C147" s="472">
        <f>IF(D93="","-",+C146+1)</f>
        <v>2066</v>
      </c>
      <c r="D147" s="346">
        <f>IF(F146+SUM(E$99:E146)=D$92,F146,D$92-SUM(E$99:E146))</f>
        <v>0</v>
      </c>
      <c r="E147" s="484">
        <f t="shared" si="20"/>
        <v>0</v>
      </c>
      <c r="F147" s="485">
        <f t="shared" si="21"/>
        <v>0</v>
      </c>
      <c r="G147" s="485">
        <f t="shared" si="22"/>
        <v>0</v>
      </c>
      <c r="H147" s="613">
        <f t="shared" si="13"/>
        <v>0</v>
      </c>
      <c r="I147" s="614">
        <f t="shared" si="14"/>
        <v>0</v>
      </c>
      <c r="J147" s="478">
        <f t="shared" si="23"/>
        <v>0</v>
      </c>
      <c r="K147" s="478"/>
      <c r="L147" s="487"/>
      <c r="M147" s="478">
        <f t="shared" si="24"/>
        <v>0</v>
      </c>
      <c r="N147" s="487"/>
      <c r="O147" s="478">
        <f t="shared" si="25"/>
        <v>0</v>
      </c>
      <c r="P147" s="478">
        <f t="shared" si="26"/>
        <v>0</v>
      </c>
    </row>
    <row r="148" spans="2:16" ht="12.5">
      <c r="B148" s="160" t="str">
        <f t="shared" si="19"/>
        <v/>
      </c>
      <c r="C148" s="472">
        <f>IF(D93="","-",+C147+1)</f>
        <v>2067</v>
      </c>
      <c r="D148" s="346">
        <f>IF(F147+SUM(E$99:E147)=D$92,F147,D$92-SUM(E$99:E147))</f>
        <v>0</v>
      </c>
      <c r="E148" s="484">
        <f t="shared" si="20"/>
        <v>0</v>
      </c>
      <c r="F148" s="485">
        <f t="shared" si="21"/>
        <v>0</v>
      </c>
      <c r="G148" s="485">
        <f t="shared" si="22"/>
        <v>0</v>
      </c>
      <c r="H148" s="613">
        <f t="shared" si="13"/>
        <v>0</v>
      </c>
      <c r="I148" s="614">
        <f t="shared" si="14"/>
        <v>0</v>
      </c>
      <c r="J148" s="478">
        <f t="shared" si="23"/>
        <v>0</v>
      </c>
      <c r="K148" s="478"/>
      <c r="L148" s="487"/>
      <c r="M148" s="478">
        <f t="shared" si="24"/>
        <v>0</v>
      </c>
      <c r="N148" s="487"/>
      <c r="O148" s="478">
        <f t="shared" si="25"/>
        <v>0</v>
      </c>
      <c r="P148" s="478">
        <f t="shared" si="26"/>
        <v>0</v>
      </c>
    </row>
    <row r="149" spans="2:16" ht="12.5">
      <c r="B149" s="160" t="str">
        <f t="shared" si="19"/>
        <v/>
      </c>
      <c r="C149" s="472">
        <f>IF(D93="","-",+C148+1)</f>
        <v>2068</v>
      </c>
      <c r="D149" s="346">
        <f>IF(F148+SUM(E$99:E148)=D$92,F148,D$92-SUM(E$99:E148))</f>
        <v>0</v>
      </c>
      <c r="E149" s="484">
        <f t="shared" si="20"/>
        <v>0</v>
      </c>
      <c r="F149" s="485">
        <f t="shared" si="21"/>
        <v>0</v>
      </c>
      <c r="G149" s="485">
        <f t="shared" si="22"/>
        <v>0</v>
      </c>
      <c r="H149" s="613">
        <f t="shared" si="13"/>
        <v>0</v>
      </c>
      <c r="I149" s="614">
        <f t="shared" si="14"/>
        <v>0</v>
      </c>
      <c r="J149" s="478">
        <f t="shared" si="23"/>
        <v>0</v>
      </c>
      <c r="K149" s="478"/>
      <c r="L149" s="487"/>
      <c r="M149" s="478">
        <f t="shared" si="24"/>
        <v>0</v>
      </c>
      <c r="N149" s="487"/>
      <c r="O149" s="478">
        <f t="shared" si="25"/>
        <v>0</v>
      </c>
      <c r="P149" s="478">
        <f t="shared" si="26"/>
        <v>0</v>
      </c>
    </row>
    <row r="150" spans="2:16" ht="12.5">
      <c r="B150" s="160" t="str">
        <f t="shared" si="19"/>
        <v/>
      </c>
      <c r="C150" s="472">
        <f>IF(D93="","-",+C149+1)</f>
        <v>2069</v>
      </c>
      <c r="D150" s="346">
        <f>IF(F149+SUM(E$99:E149)=D$92,F149,D$92-SUM(E$99:E149))</f>
        <v>0</v>
      </c>
      <c r="E150" s="484">
        <f t="shared" si="20"/>
        <v>0</v>
      </c>
      <c r="F150" s="485">
        <f t="shared" si="21"/>
        <v>0</v>
      </c>
      <c r="G150" s="485">
        <f t="shared" si="22"/>
        <v>0</v>
      </c>
      <c r="H150" s="613">
        <f t="shared" si="13"/>
        <v>0</v>
      </c>
      <c r="I150" s="614">
        <f t="shared" si="14"/>
        <v>0</v>
      </c>
      <c r="J150" s="478">
        <f t="shared" si="23"/>
        <v>0</v>
      </c>
      <c r="K150" s="478"/>
      <c r="L150" s="487"/>
      <c r="M150" s="478">
        <f t="shared" si="24"/>
        <v>0</v>
      </c>
      <c r="N150" s="487"/>
      <c r="O150" s="478">
        <f t="shared" si="25"/>
        <v>0</v>
      </c>
      <c r="P150" s="478">
        <f t="shared" si="26"/>
        <v>0</v>
      </c>
    </row>
    <row r="151" spans="2:16" ht="12.5">
      <c r="B151" s="160" t="str">
        <f t="shared" si="19"/>
        <v/>
      </c>
      <c r="C151" s="472">
        <f>IF(D93="","-",+C150+1)</f>
        <v>2070</v>
      </c>
      <c r="D151" s="346">
        <f>IF(F150+SUM(E$99:E150)=D$92,F150,D$92-SUM(E$99:E150))</f>
        <v>0</v>
      </c>
      <c r="E151" s="484">
        <f t="shared" si="20"/>
        <v>0</v>
      </c>
      <c r="F151" s="485">
        <f t="shared" si="21"/>
        <v>0</v>
      </c>
      <c r="G151" s="485">
        <f t="shared" si="22"/>
        <v>0</v>
      </c>
      <c r="H151" s="613">
        <f t="shared" si="13"/>
        <v>0</v>
      </c>
      <c r="I151" s="614">
        <f t="shared" si="14"/>
        <v>0</v>
      </c>
      <c r="J151" s="478">
        <f t="shared" si="23"/>
        <v>0</v>
      </c>
      <c r="K151" s="478"/>
      <c r="L151" s="487"/>
      <c r="M151" s="478">
        <f t="shared" si="24"/>
        <v>0</v>
      </c>
      <c r="N151" s="487"/>
      <c r="O151" s="478">
        <f t="shared" si="25"/>
        <v>0</v>
      </c>
      <c r="P151" s="478">
        <f t="shared" si="26"/>
        <v>0</v>
      </c>
    </row>
    <row r="152" spans="2:16" ht="12.5">
      <c r="B152" s="160" t="str">
        <f t="shared" si="19"/>
        <v/>
      </c>
      <c r="C152" s="472">
        <f>IF(D93="","-",+C151+1)</f>
        <v>2071</v>
      </c>
      <c r="D152" s="346">
        <f>IF(F151+SUM(E$99:E151)=D$92,F151,D$92-SUM(E$99:E151))</f>
        <v>0</v>
      </c>
      <c r="E152" s="484">
        <f t="shared" si="20"/>
        <v>0</v>
      </c>
      <c r="F152" s="485">
        <f t="shared" si="21"/>
        <v>0</v>
      </c>
      <c r="G152" s="485">
        <f t="shared" si="22"/>
        <v>0</v>
      </c>
      <c r="H152" s="613">
        <f t="shared" si="13"/>
        <v>0</v>
      </c>
      <c r="I152" s="614">
        <f t="shared" si="14"/>
        <v>0</v>
      </c>
      <c r="J152" s="478">
        <f t="shared" si="23"/>
        <v>0</v>
      </c>
      <c r="K152" s="478"/>
      <c r="L152" s="487"/>
      <c r="M152" s="478">
        <f t="shared" si="24"/>
        <v>0</v>
      </c>
      <c r="N152" s="487"/>
      <c r="O152" s="478">
        <f t="shared" si="25"/>
        <v>0</v>
      </c>
      <c r="P152" s="478">
        <f t="shared" si="26"/>
        <v>0</v>
      </c>
    </row>
    <row r="153" spans="2:16" ht="12.5">
      <c r="B153" s="160" t="str">
        <f t="shared" si="19"/>
        <v/>
      </c>
      <c r="C153" s="472">
        <f>IF(D93="","-",+C152+1)</f>
        <v>2072</v>
      </c>
      <c r="D153" s="346">
        <f>IF(F152+SUM(E$99:E152)=D$92,F152,D$92-SUM(E$99:E152))</f>
        <v>0</v>
      </c>
      <c r="E153" s="484">
        <f t="shared" si="20"/>
        <v>0</v>
      </c>
      <c r="F153" s="485">
        <f t="shared" si="21"/>
        <v>0</v>
      </c>
      <c r="G153" s="485">
        <f t="shared" si="22"/>
        <v>0</v>
      </c>
      <c r="H153" s="613">
        <f t="shared" si="13"/>
        <v>0</v>
      </c>
      <c r="I153" s="614">
        <f t="shared" si="14"/>
        <v>0</v>
      </c>
      <c r="J153" s="478">
        <f t="shared" si="23"/>
        <v>0</v>
      </c>
      <c r="K153" s="478"/>
      <c r="L153" s="487"/>
      <c r="M153" s="478">
        <f t="shared" si="24"/>
        <v>0</v>
      </c>
      <c r="N153" s="487"/>
      <c r="O153" s="478">
        <f t="shared" si="25"/>
        <v>0</v>
      </c>
      <c r="P153" s="478">
        <f t="shared" si="26"/>
        <v>0</v>
      </c>
    </row>
    <row r="154" spans="2:16" ht="13" thickBot="1">
      <c r="B154" s="160" t="str">
        <f t="shared" si="19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20"/>
        <v>0</v>
      </c>
      <c r="F154" s="490">
        <f t="shared" si="21"/>
        <v>0</v>
      </c>
      <c r="G154" s="490">
        <f t="shared" si="22"/>
        <v>0</v>
      </c>
      <c r="H154" s="615">
        <f t="shared" si="13"/>
        <v>0</v>
      </c>
      <c r="I154" s="616">
        <f t="shared" si="14"/>
        <v>0</v>
      </c>
      <c r="J154" s="495">
        <f t="shared" si="23"/>
        <v>0</v>
      </c>
      <c r="K154" s="478"/>
      <c r="L154" s="494"/>
      <c r="M154" s="495">
        <f t="shared" si="24"/>
        <v>0</v>
      </c>
      <c r="N154" s="494"/>
      <c r="O154" s="495">
        <f t="shared" si="25"/>
        <v>0</v>
      </c>
      <c r="P154" s="495">
        <f t="shared" si="26"/>
        <v>0</v>
      </c>
    </row>
    <row r="155" spans="2:16" ht="12.5">
      <c r="C155" s="346" t="s">
        <v>77</v>
      </c>
      <c r="D155" s="347"/>
      <c r="E155" s="347">
        <f>SUM(E99:E154)</f>
        <v>288860</v>
      </c>
      <c r="F155" s="347"/>
      <c r="G155" s="347"/>
      <c r="H155" s="347">
        <f>SUM(H99:H154)</f>
        <v>900162.18046933238</v>
      </c>
      <c r="I155" s="347">
        <f>SUM(I99:I154)</f>
        <v>900162.18046933238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9" priority="1" stopIfTrue="1" operator="equal">
      <formula>$I$10</formula>
    </cfRule>
  </conditionalFormatting>
  <conditionalFormatting sqref="C99:C154">
    <cfRule type="cellIs" dxfId="8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86" zoomScaleNormal="86" workbookViewId="0">
      <selection activeCell="E9" sqref="E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26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1203224.4158022963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1203224.4158022963</v>
      </c>
      <c r="O6" s="232"/>
      <c r="P6" s="232"/>
    </row>
    <row r="7" spans="1:16" ht="13.5" thickBot="1">
      <c r="C7" s="431" t="s">
        <v>46</v>
      </c>
      <c r="D7" s="104" t="s">
        <v>333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335</v>
      </c>
      <c r="E9" s="625" t="s">
        <v>342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9409645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2019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218828.95348837209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2019</v>
      </c>
      <c r="D17" s="584">
        <v>0</v>
      </c>
      <c r="E17" s="585">
        <v>0</v>
      </c>
      <c r="F17" s="584">
        <v>5024000</v>
      </c>
      <c r="G17" s="585">
        <v>280481.45781944925</v>
      </c>
      <c r="H17" s="587">
        <v>280481.45781944925</v>
      </c>
      <c r="I17" s="475">
        <f>H17-G17</f>
        <v>0</v>
      </c>
      <c r="J17" s="475"/>
      <c r="K17" s="554">
        <f>+G17</f>
        <v>280481.45781944925</v>
      </c>
      <c r="L17" s="477">
        <f t="shared" ref="L17:L18" si="0">IF(K17&lt;&gt;0,+G17-K17,0)</f>
        <v>0</v>
      </c>
      <c r="M17" s="554">
        <f>+H17</f>
        <v>280481.45781944925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2020</v>
      </c>
      <c r="D18" s="584">
        <v>7156000</v>
      </c>
      <c r="E18" s="585">
        <v>170380.95238095237</v>
      </c>
      <c r="F18" s="584">
        <v>6985619.0476190476</v>
      </c>
      <c r="G18" s="585">
        <v>934062.15757277235</v>
      </c>
      <c r="H18" s="587">
        <v>934062.15757277235</v>
      </c>
      <c r="I18" s="475">
        <f>H18-G18</f>
        <v>0</v>
      </c>
      <c r="J18" s="475"/>
      <c r="K18" s="478">
        <f>+G18</f>
        <v>934062.15757277235</v>
      </c>
      <c r="L18" s="478">
        <f t="shared" si="0"/>
        <v>0</v>
      </c>
      <c r="M18" s="478">
        <f>+H18</f>
        <v>934062.15757277235</v>
      </c>
      <c r="N18" s="478">
        <f t="shared" si="1"/>
        <v>0</v>
      </c>
      <c r="O18" s="478">
        <f t="shared" si="2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2021</v>
      </c>
      <c r="D19" s="483">
        <f>IF(F18+SUM(E$17:E18)=D$10,F18,D$10-SUM(E$17:E18))</f>
        <v>9239264.0476190485</v>
      </c>
      <c r="E19" s="484">
        <f t="shared" ref="E19:E71" si="3">IF(+I$14&lt;F18,I$14,D19)</f>
        <v>218828.95348837209</v>
      </c>
      <c r="F19" s="485">
        <f t="shared" ref="F19:F71" si="4">+D19-E19</f>
        <v>9020435.0941306762</v>
      </c>
      <c r="G19" s="486">
        <f t="shared" ref="G19:G71" si="5">(D19+F19)/2*I$12+E19</f>
        <v>1203224.4158022963</v>
      </c>
      <c r="H19" s="455">
        <f t="shared" ref="H19:H71" si="6">+(D19+F19)/2*I$13+E19</f>
        <v>1203224.4158022963</v>
      </c>
      <c r="I19" s="475">
        <f t="shared" ref="I19:I71" si="7">H19-G19</f>
        <v>0</v>
      </c>
      <c r="J19" s="475"/>
      <c r="K19" s="487"/>
      <c r="L19" s="478">
        <f t="shared" ref="L19:L72" si="8">IF(K19&lt;&gt;0,+G19-K19,0)</f>
        <v>0</v>
      </c>
      <c r="M19" s="487"/>
      <c r="N19" s="478">
        <f t="shared" si="1"/>
        <v>0</v>
      </c>
      <c r="O19" s="478">
        <f t="shared" si="2"/>
        <v>0</v>
      </c>
      <c r="P19" s="242"/>
    </row>
    <row r="20" spans="2:16" ht="12.5">
      <c r="B20" s="160" t="str">
        <f t="shared" ref="B20:B72" si="9">IF(D20=F19,"","IU")</f>
        <v/>
      </c>
      <c r="C20" s="472">
        <f>IF(D11="","-",+C19+1)</f>
        <v>2022</v>
      </c>
      <c r="D20" s="483">
        <f>IF(F19+SUM(E$17:E19)=D$10,F19,D$10-SUM(E$17:E19))</f>
        <v>9020435.0941306762</v>
      </c>
      <c r="E20" s="484">
        <f t="shared" si="3"/>
        <v>218828.95348837209</v>
      </c>
      <c r="F20" s="485">
        <f t="shared" si="4"/>
        <v>8801606.140642304</v>
      </c>
      <c r="G20" s="486">
        <f t="shared" si="5"/>
        <v>1179629.9165540226</v>
      </c>
      <c r="H20" s="455">
        <f t="shared" si="6"/>
        <v>1179629.9165540226</v>
      </c>
      <c r="I20" s="475">
        <f t="shared" si="7"/>
        <v>0</v>
      </c>
      <c r="J20" s="475"/>
      <c r="K20" s="487"/>
      <c r="L20" s="478">
        <f t="shared" si="8"/>
        <v>0</v>
      </c>
      <c r="M20" s="487"/>
      <c r="N20" s="478">
        <f t="shared" si="1"/>
        <v>0</v>
      </c>
      <c r="O20" s="478">
        <f t="shared" si="2"/>
        <v>0</v>
      </c>
      <c r="P20" s="242"/>
    </row>
    <row r="21" spans="2:16" ht="12.5">
      <c r="B21" s="160" t="str">
        <f t="shared" si="9"/>
        <v/>
      </c>
      <c r="C21" s="472">
        <f>IF(D11="","-",+C20+1)</f>
        <v>2023</v>
      </c>
      <c r="D21" s="483">
        <f>IF(F20+SUM(E$17:E20)=D$10,F20,D$10-SUM(E$17:E20))</f>
        <v>8801606.140642304</v>
      </c>
      <c r="E21" s="484">
        <f t="shared" si="3"/>
        <v>218828.95348837209</v>
      </c>
      <c r="F21" s="485">
        <f t="shared" si="4"/>
        <v>8582777.1871539317</v>
      </c>
      <c r="G21" s="486">
        <f t="shared" si="5"/>
        <v>1156035.4173057489</v>
      </c>
      <c r="H21" s="455">
        <f t="shared" si="6"/>
        <v>1156035.4173057489</v>
      </c>
      <c r="I21" s="475">
        <f t="shared" si="7"/>
        <v>0</v>
      </c>
      <c r="J21" s="475"/>
      <c r="K21" s="487"/>
      <c r="L21" s="478">
        <f t="shared" si="8"/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 ht="12.5">
      <c r="B22" s="160" t="str">
        <f t="shared" si="9"/>
        <v/>
      </c>
      <c r="C22" s="472">
        <f>IF(D11="","-",+C21+1)</f>
        <v>2024</v>
      </c>
      <c r="D22" s="483">
        <f>IF(F21+SUM(E$17:E21)=D$10,F21,D$10-SUM(E$17:E21))</f>
        <v>8582777.1871539317</v>
      </c>
      <c r="E22" s="484">
        <f t="shared" si="3"/>
        <v>218828.95348837209</v>
      </c>
      <c r="F22" s="485">
        <f t="shared" si="4"/>
        <v>8363948.2336655594</v>
      </c>
      <c r="G22" s="486">
        <f t="shared" si="5"/>
        <v>1132440.9180574752</v>
      </c>
      <c r="H22" s="455">
        <f t="shared" si="6"/>
        <v>1132440.9180574752</v>
      </c>
      <c r="I22" s="475">
        <f t="shared" si="7"/>
        <v>0</v>
      </c>
      <c r="J22" s="475"/>
      <c r="K22" s="487"/>
      <c r="L22" s="478">
        <f t="shared" si="8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 ht="12.5">
      <c r="B23" s="160" t="str">
        <f t="shared" si="9"/>
        <v/>
      </c>
      <c r="C23" s="472">
        <f>IF(D11="","-",+C22+1)</f>
        <v>2025</v>
      </c>
      <c r="D23" s="483">
        <f>IF(F22+SUM(E$17:E22)=D$10,F22,D$10-SUM(E$17:E22))</f>
        <v>8363948.2336655594</v>
      </c>
      <c r="E23" s="484">
        <f t="shared" si="3"/>
        <v>218828.95348837209</v>
      </c>
      <c r="F23" s="485">
        <f t="shared" si="4"/>
        <v>8145119.2801771872</v>
      </c>
      <c r="G23" s="486">
        <f t="shared" si="5"/>
        <v>1108846.4188092016</v>
      </c>
      <c r="H23" s="455">
        <f t="shared" si="6"/>
        <v>1108846.4188092016</v>
      </c>
      <c r="I23" s="475">
        <f t="shared" si="7"/>
        <v>0</v>
      </c>
      <c r="J23" s="475"/>
      <c r="K23" s="487"/>
      <c r="L23" s="478">
        <f t="shared" si="8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 ht="12.5">
      <c r="B24" s="160" t="str">
        <f t="shared" si="9"/>
        <v/>
      </c>
      <c r="C24" s="472">
        <f>IF(D11="","-",+C23+1)</f>
        <v>2026</v>
      </c>
      <c r="D24" s="483">
        <f>IF(F23+SUM(E$17:E23)=D$10,F23,D$10-SUM(E$17:E23))</f>
        <v>8145119.2801771872</v>
      </c>
      <c r="E24" s="484">
        <f t="shared" si="3"/>
        <v>218828.95348837209</v>
      </c>
      <c r="F24" s="485">
        <f t="shared" si="4"/>
        <v>7926290.3266888149</v>
      </c>
      <c r="G24" s="486">
        <f t="shared" si="5"/>
        <v>1085251.9195609279</v>
      </c>
      <c r="H24" s="455">
        <f t="shared" si="6"/>
        <v>1085251.9195609279</v>
      </c>
      <c r="I24" s="475">
        <f t="shared" si="7"/>
        <v>0</v>
      </c>
      <c r="J24" s="475"/>
      <c r="K24" s="487"/>
      <c r="L24" s="478">
        <f t="shared" si="8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 ht="12.5">
      <c r="B25" s="160" t="str">
        <f t="shared" si="9"/>
        <v/>
      </c>
      <c r="C25" s="472">
        <f>IF(D11="","-",+C24+1)</f>
        <v>2027</v>
      </c>
      <c r="D25" s="483">
        <f>IF(F24+SUM(E$17:E24)=D$10,F24,D$10-SUM(E$17:E24))</f>
        <v>7926290.3266888149</v>
      </c>
      <c r="E25" s="484">
        <f t="shared" si="3"/>
        <v>218828.95348837209</v>
      </c>
      <c r="F25" s="485">
        <f t="shared" si="4"/>
        <v>7707461.3732004426</v>
      </c>
      <c r="G25" s="486">
        <f t="shared" si="5"/>
        <v>1061657.4203126545</v>
      </c>
      <c r="H25" s="455">
        <f t="shared" si="6"/>
        <v>1061657.4203126545</v>
      </c>
      <c r="I25" s="475">
        <f t="shared" si="7"/>
        <v>0</v>
      </c>
      <c r="J25" s="475"/>
      <c r="K25" s="487"/>
      <c r="L25" s="478">
        <f t="shared" si="8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 ht="12.5">
      <c r="B26" s="160" t="str">
        <f t="shared" si="9"/>
        <v/>
      </c>
      <c r="C26" s="472">
        <f>IF(D11="","-",+C25+1)</f>
        <v>2028</v>
      </c>
      <c r="D26" s="483">
        <f>IF(F25+SUM(E$17:E25)=D$10,F25,D$10-SUM(E$17:E25))</f>
        <v>7707461.3732004426</v>
      </c>
      <c r="E26" s="484">
        <f t="shared" si="3"/>
        <v>218828.95348837209</v>
      </c>
      <c r="F26" s="485">
        <f t="shared" si="4"/>
        <v>7488632.4197120704</v>
      </c>
      <c r="G26" s="486">
        <f t="shared" si="5"/>
        <v>1038062.9210643808</v>
      </c>
      <c r="H26" s="455">
        <f t="shared" si="6"/>
        <v>1038062.9210643808</v>
      </c>
      <c r="I26" s="475">
        <f t="shared" si="7"/>
        <v>0</v>
      </c>
      <c r="J26" s="475"/>
      <c r="K26" s="487"/>
      <c r="L26" s="478">
        <f t="shared" si="8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 ht="12.5">
      <c r="B27" s="160" t="str">
        <f t="shared" si="9"/>
        <v/>
      </c>
      <c r="C27" s="472">
        <f>IF(D11="","-",+C26+1)</f>
        <v>2029</v>
      </c>
      <c r="D27" s="483">
        <f>IF(F26+SUM(E$17:E26)=D$10,F26,D$10-SUM(E$17:E26))</f>
        <v>7488632.4197120704</v>
      </c>
      <c r="E27" s="484">
        <f t="shared" si="3"/>
        <v>218828.95348837209</v>
      </c>
      <c r="F27" s="485">
        <f t="shared" si="4"/>
        <v>7269803.4662236981</v>
      </c>
      <c r="G27" s="486">
        <f t="shared" si="5"/>
        <v>1014468.4218161071</v>
      </c>
      <c r="H27" s="455">
        <f t="shared" si="6"/>
        <v>1014468.4218161071</v>
      </c>
      <c r="I27" s="475">
        <f t="shared" si="7"/>
        <v>0</v>
      </c>
      <c r="J27" s="475"/>
      <c r="K27" s="487"/>
      <c r="L27" s="478">
        <f t="shared" si="8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 ht="12.5">
      <c r="B28" s="160" t="str">
        <f t="shared" si="9"/>
        <v/>
      </c>
      <c r="C28" s="472">
        <f>IF(D11="","-",+C27+1)</f>
        <v>2030</v>
      </c>
      <c r="D28" s="483">
        <f>IF(F27+SUM(E$17:E27)=D$10,F27,D$10-SUM(E$17:E27))</f>
        <v>7269803.4662236981</v>
      </c>
      <c r="E28" s="484">
        <f t="shared" si="3"/>
        <v>218828.95348837209</v>
      </c>
      <c r="F28" s="485">
        <f t="shared" si="4"/>
        <v>7050974.5127353258</v>
      </c>
      <c r="G28" s="486">
        <f t="shared" si="5"/>
        <v>990873.92256783345</v>
      </c>
      <c r="H28" s="455">
        <f t="shared" si="6"/>
        <v>990873.92256783345</v>
      </c>
      <c r="I28" s="475">
        <f t="shared" si="7"/>
        <v>0</v>
      </c>
      <c r="J28" s="475"/>
      <c r="K28" s="487"/>
      <c r="L28" s="478">
        <f t="shared" si="8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 ht="12.5">
      <c r="B29" s="160" t="str">
        <f t="shared" si="9"/>
        <v/>
      </c>
      <c r="C29" s="472">
        <f>IF(D11="","-",+C28+1)</f>
        <v>2031</v>
      </c>
      <c r="D29" s="483">
        <f>IF(F28+SUM(E$17:E28)=D$10,F28,D$10-SUM(E$17:E28))</f>
        <v>7050974.5127353258</v>
      </c>
      <c r="E29" s="484">
        <f t="shared" si="3"/>
        <v>218828.95348837209</v>
      </c>
      <c r="F29" s="485">
        <f t="shared" si="4"/>
        <v>6832145.5592469536</v>
      </c>
      <c r="G29" s="486">
        <f t="shared" si="5"/>
        <v>967279.42331955978</v>
      </c>
      <c r="H29" s="455">
        <f t="shared" si="6"/>
        <v>967279.42331955978</v>
      </c>
      <c r="I29" s="475">
        <f t="shared" si="7"/>
        <v>0</v>
      </c>
      <c r="J29" s="475"/>
      <c r="K29" s="487"/>
      <c r="L29" s="478">
        <f t="shared" si="8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 ht="12.5">
      <c r="B30" s="160" t="str">
        <f t="shared" si="9"/>
        <v/>
      </c>
      <c r="C30" s="472">
        <f>IF(D11="","-",+C29+1)</f>
        <v>2032</v>
      </c>
      <c r="D30" s="483">
        <f>IF(F29+SUM(E$17:E29)=D$10,F29,D$10-SUM(E$17:E29))</f>
        <v>6832145.5592469536</v>
      </c>
      <c r="E30" s="484">
        <f t="shared" si="3"/>
        <v>218828.95348837209</v>
      </c>
      <c r="F30" s="485">
        <f t="shared" si="4"/>
        <v>6613316.6057585813</v>
      </c>
      <c r="G30" s="486">
        <f t="shared" si="5"/>
        <v>943684.92407128611</v>
      </c>
      <c r="H30" s="455">
        <f t="shared" si="6"/>
        <v>943684.92407128611</v>
      </c>
      <c r="I30" s="475">
        <f t="shared" si="7"/>
        <v>0</v>
      </c>
      <c r="J30" s="475"/>
      <c r="K30" s="487"/>
      <c r="L30" s="478">
        <f t="shared" si="8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 ht="12.5">
      <c r="B31" s="160" t="str">
        <f t="shared" si="9"/>
        <v/>
      </c>
      <c r="C31" s="472">
        <f>IF(D11="","-",+C30+1)</f>
        <v>2033</v>
      </c>
      <c r="D31" s="483">
        <f>IF(F30+SUM(E$17:E30)=D$10,F30,D$10-SUM(E$17:E30))</f>
        <v>6613316.6057585813</v>
      </c>
      <c r="E31" s="484">
        <f t="shared" si="3"/>
        <v>218828.95348837209</v>
      </c>
      <c r="F31" s="485">
        <f t="shared" si="4"/>
        <v>6394487.652270209</v>
      </c>
      <c r="G31" s="486">
        <f t="shared" si="5"/>
        <v>920090.42482301244</v>
      </c>
      <c r="H31" s="455">
        <f t="shared" si="6"/>
        <v>920090.42482301244</v>
      </c>
      <c r="I31" s="475">
        <f t="shared" si="7"/>
        <v>0</v>
      </c>
      <c r="J31" s="475"/>
      <c r="K31" s="487"/>
      <c r="L31" s="478">
        <f t="shared" si="8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 ht="12.5">
      <c r="B32" s="160" t="str">
        <f t="shared" si="9"/>
        <v/>
      </c>
      <c r="C32" s="472">
        <f>IF(D11="","-",+C31+1)</f>
        <v>2034</v>
      </c>
      <c r="D32" s="483">
        <f>IF(F31+SUM(E$17:E31)=D$10,F31,D$10-SUM(E$17:E31))</f>
        <v>6394487.652270209</v>
      </c>
      <c r="E32" s="484">
        <f t="shared" si="3"/>
        <v>218828.95348837209</v>
      </c>
      <c r="F32" s="485">
        <f t="shared" si="4"/>
        <v>6175658.6987818368</v>
      </c>
      <c r="G32" s="486">
        <f t="shared" si="5"/>
        <v>896495.92557473877</v>
      </c>
      <c r="H32" s="455">
        <f t="shared" si="6"/>
        <v>896495.92557473877</v>
      </c>
      <c r="I32" s="475">
        <f t="shared" si="7"/>
        <v>0</v>
      </c>
      <c r="J32" s="475"/>
      <c r="K32" s="487"/>
      <c r="L32" s="478">
        <f t="shared" si="8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 ht="12.5">
      <c r="B33" s="160" t="str">
        <f t="shared" si="9"/>
        <v/>
      </c>
      <c r="C33" s="472">
        <f>IF(D11="","-",+C32+1)</f>
        <v>2035</v>
      </c>
      <c r="D33" s="483">
        <f>IF(F32+SUM(E$17:E32)=D$10,F32,D$10-SUM(E$17:E32))</f>
        <v>6175658.6987818368</v>
      </c>
      <c r="E33" s="484">
        <f t="shared" si="3"/>
        <v>218828.95348837209</v>
      </c>
      <c r="F33" s="485">
        <f t="shared" si="4"/>
        <v>5956829.7452934645</v>
      </c>
      <c r="G33" s="486">
        <f t="shared" si="5"/>
        <v>872901.42632646509</v>
      </c>
      <c r="H33" s="455">
        <f t="shared" si="6"/>
        <v>872901.42632646509</v>
      </c>
      <c r="I33" s="475">
        <f t="shared" si="7"/>
        <v>0</v>
      </c>
      <c r="J33" s="475"/>
      <c r="K33" s="487"/>
      <c r="L33" s="478">
        <f t="shared" si="8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 ht="12.5">
      <c r="B34" s="160" t="str">
        <f t="shared" si="9"/>
        <v/>
      </c>
      <c r="C34" s="472">
        <f>IF(D11="","-",+C33+1)</f>
        <v>2036</v>
      </c>
      <c r="D34" s="483">
        <f>IF(F33+SUM(E$17:E33)=D$10,F33,D$10-SUM(E$17:E33))</f>
        <v>5956829.7452934645</v>
      </c>
      <c r="E34" s="484">
        <f t="shared" si="3"/>
        <v>218828.95348837209</v>
      </c>
      <c r="F34" s="485">
        <f t="shared" si="4"/>
        <v>5738000.7918050922</v>
      </c>
      <c r="G34" s="486">
        <f t="shared" si="5"/>
        <v>849306.92707819142</v>
      </c>
      <c r="H34" s="455">
        <f t="shared" si="6"/>
        <v>849306.92707819142</v>
      </c>
      <c r="I34" s="475">
        <f t="shared" si="7"/>
        <v>0</v>
      </c>
      <c r="J34" s="475"/>
      <c r="K34" s="487"/>
      <c r="L34" s="478">
        <f t="shared" si="8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 ht="12.5">
      <c r="B35" s="160" t="str">
        <f t="shared" si="9"/>
        <v/>
      </c>
      <c r="C35" s="472">
        <f>IF(D11="","-",+C34+1)</f>
        <v>2037</v>
      </c>
      <c r="D35" s="483">
        <f>IF(F34+SUM(E$17:E34)=D$10,F34,D$10-SUM(E$17:E34))</f>
        <v>5738000.7918050922</v>
      </c>
      <c r="E35" s="484">
        <f t="shared" si="3"/>
        <v>218828.95348837209</v>
      </c>
      <c r="F35" s="485">
        <f t="shared" si="4"/>
        <v>5519171.83831672</v>
      </c>
      <c r="G35" s="486">
        <f t="shared" si="5"/>
        <v>825712.42782991799</v>
      </c>
      <c r="H35" s="455">
        <f t="shared" si="6"/>
        <v>825712.42782991799</v>
      </c>
      <c r="I35" s="475">
        <f t="shared" si="7"/>
        <v>0</v>
      </c>
      <c r="J35" s="475"/>
      <c r="K35" s="487"/>
      <c r="L35" s="478">
        <f t="shared" si="8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 ht="12.5">
      <c r="B36" s="160" t="str">
        <f t="shared" si="9"/>
        <v/>
      </c>
      <c r="C36" s="472">
        <f>IF(D11="","-",+C35+1)</f>
        <v>2038</v>
      </c>
      <c r="D36" s="483">
        <f>IF(F35+SUM(E$17:E35)=D$10,F35,D$10-SUM(E$17:E35))</f>
        <v>5519171.83831672</v>
      </c>
      <c r="E36" s="484">
        <f t="shared" si="3"/>
        <v>218828.95348837209</v>
      </c>
      <c r="F36" s="485">
        <f t="shared" si="4"/>
        <v>5300342.8848283477</v>
      </c>
      <c r="G36" s="486">
        <f t="shared" si="5"/>
        <v>802117.92858164432</v>
      </c>
      <c r="H36" s="455">
        <f t="shared" si="6"/>
        <v>802117.92858164432</v>
      </c>
      <c r="I36" s="475">
        <f t="shared" si="7"/>
        <v>0</v>
      </c>
      <c r="J36" s="475"/>
      <c r="K36" s="487"/>
      <c r="L36" s="478">
        <f t="shared" si="8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 ht="12.5">
      <c r="B37" s="160" t="str">
        <f t="shared" si="9"/>
        <v/>
      </c>
      <c r="C37" s="472">
        <f>IF(D11="","-",+C36+1)</f>
        <v>2039</v>
      </c>
      <c r="D37" s="483">
        <f>IF(F36+SUM(E$17:E36)=D$10,F36,D$10-SUM(E$17:E36))</f>
        <v>5300342.8848283477</v>
      </c>
      <c r="E37" s="484">
        <f t="shared" si="3"/>
        <v>218828.95348837209</v>
      </c>
      <c r="F37" s="485">
        <f t="shared" si="4"/>
        <v>5081513.9313399754</v>
      </c>
      <c r="G37" s="486">
        <f t="shared" si="5"/>
        <v>778523.42933337064</v>
      </c>
      <c r="H37" s="455">
        <f t="shared" si="6"/>
        <v>778523.42933337064</v>
      </c>
      <c r="I37" s="475">
        <f t="shared" si="7"/>
        <v>0</v>
      </c>
      <c r="J37" s="475"/>
      <c r="K37" s="487"/>
      <c r="L37" s="478">
        <f t="shared" si="8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 ht="12.5">
      <c r="B38" s="160" t="str">
        <f t="shared" si="9"/>
        <v/>
      </c>
      <c r="C38" s="472">
        <f>IF(D11="","-",+C37+1)</f>
        <v>2040</v>
      </c>
      <c r="D38" s="483">
        <f>IF(F37+SUM(E$17:E37)=D$10,F37,D$10-SUM(E$17:E37))</f>
        <v>5081513.9313399754</v>
      </c>
      <c r="E38" s="484">
        <f t="shared" si="3"/>
        <v>218828.95348837209</v>
      </c>
      <c r="F38" s="485">
        <f t="shared" si="4"/>
        <v>4862684.9778516032</v>
      </c>
      <c r="G38" s="486">
        <f t="shared" si="5"/>
        <v>754928.93008509697</v>
      </c>
      <c r="H38" s="455">
        <f t="shared" si="6"/>
        <v>754928.93008509697</v>
      </c>
      <c r="I38" s="475">
        <f t="shared" si="7"/>
        <v>0</v>
      </c>
      <c r="J38" s="475"/>
      <c r="K38" s="487"/>
      <c r="L38" s="478">
        <f t="shared" si="8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 ht="12.5">
      <c r="B39" s="160" t="str">
        <f t="shared" si="9"/>
        <v/>
      </c>
      <c r="C39" s="472">
        <f>IF(D11="","-",+C38+1)</f>
        <v>2041</v>
      </c>
      <c r="D39" s="483">
        <f>IF(F38+SUM(E$17:E38)=D$10,F38,D$10-SUM(E$17:E38))</f>
        <v>4862684.9778516032</v>
      </c>
      <c r="E39" s="484">
        <f t="shared" si="3"/>
        <v>218828.95348837209</v>
      </c>
      <c r="F39" s="485">
        <f t="shared" si="4"/>
        <v>4643856.0243632309</v>
      </c>
      <c r="G39" s="486">
        <f t="shared" si="5"/>
        <v>731334.4308368233</v>
      </c>
      <c r="H39" s="455">
        <f t="shared" si="6"/>
        <v>731334.4308368233</v>
      </c>
      <c r="I39" s="475">
        <f t="shared" si="7"/>
        <v>0</v>
      </c>
      <c r="J39" s="475"/>
      <c r="K39" s="487"/>
      <c r="L39" s="478">
        <f t="shared" si="8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 ht="12.5">
      <c r="B40" s="160" t="str">
        <f t="shared" si="9"/>
        <v/>
      </c>
      <c r="C40" s="472">
        <f>IF(D11="","-",+C39+1)</f>
        <v>2042</v>
      </c>
      <c r="D40" s="483">
        <f>IF(F39+SUM(E$17:E39)=D$10,F39,D$10-SUM(E$17:E39))</f>
        <v>4643856.0243632309</v>
      </c>
      <c r="E40" s="484">
        <f t="shared" si="3"/>
        <v>218828.95348837209</v>
      </c>
      <c r="F40" s="485">
        <f t="shared" si="4"/>
        <v>4425027.0708748586</v>
      </c>
      <c r="G40" s="486">
        <f t="shared" si="5"/>
        <v>707739.93158854963</v>
      </c>
      <c r="H40" s="455">
        <f t="shared" si="6"/>
        <v>707739.93158854963</v>
      </c>
      <c r="I40" s="475">
        <f t="shared" si="7"/>
        <v>0</v>
      </c>
      <c r="J40" s="475"/>
      <c r="K40" s="487"/>
      <c r="L40" s="478">
        <f t="shared" si="8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 ht="12.5">
      <c r="B41" s="160" t="str">
        <f t="shared" si="9"/>
        <v/>
      </c>
      <c r="C41" s="472">
        <f>IF(D11="","-",+C40+1)</f>
        <v>2043</v>
      </c>
      <c r="D41" s="483">
        <f>IF(F40+SUM(E$17:E40)=D$10,F40,D$10-SUM(E$17:E40))</f>
        <v>4425027.0708748586</v>
      </c>
      <c r="E41" s="484">
        <f t="shared" si="3"/>
        <v>218828.95348837209</v>
      </c>
      <c r="F41" s="485">
        <f t="shared" si="4"/>
        <v>4206198.1173864864</v>
      </c>
      <c r="G41" s="486">
        <f t="shared" si="5"/>
        <v>684145.43234027596</v>
      </c>
      <c r="H41" s="455">
        <f t="shared" si="6"/>
        <v>684145.43234027596</v>
      </c>
      <c r="I41" s="475">
        <f t="shared" si="7"/>
        <v>0</v>
      </c>
      <c r="J41" s="475"/>
      <c r="K41" s="487"/>
      <c r="L41" s="478">
        <f t="shared" si="8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 ht="12.5">
      <c r="B42" s="160" t="str">
        <f t="shared" si="9"/>
        <v/>
      </c>
      <c r="C42" s="472">
        <f>IF(D11="","-",+C41+1)</f>
        <v>2044</v>
      </c>
      <c r="D42" s="483">
        <f>IF(F41+SUM(E$17:E41)=D$10,F41,D$10-SUM(E$17:E41))</f>
        <v>4206198.1173864864</v>
      </c>
      <c r="E42" s="484">
        <f t="shared" si="3"/>
        <v>218828.95348837209</v>
      </c>
      <c r="F42" s="485">
        <f t="shared" si="4"/>
        <v>3987369.1638981141</v>
      </c>
      <c r="G42" s="486">
        <f t="shared" si="5"/>
        <v>660550.93309200229</v>
      </c>
      <c r="H42" s="455">
        <f t="shared" si="6"/>
        <v>660550.93309200229</v>
      </c>
      <c r="I42" s="475">
        <f t="shared" si="7"/>
        <v>0</v>
      </c>
      <c r="J42" s="475"/>
      <c r="K42" s="487"/>
      <c r="L42" s="478">
        <f t="shared" si="8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 ht="12.5">
      <c r="B43" s="160" t="str">
        <f t="shared" si="9"/>
        <v/>
      </c>
      <c r="C43" s="472">
        <f>IF(D11="","-",+C42+1)</f>
        <v>2045</v>
      </c>
      <c r="D43" s="483">
        <f>IF(F42+SUM(E$17:E42)=D$10,F42,D$10-SUM(E$17:E42))</f>
        <v>3987369.1638981141</v>
      </c>
      <c r="E43" s="484">
        <f t="shared" si="3"/>
        <v>218828.95348837209</v>
      </c>
      <c r="F43" s="485">
        <f t="shared" si="4"/>
        <v>3768540.2104097418</v>
      </c>
      <c r="G43" s="486">
        <f t="shared" si="5"/>
        <v>636956.43384372862</v>
      </c>
      <c r="H43" s="455">
        <f t="shared" si="6"/>
        <v>636956.43384372862</v>
      </c>
      <c r="I43" s="475">
        <f t="shared" si="7"/>
        <v>0</v>
      </c>
      <c r="J43" s="475"/>
      <c r="K43" s="487"/>
      <c r="L43" s="478">
        <f t="shared" si="8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 ht="12.5">
      <c r="B44" s="160" t="str">
        <f t="shared" si="9"/>
        <v/>
      </c>
      <c r="C44" s="472">
        <f>IF(D11="","-",+C43+1)</f>
        <v>2046</v>
      </c>
      <c r="D44" s="483">
        <f>IF(F43+SUM(E$17:E43)=D$10,F43,D$10-SUM(E$17:E43))</f>
        <v>3768540.2104097418</v>
      </c>
      <c r="E44" s="484">
        <f t="shared" si="3"/>
        <v>218828.95348837209</v>
      </c>
      <c r="F44" s="485">
        <f t="shared" si="4"/>
        <v>3549711.2569213696</v>
      </c>
      <c r="G44" s="486">
        <f t="shared" si="5"/>
        <v>613361.93459545507</v>
      </c>
      <c r="H44" s="455">
        <f t="shared" si="6"/>
        <v>613361.93459545507</v>
      </c>
      <c r="I44" s="475">
        <f t="shared" si="7"/>
        <v>0</v>
      </c>
      <c r="J44" s="475"/>
      <c r="K44" s="487"/>
      <c r="L44" s="478">
        <f t="shared" si="8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 ht="12.5">
      <c r="B45" s="160" t="str">
        <f t="shared" si="9"/>
        <v/>
      </c>
      <c r="C45" s="472">
        <f>IF(D11="","-",+C44+1)</f>
        <v>2047</v>
      </c>
      <c r="D45" s="483">
        <f>IF(F44+SUM(E$17:E44)=D$10,F44,D$10-SUM(E$17:E44))</f>
        <v>3549711.2569213696</v>
      </c>
      <c r="E45" s="484">
        <f t="shared" si="3"/>
        <v>218828.95348837209</v>
      </c>
      <c r="F45" s="485">
        <f t="shared" si="4"/>
        <v>3330882.3034329973</v>
      </c>
      <c r="G45" s="486">
        <f t="shared" si="5"/>
        <v>589767.4353471814</v>
      </c>
      <c r="H45" s="455">
        <f t="shared" si="6"/>
        <v>589767.4353471814</v>
      </c>
      <c r="I45" s="475">
        <f t="shared" si="7"/>
        <v>0</v>
      </c>
      <c r="J45" s="475"/>
      <c r="K45" s="487"/>
      <c r="L45" s="478">
        <f t="shared" si="8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 ht="12.5">
      <c r="B46" s="160" t="str">
        <f t="shared" si="9"/>
        <v/>
      </c>
      <c r="C46" s="472">
        <f>IF(D11="","-",+C45+1)</f>
        <v>2048</v>
      </c>
      <c r="D46" s="483">
        <f>IF(F45+SUM(E$17:E45)=D$10,F45,D$10-SUM(E$17:E45))</f>
        <v>3330882.3034329973</v>
      </c>
      <c r="E46" s="484">
        <f t="shared" si="3"/>
        <v>218828.95348837209</v>
      </c>
      <c r="F46" s="485">
        <f t="shared" si="4"/>
        <v>3112053.349944625</v>
      </c>
      <c r="G46" s="486">
        <f t="shared" si="5"/>
        <v>566172.93609890784</v>
      </c>
      <c r="H46" s="455">
        <f t="shared" si="6"/>
        <v>566172.93609890784</v>
      </c>
      <c r="I46" s="475">
        <f t="shared" si="7"/>
        <v>0</v>
      </c>
      <c r="J46" s="475"/>
      <c r="K46" s="487"/>
      <c r="L46" s="478">
        <f t="shared" si="8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 ht="12.5">
      <c r="B47" s="160" t="str">
        <f t="shared" si="9"/>
        <v/>
      </c>
      <c r="C47" s="472">
        <f>IF(D11="","-",+C46+1)</f>
        <v>2049</v>
      </c>
      <c r="D47" s="483">
        <f>IF(F46+SUM(E$17:E46)=D$10,F46,D$10-SUM(E$17:E46))</f>
        <v>3112053.349944625</v>
      </c>
      <c r="E47" s="484">
        <f t="shared" si="3"/>
        <v>218828.95348837209</v>
      </c>
      <c r="F47" s="485">
        <f t="shared" si="4"/>
        <v>2893224.3964562528</v>
      </c>
      <c r="G47" s="486">
        <f t="shared" si="5"/>
        <v>542578.43685063417</v>
      </c>
      <c r="H47" s="455">
        <f t="shared" si="6"/>
        <v>542578.43685063417</v>
      </c>
      <c r="I47" s="475">
        <f t="shared" si="7"/>
        <v>0</v>
      </c>
      <c r="J47" s="475"/>
      <c r="K47" s="487"/>
      <c r="L47" s="478">
        <f t="shared" si="8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 ht="12.5">
      <c r="B48" s="160" t="str">
        <f t="shared" si="9"/>
        <v/>
      </c>
      <c r="C48" s="472">
        <f>IF(D11="","-",+C47+1)</f>
        <v>2050</v>
      </c>
      <c r="D48" s="483">
        <f>IF(F47+SUM(E$17:E47)=D$10,F47,D$10-SUM(E$17:E47))</f>
        <v>2893224.3964562528</v>
      </c>
      <c r="E48" s="484">
        <f t="shared" si="3"/>
        <v>218828.95348837209</v>
      </c>
      <c r="F48" s="485">
        <f t="shared" si="4"/>
        <v>2674395.4429678805</v>
      </c>
      <c r="G48" s="486">
        <f t="shared" si="5"/>
        <v>518983.93760236044</v>
      </c>
      <c r="H48" s="455">
        <f t="shared" si="6"/>
        <v>518983.93760236044</v>
      </c>
      <c r="I48" s="475">
        <f t="shared" si="7"/>
        <v>0</v>
      </c>
      <c r="J48" s="475"/>
      <c r="K48" s="487"/>
      <c r="L48" s="478">
        <f t="shared" si="8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 ht="12.5">
      <c r="B49" s="160" t="str">
        <f t="shared" si="9"/>
        <v/>
      </c>
      <c r="C49" s="472">
        <f>IF(D11="","-",+C48+1)</f>
        <v>2051</v>
      </c>
      <c r="D49" s="483">
        <f>IF(F48+SUM(E$17:E48)=D$10,F48,D$10-SUM(E$17:E48))</f>
        <v>2674395.4429678805</v>
      </c>
      <c r="E49" s="484">
        <f t="shared" si="3"/>
        <v>218828.95348837209</v>
      </c>
      <c r="F49" s="485">
        <f t="shared" si="4"/>
        <v>2455566.4894795083</v>
      </c>
      <c r="G49" s="486">
        <f t="shared" si="5"/>
        <v>495389.43835408683</v>
      </c>
      <c r="H49" s="455">
        <f t="shared" si="6"/>
        <v>495389.43835408683</v>
      </c>
      <c r="I49" s="475">
        <f t="shared" si="7"/>
        <v>0</v>
      </c>
      <c r="J49" s="475"/>
      <c r="K49" s="487"/>
      <c r="L49" s="478">
        <f t="shared" si="8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 ht="12.5">
      <c r="B50" s="160" t="str">
        <f t="shared" si="9"/>
        <v/>
      </c>
      <c r="C50" s="472">
        <f>IF(D11="","-",+C49+1)</f>
        <v>2052</v>
      </c>
      <c r="D50" s="483">
        <f>IF(F49+SUM(E$17:E49)=D$10,F49,D$10-SUM(E$17:E49))</f>
        <v>2455566.4894795083</v>
      </c>
      <c r="E50" s="484">
        <f t="shared" si="3"/>
        <v>218828.95348837209</v>
      </c>
      <c r="F50" s="485">
        <f t="shared" si="4"/>
        <v>2236737.535991136</v>
      </c>
      <c r="G50" s="486">
        <f t="shared" si="5"/>
        <v>471794.93910581316</v>
      </c>
      <c r="H50" s="455">
        <f t="shared" si="6"/>
        <v>471794.93910581316</v>
      </c>
      <c r="I50" s="475">
        <f t="shared" si="7"/>
        <v>0</v>
      </c>
      <c r="J50" s="475"/>
      <c r="K50" s="487"/>
      <c r="L50" s="478">
        <f t="shared" si="8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 ht="12.5">
      <c r="B51" s="160" t="str">
        <f t="shared" si="9"/>
        <v/>
      </c>
      <c r="C51" s="472">
        <f>IF(D11="","-",+C50+1)</f>
        <v>2053</v>
      </c>
      <c r="D51" s="483">
        <f>IF(F50+SUM(E$17:E50)=D$10,F50,D$10-SUM(E$17:E50))</f>
        <v>2236737.535991136</v>
      </c>
      <c r="E51" s="484">
        <f t="shared" si="3"/>
        <v>218828.95348837209</v>
      </c>
      <c r="F51" s="485">
        <f t="shared" si="4"/>
        <v>2017908.582502764</v>
      </c>
      <c r="G51" s="486">
        <f t="shared" si="5"/>
        <v>448200.43985753949</v>
      </c>
      <c r="H51" s="455">
        <f t="shared" si="6"/>
        <v>448200.43985753949</v>
      </c>
      <c r="I51" s="475">
        <f t="shared" si="7"/>
        <v>0</v>
      </c>
      <c r="J51" s="475"/>
      <c r="K51" s="487"/>
      <c r="L51" s="478">
        <f t="shared" si="8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 ht="12.5">
      <c r="B52" s="160" t="str">
        <f t="shared" si="9"/>
        <v/>
      </c>
      <c r="C52" s="472">
        <f>IF(D11="","-",+C51+1)</f>
        <v>2054</v>
      </c>
      <c r="D52" s="483">
        <f>IF(F51+SUM(E$17:E51)=D$10,F51,D$10-SUM(E$17:E51))</f>
        <v>2017908.582502764</v>
      </c>
      <c r="E52" s="484">
        <f t="shared" si="3"/>
        <v>218828.95348837209</v>
      </c>
      <c r="F52" s="485">
        <f t="shared" si="4"/>
        <v>1799079.6290143919</v>
      </c>
      <c r="G52" s="486">
        <f t="shared" si="5"/>
        <v>424605.94060926593</v>
      </c>
      <c r="H52" s="455">
        <f t="shared" si="6"/>
        <v>424605.94060926593</v>
      </c>
      <c r="I52" s="475">
        <f t="shared" si="7"/>
        <v>0</v>
      </c>
      <c r="J52" s="475"/>
      <c r="K52" s="487"/>
      <c r="L52" s="478">
        <f t="shared" si="8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 ht="12.5">
      <c r="B53" s="160" t="str">
        <f t="shared" si="9"/>
        <v/>
      </c>
      <c r="C53" s="472">
        <f>IF(D11="","-",+C52+1)</f>
        <v>2055</v>
      </c>
      <c r="D53" s="483">
        <f>IF(F52+SUM(E$17:E52)=D$10,F52,D$10-SUM(E$17:E52))</f>
        <v>1799079.6290143919</v>
      </c>
      <c r="E53" s="484">
        <f t="shared" si="3"/>
        <v>218828.95348837209</v>
      </c>
      <c r="F53" s="485">
        <f t="shared" si="4"/>
        <v>1580250.6755260199</v>
      </c>
      <c r="G53" s="486">
        <f t="shared" si="5"/>
        <v>401011.44136099226</v>
      </c>
      <c r="H53" s="455">
        <f t="shared" si="6"/>
        <v>401011.44136099226</v>
      </c>
      <c r="I53" s="475">
        <f t="shared" si="7"/>
        <v>0</v>
      </c>
      <c r="J53" s="475"/>
      <c r="K53" s="487"/>
      <c r="L53" s="478">
        <f t="shared" si="8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 ht="12.5">
      <c r="B54" s="160" t="str">
        <f t="shared" si="9"/>
        <v/>
      </c>
      <c r="C54" s="472">
        <f>IF(D11="","-",+C53+1)</f>
        <v>2056</v>
      </c>
      <c r="D54" s="483">
        <f>IF(F53+SUM(E$17:E53)=D$10,F53,D$10-SUM(E$17:E53))</f>
        <v>1580250.6755260199</v>
      </c>
      <c r="E54" s="484">
        <f t="shared" si="3"/>
        <v>218828.95348837209</v>
      </c>
      <c r="F54" s="485">
        <f t="shared" si="4"/>
        <v>1361421.7220376479</v>
      </c>
      <c r="G54" s="486">
        <f t="shared" si="5"/>
        <v>377416.94211271871</v>
      </c>
      <c r="H54" s="455">
        <f t="shared" si="6"/>
        <v>377416.94211271871</v>
      </c>
      <c r="I54" s="475">
        <f t="shared" si="7"/>
        <v>0</v>
      </c>
      <c r="J54" s="475"/>
      <c r="K54" s="487"/>
      <c r="L54" s="478">
        <f t="shared" si="8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 ht="12.5">
      <c r="B55" s="160" t="str">
        <f t="shared" si="9"/>
        <v/>
      </c>
      <c r="C55" s="472">
        <f>IF(D11="","-",+C54+1)</f>
        <v>2057</v>
      </c>
      <c r="D55" s="483">
        <f>IF(F54+SUM(E$17:E54)=D$10,F54,D$10-SUM(E$17:E54))</f>
        <v>1361421.7220376479</v>
      </c>
      <c r="E55" s="484">
        <f t="shared" si="3"/>
        <v>218828.95348837209</v>
      </c>
      <c r="F55" s="485">
        <f t="shared" si="4"/>
        <v>1142592.7685492758</v>
      </c>
      <c r="G55" s="486">
        <f t="shared" si="5"/>
        <v>353822.44286444504</v>
      </c>
      <c r="H55" s="455">
        <f t="shared" si="6"/>
        <v>353822.44286444504</v>
      </c>
      <c r="I55" s="475">
        <f t="shared" si="7"/>
        <v>0</v>
      </c>
      <c r="J55" s="475"/>
      <c r="K55" s="487"/>
      <c r="L55" s="478">
        <f t="shared" si="8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 ht="12.5">
      <c r="B56" s="160" t="str">
        <f t="shared" si="9"/>
        <v/>
      </c>
      <c r="C56" s="472">
        <f>IF(D11="","-",+C55+1)</f>
        <v>2058</v>
      </c>
      <c r="D56" s="483">
        <f>IF(F55+SUM(E$17:E55)=D$10,F55,D$10-SUM(E$17:E55))</f>
        <v>1142592.7685492758</v>
      </c>
      <c r="E56" s="484">
        <f t="shared" si="3"/>
        <v>218828.95348837209</v>
      </c>
      <c r="F56" s="485">
        <f t="shared" si="4"/>
        <v>923763.81506090378</v>
      </c>
      <c r="G56" s="486">
        <f t="shared" si="5"/>
        <v>330227.94361617143</v>
      </c>
      <c r="H56" s="455">
        <f t="shared" si="6"/>
        <v>330227.94361617143</v>
      </c>
      <c r="I56" s="475">
        <f t="shared" si="7"/>
        <v>0</v>
      </c>
      <c r="J56" s="475"/>
      <c r="K56" s="487"/>
      <c r="L56" s="478">
        <f t="shared" si="8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 ht="12.5">
      <c r="B57" s="160" t="str">
        <f t="shared" si="9"/>
        <v/>
      </c>
      <c r="C57" s="472">
        <f>IF(D11="","-",+C56+1)</f>
        <v>2059</v>
      </c>
      <c r="D57" s="483">
        <f>IF(F56+SUM(E$17:E56)=D$10,F56,D$10-SUM(E$17:E56))</f>
        <v>923763.81506090378</v>
      </c>
      <c r="E57" s="484">
        <f t="shared" si="3"/>
        <v>218828.95348837209</v>
      </c>
      <c r="F57" s="485">
        <f t="shared" si="4"/>
        <v>704934.86157253175</v>
      </c>
      <c r="G57" s="486">
        <f t="shared" si="5"/>
        <v>306633.44436789781</v>
      </c>
      <c r="H57" s="455">
        <f t="shared" si="6"/>
        <v>306633.44436789781</v>
      </c>
      <c r="I57" s="475">
        <f t="shared" si="7"/>
        <v>0</v>
      </c>
      <c r="J57" s="475"/>
      <c r="K57" s="487"/>
      <c r="L57" s="478">
        <f t="shared" si="8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 ht="12.5">
      <c r="B58" s="160" t="str">
        <f t="shared" si="9"/>
        <v/>
      </c>
      <c r="C58" s="472">
        <f>IF(D11="","-",+C57+1)</f>
        <v>2060</v>
      </c>
      <c r="D58" s="483">
        <f>IF(F57+SUM(E$17:E57)=D$10,F57,D$10-SUM(E$17:E57))</f>
        <v>704934.86157253175</v>
      </c>
      <c r="E58" s="484">
        <f t="shared" si="3"/>
        <v>218828.95348837209</v>
      </c>
      <c r="F58" s="485">
        <f t="shared" si="4"/>
        <v>486105.90808415966</v>
      </c>
      <c r="G58" s="486">
        <f t="shared" si="5"/>
        <v>283038.9451196242</v>
      </c>
      <c r="H58" s="455">
        <f t="shared" si="6"/>
        <v>283038.9451196242</v>
      </c>
      <c r="I58" s="475">
        <f t="shared" si="7"/>
        <v>0</v>
      </c>
      <c r="J58" s="475"/>
      <c r="K58" s="487"/>
      <c r="L58" s="478">
        <f t="shared" si="8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 ht="12.5">
      <c r="B59" s="160" t="str">
        <f t="shared" si="9"/>
        <v/>
      </c>
      <c r="C59" s="472">
        <f>IF(D11="","-",+C58+1)</f>
        <v>2061</v>
      </c>
      <c r="D59" s="483">
        <f>IF(F58+SUM(E$17:E58)=D$10,F58,D$10-SUM(E$17:E58))</f>
        <v>486105.90808415966</v>
      </c>
      <c r="E59" s="484">
        <f t="shared" si="3"/>
        <v>218828.95348837209</v>
      </c>
      <c r="F59" s="485">
        <f t="shared" si="4"/>
        <v>267276.95459578757</v>
      </c>
      <c r="G59" s="486">
        <f t="shared" si="5"/>
        <v>259444.44587135056</v>
      </c>
      <c r="H59" s="455">
        <f t="shared" si="6"/>
        <v>259444.44587135056</v>
      </c>
      <c r="I59" s="475">
        <f t="shared" si="7"/>
        <v>0</v>
      </c>
      <c r="J59" s="475"/>
      <c r="K59" s="487"/>
      <c r="L59" s="478">
        <f t="shared" si="8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 ht="12.5">
      <c r="B60" s="160" t="str">
        <f t="shared" si="9"/>
        <v/>
      </c>
      <c r="C60" s="472">
        <f>IF(D11="","-",+C59+1)</f>
        <v>2062</v>
      </c>
      <c r="D60" s="483">
        <f>IF(F59+SUM(E$17:E59)=D$10,F59,D$10-SUM(E$17:E59))</f>
        <v>267276.95459578757</v>
      </c>
      <c r="E60" s="484">
        <f t="shared" si="3"/>
        <v>218828.95348837209</v>
      </c>
      <c r="F60" s="485">
        <f t="shared" si="4"/>
        <v>48448.001107415475</v>
      </c>
      <c r="G60" s="486">
        <f t="shared" si="5"/>
        <v>235849.94662307692</v>
      </c>
      <c r="H60" s="455">
        <f t="shared" si="6"/>
        <v>235849.94662307692</v>
      </c>
      <c r="I60" s="475">
        <f t="shared" si="7"/>
        <v>0</v>
      </c>
      <c r="J60" s="475"/>
      <c r="K60" s="487"/>
      <c r="L60" s="478">
        <f t="shared" si="8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 ht="12.5">
      <c r="B61" s="160" t="str">
        <f t="shared" si="9"/>
        <v/>
      </c>
      <c r="C61" s="472">
        <f>IF(D11="","-",+C60+1)</f>
        <v>2063</v>
      </c>
      <c r="D61" s="483">
        <f>IF(F60+SUM(E$17:E60)=D$10,F60,D$10-SUM(E$17:E60))</f>
        <v>48448.001107415475</v>
      </c>
      <c r="E61" s="484">
        <f t="shared" si="3"/>
        <v>48448.001107415475</v>
      </c>
      <c r="F61" s="485">
        <f t="shared" si="4"/>
        <v>0</v>
      </c>
      <c r="G61" s="486">
        <f t="shared" si="5"/>
        <v>51059.872862699485</v>
      </c>
      <c r="H61" s="455">
        <f t="shared" si="6"/>
        <v>51059.872862699485</v>
      </c>
      <c r="I61" s="475">
        <f t="shared" si="7"/>
        <v>0</v>
      </c>
      <c r="J61" s="475"/>
      <c r="K61" s="487"/>
      <c r="L61" s="478">
        <f t="shared" si="8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 ht="12.5">
      <c r="B62" s="160" t="str">
        <f t="shared" si="9"/>
        <v/>
      </c>
      <c r="C62" s="472">
        <f>IF(D11="","-",+C61+1)</f>
        <v>2064</v>
      </c>
      <c r="D62" s="483">
        <f>IF(F61+SUM(E$17:E61)=D$10,F61,D$10-SUM(E$17:E61))</f>
        <v>0</v>
      </c>
      <c r="E62" s="484">
        <f t="shared" si="3"/>
        <v>0</v>
      </c>
      <c r="F62" s="485">
        <f t="shared" si="4"/>
        <v>0</v>
      </c>
      <c r="G62" s="486">
        <f t="shared" si="5"/>
        <v>0</v>
      </c>
      <c r="H62" s="455">
        <f t="shared" si="6"/>
        <v>0</v>
      </c>
      <c r="I62" s="475">
        <f t="shared" si="7"/>
        <v>0</v>
      </c>
      <c r="J62" s="475"/>
      <c r="K62" s="487"/>
      <c r="L62" s="478">
        <f t="shared" si="8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 ht="12.5">
      <c r="B63" s="160" t="str">
        <f t="shared" si="9"/>
        <v/>
      </c>
      <c r="C63" s="472">
        <f>IF(D11="","-",+C62+1)</f>
        <v>2065</v>
      </c>
      <c r="D63" s="483">
        <f>IF(F62+SUM(E$17:E62)=D$10,F62,D$10-SUM(E$17:E62))</f>
        <v>0</v>
      </c>
      <c r="E63" s="484">
        <f t="shared" si="3"/>
        <v>0</v>
      </c>
      <c r="F63" s="485">
        <f t="shared" si="4"/>
        <v>0</v>
      </c>
      <c r="G63" s="486">
        <f t="shared" si="5"/>
        <v>0</v>
      </c>
      <c r="H63" s="455">
        <f t="shared" si="6"/>
        <v>0</v>
      </c>
      <c r="I63" s="475">
        <f t="shared" si="7"/>
        <v>0</v>
      </c>
      <c r="J63" s="475"/>
      <c r="K63" s="487"/>
      <c r="L63" s="478">
        <f t="shared" si="8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 ht="12.5">
      <c r="B64" s="160" t="str">
        <f t="shared" si="9"/>
        <v/>
      </c>
      <c r="C64" s="472">
        <f>IF(D11="","-",+C63+1)</f>
        <v>2066</v>
      </c>
      <c r="D64" s="483">
        <f>IF(F63+SUM(E$17:E63)=D$10,F63,D$10-SUM(E$17:E63))</f>
        <v>0</v>
      </c>
      <c r="E64" s="484">
        <f t="shared" si="3"/>
        <v>0</v>
      </c>
      <c r="F64" s="485">
        <f t="shared" si="4"/>
        <v>0</v>
      </c>
      <c r="G64" s="486">
        <f t="shared" si="5"/>
        <v>0</v>
      </c>
      <c r="H64" s="455">
        <f t="shared" si="6"/>
        <v>0</v>
      </c>
      <c r="I64" s="475">
        <f t="shared" si="7"/>
        <v>0</v>
      </c>
      <c r="J64" s="475"/>
      <c r="K64" s="487"/>
      <c r="L64" s="478">
        <f t="shared" si="8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 ht="12.5">
      <c r="B65" s="160" t="str">
        <f t="shared" si="9"/>
        <v/>
      </c>
      <c r="C65" s="472">
        <f>IF(D11="","-",+C64+1)</f>
        <v>2067</v>
      </c>
      <c r="D65" s="483">
        <f>IF(F64+SUM(E$17:E64)=D$10,F64,D$10-SUM(E$17:E64))</f>
        <v>0</v>
      </c>
      <c r="E65" s="484">
        <f t="shared" si="3"/>
        <v>0</v>
      </c>
      <c r="F65" s="485">
        <f t="shared" si="4"/>
        <v>0</v>
      </c>
      <c r="G65" s="486">
        <f t="shared" si="5"/>
        <v>0</v>
      </c>
      <c r="H65" s="455">
        <f t="shared" si="6"/>
        <v>0</v>
      </c>
      <c r="I65" s="475">
        <f t="shared" si="7"/>
        <v>0</v>
      </c>
      <c r="J65" s="475"/>
      <c r="K65" s="487"/>
      <c r="L65" s="478">
        <f t="shared" si="8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 ht="12.5">
      <c r="B66" s="160" t="str">
        <f t="shared" si="9"/>
        <v/>
      </c>
      <c r="C66" s="472">
        <f>IF(D11="","-",+C65+1)</f>
        <v>2068</v>
      </c>
      <c r="D66" s="483">
        <f>IF(F65+SUM(E$17:E65)=D$10,F65,D$10-SUM(E$17:E65))</f>
        <v>0</v>
      </c>
      <c r="E66" s="484">
        <f t="shared" si="3"/>
        <v>0</v>
      </c>
      <c r="F66" s="485">
        <f t="shared" si="4"/>
        <v>0</v>
      </c>
      <c r="G66" s="486">
        <f t="shared" si="5"/>
        <v>0</v>
      </c>
      <c r="H66" s="455">
        <f t="shared" si="6"/>
        <v>0</v>
      </c>
      <c r="I66" s="475">
        <f t="shared" si="7"/>
        <v>0</v>
      </c>
      <c r="J66" s="475"/>
      <c r="K66" s="487"/>
      <c r="L66" s="478">
        <f t="shared" si="8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 ht="12.5">
      <c r="B67" s="160" t="str">
        <f t="shared" si="9"/>
        <v/>
      </c>
      <c r="C67" s="472">
        <f>IF(D11="","-",+C66+1)</f>
        <v>2069</v>
      </c>
      <c r="D67" s="483">
        <f>IF(F66+SUM(E$17:E66)=D$10,F66,D$10-SUM(E$17:E66))</f>
        <v>0</v>
      </c>
      <c r="E67" s="484">
        <f t="shared" si="3"/>
        <v>0</v>
      </c>
      <c r="F67" s="485">
        <f t="shared" si="4"/>
        <v>0</v>
      </c>
      <c r="G67" s="486">
        <f t="shared" si="5"/>
        <v>0</v>
      </c>
      <c r="H67" s="455">
        <f t="shared" si="6"/>
        <v>0</v>
      </c>
      <c r="I67" s="475">
        <f t="shared" si="7"/>
        <v>0</v>
      </c>
      <c r="J67" s="475"/>
      <c r="K67" s="487"/>
      <c r="L67" s="478">
        <f t="shared" si="8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 ht="12.5">
      <c r="B68" s="160" t="str">
        <f t="shared" si="9"/>
        <v/>
      </c>
      <c r="C68" s="472">
        <f>IF(D11="","-",+C67+1)</f>
        <v>2070</v>
      </c>
      <c r="D68" s="483">
        <f>IF(F67+SUM(E$17:E67)=D$10,F67,D$10-SUM(E$17:E67))</f>
        <v>0</v>
      </c>
      <c r="E68" s="484">
        <f t="shared" si="3"/>
        <v>0</v>
      </c>
      <c r="F68" s="485">
        <f t="shared" si="4"/>
        <v>0</v>
      </c>
      <c r="G68" s="486">
        <f t="shared" si="5"/>
        <v>0</v>
      </c>
      <c r="H68" s="455">
        <f t="shared" si="6"/>
        <v>0</v>
      </c>
      <c r="I68" s="475">
        <f t="shared" si="7"/>
        <v>0</v>
      </c>
      <c r="J68" s="475"/>
      <c r="K68" s="487"/>
      <c r="L68" s="478">
        <f t="shared" si="8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 ht="12.5">
      <c r="B69" s="160" t="str">
        <f t="shared" si="9"/>
        <v/>
      </c>
      <c r="C69" s="472">
        <f>IF(D11="","-",+C68+1)</f>
        <v>2071</v>
      </c>
      <c r="D69" s="483">
        <f>IF(F68+SUM(E$17:E68)=D$10,F68,D$10-SUM(E$17:E68))</f>
        <v>0</v>
      </c>
      <c r="E69" s="484">
        <f t="shared" si="3"/>
        <v>0</v>
      </c>
      <c r="F69" s="485">
        <f t="shared" si="4"/>
        <v>0</v>
      </c>
      <c r="G69" s="486">
        <f t="shared" si="5"/>
        <v>0</v>
      </c>
      <c r="H69" s="455">
        <f t="shared" si="6"/>
        <v>0</v>
      </c>
      <c r="I69" s="475">
        <f t="shared" si="7"/>
        <v>0</v>
      </c>
      <c r="J69" s="475"/>
      <c r="K69" s="487"/>
      <c r="L69" s="478">
        <f t="shared" si="8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 ht="12.5">
      <c r="B70" s="160" t="str">
        <f t="shared" si="9"/>
        <v/>
      </c>
      <c r="C70" s="472">
        <f>IF(D11="","-",+C69+1)</f>
        <v>2072</v>
      </c>
      <c r="D70" s="483">
        <f>IF(F69+SUM(E$17:E69)=D$10,F69,D$10-SUM(E$17:E69))</f>
        <v>0</v>
      </c>
      <c r="E70" s="484">
        <f t="shared" si="3"/>
        <v>0</v>
      </c>
      <c r="F70" s="485">
        <f t="shared" si="4"/>
        <v>0</v>
      </c>
      <c r="G70" s="486">
        <f t="shared" si="5"/>
        <v>0</v>
      </c>
      <c r="H70" s="455">
        <f t="shared" si="6"/>
        <v>0</v>
      </c>
      <c r="I70" s="475">
        <f t="shared" si="7"/>
        <v>0</v>
      </c>
      <c r="J70" s="475"/>
      <c r="K70" s="487"/>
      <c r="L70" s="478">
        <f t="shared" si="8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 ht="12.5">
      <c r="B71" s="160" t="str">
        <f t="shared" si="9"/>
        <v/>
      </c>
      <c r="C71" s="472">
        <f>IF(D11="","-",+C70+1)</f>
        <v>2073</v>
      </c>
      <c r="D71" s="483">
        <f>IF(F70+SUM(E$17:E70)=D$10,F70,D$10-SUM(E$17:E70))</f>
        <v>0</v>
      </c>
      <c r="E71" s="484">
        <f t="shared" si="3"/>
        <v>0</v>
      </c>
      <c r="F71" s="485">
        <f t="shared" si="4"/>
        <v>0</v>
      </c>
      <c r="G71" s="486">
        <f t="shared" si="5"/>
        <v>0</v>
      </c>
      <c r="H71" s="455">
        <f t="shared" si="6"/>
        <v>0</v>
      </c>
      <c r="I71" s="475">
        <f t="shared" si="7"/>
        <v>0</v>
      </c>
      <c r="J71" s="475"/>
      <c r="K71" s="487"/>
      <c r="L71" s="478">
        <f t="shared" si="8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" thickBot="1">
      <c r="B72" s="160" t="str">
        <f t="shared" si="9"/>
        <v/>
      </c>
      <c r="C72" s="489">
        <f>IF(D11="","-",+C71+1)</f>
        <v>2074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8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 ht="12.5">
      <c r="C73" s="346" t="s">
        <v>77</v>
      </c>
      <c r="D73" s="347"/>
      <c r="E73" s="347">
        <f>SUM(E17:E72)</f>
        <v>9409645</v>
      </c>
      <c r="F73" s="347"/>
      <c r="G73" s="347">
        <f>SUM(G17:G72)</f>
        <v>31486165.099187735</v>
      </c>
      <c r="H73" s="347">
        <f>SUM(H17:H72)</f>
        <v>31486165.099187735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26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280481.45781944925</v>
      </c>
      <c r="N87" s="508">
        <f>IF(J92&lt;D11,0,VLOOKUP(J92,C17:O72,11))</f>
        <v>280481.45781944925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329392.39438521734</v>
      </c>
      <c r="N88" s="512">
        <f>IF(J92&lt;D11,0,VLOOKUP(J92,C99:P154,7))</f>
        <v>329392.39438521734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Tulsa Southeast - E. 61st St 138 kV Rebuild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48910.93656576809</v>
      </c>
      <c r="N89" s="517">
        <f>+N88-N87</f>
        <v>48910.93656576809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TP2017011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6388896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v>2019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v>12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155827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2019</v>
      </c>
      <c r="D99" s="346">
        <v>0</v>
      </c>
      <c r="E99" s="486">
        <f>IF(OR(D11=I10,D92&lt;100000),0,J$96/12*(12-D94))</f>
        <v>0</v>
      </c>
      <c r="F99" s="485">
        <f>IF(D93=C99,+D92-E99,+D99-E99)</f>
        <v>6388896</v>
      </c>
      <c r="G99" s="617">
        <f>+(F99+D99)/2</f>
        <v>3194448</v>
      </c>
      <c r="H99" s="617">
        <f>+J$94*G99+E99</f>
        <v>329392.39438521734</v>
      </c>
      <c r="I99" s="617">
        <f>+J$95*G99+E99</f>
        <v>329392.39438521734</v>
      </c>
      <c r="J99" s="478">
        <f>+I99-H99</f>
        <v>0</v>
      </c>
      <c r="K99" s="478"/>
      <c r="L99" s="618"/>
      <c r="M99" s="477">
        <f t="shared" ref="M99:M130" si="10">IF(L99&lt;&gt;0,+H99-L99,0)</f>
        <v>0</v>
      </c>
      <c r="N99" s="618"/>
      <c r="O99" s="477">
        <f t="shared" ref="O99:O130" si="11">IF(N99&lt;&gt;0,+I99-N99,0)</f>
        <v>0</v>
      </c>
      <c r="P99" s="477">
        <f t="shared" ref="P99:P130" si="12">+O99-M99</f>
        <v>0</v>
      </c>
    </row>
    <row r="100" spans="1:16" ht="12.5">
      <c r="B100" s="160" t="str">
        <f>IF(D100=F99,"","IU")</f>
        <v/>
      </c>
      <c r="C100" s="472">
        <f>IF(D93="","-",+C99+1)</f>
        <v>2020</v>
      </c>
      <c r="D100" s="346">
        <f>IF(F99+SUM(E$99:E99)=D$92,F99,D$92-SUM(E$99:E99))</f>
        <v>6388896</v>
      </c>
      <c r="E100" s="484">
        <f>IF(+J$96&lt;F99,J$96,D100)</f>
        <v>155827</v>
      </c>
      <c r="F100" s="485">
        <f>+D100-E100</f>
        <v>6233069</v>
      </c>
      <c r="G100" s="485">
        <f>+(F100+D100)/2</f>
        <v>6310982.5</v>
      </c>
      <c r="H100" s="613">
        <f t="shared" ref="H100:H154" si="13">+J$94*G100+E100</f>
        <v>806577.81409940158</v>
      </c>
      <c r="I100" s="614">
        <f t="shared" ref="I100:I154" si="14">+J$95*G100+E100</f>
        <v>806577.81409940158</v>
      </c>
      <c r="J100" s="478">
        <f t="shared" ref="J100:J130" si="15">+I100-H100</f>
        <v>0</v>
      </c>
      <c r="K100" s="478"/>
      <c r="L100" s="487"/>
      <c r="M100" s="478">
        <f t="shared" si="10"/>
        <v>0</v>
      </c>
      <c r="N100" s="487"/>
      <c r="O100" s="478">
        <f t="shared" si="11"/>
        <v>0</v>
      </c>
      <c r="P100" s="478">
        <f t="shared" si="12"/>
        <v>0</v>
      </c>
    </row>
    <row r="101" spans="1:16" ht="12.5">
      <c r="B101" s="160" t="str">
        <f t="shared" ref="B101:B154" si="16">IF(D101=F100,"","IU")</f>
        <v/>
      </c>
      <c r="C101" s="472">
        <f>IF(D93="","-",+C100+1)</f>
        <v>2021</v>
      </c>
      <c r="D101" s="346">
        <f>IF(F100+SUM(E$99:E100)=D$92,F100,D$92-SUM(E$99:E100))</f>
        <v>6233069</v>
      </c>
      <c r="E101" s="484">
        <f t="shared" ref="E101:E154" si="17">IF(+J$96&lt;F100,J$96,D101)</f>
        <v>155827</v>
      </c>
      <c r="F101" s="485">
        <f t="shared" ref="F101:F154" si="18">+D101-E101</f>
        <v>6077242</v>
      </c>
      <c r="G101" s="485">
        <f t="shared" ref="G101:G154" si="19">+(F101+D101)/2</f>
        <v>6155155.5</v>
      </c>
      <c r="H101" s="613">
        <f t="shared" si="13"/>
        <v>790509.86475733516</v>
      </c>
      <c r="I101" s="614">
        <f t="shared" si="14"/>
        <v>790509.86475733516</v>
      </c>
      <c r="J101" s="478">
        <f t="shared" si="15"/>
        <v>0</v>
      </c>
      <c r="K101" s="478"/>
      <c r="L101" s="487"/>
      <c r="M101" s="478">
        <f t="shared" si="10"/>
        <v>0</v>
      </c>
      <c r="N101" s="487"/>
      <c r="O101" s="478">
        <f t="shared" si="11"/>
        <v>0</v>
      </c>
      <c r="P101" s="478">
        <f t="shared" si="12"/>
        <v>0</v>
      </c>
    </row>
    <row r="102" spans="1:16" ht="12.5">
      <c r="B102" s="160" t="str">
        <f t="shared" si="16"/>
        <v/>
      </c>
      <c r="C102" s="472">
        <f>IF(D93="","-",+C101+1)</f>
        <v>2022</v>
      </c>
      <c r="D102" s="346">
        <f>IF(F101+SUM(E$99:E101)=D$92,F101,D$92-SUM(E$99:E101))</f>
        <v>6077242</v>
      </c>
      <c r="E102" s="484">
        <f t="shared" si="17"/>
        <v>155827</v>
      </c>
      <c r="F102" s="485">
        <f t="shared" si="18"/>
        <v>5921415</v>
      </c>
      <c r="G102" s="485">
        <f t="shared" si="19"/>
        <v>5999328.5</v>
      </c>
      <c r="H102" s="613">
        <f t="shared" si="13"/>
        <v>774441.91541526874</v>
      </c>
      <c r="I102" s="614">
        <f t="shared" si="14"/>
        <v>774441.91541526874</v>
      </c>
      <c r="J102" s="478">
        <f t="shared" si="15"/>
        <v>0</v>
      </c>
      <c r="K102" s="478"/>
      <c r="L102" s="487"/>
      <c r="M102" s="478">
        <f t="shared" si="10"/>
        <v>0</v>
      </c>
      <c r="N102" s="487"/>
      <c r="O102" s="478">
        <f t="shared" si="11"/>
        <v>0</v>
      </c>
      <c r="P102" s="478">
        <f t="shared" si="12"/>
        <v>0</v>
      </c>
    </row>
    <row r="103" spans="1:16" ht="12.5">
      <c r="B103" s="160" t="str">
        <f t="shared" si="16"/>
        <v/>
      </c>
      <c r="C103" s="472">
        <f>IF(D93="","-",+C102+1)</f>
        <v>2023</v>
      </c>
      <c r="D103" s="346">
        <f>IF(F102+SUM(E$99:E102)=D$92,F102,D$92-SUM(E$99:E102))</f>
        <v>5921415</v>
      </c>
      <c r="E103" s="484">
        <f t="shared" si="17"/>
        <v>155827</v>
      </c>
      <c r="F103" s="485">
        <f t="shared" si="18"/>
        <v>5765588</v>
      </c>
      <c r="G103" s="485">
        <f t="shared" si="19"/>
        <v>5843501.5</v>
      </c>
      <c r="H103" s="613">
        <f t="shared" si="13"/>
        <v>758373.96607320243</v>
      </c>
      <c r="I103" s="614">
        <f t="shared" si="14"/>
        <v>758373.96607320243</v>
      </c>
      <c r="J103" s="478">
        <f t="shared" si="15"/>
        <v>0</v>
      </c>
      <c r="K103" s="478"/>
      <c r="L103" s="487"/>
      <c r="M103" s="478">
        <f t="shared" si="10"/>
        <v>0</v>
      </c>
      <c r="N103" s="487"/>
      <c r="O103" s="478">
        <f t="shared" si="11"/>
        <v>0</v>
      </c>
      <c r="P103" s="478">
        <f t="shared" si="12"/>
        <v>0</v>
      </c>
    </row>
    <row r="104" spans="1:16" ht="12.5">
      <c r="B104" s="160" t="str">
        <f t="shared" si="16"/>
        <v/>
      </c>
      <c r="C104" s="472">
        <f>IF(D93="","-",+C103+1)</f>
        <v>2024</v>
      </c>
      <c r="D104" s="346">
        <f>IF(F103+SUM(E$99:E103)=D$92,F103,D$92-SUM(E$99:E103))</f>
        <v>5765588</v>
      </c>
      <c r="E104" s="484">
        <f t="shared" si="17"/>
        <v>155827</v>
      </c>
      <c r="F104" s="485">
        <f t="shared" si="18"/>
        <v>5609761</v>
      </c>
      <c r="G104" s="485">
        <f t="shared" si="19"/>
        <v>5687674.5</v>
      </c>
      <c r="H104" s="613">
        <f t="shared" si="13"/>
        <v>742306.01673113601</v>
      </c>
      <c r="I104" s="614">
        <f t="shared" si="14"/>
        <v>742306.01673113601</v>
      </c>
      <c r="J104" s="478">
        <f t="shared" si="15"/>
        <v>0</v>
      </c>
      <c r="K104" s="478"/>
      <c r="L104" s="487"/>
      <c r="M104" s="478">
        <f t="shared" si="10"/>
        <v>0</v>
      </c>
      <c r="N104" s="487"/>
      <c r="O104" s="478">
        <f t="shared" si="11"/>
        <v>0</v>
      </c>
      <c r="P104" s="478">
        <f t="shared" si="12"/>
        <v>0</v>
      </c>
    </row>
    <row r="105" spans="1:16" ht="12.5">
      <c r="B105" s="160" t="str">
        <f t="shared" si="16"/>
        <v/>
      </c>
      <c r="C105" s="472">
        <f>IF(D93="","-",+C104+1)</f>
        <v>2025</v>
      </c>
      <c r="D105" s="346">
        <f>IF(F104+SUM(E$99:E104)=D$92,F104,D$92-SUM(E$99:E104))</f>
        <v>5609761</v>
      </c>
      <c r="E105" s="484">
        <f t="shared" si="17"/>
        <v>155827</v>
      </c>
      <c r="F105" s="485">
        <f t="shared" si="18"/>
        <v>5453934</v>
      </c>
      <c r="G105" s="485">
        <f t="shared" si="19"/>
        <v>5531847.5</v>
      </c>
      <c r="H105" s="613">
        <f t="shared" si="13"/>
        <v>726238.06738906959</v>
      </c>
      <c r="I105" s="614">
        <f t="shared" si="14"/>
        <v>726238.06738906959</v>
      </c>
      <c r="J105" s="478">
        <f t="shared" si="15"/>
        <v>0</v>
      </c>
      <c r="K105" s="478"/>
      <c r="L105" s="487"/>
      <c r="M105" s="478">
        <f t="shared" si="10"/>
        <v>0</v>
      </c>
      <c r="N105" s="487"/>
      <c r="O105" s="478">
        <f t="shared" si="11"/>
        <v>0</v>
      </c>
      <c r="P105" s="478">
        <f t="shared" si="12"/>
        <v>0</v>
      </c>
    </row>
    <row r="106" spans="1:16" ht="12.5">
      <c r="B106" s="160" t="str">
        <f t="shared" si="16"/>
        <v/>
      </c>
      <c r="C106" s="472">
        <f>IF(D93="","-",+C105+1)</f>
        <v>2026</v>
      </c>
      <c r="D106" s="346">
        <f>IF(F105+SUM(E$99:E105)=D$92,F105,D$92-SUM(E$99:E105))</f>
        <v>5453934</v>
      </c>
      <c r="E106" s="484">
        <f t="shared" si="17"/>
        <v>155827</v>
      </c>
      <c r="F106" s="485">
        <f t="shared" si="18"/>
        <v>5298107</v>
      </c>
      <c r="G106" s="485">
        <f t="shared" si="19"/>
        <v>5376020.5</v>
      </c>
      <c r="H106" s="613">
        <f t="shared" si="13"/>
        <v>710170.11804700329</v>
      </c>
      <c r="I106" s="614">
        <f t="shared" si="14"/>
        <v>710170.11804700329</v>
      </c>
      <c r="J106" s="478">
        <f t="shared" si="15"/>
        <v>0</v>
      </c>
      <c r="K106" s="478"/>
      <c r="L106" s="487"/>
      <c r="M106" s="478">
        <f t="shared" si="10"/>
        <v>0</v>
      </c>
      <c r="N106" s="487"/>
      <c r="O106" s="478">
        <f t="shared" si="11"/>
        <v>0</v>
      </c>
      <c r="P106" s="478">
        <f t="shared" si="12"/>
        <v>0</v>
      </c>
    </row>
    <row r="107" spans="1:16" ht="12.5">
      <c r="B107" s="160" t="str">
        <f t="shared" si="16"/>
        <v/>
      </c>
      <c r="C107" s="472">
        <f>IF(D93="","-",+C106+1)</f>
        <v>2027</v>
      </c>
      <c r="D107" s="346">
        <f>IF(F106+SUM(E$99:E106)=D$92,F106,D$92-SUM(E$99:E106))</f>
        <v>5298107</v>
      </c>
      <c r="E107" s="484">
        <f t="shared" si="17"/>
        <v>155827</v>
      </c>
      <c r="F107" s="485">
        <f t="shared" si="18"/>
        <v>5142280</v>
      </c>
      <c r="G107" s="485">
        <f t="shared" si="19"/>
        <v>5220193.5</v>
      </c>
      <c r="H107" s="613">
        <f t="shared" si="13"/>
        <v>694102.16870493686</v>
      </c>
      <c r="I107" s="614">
        <f t="shared" si="14"/>
        <v>694102.16870493686</v>
      </c>
      <c r="J107" s="478">
        <f t="shared" si="15"/>
        <v>0</v>
      </c>
      <c r="K107" s="478"/>
      <c r="L107" s="487"/>
      <c r="M107" s="478">
        <f t="shared" si="10"/>
        <v>0</v>
      </c>
      <c r="N107" s="487"/>
      <c r="O107" s="478">
        <f t="shared" si="11"/>
        <v>0</v>
      </c>
      <c r="P107" s="478">
        <f t="shared" si="12"/>
        <v>0</v>
      </c>
    </row>
    <row r="108" spans="1:16" ht="12.5">
      <c r="B108" s="160" t="str">
        <f t="shared" si="16"/>
        <v/>
      </c>
      <c r="C108" s="472">
        <f>IF(D93="","-",+C107+1)</f>
        <v>2028</v>
      </c>
      <c r="D108" s="346">
        <f>IF(F107+SUM(E$99:E107)=D$92,F107,D$92-SUM(E$99:E107))</f>
        <v>5142280</v>
      </c>
      <c r="E108" s="484">
        <f t="shared" si="17"/>
        <v>155827</v>
      </c>
      <c r="F108" s="485">
        <f t="shared" si="18"/>
        <v>4986453</v>
      </c>
      <c r="G108" s="485">
        <f t="shared" si="19"/>
        <v>5064366.5</v>
      </c>
      <c r="H108" s="613">
        <f t="shared" si="13"/>
        <v>678034.21936287056</v>
      </c>
      <c r="I108" s="614">
        <f t="shared" si="14"/>
        <v>678034.21936287056</v>
      </c>
      <c r="J108" s="478">
        <f t="shared" si="15"/>
        <v>0</v>
      </c>
      <c r="K108" s="478"/>
      <c r="L108" s="487"/>
      <c r="M108" s="478">
        <f t="shared" si="10"/>
        <v>0</v>
      </c>
      <c r="N108" s="487"/>
      <c r="O108" s="478">
        <f t="shared" si="11"/>
        <v>0</v>
      </c>
      <c r="P108" s="478">
        <f t="shared" si="12"/>
        <v>0</v>
      </c>
    </row>
    <row r="109" spans="1:16" ht="12.5">
      <c r="B109" s="160" t="str">
        <f t="shared" si="16"/>
        <v/>
      </c>
      <c r="C109" s="472">
        <f>IF(D93="","-",+C108+1)</f>
        <v>2029</v>
      </c>
      <c r="D109" s="346">
        <f>IF(F108+SUM(E$99:E108)=D$92,F108,D$92-SUM(E$99:E108))</f>
        <v>4986453</v>
      </c>
      <c r="E109" s="484">
        <f t="shared" si="17"/>
        <v>155827</v>
      </c>
      <c r="F109" s="485">
        <f t="shared" si="18"/>
        <v>4830626</v>
      </c>
      <c r="G109" s="485">
        <f t="shared" si="19"/>
        <v>4908539.5</v>
      </c>
      <c r="H109" s="613">
        <f t="shared" si="13"/>
        <v>661966.27002080414</v>
      </c>
      <c r="I109" s="614">
        <f t="shared" si="14"/>
        <v>661966.27002080414</v>
      </c>
      <c r="J109" s="478">
        <f t="shared" si="15"/>
        <v>0</v>
      </c>
      <c r="K109" s="478"/>
      <c r="L109" s="487"/>
      <c r="M109" s="478">
        <f t="shared" si="10"/>
        <v>0</v>
      </c>
      <c r="N109" s="487"/>
      <c r="O109" s="478">
        <f t="shared" si="11"/>
        <v>0</v>
      </c>
      <c r="P109" s="478">
        <f t="shared" si="12"/>
        <v>0</v>
      </c>
    </row>
    <row r="110" spans="1:16" ht="12.5">
      <c r="B110" s="160" t="str">
        <f t="shared" si="16"/>
        <v/>
      </c>
      <c r="C110" s="472">
        <f>IF(D93="","-",+C109+1)</f>
        <v>2030</v>
      </c>
      <c r="D110" s="346">
        <f>IF(F109+SUM(E$99:E109)=D$92,F109,D$92-SUM(E$99:E109))</f>
        <v>4830626</v>
      </c>
      <c r="E110" s="484">
        <f t="shared" si="17"/>
        <v>155827</v>
      </c>
      <c r="F110" s="485">
        <f t="shared" si="18"/>
        <v>4674799</v>
      </c>
      <c r="G110" s="485">
        <f t="shared" si="19"/>
        <v>4752712.5</v>
      </c>
      <c r="H110" s="613">
        <f t="shared" si="13"/>
        <v>645898.32067873771</v>
      </c>
      <c r="I110" s="614">
        <f t="shared" si="14"/>
        <v>645898.32067873771</v>
      </c>
      <c r="J110" s="478">
        <f t="shared" si="15"/>
        <v>0</v>
      </c>
      <c r="K110" s="478"/>
      <c r="L110" s="487"/>
      <c r="M110" s="478">
        <f t="shared" si="10"/>
        <v>0</v>
      </c>
      <c r="N110" s="487"/>
      <c r="O110" s="478">
        <f t="shared" si="11"/>
        <v>0</v>
      </c>
      <c r="P110" s="478">
        <f t="shared" si="12"/>
        <v>0</v>
      </c>
    </row>
    <row r="111" spans="1:16" ht="12.5">
      <c r="B111" s="160" t="str">
        <f t="shared" si="16"/>
        <v/>
      </c>
      <c r="C111" s="472">
        <f>IF(D93="","-",+C110+1)</f>
        <v>2031</v>
      </c>
      <c r="D111" s="346">
        <f>IF(F110+SUM(E$99:E110)=D$92,F110,D$92-SUM(E$99:E110))</f>
        <v>4674799</v>
      </c>
      <c r="E111" s="484">
        <f t="shared" si="17"/>
        <v>155827</v>
      </c>
      <c r="F111" s="485">
        <f t="shared" si="18"/>
        <v>4518972</v>
      </c>
      <c r="G111" s="485">
        <f t="shared" si="19"/>
        <v>4596885.5</v>
      </c>
      <c r="H111" s="613">
        <f t="shared" si="13"/>
        <v>629830.37133667129</v>
      </c>
      <c r="I111" s="614">
        <f t="shared" si="14"/>
        <v>629830.37133667129</v>
      </c>
      <c r="J111" s="478">
        <f t="shared" si="15"/>
        <v>0</v>
      </c>
      <c r="K111" s="478"/>
      <c r="L111" s="487"/>
      <c r="M111" s="478">
        <f t="shared" si="10"/>
        <v>0</v>
      </c>
      <c r="N111" s="487"/>
      <c r="O111" s="478">
        <f t="shared" si="11"/>
        <v>0</v>
      </c>
      <c r="P111" s="478">
        <f t="shared" si="12"/>
        <v>0</v>
      </c>
    </row>
    <row r="112" spans="1:16" ht="12.5">
      <c r="B112" s="160" t="str">
        <f t="shared" si="16"/>
        <v/>
      </c>
      <c r="C112" s="472">
        <f>IF(D93="","-",+C111+1)</f>
        <v>2032</v>
      </c>
      <c r="D112" s="346">
        <f>IF(F111+SUM(E$99:E111)=D$92,F111,D$92-SUM(E$99:E111))</f>
        <v>4518972</v>
      </c>
      <c r="E112" s="484">
        <f t="shared" si="17"/>
        <v>155827</v>
      </c>
      <c r="F112" s="485">
        <f t="shared" si="18"/>
        <v>4363145</v>
      </c>
      <c r="G112" s="485">
        <f t="shared" si="19"/>
        <v>4441058.5</v>
      </c>
      <c r="H112" s="613">
        <f t="shared" si="13"/>
        <v>613762.42199460499</v>
      </c>
      <c r="I112" s="614">
        <f t="shared" si="14"/>
        <v>613762.42199460499</v>
      </c>
      <c r="J112" s="478">
        <f t="shared" si="15"/>
        <v>0</v>
      </c>
      <c r="K112" s="478"/>
      <c r="L112" s="487"/>
      <c r="M112" s="478">
        <f t="shared" si="10"/>
        <v>0</v>
      </c>
      <c r="N112" s="487"/>
      <c r="O112" s="478">
        <f t="shared" si="11"/>
        <v>0</v>
      </c>
      <c r="P112" s="478">
        <f t="shared" si="12"/>
        <v>0</v>
      </c>
    </row>
    <row r="113" spans="2:16" ht="12.5">
      <c r="B113" s="160" t="str">
        <f t="shared" si="16"/>
        <v/>
      </c>
      <c r="C113" s="472">
        <f>IF(D93="","-",+C112+1)</f>
        <v>2033</v>
      </c>
      <c r="D113" s="346">
        <f>IF(F112+SUM(E$99:E112)=D$92,F112,D$92-SUM(E$99:E112))</f>
        <v>4363145</v>
      </c>
      <c r="E113" s="484">
        <f t="shared" si="17"/>
        <v>155827</v>
      </c>
      <c r="F113" s="485">
        <f t="shared" si="18"/>
        <v>4207318</v>
      </c>
      <c r="G113" s="485">
        <f t="shared" si="19"/>
        <v>4285231.5</v>
      </c>
      <c r="H113" s="613">
        <f t="shared" si="13"/>
        <v>597694.47265253856</v>
      </c>
      <c r="I113" s="614">
        <f t="shared" si="14"/>
        <v>597694.47265253856</v>
      </c>
      <c r="J113" s="478">
        <f t="shared" si="15"/>
        <v>0</v>
      </c>
      <c r="K113" s="478"/>
      <c r="L113" s="487"/>
      <c r="M113" s="478">
        <f t="shared" si="10"/>
        <v>0</v>
      </c>
      <c r="N113" s="487"/>
      <c r="O113" s="478">
        <f t="shared" si="11"/>
        <v>0</v>
      </c>
      <c r="P113" s="478">
        <f t="shared" si="12"/>
        <v>0</v>
      </c>
    </row>
    <row r="114" spans="2:16" ht="12.5">
      <c r="B114" s="160" t="str">
        <f t="shared" si="16"/>
        <v/>
      </c>
      <c r="C114" s="472">
        <f>IF(D93="","-",+C113+1)</f>
        <v>2034</v>
      </c>
      <c r="D114" s="346">
        <f>IF(F113+SUM(E$99:E113)=D$92,F113,D$92-SUM(E$99:E113))</f>
        <v>4207318</v>
      </c>
      <c r="E114" s="484">
        <f t="shared" si="17"/>
        <v>155827</v>
      </c>
      <c r="F114" s="485">
        <f t="shared" si="18"/>
        <v>4051491</v>
      </c>
      <c r="G114" s="485">
        <f t="shared" si="19"/>
        <v>4129404.5</v>
      </c>
      <c r="H114" s="613">
        <f t="shared" si="13"/>
        <v>581626.52331047226</v>
      </c>
      <c r="I114" s="614">
        <f t="shared" si="14"/>
        <v>581626.52331047226</v>
      </c>
      <c r="J114" s="478">
        <f t="shared" si="15"/>
        <v>0</v>
      </c>
      <c r="K114" s="478"/>
      <c r="L114" s="487"/>
      <c r="M114" s="478">
        <f t="shared" si="10"/>
        <v>0</v>
      </c>
      <c r="N114" s="487"/>
      <c r="O114" s="478">
        <f t="shared" si="11"/>
        <v>0</v>
      </c>
      <c r="P114" s="478">
        <f t="shared" si="12"/>
        <v>0</v>
      </c>
    </row>
    <row r="115" spans="2:16" ht="12.5">
      <c r="B115" s="160" t="str">
        <f t="shared" si="16"/>
        <v/>
      </c>
      <c r="C115" s="472">
        <f>IF(D93="","-",+C114+1)</f>
        <v>2035</v>
      </c>
      <c r="D115" s="346">
        <f>IF(F114+SUM(E$99:E114)=D$92,F114,D$92-SUM(E$99:E114))</f>
        <v>4051491</v>
      </c>
      <c r="E115" s="484">
        <f t="shared" si="17"/>
        <v>155827</v>
      </c>
      <c r="F115" s="485">
        <f t="shared" si="18"/>
        <v>3895664</v>
      </c>
      <c r="G115" s="485">
        <f t="shared" si="19"/>
        <v>3973577.5</v>
      </c>
      <c r="H115" s="613">
        <f t="shared" si="13"/>
        <v>565558.57396840584</v>
      </c>
      <c r="I115" s="614">
        <f t="shared" si="14"/>
        <v>565558.57396840584</v>
      </c>
      <c r="J115" s="478">
        <f t="shared" si="15"/>
        <v>0</v>
      </c>
      <c r="K115" s="478"/>
      <c r="L115" s="487"/>
      <c r="M115" s="478">
        <f t="shared" si="10"/>
        <v>0</v>
      </c>
      <c r="N115" s="487"/>
      <c r="O115" s="478">
        <f t="shared" si="11"/>
        <v>0</v>
      </c>
      <c r="P115" s="478">
        <f t="shared" si="12"/>
        <v>0</v>
      </c>
    </row>
    <row r="116" spans="2:16" ht="12.5">
      <c r="B116" s="160" t="str">
        <f t="shared" si="16"/>
        <v/>
      </c>
      <c r="C116" s="472">
        <f>IF(D93="","-",+C115+1)</f>
        <v>2036</v>
      </c>
      <c r="D116" s="346">
        <f>IF(F115+SUM(E$99:E115)=D$92,F115,D$92-SUM(E$99:E115))</f>
        <v>3895664</v>
      </c>
      <c r="E116" s="484">
        <f t="shared" si="17"/>
        <v>155827</v>
      </c>
      <c r="F116" s="485">
        <f t="shared" si="18"/>
        <v>3739837</v>
      </c>
      <c r="G116" s="485">
        <f t="shared" si="19"/>
        <v>3817750.5</v>
      </c>
      <c r="H116" s="613">
        <f t="shared" si="13"/>
        <v>549490.62462633941</v>
      </c>
      <c r="I116" s="614">
        <f t="shared" si="14"/>
        <v>549490.62462633941</v>
      </c>
      <c r="J116" s="478">
        <f t="shared" si="15"/>
        <v>0</v>
      </c>
      <c r="K116" s="478"/>
      <c r="L116" s="487"/>
      <c r="M116" s="478">
        <f t="shared" si="10"/>
        <v>0</v>
      </c>
      <c r="N116" s="487"/>
      <c r="O116" s="478">
        <f t="shared" si="11"/>
        <v>0</v>
      </c>
      <c r="P116" s="478">
        <f t="shared" si="12"/>
        <v>0</v>
      </c>
    </row>
    <row r="117" spans="2:16" ht="12.5">
      <c r="B117" s="160" t="str">
        <f t="shared" si="16"/>
        <v/>
      </c>
      <c r="C117" s="472">
        <f>IF(D93="","-",+C116+1)</f>
        <v>2037</v>
      </c>
      <c r="D117" s="346">
        <f>IF(F116+SUM(E$99:E116)=D$92,F116,D$92-SUM(E$99:E116))</f>
        <v>3739837</v>
      </c>
      <c r="E117" s="484">
        <f t="shared" si="17"/>
        <v>155827</v>
      </c>
      <c r="F117" s="485">
        <f t="shared" si="18"/>
        <v>3584010</v>
      </c>
      <c r="G117" s="485">
        <f t="shared" si="19"/>
        <v>3661923.5</v>
      </c>
      <c r="H117" s="613">
        <f t="shared" si="13"/>
        <v>533422.67528427299</v>
      </c>
      <c r="I117" s="614">
        <f t="shared" si="14"/>
        <v>533422.67528427299</v>
      </c>
      <c r="J117" s="478">
        <f t="shared" si="15"/>
        <v>0</v>
      </c>
      <c r="K117" s="478"/>
      <c r="L117" s="487"/>
      <c r="M117" s="478">
        <f t="shared" si="10"/>
        <v>0</v>
      </c>
      <c r="N117" s="487"/>
      <c r="O117" s="478">
        <f t="shared" si="11"/>
        <v>0</v>
      </c>
      <c r="P117" s="478">
        <f t="shared" si="12"/>
        <v>0</v>
      </c>
    </row>
    <row r="118" spans="2:16" ht="12.5">
      <c r="B118" s="160" t="str">
        <f t="shared" si="16"/>
        <v/>
      </c>
      <c r="C118" s="472">
        <f>IF(D93="","-",+C117+1)</f>
        <v>2038</v>
      </c>
      <c r="D118" s="346">
        <f>IF(F117+SUM(E$99:E117)=D$92,F117,D$92-SUM(E$99:E117))</f>
        <v>3584010</v>
      </c>
      <c r="E118" s="484">
        <f t="shared" si="17"/>
        <v>155827</v>
      </c>
      <c r="F118" s="485">
        <f t="shared" si="18"/>
        <v>3428183</v>
      </c>
      <c r="G118" s="485">
        <f t="shared" si="19"/>
        <v>3506096.5</v>
      </c>
      <c r="H118" s="613">
        <f t="shared" si="13"/>
        <v>517354.72594220669</v>
      </c>
      <c r="I118" s="614">
        <f t="shared" si="14"/>
        <v>517354.72594220669</v>
      </c>
      <c r="J118" s="478">
        <f t="shared" si="15"/>
        <v>0</v>
      </c>
      <c r="K118" s="478"/>
      <c r="L118" s="487"/>
      <c r="M118" s="478">
        <f t="shared" si="10"/>
        <v>0</v>
      </c>
      <c r="N118" s="487"/>
      <c r="O118" s="478">
        <f t="shared" si="11"/>
        <v>0</v>
      </c>
      <c r="P118" s="478">
        <f t="shared" si="12"/>
        <v>0</v>
      </c>
    </row>
    <row r="119" spans="2:16" ht="12.5">
      <c r="B119" s="160" t="str">
        <f t="shared" si="16"/>
        <v/>
      </c>
      <c r="C119" s="472">
        <f>IF(D93="","-",+C118+1)</f>
        <v>2039</v>
      </c>
      <c r="D119" s="346">
        <f>IF(F118+SUM(E$99:E118)=D$92,F118,D$92-SUM(E$99:E118))</f>
        <v>3428183</v>
      </c>
      <c r="E119" s="484">
        <f t="shared" si="17"/>
        <v>155827</v>
      </c>
      <c r="F119" s="485">
        <f t="shared" si="18"/>
        <v>3272356</v>
      </c>
      <c r="G119" s="485">
        <f t="shared" si="19"/>
        <v>3350269.5</v>
      </c>
      <c r="H119" s="613">
        <f t="shared" si="13"/>
        <v>501286.77660014032</v>
      </c>
      <c r="I119" s="614">
        <f t="shared" si="14"/>
        <v>501286.77660014032</v>
      </c>
      <c r="J119" s="478">
        <f t="shared" si="15"/>
        <v>0</v>
      </c>
      <c r="K119" s="478"/>
      <c r="L119" s="487"/>
      <c r="M119" s="478">
        <f t="shared" si="10"/>
        <v>0</v>
      </c>
      <c r="N119" s="487"/>
      <c r="O119" s="478">
        <f t="shared" si="11"/>
        <v>0</v>
      </c>
      <c r="P119" s="478">
        <f t="shared" si="12"/>
        <v>0</v>
      </c>
    </row>
    <row r="120" spans="2:16" ht="12.5">
      <c r="B120" s="160" t="str">
        <f t="shared" si="16"/>
        <v/>
      </c>
      <c r="C120" s="472">
        <f>IF(D93="","-",+C119+1)</f>
        <v>2040</v>
      </c>
      <c r="D120" s="346">
        <f>IF(F119+SUM(E$99:E119)=D$92,F119,D$92-SUM(E$99:E119))</f>
        <v>3272356</v>
      </c>
      <c r="E120" s="484">
        <f t="shared" si="17"/>
        <v>155827</v>
      </c>
      <c r="F120" s="485">
        <f t="shared" si="18"/>
        <v>3116529</v>
      </c>
      <c r="G120" s="485">
        <f t="shared" si="19"/>
        <v>3194442.5</v>
      </c>
      <c r="H120" s="613">
        <f t="shared" si="13"/>
        <v>485218.8272580739</v>
      </c>
      <c r="I120" s="614">
        <f t="shared" si="14"/>
        <v>485218.8272580739</v>
      </c>
      <c r="J120" s="478">
        <f t="shared" si="15"/>
        <v>0</v>
      </c>
      <c r="K120" s="478"/>
      <c r="L120" s="487"/>
      <c r="M120" s="478">
        <f t="shared" si="10"/>
        <v>0</v>
      </c>
      <c r="N120" s="487"/>
      <c r="O120" s="478">
        <f t="shared" si="11"/>
        <v>0</v>
      </c>
      <c r="P120" s="478">
        <f t="shared" si="12"/>
        <v>0</v>
      </c>
    </row>
    <row r="121" spans="2:16" ht="12.5">
      <c r="B121" s="160" t="str">
        <f t="shared" si="16"/>
        <v/>
      </c>
      <c r="C121" s="472">
        <f>IF(D93="","-",+C120+1)</f>
        <v>2041</v>
      </c>
      <c r="D121" s="346">
        <f>IF(F120+SUM(E$99:E120)=D$92,F120,D$92-SUM(E$99:E120))</f>
        <v>3116529</v>
      </c>
      <c r="E121" s="484">
        <f t="shared" si="17"/>
        <v>155827</v>
      </c>
      <c r="F121" s="485">
        <f t="shared" si="18"/>
        <v>2960702</v>
      </c>
      <c r="G121" s="485">
        <f t="shared" si="19"/>
        <v>3038615.5</v>
      </c>
      <c r="H121" s="613">
        <f t="shared" si="13"/>
        <v>469150.87791600754</v>
      </c>
      <c r="I121" s="614">
        <f t="shared" si="14"/>
        <v>469150.87791600754</v>
      </c>
      <c r="J121" s="478">
        <f t="shared" si="15"/>
        <v>0</v>
      </c>
      <c r="K121" s="478"/>
      <c r="L121" s="487"/>
      <c r="M121" s="478">
        <f t="shared" si="10"/>
        <v>0</v>
      </c>
      <c r="N121" s="487"/>
      <c r="O121" s="478">
        <f t="shared" si="11"/>
        <v>0</v>
      </c>
      <c r="P121" s="478">
        <f t="shared" si="12"/>
        <v>0</v>
      </c>
    </row>
    <row r="122" spans="2:16" ht="12.5">
      <c r="B122" s="160" t="str">
        <f t="shared" si="16"/>
        <v/>
      </c>
      <c r="C122" s="472">
        <f>IF(D93="","-",+C121+1)</f>
        <v>2042</v>
      </c>
      <c r="D122" s="346">
        <f>IF(F121+SUM(E$99:E121)=D$92,F121,D$92-SUM(E$99:E121))</f>
        <v>2960702</v>
      </c>
      <c r="E122" s="484">
        <f t="shared" si="17"/>
        <v>155827</v>
      </c>
      <c r="F122" s="485">
        <f t="shared" si="18"/>
        <v>2804875</v>
      </c>
      <c r="G122" s="485">
        <f t="shared" si="19"/>
        <v>2882788.5</v>
      </c>
      <c r="H122" s="613">
        <f t="shared" si="13"/>
        <v>453082.92857394117</v>
      </c>
      <c r="I122" s="614">
        <f t="shared" si="14"/>
        <v>453082.92857394117</v>
      </c>
      <c r="J122" s="478">
        <f t="shared" si="15"/>
        <v>0</v>
      </c>
      <c r="K122" s="478"/>
      <c r="L122" s="487"/>
      <c r="M122" s="478">
        <f t="shared" si="10"/>
        <v>0</v>
      </c>
      <c r="N122" s="487"/>
      <c r="O122" s="478">
        <f t="shared" si="11"/>
        <v>0</v>
      </c>
      <c r="P122" s="478">
        <f t="shared" si="12"/>
        <v>0</v>
      </c>
    </row>
    <row r="123" spans="2:16" ht="12.5">
      <c r="B123" s="160" t="str">
        <f t="shared" si="16"/>
        <v/>
      </c>
      <c r="C123" s="472">
        <f>IF(D93="","-",+C122+1)</f>
        <v>2043</v>
      </c>
      <c r="D123" s="346">
        <f>IF(F122+SUM(E$99:E122)=D$92,F122,D$92-SUM(E$99:E122))</f>
        <v>2804875</v>
      </c>
      <c r="E123" s="484">
        <f t="shared" si="17"/>
        <v>155827</v>
      </c>
      <c r="F123" s="485">
        <f t="shared" si="18"/>
        <v>2649048</v>
      </c>
      <c r="G123" s="485">
        <f t="shared" si="19"/>
        <v>2726961.5</v>
      </c>
      <c r="H123" s="613">
        <f t="shared" si="13"/>
        <v>437014.97923187475</v>
      </c>
      <c r="I123" s="614">
        <f t="shared" si="14"/>
        <v>437014.97923187475</v>
      </c>
      <c r="J123" s="478">
        <f t="shared" si="15"/>
        <v>0</v>
      </c>
      <c r="K123" s="478"/>
      <c r="L123" s="487"/>
      <c r="M123" s="478">
        <f t="shared" si="10"/>
        <v>0</v>
      </c>
      <c r="N123" s="487"/>
      <c r="O123" s="478">
        <f t="shared" si="11"/>
        <v>0</v>
      </c>
      <c r="P123" s="478">
        <f t="shared" si="12"/>
        <v>0</v>
      </c>
    </row>
    <row r="124" spans="2:16" ht="12.5">
      <c r="B124" s="160" t="str">
        <f t="shared" si="16"/>
        <v/>
      </c>
      <c r="C124" s="472">
        <f>IF(D93="","-",+C123+1)</f>
        <v>2044</v>
      </c>
      <c r="D124" s="346">
        <f>IF(F123+SUM(E$99:E123)=D$92,F123,D$92-SUM(E$99:E123))</f>
        <v>2649048</v>
      </c>
      <c r="E124" s="484">
        <f t="shared" si="17"/>
        <v>155827</v>
      </c>
      <c r="F124" s="485">
        <f t="shared" si="18"/>
        <v>2493221</v>
      </c>
      <c r="G124" s="485">
        <f t="shared" si="19"/>
        <v>2571134.5</v>
      </c>
      <c r="H124" s="613">
        <f t="shared" si="13"/>
        <v>420947.02988980839</v>
      </c>
      <c r="I124" s="614">
        <f t="shared" si="14"/>
        <v>420947.02988980839</v>
      </c>
      <c r="J124" s="478">
        <f t="shared" si="15"/>
        <v>0</v>
      </c>
      <c r="K124" s="478"/>
      <c r="L124" s="487"/>
      <c r="M124" s="478">
        <f t="shared" si="10"/>
        <v>0</v>
      </c>
      <c r="N124" s="487"/>
      <c r="O124" s="478">
        <f t="shared" si="11"/>
        <v>0</v>
      </c>
      <c r="P124" s="478">
        <f t="shared" si="12"/>
        <v>0</v>
      </c>
    </row>
    <row r="125" spans="2:16" ht="12.5">
      <c r="B125" s="160" t="str">
        <f t="shared" si="16"/>
        <v/>
      </c>
      <c r="C125" s="472">
        <f>IF(D93="","-",+C124+1)</f>
        <v>2045</v>
      </c>
      <c r="D125" s="346">
        <f>IF(F124+SUM(E$99:E124)=D$92,F124,D$92-SUM(E$99:E124))</f>
        <v>2493221</v>
      </c>
      <c r="E125" s="484">
        <f t="shared" si="17"/>
        <v>155827</v>
      </c>
      <c r="F125" s="485">
        <f t="shared" si="18"/>
        <v>2337394</v>
      </c>
      <c r="G125" s="485">
        <f t="shared" si="19"/>
        <v>2415307.5</v>
      </c>
      <c r="H125" s="613">
        <f t="shared" si="13"/>
        <v>404879.08054774202</v>
      </c>
      <c r="I125" s="614">
        <f t="shared" si="14"/>
        <v>404879.08054774202</v>
      </c>
      <c r="J125" s="478">
        <f t="shared" si="15"/>
        <v>0</v>
      </c>
      <c r="K125" s="478"/>
      <c r="L125" s="487"/>
      <c r="M125" s="478">
        <f t="shared" si="10"/>
        <v>0</v>
      </c>
      <c r="N125" s="487"/>
      <c r="O125" s="478">
        <f t="shared" si="11"/>
        <v>0</v>
      </c>
      <c r="P125" s="478">
        <f t="shared" si="12"/>
        <v>0</v>
      </c>
    </row>
    <row r="126" spans="2:16" ht="12.5">
      <c r="B126" s="160" t="str">
        <f t="shared" si="16"/>
        <v/>
      </c>
      <c r="C126" s="472">
        <f>IF(D93="","-",+C125+1)</f>
        <v>2046</v>
      </c>
      <c r="D126" s="346">
        <f>IF(F125+SUM(E$99:E125)=D$92,F125,D$92-SUM(E$99:E125))</f>
        <v>2337394</v>
      </c>
      <c r="E126" s="484">
        <f t="shared" si="17"/>
        <v>155827</v>
      </c>
      <c r="F126" s="485">
        <f t="shared" si="18"/>
        <v>2181567</v>
      </c>
      <c r="G126" s="485">
        <f t="shared" si="19"/>
        <v>2259480.5</v>
      </c>
      <c r="H126" s="613">
        <f t="shared" si="13"/>
        <v>388811.13120567566</v>
      </c>
      <c r="I126" s="614">
        <f t="shared" si="14"/>
        <v>388811.13120567566</v>
      </c>
      <c r="J126" s="478">
        <f t="shared" si="15"/>
        <v>0</v>
      </c>
      <c r="K126" s="478"/>
      <c r="L126" s="487"/>
      <c r="M126" s="478">
        <f t="shared" si="10"/>
        <v>0</v>
      </c>
      <c r="N126" s="487"/>
      <c r="O126" s="478">
        <f t="shared" si="11"/>
        <v>0</v>
      </c>
      <c r="P126" s="478">
        <f t="shared" si="12"/>
        <v>0</v>
      </c>
    </row>
    <row r="127" spans="2:16" ht="12.5">
      <c r="B127" s="160" t="str">
        <f t="shared" si="16"/>
        <v/>
      </c>
      <c r="C127" s="472">
        <f>IF(D93="","-",+C126+1)</f>
        <v>2047</v>
      </c>
      <c r="D127" s="346">
        <f>IF(F126+SUM(E$99:E126)=D$92,F126,D$92-SUM(E$99:E126))</f>
        <v>2181567</v>
      </c>
      <c r="E127" s="484">
        <f t="shared" si="17"/>
        <v>155827</v>
      </c>
      <c r="F127" s="485">
        <f t="shared" si="18"/>
        <v>2025740</v>
      </c>
      <c r="G127" s="485">
        <f t="shared" si="19"/>
        <v>2103653.5</v>
      </c>
      <c r="H127" s="613">
        <f t="shared" si="13"/>
        <v>372743.18186360924</v>
      </c>
      <c r="I127" s="614">
        <f t="shared" si="14"/>
        <v>372743.18186360924</v>
      </c>
      <c r="J127" s="478">
        <f t="shared" si="15"/>
        <v>0</v>
      </c>
      <c r="K127" s="478"/>
      <c r="L127" s="487"/>
      <c r="M127" s="478">
        <f t="shared" si="10"/>
        <v>0</v>
      </c>
      <c r="N127" s="487"/>
      <c r="O127" s="478">
        <f t="shared" si="11"/>
        <v>0</v>
      </c>
      <c r="P127" s="478">
        <f t="shared" si="12"/>
        <v>0</v>
      </c>
    </row>
    <row r="128" spans="2:16" ht="12.5">
      <c r="B128" s="160" t="str">
        <f t="shared" si="16"/>
        <v/>
      </c>
      <c r="C128" s="472">
        <f>IF(D93="","-",+C127+1)</f>
        <v>2048</v>
      </c>
      <c r="D128" s="346">
        <f>IF(F127+SUM(E$99:E127)=D$92,F127,D$92-SUM(E$99:E127))</f>
        <v>2025740</v>
      </c>
      <c r="E128" s="484">
        <f t="shared" si="17"/>
        <v>155827</v>
      </c>
      <c r="F128" s="485">
        <f t="shared" si="18"/>
        <v>1869913</v>
      </c>
      <c r="G128" s="485">
        <f t="shared" si="19"/>
        <v>1947826.5</v>
      </c>
      <c r="H128" s="613">
        <f t="shared" si="13"/>
        <v>356675.23252154287</v>
      </c>
      <c r="I128" s="614">
        <f t="shared" si="14"/>
        <v>356675.23252154287</v>
      </c>
      <c r="J128" s="478">
        <f t="shared" si="15"/>
        <v>0</v>
      </c>
      <c r="K128" s="478"/>
      <c r="L128" s="487"/>
      <c r="M128" s="478">
        <f t="shared" si="10"/>
        <v>0</v>
      </c>
      <c r="N128" s="487"/>
      <c r="O128" s="478">
        <f t="shared" si="11"/>
        <v>0</v>
      </c>
      <c r="P128" s="478">
        <f t="shared" si="12"/>
        <v>0</v>
      </c>
    </row>
    <row r="129" spans="2:16" ht="12.5">
      <c r="B129" s="160" t="str">
        <f t="shared" si="16"/>
        <v/>
      </c>
      <c r="C129" s="472">
        <f>IF(D93="","-",+C128+1)</f>
        <v>2049</v>
      </c>
      <c r="D129" s="346">
        <f>IF(F128+SUM(E$99:E128)=D$92,F128,D$92-SUM(E$99:E128))</f>
        <v>1869913</v>
      </c>
      <c r="E129" s="484">
        <f t="shared" si="17"/>
        <v>155827</v>
      </c>
      <c r="F129" s="485">
        <f t="shared" si="18"/>
        <v>1714086</v>
      </c>
      <c r="G129" s="485">
        <f t="shared" si="19"/>
        <v>1791999.5</v>
      </c>
      <c r="H129" s="613">
        <f t="shared" si="13"/>
        <v>340607.28317947651</v>
      </c>
      <c r="I129" s="614">
        <f t="shared" si="14"/>
        <v>340607.28317947651</v>
      </c>
      <c r="J129" s="478">
        <f t="shared" si="15"/>
        <v>0</v>
      </c>
      <c r="K129" s="478"/>
      <c r="L129" s="487"/>
      <c r="M129" s="478">
        <f t="shared" si="10"/>
        <v>0</v>
      </c>
      <c r="N129" s="487"/>
      <c r="O129" s="478">
        <f t="shared" si="11"/>
        <v>0</v>
      </c>
      <c r="P129" s="478">
        <f t="shared" si="12"/>
        <v>0</v>
      </c>
    </row>
    <row r="130" spans="2:16" ht="12.5">
      <c r="B130" s="160" t="str">
        <f t="shared" si="16"/>
        <v/>
      </c>
      <c r="C130" s="472">
        <f>IF(D93="","-",+C129+1)</f>
        <v>2050</v>
      </c>
      <c r="D130" s="346">
        <f>IF(F129+SUM(E$99:E129)=D$92,F129,D$92-SUM(E$99:E129))</f>
        <v>1714086</v>
      </c>
      <c r="E130" s="484">
        <f t="shared" si="17"/>
        <v>155827</v>
      </c>
      <c r="F130" s="485">
        <f t="shared" si="18"/>
        <v>1558259</v>
      </c>
      <c r="G130" s="485">
        <f t="shared" si="19"/>
        <v>1636172.5</v>
      </c>
      <c r="H130" s="613">
        <f t="shared" si="13"/>
        <v>324539.33383741009</v>
      </c>
      <c r="I130" s="614">
        <f t="shared" si="14"/>
        <v>324539.33383741009</v>
      </c>
      <c r="J130" s="478">
        <f t="shared" si="15"/>
        <v>0</v>
      </c>
      <c r="K130" s="478"/>
      <c r="L130" s="487"/>
      <c r="M130" s="478">
        <f t="shared" si="10"/>
        <v>0</v>
      </c>
      <c r="N130" s="487"/>
      <c r="O130" s="478">
        <f t="shared" si="11"/>
        <v>0</v>
      </c>
      <c r="P130" s="478">
        <f t="shared" si="12"/>
        <v>0</v>
      </c>
    </row>
    <row r="131" spans="2:16" ht="12.5">
      <c r="B131" s="160" t="str">
        <f t="shared" si="16"/>
        <v/>
      </c>
      <c r="C131" s="472">
        <f>IF(D93="","-",+C130+1)</f>
        <v>2051</v>
      </c>
      <c r="D131" s="346">
        <f>IF(F130+SUM(E$99:E130)=D$92,F130,D$92-SUM(E$99:E130))</f>
        <v>1558259</v>
      </c>
      <c r="E131" s="484">
        <f t="shared" si="17"/>
        <v>155827</v>
      </c>
      <c r="F131" s="485">
        <f t="shared" si="18"/>
        <v>1402432</v>
      </c>
      <c r="G131" s="485">
        <f t="shared" si="19"/>
        <v>1480345.5</v>
      </c>
      <c r="H131" s="613">
        <f t="shared" si="13"/>
        <v>308471.38449534372</v>
      </c>
      <c r="I131" s="614">
        <f t="shared" si="14"/>
        <v>308471.38449534372</v>
      </c>
      <c r="J131" s="478">
        <f t="shared" ref="J131:J154" si="20">+I541-H541</f>
        <v>0</v>
      </c>
      <c r="K131" s="478"/>
      <c r="L131" s="487"/>
      <c r="M131" s="478">
        <f t="shared" ref="M131:M154" si="21">IF(L541&lt;&gt;0,+H541-L541,0)</f>
        <v>0</v>
      </c>
      <c r="N131" s="487"/>
      <c r="O131" s="478">
        <f t="shared" ref="O131:O154" si="22">IF(N541&lt;&gt;0,+I541-N541,0)</f>
        <v>0</v>
      </c>
      <c r="P131" s="478">
        <f t="shared" ref="P131:P154" si="23">+O541-M541</f>
        <v>0</v>
      </c>
    </row>
    <row r="132" spans="2:16" ht="12.5">
      <c r="B132" s="160" t="str">
        <f t="shared" si="16"/>
        <v/>
      </c>
      <c r="C132" s="472">
        <f>IF(D93="","-",+C131+1)</f>
        <v>2052</v>
      </c>
      <c r="D132" s="346">
        <f>IF(F131+SUM(E$99:E131)=D$92,F131,D$92-SUM(E$99:E131))</f>
        <v>1402432</v>
      </c>
      <c r="E132" s="484">
        <f t="shared" si="17"/>
        <v>155827</v>
      </c>
      <c r="F132" s="485">
        <f t="shared" si="18"/>
        <v>1246605</v>
      </c>
      <c r="G132" s="485">
        <f t="shared" si="19"/>
        <v>1324518.5</v>
      </c>
      <c r="H132" s="613">
        <f t="shared" si="13"/>
        <v>292403.43515327736</v>
      </c>
      <c r="I132" s="614">
        <f t="shared" si="14"/>
        <v>292403.43515327736</v>
      </c>
      <c r="J132" s="478">
        <f t="shared" si="20"/>
        <v>0</v>
      </c>
      <c r="K132" s="478"/>
      <c r="L132" s="487"/>
      <c r="M132" s="478">
        <f t="shared" si="21"/>
        <v>0</v>
      </c>
      <c r="N132" s="487"/>
      <c r="O132" s="478">
        <f t="shared" si="22"/>
        <v>0</v>
      </c>
      <c r="P132" s="478">
        <f t="shared" si="23"/>
        <v>0</v>
      </c>
    </row>
    <row r="133" spans="2:16" ht="12.5">
      <c r="B133" s="160" t="str">
        <f t="shared" si="16"/>
        <v/>
      </c>
      <c r="C133" s="472">
        <f>IF(D93="","-",+C132+1)</f>
        <v>2053</v>
      </c>
      <c r="D133" s="346">
        <f>IF(F132+SUM(E$99:E132)=D$92,F132,D$92-SUM(E$99:E132))</f>
        <v>1246605</v>
      </c>
      <c r="E133" s="484">
        <f t="shared" si="17"/>
        <v>155827</v>
      </c>
      <c r="F133" s="485">
        <f t="shared" si="18"/>
        <v>1090778</v>
      </c>
      <c r="G133" s="485">
        <f t="shared" si="19"/>
        <v>1168691.5</v>
      </c>
      <c r="H133" s="613">
        <f t="shared" si="13"/>
        <v>276335.48581121094</v>
      </c>
      <c r="I133" s="614">
        <f t="shared" si="14"/>
        <v>276335.48581121094</v>
      </c>
      <c r="J133" s="478">
        <f t="shared" si="20"/>
        <v>0</v>
      </c>
      <c r="K133" s="478"/>
      <c r="L133" s="487"/>
      <c r="M133" s="478">
        <f t="shared" si="21"/>
        <v>0</v>
      </c>
      <c r="N133" s="487"/>
      <c r="O133" s="478">
        <f t="shared" si="22"/>
        <v>0</v>
      </c>
      <c r="P133" s="478">
        <f t="shared" si="23"/>
        <v>0</v>
      </c>
    </row>
    <row r="134" spans="2:16" ht="12.5">
      <c r="B134" s="160" t="str">
        <f t="shared" si="16"/>
        <v/>
      </c>
      <c r="C134" s="472">
        <f>IF(D93="","-",+C133+1)</f>
        <v>2054</v>
      </c>
      <c r="D134" s="346">
        <f>IF(F133+SUM(E$99:E133)=D$92,F133,D$92-SUM(E$99:E133))</f>
        <v>1090778</v>
      </c>
      <c r="E134" s="484">
        <f t="shared" si="17"/>
        <v>155827</v>
      </c>
      <c r="F134" s="485">
        <f t="shared" si="18"/>
        <v>934951</v>
      </c>
      <c r="G134" s="485">
        <f t="shared" si="19"/>
        <v>1012864.5</v>
      </c>
      <c r="H134" s="613">
        <f t="shared" si="13"/>
        <v>260267.53646914457</v>
      </c>
      <c r="I134" s="614">
        <f t="shared" si="14"/>
        <v>260267.53646914457</v>
      </c>
      <c r="J134" s="478">
        <f t="shared" si="20"/>
        <v>0</v>
      </c>
      <c r="K134" s="478"/>
      <c r="L134" s="487"/>
      <c r="M134" s="478">
        <f t="shared" si="21"/>
        <v>0</v>
      </c>
      <c r="N134" s="487"/>
      <c r="O134" s="478">
        <f t="shared" si="22"/>
        <v>0</v>
      </c>
      <c r="P134" s="478">
        <f t="shared" si="23"/>
        <v>0</v>
      </c>
    </row>
    <row r="135" spans="2:16" ht="12.5">
      <c r="B135" s="160" t="str">
        <f t="shared" si="16"/>
        <v/>
      </c>
      <c r="C135" s="472">
        <f>IF(D93="","-",+C134+1)</f>
        <v>2055</v>
      </c>
      <c r="D135" s="346">
        <f>IF(F134+SUM(E$99:E134)=D$92,F134,D$92-SUM(E$99:E134))</f>
        <v>934951</v>
      </c>
      <c r="E135" s="484">
        <f t="shared" si="17"/>
        <v>155827</v>
      </c>
      <c r="F135" s="485">
        <f t="shared" si="18"/>
        <v>779124</v>
      </c>
      <c r="G135" s="485">
        <f t="shared" si="19"/>
        <v>857037.5</v>
      </c>
      <c r="H135" s="613">
        <f t="shared" si="13"/>
        <v>244199.58712707821</v>
      </c>
      <c r="I135" s="614">
        <f t="shared" si="14"/>
        <v>244199.58712707821</v>
      </c>
      <c r="J135" s="478">
        <f t="shared" si="20"/>
        <v>0</v>
      </c>
      <c r="K135" s="478"/>
      <c r="L135" s="487"/>
      <c r="M135" s="478">
        <f t="shared" si="21"/>
        <v>0</v>
      </c>
      <c r="N135" s="487"/>
      <c r="O135" s="478">
        <f t="shared" si="22"/>
        <v>0</v>
      </c>
      <c r="P135" s="478">
        <f t="shared" si="23"/>
        <v>0</v>
      </c>
    </row>
    <row r="136" spans="2:16" ht="12.5">
      <c r="B136" s="160" t="str">
        <f t="shared" si="16"/>
        <v/>
      </c>
      <c r="C136" s="472">
        <f>IF(D93="","-",+C135+1)</f>
        <v>2056</v>
      </c>
      <c r="D136" s="346">
        <f>IF(F135+SUM(E$99:E135)=D$92,F135,D$92-SUM(E$99:E135))</f>
        <v>779124</v>
      </c>
      <c r="E136" s="484">
        <f t="shared" si="17"/>
        <v>155827</v>
      </c>
      <c r="F136" s="485">
        <f t="shared" si="18"/>
        <v>623297</v>
      </c>
      <c r="G136" s="485">
        <f t="shared" si="19"/>
        <v>701210.5</v>
      </c>
      <c r="H136" s="613">
        <f t="shared" si="13"/>
        <v>228131.63778501184</v>
      </c>
      <c r="I136" s="614">
        <f t="shared" si="14"/>
        <v>228131.63778501184</v>
      </c>
      <c r="J136" s="478">
        <f t="shared" si="20"/>
        <v>0</v>
      </c>
      <c r="K136" s="478"/>
      <c r="L136" s="487"/>
      <c r="M136" s="478">
        <f t="shared" si="21"/>
        <v>0</v>
      </c>
      <c r="N136" s="487"/>
      <c r="O136" s="478">
        <f t="shared" si="22"/>
        <v>0</v>
      </c>
      <c r="P136" s="478">
        <f t="shared" si="23"/>
        <v>0</v>
      </c>
    </row>
    <row r="137" spans="2:16" ht="12.5">
      <c r="B137" s="160" t="str">
        <f t="shared" si="16"/>
        <v/>
      </c>
      <c r="C137" s="472">
        <f>IF(D93="","-",+C136+1)</f>
        <v>2057</v>
      </c>
      <c r="D137" s="346">
        <f>IF(F136+SUM(E$99:E136)=D$92,F136,D$92-SUM(E$99:E136))</f>
        <v>623297</v>
      </c>
      <c r="E137" s="484">
        <f t="shared" si="17"/>
        <v>155827</v>
      </c>
      <c r="F137" s="485">
        <f t="shared" si="18"/>
        <v>467470</v>
      </c>
      <c r="G137" s="485">
        <f t="shared" si="19"/>
        <v>545383.5</v>
      </c>
      <c r="H137" s="613">
        <f t="shared" si="13"/>
        <v>212063.68844294545</v>
      </c>
      <c r="I137" s="614">
        <f t="shared" si="14"/>
        <v>212063.68844294545</v>
      </c>
      <c r="J137" s="478">
        <f t="shared" si="20"/>
        <v>0</v>
      </c>
      <c r="K137" s="478"/>
      <c r="L137" s="487"/>
      <c r="M137" s="478">
        <f t="shared" si="21"/>
        <v>0</v>
      </c>
      <c r="N137" s="487"/>
      <c r="O137" s="478">
        <f t="shared" si="22"/>
        <v>0</v>
      </c>
      <c r="P137" s="478">
        <f t="shared" si="23"/>
        <v>0</v>
      </c>
    </row>
    <row r="138" spans="2:16" ht="12.5">
      <c r="B138" s="160" t="str">
        <f t="shared" si="16"/>
        <v/>
      </c>
      <c r="C138" s="472">
        <f>IF(D93="","-",+C137+1)</f>
        <v>2058</v>
      </c>
      <c r="D138" s="346">
        <f>IF(F137+SUM(E$99:E137)=D$92,F137,D$92-SUM(E$99:E137))</f>
        <v>467470</v>
      </c>
      <c r="E138" s="484">
        <f t="shared" si="17"/>
        <v>155827</v>
      </c>
      <c r="F138" s="485">
        <f t="shared" si="18"/>
        <v>311643</v>
      </c>
      <c r="G138" s="485">
        <f t="shared" si="19"/>
        <v>389556.5</v>
      </c>
      <c r="H138" s="613">
        <f t="shared" si="13"/>
        <v>195995.73910087906</v>
      </c>
      <c r="I138" s="614">
        <f t="shared" si="14"/>
        <v>195995.73910087906</v>
      </c>
      <c r="J138" s="478">
        <f t="shared" si="20"/>
        <v>0</v>
      </c>
      <c r="K138" s="478"/>
      <c r="L138" s="487"/>
      <c r="M138" s="478">
        <f t="shared" si="21"/>
        <v>0</v>
      </c>
      <c r="N138" s="487"/>
      <c r="O138" s="478">
        <f t="shared" si="22"/>
        <v>0</v>
      </c>
      <c r="P138" s="478">
        <f t="shared" si="23"/>
        <v>0</v>
      </c>
    </row>
    <row r="139" spans="2:16" ht="12.5">
      <c r="B139" s="160" t="str">
        <f t="shared" si="16"/>
        <v/>
      </c>
      <c r="C139" s="472">
        <f>IF(D93="","-",+C138+1)</f>
        <v>2059</v>
      </c>
      <c r="D139" s="346">
        <f>IF(F138+SUM(E$99:E138)=D$92,F138,D$92-SUM(E$99:E138))</f>
        <v>311643</v>
      </c>
      <c r="E139" s="484">
        <f t="shared" si="17"/>
        <v>155827</v>
      </c>
      <c r="F139" s="485">
        <f t="shared" si="18"/>
        <v>155816</v>
      </c>
      <c r="G139" s="485">
        <f t="shared" si="19"/>
        <v>233729.5</v>
      </c>
      <c r="H139" s="613">
        <f t="shared" si="13"/>
        <v>179927.78975881269</v>
      </c>
      <c r="I139" s="614">
        <f t="shared" si="14"/>
        <v>179927.78975881269</v>
      </c>
      <c r="J139" s="478">
        <f t="shared" si="20"/>
        <v>0</v>
      </c>
      <c r="K139" s="478"/>
      <c r="L139" s="487"/>
      <c r="M139" s="478">
        <f t="shared" si="21"/>
        <v>0</v>
      </c>
      <c r="N139" s="487"/>
      <c r="O139" s="478">
        <f t="shared" si="22"/>
        <v>0</v>
      </c>
      <c r="P139" s="478">
        <f t="shared" si="23"/>
        <v>0</v>
      </c>
    </row>
    <row r="140" spans="2:16" ht="12.5">
      <c r="B140" s="160" t="str">
        <f t="shared" si="16"/>
        <v/>
      </c>
      <c r="C140" s="472">
        <f>IF(D93="","-",+C139+1)</f>
        <v>2060</v>
      </c>
      <c r="D140" s="346">
        <f>IF(F139+SUM(E$99:E139)=D$92,F139,D$92-SUM(E$99:E139))</f>
        <v>155816</v>
      </c>
      <c r="E140" s="484">
        <f t="shared" si="17"/>
        <v>155816</v>
      </c>
      <c r="F140" s="485">
        <f t="shared" si="18"/>
        <v>0</v>
      </c>
      <c r="G140" s="485">
        <f t="shared" si="19"/>
        <v>77908</v>
      </c>
      <c r="H140" s="613">
        <f t="shared" si="13"/>
        <v>163849.40754388974</v>
      </c>
      <c r="I140" s="614">
        <f t="shared" si="14"/>
        <v>163849.40754388974</v>
      </c>
      <c r="J140" s="478">
        <f t="shared" si="20"/>
        <v>0</v>
      </c>
      <c r="K140" s="478"/>
      <c r="L140" s="487"/>
      <c r="M140" s="478">
        <f t="shared" si="21"/>
        <v>0</v>
      </c>
      <c r="N140" s="487"/>
      <c r="O140" s="478">
        <f t="shared" si="22"/>
        <v>0</v>
      </c>
      <c r="P140" s="478">
        <f t="shared" si="23"/>
        <v>0</v>
      </c>
    </row>
    <row r="141" spans="2:16" ht="12.5">
      <c r="B141" s="160" t="str">
        <f t="shared" si="16"/>
        <v/>
      </c>
      <c r="C141" s="472">
        <f>IF(D93="","-",+C140+1)</f>
        <v>2061</v>
      </c>
      <c r="D141" s="346">
        <f>IF(F140+SUM(E$99:E140)=D$92,F140,D$92-SUM(E$99:E140))</f>
        <v>0</v>
      </c>
      <c r="E141" s="484">
        <f t="shared" si="17"/>
        <v>0</v>
      </c>
      <c r="F141" s="485">
        <f t="shared" si="18"/>
        <v>0</v>
      </c>
      <c r="G141" s="485">
        <f t="shared" si="19"/>
        <v>0</v>
      </c>
      <c r="H141" s="613">
        <f t="shared" si="13"/>
        <v>0</v>
      </c>
      <c r="I141" s="614">
        <f t="shared" si="14"/>
        <v>0</v>
      </c>
      <c r="J141" s="478">
        <f t="shared" si="20"/>
        <v>0</v>
      </c>
      <c r="K141" s="478"/>
      <c r="L141" s="487"/>
      <c r="M141" s="478">
        <f t="shared" si="21"/>
        <v>0</v>
      </c>
      <c r="N141" s="487"/>
      <c r="O141" s="478">
        <f t="shared" si="22"/>
        <v>0</v>
      </c>
      <c r="P141" s="478">
        <f t="shared" si="23"/>
        <v>0</v>
      </c>
    </row>
    <row r="142" spans="2:16" ht="12.5">
      <c r="B142" s="160" t="str">
        <f t="shared" si="16"/>
        <v/>
      </c>
      <c r="C142" s="472">
        <f>IF(D93="","-",+C141+1)</f>
        <v>2062</v>
      </c>
      <c r="D142" s="346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613">
        <f t="shared" si="13"/>
        <v>0</v>
      </c>
      <c r="I142" s="614">
        <f t="shared" si="14"/>
        <v>0</v>
      </c>
      <c r="J142" s="478">
        <f t="shared" si="20"/>
        <v>0</v>
      </c>
      <c r="K142" s="478"/>
      <c r="L142" s="487"/>
      <c r="M142" s="478">
        <f t="shared" si="21"/>
        <v>0</v>
      </c>
      <c r="N142" s="487"/>
      <c r="O142" s="478">
        <f t="shared" si="22"/>
        <v>0</v>
      </c>
      <c r="P142" s="478">
        <f t="shared" si="23"/>
        <v>0</v>
      </c>
    </row>
    <row r="143" spans="2:16" ht="12.5">
      <c r="B143" s="160" t="str">
        <f t="shared" si="16"/>
        <v/>
      </c>
      <c r="C143" s="472">
        <f>IF(D93="","-",+C142+1)</f>
        <v>2063</v>
      </c>
      <c r="D143" s="346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613">
        <f t="shared" si="13"/>
        <v>0</v>
      </c>
      <c r="I143" s="614">
        <f t="shared" si="14"/>
        <v>0</v>
      </c>
      <c r="J143" s="478">
        <f t="shared" si="20"/>
        <v>0</v>
      </c>
      <c r="K143" s="478"/>
      <c r="L143" s="487"/>
      <c r="M143" s="478">
        <f t="shared" si="21"/>
        <v>0</v>
      </c>
      <c r="N143" s="487"/>
      <c r="O143" s="478">
        <f t="shared" si="22"/>
        <v>0</v>
      </c>
      <c r="P143" s="478">
        <f t="shared" si="23"/>
        <v>0</v>
      </c>
    </row>
    <row r="144" spans="2:16" ht="12.5">
      <c r="B144" s="160" t="str">
        <f t="shared" si="16"/>
        <v/>
      </c>
      <c r="C144" s="472">
        <f>IF(D93="","-",+C143+1)</f>
        <v>2064</v>
      </c>
      <c r="D144" s="346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613">
        <f t="shared" si="13"/>
        <v>0</v>
      </c>
      <c r="I144" s="614">
        <f t="shared" si="14"/>
        <v>0</v>
      </c>
      <c r="J144" s="478">
        <f t="shared" si="20"/>
        <v>0</v>
      </c>
      <c r="K144" s="478"/>
      <c r="L144" s="487"/>
      <c r="M144" s="478">
        <f t="shared" si="21"/>
        <v>0</v>
      </c>
      <c r="N144" s="487"/>
      <c r="O144" s="478">
        <f t="shared" si="22"/>
        <v>0</v>
      </c>
      <c r="P144" s="478">
        <f t="shared" si="23"/>
        <v>0</v>
      </c>
    </row>
    <row r="145" spans="2:16" ht="12.5">
      <c r="B145" s="160" t="str">
        <f t="shared" si="16"/>
        <v/>
      </c>
      <c r="C145" s="472">
        <f>IF(D93="","-",+C144+1)</f>
        <v>2065</v>
      </c>
      <c r="D145" s="346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613">
        <f t="shared" si="13"/>
        <v>0</v>
      </c>
      <c r="I145" s="614">
        <f t="shared" si="14"/>
        <v>0</v>
      </c>
      <c r="J145" s="478">
        <f t="shared" si="20"/>
        <v>0</v>
      </c>
      <c r="K145" s="478"/>
      <c r="L145" s="487"/>
      <c r="M145" s="478">
        <f t="shared" si="21"/>
        <v>0</v>
      </c>
      <c r="N145" s="487"/>
      <c r="O145" s="478">
        <f t="shared" si="22"/>
        <v>0</v>
      </c>
      <c r="P145" s="478">
        <f t="shared" si="23"/>
        <v>0</v>
      </c>
    </row>
    <row r="146" spans="2:16" ht="12.5">
      <c r="B146" s="160" t="str">
        <f t="shared" si="16"/>
        <v/>
      </c>
      <c r="C146" s="472">
        <f>IF(D93="","-",+C145+1)</f>
        <v>2066</v>
      </c>
      <c r="D146" s="346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613">
        <f t="shared" si="13"/>
        <v>0</v>
      </c>
      <c r="I146" s="614">
        <f t="shared" si="14"/>
        <v>0</v>
      </c>
      <c r="J146" s="478">
        <f t="shared" si="20"/>
        <v>0</v>
      </c>
      <c r="K146" s="478"/>
      <c r="L146" s="487"/>
      <c r="M146" s="478">
        <f t="shared" si="21"/>
        <v>0</v>
      </c>
      <c r="N146" s="487"/>
      <c r="O146" s="478">
        <f t="shared" si="22"/>
        <v>0</v>
      </c>
      <c r="P146" s="478">
        <f t="shared" si="23"/>
        <v>0</v>
      </c>
    </row>
    <row r="147" spans="2:16" ht="12.5">
      <c r="B147" s="160" t="str">
        <f t="shared" si="16"/>
        <v/>
      </c>
      <c r="C147" s="472">
        <f>IF(D93="","-",+C146+1)</f>
        <v>2067</v>
      </c>
      <c r="D147" s="346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613">
        <f t="shared" si="13"/>
        <v>0</v>
      </c>
      <c r="I147" s="614">
        <f t="shared" si="14"/>
        <v>0</v>
      </c>
      <c r="J147" s="478">
        <f t="shared" si="20"/>
        <v>0</v>
      </c>
      <c r="K147" s="478"/>
      <c r="L147" s="487"/>
      <c r="M147" s="478">
        <f t="shared" si="21"/>
        <v>0</v>
      </c>
      <c r="N147" s="487"/>
      <c r="O147" s="478">
        <f t="shared" si="22"/>
        <v>0</v>
      </c>
      <c r="P147" s="478">
        <f t="shared" si="23"/>
        <v>0</v>
      </c>
    </row>
    <row r="148" spans="2:16" ht="12.5">
      <c r="B148" s="160" t="str">
        <f t="shared" si="16"/>
        <v/>
      </c>
      <c r="C148" s="472">
        <f>IF(D93="","-",+C147+1)</f>
        <v>2068</v>
      </c>
      <c r="D148" s="346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613">
        <f t="shared" si="13"/>
        <v>0</v>
      </c>
      <c r="I148" s="614">
        <f t="shared" si="14"/>
        <v>0</v>
      </c>
      <c r="J148" s="478">
        <f t="shared" si="20"/>
        <v>0</v>
      </c>
      <c r="K148" s="478"/>
      <c r="L148" s="487"/>
      <c r="M148" s="478">
        <f t="shared" si="21"/>
        <v>0</v>
      </c>
      <c r="N148" s="487"/>
      <c r="O148" s="478">
        <f t="shared" si="22"/>
        <v>0</v>
      </c>
      <c r="P148" s="478">
        <f t="shared" si="23"/>
        <v>0</v>
      </c>
    </row>
    <row r="149" spans="2:16" ht="12.5">
      <c r="B149" s="160" t="str">
        <f t="shared" si="16"/>
        <v/>
      </c>
      <c r="C149" s="472">
        <f>IF(D93="","-",+C148+1)</f>
        <v>2069</v>
      </c>
      <c r="D149" s="346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613">
        <f t="shared" si="13"/>
        <v>0</v>
      </c>
      <c r="I149" s="614">
        <f t="shared" si="14"/>
        <v>0</v>
      </c>
      <c r="J149" s="478">
        <f t="shared" si="20"/>
        <v>0</v>
      </c>
      <c r="K149" s="478"/>
      <c r="L149" s="487"/>
      <c r="M149" s="478">
        <f t="shared" si="21"/>
        <v>0</v>
      </c>
      <c r="N149" s="487"/>
      <c r="O149" s="478">
        <f t="shared" si="22"/>
        <v>0</v>
      </c>
      <c r="P149" s="478">
        <f t="shared" si="23"/>
        <v>0</v>
      </c>
    </row>
    <row r="150" spans="2:16" ht="12.5">
      <c r="B150" s="160" t="str">
        <f t="shared" si="16"/>
        <v/>
      </c>
      <c r="C150" s="472">
        <f>IF(D93="","-",+C149+1)</f>
        <v>2070</v>
      </c>
      <c r="D150" s="346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613">
        <f t="shared" si="13"/>
        <v>0</v>
      </c>
      <c r="I150" s="614">
        <f t="shared" si="14"/>
        <v>0</v>
      </c>
      <c r="J150" s="478">
        <f t="shared" si="20"/>
        <v>0</v>
      </c>
      <c r="K150" s="478"/>
      <c r="L150" s="487"/>
      <c r="M150" s="478">
        <f t="shared" si="21"/>
        <v>0</v>
      </c>
      <c r="N150" s="487"/>
      <c r="O150" s="478">
        <f t="shared" si="22"/>
        <v>0</v>
      </c>
      <c r="P150" s="478">
        <f t="shared" si="23"/>
        <v>0</v>
      </c>
    </row>
    <row r="151" spans="2:16" ht="12.5">
      <c r="B151" s="160" t="str">
        <f t="shared" si="16"/>
        <v/>
      </c>
      <c r="C151" s="472">
        <f>IF(D93="","-",+C150+1)</f>
        <v>2071</v>
      </c>
      <c r="D151" s="346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613">
        <f t="shared" si="13"/>
        <v>0</v>
      </c>
      <c r="I151" s="614">
        <f t="shared" si="14"/>
        <v>0</v>
      </c>
      <c r="J151" s="478">
        <f t="shared" si="20"/>
        <v>0</v>
      </c>
      <c r="K151" s="478"/>
      <c r="L151" s="487"/>
      <c r="M151" s="478">
        <f t="shared" si="21"/>
        <v>0</v>
      </c>
      <c r="N151" s="487"/>
      <c r="O151" s="478">
        <f t="shared" si="22"/>
        <v>0</v>
      </c>
      <c r="P151" s="478">
        <f t="shared" si="23"/>
        <v>0</v>
      </c>
    </row>
    <row r="152" spans="2:16" ht="12.5">
      <c r="B152" s="160" t="str">
        <f t="shared" si="16"/>
        <v/>
      </c>
      <c r="C152" s="472">
        <f>IF(D93="","-",+C151+1)</f>
        <v>2072</v>
      </c>
      <c r="D152" s="346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613">
        <f t="shared" si="13"/>
        <v>0</v>
      </c>
      <c r="I152" s="614">
        <f t="shared" si="14"/>
        <v>0</v>
      </c>
      <c r="J152" s="478">
        <f t="shared" si="20"/>
        <v>0</v>
      </c>
      <c r="K152" s="478"/>
      <c r="L152" s="487"/>
      <c r="M152" s="478">
        <f t="shared" si="21"/>
        <v>0</v>
      </c>
      <c r="N152" s="487"/>
      <c r="O152" s="478">
        <f t="shared" si="22"/>
        <v>0</v>
      </c>
      <c r="P152" s="478">
        <f t="shared" si="23"/>
        <v>0</v>
      </c>
    </row>
    <row r="153" spans="2:16" ht="12.5">
      <c r="B153" s="160" t="str">
        <f t="shared" si="16"/>
        <v/>
      </c>
      <c r="C153" s="472">
        <f>IF(D93="","-",+C152+1)</f>
        <v>2073</v>
      </c>
      <c r="D153" s="346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613">
        <f t="shared" si="13"/>
        <v>0</v>
      </c>
      <c r="I153" s="614">
        <f t="shared" si="14"/>
        <v>0</v>
      </c>
      <c r="J153" s="478">
        <f t="shared" si="20"/>
        <v>0</v>
      </c>
      <c r="K153" s="478"/>
      <c r="L153" s="487"/>
      <c r="M153" s="478">
        <f t="shared" si="21"/>
        <v>0</v>
      </c>
      <c r="N153" s="487"/>
      <c r="O153" s="478">
        <f t="shared" si="22"/>
        <v>0</v>
      </c>
      <c r="P153" s="478">
        <f t="shared" si="23"/>
        <v>0</v>
      </c>
    </row>
    <row r="154" spans="2:16" ht="13" thickBot="1">
      <c r="B154" s="160" t="str">
        <f t="shared" si="16"/>
        <v/>
      </c>
      <c r="C154" s="489">
        <f>IF(D93="","-",+C153+1)</f>
        <v>2074</v>
      </c>
      <c r="D154" s="543">
        <f>IF(F153+SUM(E$99:E153)=D$92,F153,D$92-SUM(E$99:E153))</f>
        <v>0</v>
      </c>
      <c r="E154" s="491">
        <f t="shared" si="17"/>
        <v>0</v>
      </c>
      <c r="F154" s="490">
        <f t="shared" si="18"/>
        <v>0</v>
      </c>
      <c r="G154" s="490">
        <f t="shared" si="19"/>
        <v>0</v>
      </c>
      <c r="H154" s="615">
        <f t="shared" si="13"/>
        <v>0</v>
      </c>
      <c r="I154" s="616">
        <f t="shared" si="14"/>
        <v>0</v>
      </c>
      <c r="J154" s="495">
        <f t="shared" si="20"/>
        <v>0</v>
      </c>
      <c r="K154" s="478"/>
      <c r="L154" s="494"/>
      <c r="M154" s="495">
        <f t="shared" si="21"/>
        <v>0</v>
      </c>
      <c r="N154" s="494"/>
      <c r="O154" s="495">
        <f t="shared" si="22"/>
        <v>0</v>
      </c>
      <c r="P154" s="495">
        <f t="shared" si="23"/>
        <v>0</v>
      </c>
    </row>
    <row r="155" spans="2:16" ht="12.5">
      <c r="C155" s="346" t="s">
        <v>77</v>
      </c>
      <c r="D155" s="347"/>
      <c r="E155" s="347">
        <f>SUM(E99:E154)</f>
        <v>6388896</v>
      </c>
      <c r="F155" s="347"/>
      <c r="G155" s="347"/>
      <c r="H155" s="347">
        <f>SUM(H99:H154)</f>
        <v>20223353.87909339</v>
      </c>
      <c r="I155" s="347">
        <f>SUM(I99:I154)</f>
        <v>20223353.87909339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7" priority="1" stopIfTrue="1" operator="equal">
      <formula>$I$10</formula>
    </cfRule>
  </conditionalFormatting>
  <conditionalFormatting sqref="C99:C154">
    <cfRule type="cellIs" dxfId="6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137"/>
  <sheetViews>
    <sheetView zoomScale="70" zoomScaleNormal="70" zoomScaleSheetLayoutView="100" workbookViewId="0">
      <selection activeCell="A4" sqref="A4:K4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0.7265625" style="148" customWidth="1"/>
    <col min="4" max="9" width="17.7265625" style="148" customWidth="1"/>
    <col min="10" max="10" width="17.7265625" style="148" bestFit="1" customWidth="1"/>
    <col min="11" max="11" width="2.1796875" style="148" customWidth="1"/>
    <col min="12" max="15" width="17.7265625" style="148" customWidth="1"/>
    <col min="16" max="16" width="19.54296875" style="148" customWidth="1"/>
    <col min="17" max="17" width="2.1796875" style="148" customWidth="1"/>
    <col min="18" max="18" width="16.453125" style="148" customWidth="1"/>
    <col min="19" max="19" width="52.453125" style="148" customWidth="1"/>
    <col min="20" max="16384" width="8.7265625" style="148"/>
  </cols>
  <sheetData>
    <row r="1" spans="1:19" ht="17.5">
      <c r="A1" s="640" t="str">
        <f>PSO.WS.F.BPU.ATRR.Projected!A1</f>
        <v xml:space="preserve">AEP West SPP Member Companies 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Q1" s="195"/>
      <c r="R1" s="195"/>
    </row>
    <row r="2" spans="1:19" ht="17.5">
      <c r="A2" s="640" t="str">
        <f>PSO.WS.F.BPU.ATRR.Projected!A2</f>
        <v>2022 Cost of Service Formula Rate Projected on 2021 FF1 Balances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Q2" s="239" t="s">
        <v>125</v>
      </c>
      <c r="R2" s="195"/>
    </row>
    <row r="3" spans="1:19" ht="18">
      <c r="A3" s="643" t="s">
        <v>141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Q3" s="195"/>
      <c r="R3" s="195"/>
    </row>
    <row r="4" spans="1:19" ht="17.5">
      <c r="A4" s="642" t="str">
        <f>"Based on a Carrying Charge Derived from ""Trued-Up"" "&amp;M16&amp;" Data"</f>
        <v>Based on a Carrying Charge Derived from "Trued-Up" 2019 Data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Q4" s="195"/>
      <c r="R4" s="195"/>
    </row>
    <row r="5" spans="1:19" ht="18">
      <c r="A5" s="648" t="str">
        <f>PSO.WS.F.BPU.ATRR.Projected!A5</f>
        <v>PUBLIC SERVICE COMPANY OF OKLAHOMA</v>
      </c>
      <c r="B5" s="649"/>
      <c r="C5" s="649"/>
      <c r="D5" s="649"/>
      <c r="E5" s="649"/>
      <c r="F5" s="649"/>
      <c r="G5" s="649"/>
      <c r="H5" s="649"/>
      <c r="I5" s="649"/>
      <c r="J5" s="649"/>
      <c r="K5" s="649"/>
      <c r="Q5" s="195"/>
      <c r="R5" s="195"/>
    </row>
    <row r="6" spans="1:19" ht="20">
      <c r="A6" s="373"/>
      <c r="C6" s="303"/>
      <c r="D6" s="160"/>
      <c r="I6" s="216"/>
      <c r="K6" s="195"/>
      <c r="Q6" s="195"/>
      <c r="R6" s="195"/>
    </row>
    <row r="7" spans="1:19" ht="12.5">
      <c r="D7" s="160"/>
      <c r="I7" s="216"/>
      <c r="K7" s="195"/>
      <c r="Q7" s="195"/>
      <c r="R7" s="195"/>
    </row>
    <row r="8" spans="1:19" ht="38.25" customHeight="1">
      <c r="B8" s="243" t="s">
        <v>0</v>
      </c>
      <c r="C8" s="645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646"/>
      <c r="E8" s="646"/>
      <c r="F8" s="646"/>
      <c r="G8" s="646"/>
      <c r="H8" s="646"/>
      <c r="I8" s="646"/>
      <c r="K8" s="195"/>
      <c r="Q8" s="195"/>
      <c r="R8" s="195"/>
    </row>
    <row r="9" spans="1:19" ht="15.75" customHeight="1">
      <c r="C9" s="374"/>
      <c r="D9" s="374"/>
      <c r="E9" s="374"/>
      <c r="F9" s="374"/>
      <c r="G9" s="374"/>
      <c r="H9" s="374"/>
      <c r="I9" s="374"/>
      <c r="K9" s="195"/>
      <c r="Q9" s="195"/>
      <c r="R9" s="195"/>
    </row>
    <row r="10" spans="1:19" ht="15.5">
      <c r="C10" s="244" t="str">
        <f>"A.   Determine 'R' with hypothetical "&amp;F13&amp;" basis point increase in ROE for Identified Projects"</f>
        <v>A.   Determine 'R' with hypothetical 0 basis point increase in ROE for Identified Projects</v>
      </c>
      <c r="D10" s="160"/>
      <c r="I10" s="216"/>
      <c r="K10" s="195"/>
      <c r="Q10" s="195"/>
      <c r="R10" s="195"/>
    </row>
    <row r="11" spans="1:19" ht="12.5">
      <c r="D11" s="160"/>
      <c r="I11" s="216"/>
      <c r="K11" s="195"/>
      <c r="Q11" s="195"/>
      <c r="R11" s="195"/>
    </row>
    <row r="12" spans="1:19" ht="12.5">
      <c r="C12" s="247" t="str">
        <f>S105</f>
        <v xml:space="preserve">   ROE w/o incentives  (True-Up TCOS, ln 135)</v>
      </c>
      <c r="D12" s="160"/>
      <c r="E12" s="248"/>
      <c r="F12" s="249">
        <f>+R105</f>
        <v>0.105</v>
      </c>
      <c r="G12" s="249"/>
      <c r="H12" s="250"/>
      <c r="I12" s="251"/>
      <c r="J12" s="252"/>
      <c r="K12" s="253"/>
      <c r="L12" s="252"/>
      <c r="M12" s="252"/>
      <c r="N12" s="252"/>
      <c r="O12" s="252"/>
      <c r="P12" s="252"/>
      <c r="Q12" s="253"/>
      <c r="R12" s="242"/>
      <c r="S12" s="232"/>
    </row>
    <row r="13" spans="1:19" ht="13" thickBot="1">
      <c r="C13" s="247" t="s">
        <v>1</v>
      </c>
      <c r="D13" s="160"/>
      <c r="E13" s="248"/>
      <c r="F13" s="375">
        <f>R106</f>
        <v>0</v>
      </c>
      <c r="G13" s="376" t="s">
        <v>152</v>
      </c>
      <c r="L13" s="252"/>
      <c r="M13" s="252"/>
      <c r="N13" s="252"/>
      <c r="O13" s="252"/>
      <c r="P13" s="252"/>
      <c r="Q13" s="253"/>
      <c r="R13" s="242"/>
      <c r="S13" s="232"/>
    </row>
    <row r="14" spans="1:19" ht="13">
      <c r="C14" s="247" t="str">
        <f>"   ROE with additional "&amp;F13&amp;" basis point incentive"</f>
        <v xml:space="preserve">   ROE with additional 0 basis point incentive</v>
      </c>
      <c r="D14" s="248"/>
      <c r="E14" s="248"/>
      <c r="F14" s="255">
        <f>IF((F12+(F13/10000)&gt;0.1245),"ERROR",F12+(F13/10000))</f>
        <v>0.105</v>
      </c>
      <c r="G14" s="256" t="s">
        <v>2</v>
      </c>
      <c r="I14" s="252"/>
      <c r="J14" s="252"/>
      <c r="K14" s="253"/>
      <c r="L14" s="377" t="s">
        <v>89</v>
      </c>
      <c r="M14" s="378"/>
      <c r="N14" s="378"/>
      <c r="O14" s="378"/>
      <c r="P14" s="379"/>
      <c r="Q14" s="253"/>
      <c r="R14" s="242"/>
      <c r="S14" s="232"/>
    </row>
    <row r="15" spans="1:19" ht="12.5">
      <c r="C15" s="247" t="s">
        <v>235</v>
      </c>
      <c r="D15" s="160"/>
      <c r="E15" s="248"/>
      <c r="F15" s="255"/>
      <c r="G15" s="255"/>
      <c r="H15" s="248"/>
      <c r="I15" s="252"/>
      <c r="J15" s="252"/>
      <c r="K15" s="253"/>
      <c r="L15" s="265"/>
      <c r="M15" s="253"/>
      <c r="N15" s="253" t="s">
        <v>8</v>
      </c>
      <c r="O15" s="253" t="s">
        <v>9</v>
      </c>
      <c r="P15" s="267" t="s">
        <v>10</v>
      </c>
      <c r="Q15" s="253"/>
      <c r="R15" s="242"/>
      <c r="S15" s="232"/>
    </row>
    <row r="16" spans="1:19" ht="12.5">
      <c r="C16" s="253"/>
      <c r="D16" s="257" t="s">
        <v>4</v>
      </c>
      <c r="E16" s="257" t="s">
        <v>5</v>
      </c>
      <c r="F16" s="258" t="s">
        <v>6</v>
      </c>
      <c r="G16" s="258"/>
      <c r="H16" s="248"/>
      <c r="I16" s="252"/>
      <c r="J16" s="252"/>
      <c r="K16" s="253"/>
      <c r="L16" s="265" t="s">
        <v>90</v>
      </c>
      <c r="M16" s="380">
        <f>+R104</f>
        <v>2019</v>
      </c>
      <c r="N16" s="195"/>
      <c r="O16" s="195"/>
      <c r="P16" s="272"/>
      <c r="Q16" s="253"/>
      <c r="R16" s="242"/>
      <c r="S16" s="232"/>
    </row>
    <row r="17" spans="3:19" ht="12.5">
      <c r="C17" s="259" t="s">
        <v>7</v>
      </c>
      <c r="D17" s="260">
        <f>R107</f>
        <v>0.51594421374413535</v>
      </c>
      <c r="E17" s="261">
        <f>R108</f>
        <v>4.5957173907919965E-2</v>
      </c>
      <c r="F17" s="381">
        <f>E17*D17</f>
        <v>2.371133795782426E-2</v>
      </c>
      <c r="G17" s="381"/>
      <c r="H17" s="248"/>
      <c r="I17" s="252"/>
      <c r="J17" s="263"/>
      <c r="K17" s="264"/>
      <c r="L17" s="271"/>
      <c r="M17" s="382" t="s">
        <v>219</v>
      </c>
      <c r="N17" s="383">
        <f>SUM('P.001:P.xyz - blank'!M87)</f>
        <v>7284760.4319926891</v>
      </c>
      <c r="O17" s="383">
        <f>SUM('P.001:P.xyz - blank'!N87)</f>
        <v>7284760.4319926891</v>
      </c>
      <c r="P17" s="384">
        <f>+O17-N17</f>
        <v>0</v>
      </c>
      <c r="Q17" s="264"/>
      <c r="R17" s="242"/>
      <c r="S17" s="232"/>
    </row>
    <row r="18" spans="3:19" ht="13" thickBot="1">
      <c r="C18" s="259" t="s">
        <v>11</v>
      </c>
      <c r="D18" s="260">
        <f>R109</f>
        <v>0</v>
      </c>
      <c r="E18" s="261">
        <f>R110</f>
        <v>0</v>
      </c>
      <c r="F18" s="381">
        <f>E18*D18</f>
        <v>0</v>
      </c>
      <c r="G18" s="381"/>
      <c r="H18" s="268"/>
      <c r="I18" s="268"/>
      <c r="J18" s="269"/>
      <c r="K18" s="270"/>
      <c r="L18" s="271"/>
      <c r="M18" s="385" t="s">
        <v>218</v>
      </c>
      <c r="N18" s="386">
        <f>SUM('P.001:P.xyz - blank'!M88)</f>
        <v>6892824.3905835506</v>
      </c>
      <c r="O18" s="386">
        <f>SUM('P.001:P.xyz - blank'!N88)</f>
        <v>6892824.3905835506</v>
      </c>
      <c r="P18" s="278">
        <f>+O18-N18</f>
        <v>0</v>
      </c>
      <c r="Q18" s="270"/>
      <c r="R18" s="242"/>
      <c r="S18" s="232"/>
    </row>
    <row r="19" spans="3:19" ht="12.5">
      <c r="C19" s="273" t="s">
        <v>12</v>
      </c>
      <c r="D19" s="260">
        <f>R111</f>
        <v>0.48405578625586471</v>
      </c>
      <c r="E19" s="261">
        <f>+F14</f>
        <v>0.105</v>
      </c>
      <c r="F19" s="387">
        <f>E19*D19</f>
        <v>5.0825857556865792E-2</v>
      </c>
      <c r="G19" s="387"/>
      <c r="H19" s="268"/>
      <c r="I19" s="268"/>
      <c r="J19" s="255"/>
      <c r="K19" s="270"/>
      <c r="L19" s="271"/>
      <c r="M19" s="388" t="str">
        <f>"True-up Adjustment For "&amp;M16&amp;""</f>
        <v>True-up Adjustment For 2019</v>
      </c>
      <c r="N19" s="389">
        <f>+N18-N17</f>
        <v>-391936.04140913859</v>
      </c>
      <c r="O19" s="389">
        <f>+O18-O17</f>
        <v>-391936.04140913859</v>
      </c>
      <c r="P19" s="390">
        <f>+P18-P17</f>
        <v>0</v>
      </c>
      <c r="Q19" s="270"/>
      <c r="R19" s="242"/>
      <c r="S19" s="232"/>
    </row>
    <row r="20" spans="3:19" ht="12.5">
      <c r="C20" s="247"/>
      <c r="D20" s="248"/>
      <c r="E20" s="279" t="s">
        <v>14</v>
      </c>
      <c r="F20" s="381">
        <f>SUM(F17:F19)</f>
        <v>7.4537195514690055E-2</v>
      </c>
      <c r="G20" s="381"/>
      <c r="H20" s="391"/>
      <c r="I20" s="268"/>
      <c r="J20" s="269"/>
      <c r="K20" s="270"/>
      <c r="L20" s="271"/>
      <c r="M20" s="195"/>
      <c r="N20" s="280" t="str">
        <f>IF(ROUND(N19,0)=ROUND(SUM('P.001:P.xyz - blank'!M89),0),"","ERROR")</f>
        <v/>
      </c>
      <c r="O20" s="280" t="str">
        <f>IF(ROUND(O19,0)=ROUND(SUM('P.001:P.xyz - blank'!N89),0),"","ERROR")</f>
        <v/>
      </c>
      <c r="P20" s="280" t="str">
        <f>IF(P19=SUM('P.001:P.xyz - blank'!O89),"","ERROR")</f>
        <v/>
      </c>
      <c r="Q20" s="270"/>
      <c r="R20" s="242"/>
      <c r="S20" s="232"/>
    </row>
    <row r="21" spans="3:19" ht="13" thickBot="1">
      <c r="D21" s="281"/>
      <c r="E21" s="281"/>
      <c r="F21" s="268"/>
      <c r="G21" s="268"/>
      <c r="H21" s="268"/>
      <c r="I21" s="268"/>
      <c r="J21" s="268"/>
      <c r="K21" s="282"/>
      <c r="L21" s="392"/>
      <c r="M21" s="393"/>
      <c r="N21" s="394"/>
      <c r="O21" s="394"/>
      <c r="P21" s="278"/>
      <c r="Q21" s="282"/>
      <c r="R21" s="242"/>
      <c r="S21" s="232"/>
    </row>
    <row r="22" spans="3:19" ht="15.5">
      <c r="C22" s="244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281"/>
      <c r="E22" s="281"/>
      <c r="F22" s="283"/>
      <c r="G22" s="283"/>
      <c r="H22" s="268"/>
      <c r="I22" s="248"/>
      <c r="J22" s="268"/>
      <c r="K22" s="282"/>
      <c r="L22" s="268"/>
      <c r="M22" s="268"/>
      <c r="N22" s="268"/>
      <c r="O22" s="268"/>
      <c r="P22" s="268"/>
      <c r="Q22" s="282"/>
      <c r="R22" s="242"/>
      <c r="S22" s="232"/>
    </row>
    <row r="23" spans="3:19" ht="13">
      <c r="C23" s="253"/>
      <c r="D23" s="281"/>
      <c r="E23" s="281"/>
      <c r="F23" s="282"/>
      <c r="G23" s="282"/>
      <c r="H23" s="282"/>
      <c r="I23" s="282"/>
      <c r="J23" s="282"/>
      <c r="K23" s="282"/>
      <c r="L23" s="178" t="s">
        <v>15</v>
      </c>
      <c r="M23" s="282"/>
      <c r="N23" s="282"/>
      <c r="O23" s="282"/>
      <c r="P23" s="282"/>
      <c r="Q23" s="282"/>
      <c r="R23" s="242"/>
      <c r="S23" s="232"/>
    </row>
    <row r="24" spans="3:19" ht="12.5">
      <c r="C24" s="247" t="str">
        <f>S112</f>
        <v xml:space="preserve">   Rate Base  (True-Up TCOS, ln 63)</v>
      </c>
      <c r="D24" s="248"/>
      <c r="E24" s="285">
        <f>R112</f>
        <v>480313816.37099826</v>
      </c>
      <c r="F24" s="286"/>
      <c r="G24" s="286"/>
      <c r="H24" s="282"/>
      <c r="I24" s="282"/>
      <c r="J24" s="282"/>
      <c r="K24" s="282"/>
      <c r="L24" s="148" t="s">
        <v>16</v>
      </c>
      <c r="M24" s="282"/>
      <c r="N24" s="282"/>
      <c r="O24" s="282"/>
      <c r="P24" s="286"/>
      <c r="Q24" s="282"/>
      <c r="R24" s="242"/>
      <c r="S24" s="232"/>
    </row>
    <row r="25" spans="3:19" ht="12.5">
      <c r="C25" s="253" t="s">
        <v>17</v>
      </c>
      <c r="D25" s="250"/>
      <c r="E25" s="287">
        <f>F20</f>
        <v>7.4537195514690055E-2</v>
      </c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42"/>
      <c r="S25" s="232"/>
    </row>
    <row r="26" spans="3:19" ht="12.5">
      <c r="C26" s="288" t="s">
        <v>18</v>
      </c>
      <c r="D26" s="288"/>
      <c r="E26" s="269">
        <f>E24*E25</f>
        <v>35801244.839252032</v>
      </c>
      <c r="F26" s="282"/>
      <c r="G26" s="282"/>
      <c r="H26" s="282"/>
      <c r="I26" s="282"/>
      <c r="J26" s="270"/>
      <c r="K26" s="270"/>
      <c r="L26" s="270"/>
      <c r="M26" s="270"/>
      <c r="N26" s="270"/>
      <c r="O26" s="270"/>
      <c r="P26" s="282"/>
      <c r="Q26" s="270"/>
      <c r="R26" s="242"/>
      <c r="S26" s="232"/>
    </row>
    <row r="27" spans="3:19" ht="12.5">
      <c r="C27" s="289"/>
      <c r="D27" s="252"/>
      <c r="E27" s="252"/>
      <c r="F27" s="282"/>
      <c r="G27" s="282"/>
      <c r="H27" s="282"/>
      <c r="I27" s="282"/>
      <c r="J27" s="270"/>
      <c r="K27" s="270"/>
      <c r="L27" s="270"/>
      <c r="M27" s="270"/>
      <c r="N27" s="270"/>
      <c r="O27" s="270"/>
      <c r="P27" s="282"/>
      <c r="Q27" s="270"/>
      <c r="R27" s="242"/>
      <c r="S27" s="232"/>
    </row>
    <row r="28" spans="3:19" ht="15.5">
      <c r="C28" s="244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290"/>
      <c r="E28" s="290"/>
      <c r="F28" s="291"/>
      <c r="G28" s="291"/>
      <c r="H28" s="291"/>
      <c r="I28" s="291"/>
      <c r="J28" s="292"/>
      <c r="K28" s="292"/>
      <c r="L28" s="292"/>
      <c r="M28" s="292"/>
      <c r="N28" s="292"/>
      <c r="O28" s="292"/>
      <c r="P28" s="291"/>
      <c r="Q28" s="292"/>
      <c r="R28" s="242"/>
      <c r="S28" s="232"/>
    </row>
    <row r="29" spans="3:19" ht="12.5">
      <c r="C29" s="247"/>
      <c r="D29" s="252"/>
      <c r="E29" s="252"/>
      <c r="F29" s="282"/>
      <c r="G29" s="282"/>
      <c r="H29" s="282"/>
      <c r="I29" s="282"/>
      <c r="J29" s="270"/>
      <c r="K29" s="270"/>
      <c r="L29" s="270"/>
      <c r="M29" s="270"/>
      <c r="N29" s="270">
        <f>+N17-6729904</f>
        <v>554856.43199268915</v>
      </c>
      <c r="O29" s="270"/>
      <c r="P29" s="282"/>
      <c r="Q29" s="270"/>
      <c r="R29" s="242"/>
      <c r="S29" s="232"/>
    </row>
    <row r="30" spans="3:19" ht="12.5">
      <c r="C30" s="253" t="s">
        <v>19</v>
      </c>
      <c r="D30" s="279"/>
      <c r="E30" s="293">
        <f>E26</f>
        <v>35801244.839252032</v>
      </c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42"/>
      <c r="S30" s="232"/>
    </row>
    <row r="31" spans="3:19" ht="12.5">
      <c r="C31" s="247" t="str">
        <f>S113</f>
        <v xml:space="preserve">   Tax Rate  (True-Up TCOS, ln 105)</v>
      </c>
      <c r="D31" s="279"/>
      <c r="E31" s="294">
        <f>R113</f>
        <v>0.25289699999999993</v>
      </c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42"/>
      <c r="S31" s="232"/>
    </row>
    <row r="32" spans="3:19" ht="12.5">
      <c r="C32" s="253" t="s">
        <v>20</v>
      </c>
      <c r="D32" s="240"/>
      <c r="E32" s="255">
        <f>IF(F17&gt;0,($E31/(1-$E31))*(1-$F17/$F20),0)</f>
        <v>0.23082075855934917</v>
      </c>
      <c r="F32" s="232"/>
      <c r="G32" s="232"/>
      <c r="H32" s="232"/>
      <c r="I32" s="241"/>
      <c r="J32" s="232"/>
      <c r="K32" s="242"/>
      <c r="L32" s="232"/>
      <c r="M32" s="232"/>
      <c r="N32" s="232"/>
      <c r="O32" s="232"/>
      <c r="P32" s="232"/>
      <c r="Q32" s="242"/>
      <c r="R32" s="242"/>
      <c r="S32" s="338"/>
    </row>
    <row r="33" spans="2:19" ht="12.5">
      <c r="C33" s="289" t="s">
        <v>21</v>
      </c>
      <c r="D33" s="240"/>
      <c r="E33" s="296">
        <f>E30*E32</f>
        <v>8263670.4911651388</v>
      </c>
      <c r="F33" s="232"/>
      <c r="G33" s="232"/>
      <c r="H33" s="232"/>
      <c r="I33" s="241"/>
      <c r="J33" s="232"/>
      <c r="K33" s="242"/>
      <c r="L33" s="232"/>
      <c r="M33" s="232"/>
      <c r="N33" s="232"/>
      <c r="O33" s="232"/>
      <c r="P33" s="232"/>
      <c r="Q33" s="242"/>
      <c r="R33" s="242"/>
      <c r="S33" s="232"/>
    </row>
    <row r="34" spans="2:19" ht="15.5">
      <c r="C34" s="247" t="str">
        <f>+S114</f>
        <v xml:space="preserve">   ITC Adjustment  (True-Up TCOS, ln 102)</v>
      </c>
      <c r="D34" s="297"/>
      <c r="E34" s="298">
        <f>R114</f>
        <v>-541451.51302864379</v>
      </c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9"/>
      <c r="Q34" s="297"/>
      <c r="R34" s="242"/>
      <c r="S34" s="232"/>
    </row>
    <row r="35" spans="2:19" ht="15.5">
      <c r="C35" s="305" t="str">
        <f>+S115</f>
        <v xml:space="preserve">   Excess DFIT Adjustment  (TCOS, ln 109)</v>
      </c>
      <c r="D35" s="297"/>
      <c r="E35" s="298">
        <f>R115</f>
        <v>-4199677.1529494589</v>
      </c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9"/>
      <c r="Q35" s="297"/>
      <c r="R35" s="242"/>
      <c r="S35" s="232"/>
    </row>
    <row r="36" spans="2:19" ht="15.5">
      <c r="C36" s="305" t="str">
        <f>+S116</f>
        <v xml:space="preserve">   Tax Effect of Permanent and Flow Through Differences (TCOS, ln 110)</v>
      </c>
      <c r="D36" s="297"/>
      <c r="E36" s="298">
        <f>R116</f>
        <v>79136.317214627692</v>
      </c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9"/>
      <c r="Q36" s="297"/>
      <c r="R36" s="242"/>
      <c r="S36" s="232"/>
    </row>
    <row r="37" spans="2:19" ht="15.5">
      <c r="C37" s="289" t="s">
        <v>22</v>
      </c>
      <c r="D37" s="297"/>
      <c r="E37" s="298">
        <f>E33+E34+E35+E36</f>
        <v>3601678.1424016636</v>
      </c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300"/>
      <c r="Q37" s="297"/>
      <c r="R37" s="242"/>
      <c r="S37" s="232"/>
    </row>
    <row r="38" spans="2:19" ht="12.75" customHeight="1">
      <c r="C38" s="301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300"/>
      <c r="Q38" s="297"/>
      <c r="R38" s="242"/>
      <c r="S38" s="232"/>
    </row>
    <row r="39" spans="2:19" ht="18">
      <c r="B39" s="302" t="s">
        <v>23</v>
      </c>
      <c r="C39" s="303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300"/>
      <c r="Q39" s="297"/>
      <c r="R39" s="242"/>
      <c r="S39" s="232"/>
    </row>
    <row r="40" spans="2:19" ht="18.75" customHeight="1">
      <c r="B40" s="302"/>
      <c r="C40" s="303" t="str">
        <f>"ROE increase."</f>
        <v>ROE increase.</v>
      </c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300"/>
      <c r="Q40" s="297"/>
      <c r="R40" s="242"/>
      <c r="S40" s="232"/>
    </row>
    <row r="41" spans="2:19" ht="12.75" customHeight="1">
      <c r="C41" s="301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300"/>
      <c r="Q41" s="297"/>
      <c r="R41" s="242"/>
      <c r="S41" s="232"/>
    </row>
    <row r="42" spans="2:19" ht="15.5">
      <c r="C42" s="244" t="s">
        <v>24</v>
      </c>
      <c r="D42" s="297"/>
      <c r="E42" s="297"/>
      <c r="F42" s="304"/>
      <c r="G42" s="304"/>
      <c r="H42" s="297"/>
      <c r="I42" s="297"/>
      <c r="J42" s="297"/>
      <c r="K42" s="297"/>
      <c r="L42" s="297"/>
      <c r="M42" s="297"/>
      <c r="N42" s="297"/>
      <c r="O42" s="297"/>
      <c r="P42" s="300"/>
      <c r="Q42" s="297"/>
      <c r="R42" s="242"/>
      <c r="S42" s="232"/>
    </row>
    <row r="43" spans="2:19" ht="12.5">
      <c r="B43" s="232"/>
      <c r="C43" s="305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298"/>
      <c r="Q43" s="306"/>
      <c r="R43" s="242"/>
      <c r="S43" s="232"/>
    </row>
    <row r="44" spans="2:19" ht="12.75" customHeight="1">
      <c r="B44" s="232"/>
      <c r="C44" s="247" t="str">
        <f>S117</f>
        <v xml:space="preserve">   Net Revenue Requirement  (True-Up TCOS, ln 109)</v>
      </c>
      <c r="D44" s="306"/>
      <c r="E44" s="306"/>
      <c r="F44" s="298">
        <f>R117</f>
        <v>86843899.346920505</v>
      </c>
      <c r="G44" s="298"/>
      <c r="H44" s="306"/>
      <c r="I44" s="306"/>
      <c r="J44" s="306"/>
      <c r="K44" s="306"/>
      <c r="L44" s="306"/>
      <c r="M44" s="306"/>
      <c r="N44" s="306"/>
      <c r="O44" s="306"/>
      <c r="P44" s="298"/>
      <c r="Q44" s="306"/>
      <c r="R44" s="242"/>
      <c r="S44" s="232"/>
    </row>
    <row r="45" spans="2:19" ht="12.5">
      <c r="B45" s="232"/>
      <c r="C45" s="247" t="str">
        <f>S118</f>
        <v xml:space="preserve">   Return  (True-Up TCOS, ln 104)</v>
      </c>
      <c r="D45" s="306"/>
      <c r="E45" s="306"/>
      <c r="F45" s="298">
        <f>R118</f>
        <v>35801244.839252032</v>
      </c>
      <c r="G45" s="307"/>
      <c r="H45" s="308"/>
      <c r="I45" s="308"/>
      <c r="J45" s="308"/>
      <c r="K45" s="308"/>
      <c r="L45" s="308"/>
      <c r="M45" s="308"/>
      <c r="N45" s="308"/>
      <c r="O45" s="308"/>
      <c r="P45" s="298"/>
      <c r="Q45" s="308"/>
      <c r="R45" s="242"/>
      <c r="S45" s="232"/>
    </row>
    <row r="46" spans="2:19" ht="12.5">
      <c r="B46" s="232"/>
      <c r="C46" s="247" t="str">
        <f>S119</f>
        <v xml:space="preserve">   Income Taxes  (True-Up TCOS, ln 103)</v>
      </c>
      <c r="D46" s="306"/>
      <c r="E46" s="306"/>
      <c r="F46" s="298">
        <f>R119</f>
        <v>3601678.1424016636</v>
      </c>
      <c r="G46" s="298"/>
      <c r="H46" s="306"/>
      <c r="I46" s="306"/>
      <c r="J46" s="309"/>
      <c r="K46" s="309"/>
      <c r="L46" s="309"/>
      <c r="M46" s="309"/>
      <c r="N46" s="309"/>
      <c r="O46" s="309"/>
      <c r="P46" s="306"/>
      <c r="Q46" s="309"/>
      <c r="R46" s="242"/>
      <c r="S46" s="232"/>
    </row>
    <row r="47" spans="2:19" ht="12.5">
      <c r="B47" s="232"/>
      <c r="C47" s="247" t="str">
        <f>S120</f>
        <v xml:space="preserve">  Gross Margin Taxes  (True-Up TCOS, ln 108)</v>
      </c>
      <c r="D47" s="306"/>
      <c r="E47" s="306"/>
      <c r="F47" s="310">
        <f>R120</f>
        <v>0</v>
      </c>
      <c r="G47" s="298"/>
      <c r="H47" s="306"/>
      <c r="I47" s="306"/>
      <c r="J47" s="309"/>
      <c r="K47" s="309"/>
      <c r="L47" s="309"/>
      <c r="M47" s="309"/>
      <c r="N47" s="309"/>
      <c r="O47" s="309"/>
      <c r="P47" s="306"/>
      <c r="Q47" s="309"/>
      <c r="R47" s="242"/>
      <c r="S47" s="232"/>
    </row>
    <row r="48" spans="2:19" ht="12.5">
      <c r="B48" s="232"/>
      <c r="C48" s="311" t="s">
        <v>25</v>
      </c>
      <c r="D48" s="306"/>
      <c r="E48" s="306"/>
      <c r="F48" s="307">
        <f>F44-F45-F46-F47</f>
        <v>47440976.365266807</v>
      </c>
      <c r="G48" s="307"/>
      <c r="H48" s="312"/>
      <c r="I48" s="306"/>
      <c r="J48" s="312"/>
      <c r="K48" s="312"/>
      <c r="L48" s="312"/>
      <c r="M48" s="312"/>
      <c r="N48" s="312"/>
      <c r="O48" s="312"/>
      <c r="P48" s="312"/>
      <c r="Q48" s="312"/>
      <c r="R48" s="242"/>
      <c r="S48" s="232"/>
    </row>
    <row r="49" spans="2:19" ht="12.5">
      <c r="B49" s="232"/>
      <c r="C49" s="305"/>
      <c r="D49" s="306"/>
      <c r="E49" s="306"/>
      <c r="F49" s="298"/>
      <c r="G49" s="298"/>
      <c r="H49" s="313"/>
      <c r="I49" s="314"/>
      <c r="J49" s="314"/>
      <c r="K49" s="314"/>
      <c r="L49" s="314"/>
      <c r="M49" s="314"/>
      <c r="N49" s="314"/>
      <c r="O49" s="314"/>
      <c r="P49" s="314"/>
      <c r="Q49" s="314"/>
      <c r="R49" s="242"/>
      <c r="S49" s="232"/>
    </row>
    <row r="50" spans="2:19" ht="15.5">
      <c r="B50" s="232"/>
      <c r="C50" s="244" t="str">
        <f>"B.   Determine Net Revenue Requirement with hypothetical "&amp;F13&amp;" basis point increase in ROE."</f>
        <v>B.   Determine Net Revenue Requirement with hypothetical 0 basis point increase in ROE.</v>
      </c>
      <c r="D50" s="315"/>
      <c r="E50" s="315"/>
      <c r="F50" s="298"/>
      <c r="G50" s="298"/>
      <c r="H50" s="313"/>
      <c r="I50" s="314"/>
      <c r="J50" s="314"/>
      <c r="K50" s="314"/>
      <c r="L50" s="314"/>
      <c r="M50" s="314"/>
      <c r="N50" s="314"/>
      <c r="O50" s="314"/>
      <c r="P50" s="314"/>
      <c r="Q50" s="314"/>
      <c r="R50" s="242"/>
      <c r="S50" s="232"/>
    </row>
    <row r="51" spans="2:19" ht="12.5">
      <c r="B51" s="232"/>
      <c r="C51" s="305"/>
      <c r="D51" s="315"/>
      <c r="E51" s="315"/>
      <c r="F51" s="298"/>
      <c r="G51" s="298"/>
      <c r="H51" s="313"/>
      <c r="I51" s="314"/>
      <c r="J51" s="314"/>
      <c r="K51" s="314"/>
      <c r="L51" s="314"/>
      <c r="M51" s="314"/>
      <c r="N51" s="314"/>
      <c r="O51" s="314"/>
      <c r="P51" s="314"/>
      <c r="Q51" s="314"/>
      <c r="R51" s="242"/>
      <c r="S51" s="232"/>
    </row>
    <row r="52" spans="2:19" ht="13">
      <c r="B52" s="232"/>
      <c r="C52" s="305" t="str">
        <f>C48</f>
        <v xml:space="preserve">   Net Revenue Requirement, Less Return and Taxes</v>
      </c>
      <c r="D52" s="315"/>
      <c r="E52" s="315"/>
      <c r="F52" s="298">
        <f>F48</f>
        <v>47440976.365266807</v>
      </c>
      <c r="G52" s="298"/>
      <c r="H52" s="306"/>
      <c r="I52" s="306"/>
      <c r="J52" s="306"/>
      <c r="K52" s="306"/>
      <c r="L52" s="306"/>
      <c r="M52" s="306"/>
      <c r="N52" s="306"/>
      <c r="O52" s="306"/>
      <c r="P52" s="318"/>
      <c r="Q52" s="306"/>
      <c r="R52" s="242"/>
      <c r="S52" s="232"/>
    </row>
    <row r="53" spans="2:19" ht="13">
      <c r="B53" s="232"/>
      <c r="C53" s="253" t="s">
        <v>103</v>
      </c>
      <c r="D53" s="320"/>
      <c r="E53" s="311"/>
      <c r="F53" s="321">
        <f>E26</f>
        <v>35801244.839252032</v>
      </c>
      <c r="G53" s="321"/>
      <c r="H53" s="311"/>
      <c r="I53" s="322"/>
      <c r="J53" s="311"/>
      <c r="K53" s="311"/>
      <c r="L53" s="311"/>
      <c r="M53" s="311"/>
      <c r="N53" s="311"/>
      <c r="O53" s="311"/>
      <c r="P53" s="311"/>
      <c r="Q53" s="311"/>
      <c r="R53" s="242"/>
      <c r="S53" s="232"/>
    </row>
    <row r="54" spans="2:19" ht="12.75" customHeight="1">
      <c r="B54" s="232"/>
      <c r="C54" s="247" t="s">
        <v>26</v>
      </c>
      <c r="D54" s="306"/>
      <c r="E54" s="306"/>
      <c r="F54" s="395">
        <f>E37</f>
        <v>3601678.1424016636</v>
      </c>
      <c r="G54" s="323"/>
      <c r="H54" s="232"/>
      <c r="I54" s="241"/>
      <c r="J54" s="232"/>
      <c r="K54" s="242"/>
      <c r="L54" s="232"/>
      <c r="M54" s="232"/>
      <c r="N54" s="232"/>
      <c r="O54" s="232"/>
      <c r="P54" s="232"/>
      <c r="Q54" s="242"/>
      <c r="R54" s="242"/>
      <c r="S54" s="232"/>
    </row>
    <row r="55" spans="2:19" ht="12.5">
      <c r="B55" s="232"/>
      <c r="C55" s="311" t="str">
        <f>"   Net Revenue Requirement, with "&amp;F13&amp;" Basis Point ROE increase"</f>
        <v xml:space="preserve">   Net Revenue Requirement, with 0 Basis Point ROE increase</v>
      </c>
      <c r="D55" s="240"/>
      <c r="E55" s="232"/>
      <c r="F55" s="296">
        <f>SUM(F52:F54)</f>
        <v>86843899.346920505</v>
      </c>
      <c r="G55" s="296"/>
      <c r="H55" s="232"/>
      <c r="I55" s="241"/>
      <c r="J55" s="232"/>
      <c r="K55" s="242"/>
      <c r="L55" s="232"/>
      <c r="M55" s="232"/>
      <c r="N55" s="232"/>
      <c r="O55" s="232"/>
      <c r="P55" s="232"/>
      <c r="Q55" s="242"/>
      <c r="R55" s="242"/>
      <c r="S55" s="232"/>
    </row>
    <row r="56" spans="2:19" ht="12.5">
      <c r="B56" s="232"/>
      <c r="C56" s="324" t="str">
        <f>"   Gross Margin Tax with "&amp;F13&amp;" Basis Point ROE Increase (II C. below)"</f>
        <v xml:space="preserve">   Gross Margin Tax with 0 Basis Point ROE Increase (II C. below)</v>
      </c>
      <c r="D56" s="325"/>
      <c r="E56" s="325"/>
      <c r="F56" s="326">
        <f>+F71</f>
        <v>0</v>
      </c>
      <c r="G56" s="321"/>
      <c r="H56" s="232"/>
      <c r="I56" s="241"/>
      <c r="J56" s="232"/>
      <c r="K56" s="242"/>
      <c r="L56" s="232"/>
      <c r="M56" s="232"/>
      <c r="N56" s="232"/>
      <c r="O56" s="232"/>
      <c r="P56" s="232"/>
      <c r="Q56" s="242"/>
      <c r="R56" s="242"/>
      <c r="S56" s="232"/>
    </row>
    <row r="57" spans="2:19" ht="12.5">
      <c r="B57" s="232"/>
      <c r="C57" s="311" t="s">
        <v>27</v>
      </c>
      <c r="D57" s="240"/>
      <c r="E57" s="232"/>
      <c r="F57" s="327">
        <f>+F55+F56</f>
        <v>86843899.346920505</v>
      </c>
      <c r="G57" s="327"/>
      <c r="H57" s="232"/>
      <c r="I57" s="241"/>
      <c r="J57" s="232"/>
      <c r="K57" s="242"/>
      <c r="L57" s="232"/>
      <c r="M57" s="232"/>
      <c r="N57" s="232"/>
      <c r="O57" s="232"/>
      <c r="P57" s="232"/>
      <c r="Q57" s="242"/>
      <c r="R57" s="242"/>
      <c r="S57" s="232"/>
    </row>
    <row r="58" spans="2:19" ht="12.5">
      <c r="B58" s="232"/>
      <c r="C58" s="247" t="str">
        <f>S121</f>
        <v xml:space="preserve">   Less: Depreciation  (True-Up TCOS, ln 82)</v>
      </c>
      <c r="D58" s="240"/>
      <c r="E58" s="232"/>
      <c r="F58" s="328">
        <f>R121</f>
        <v>20280971.384458408</v>
      </c>
      <c r="G58" s="328"/>
      <c r="H58" s="232"/>
      <c r="I58" s="241"/>
      <c r="J58" s="232"/>
      <c r="K58" s="242"/>
      <c r="L58" s="232"/>
      <c r="M58" s="232"/>
      <c r="N58" s="232"/>
      <c r="O58" s="232"/>
      <c r="P58" s="232"/>
      <c r="Q58" s="242"/>
      <c r="R58" s="242"/>
      <c r="S58" s="232"/>
    </row>
    <row r="59" spans="2:19" ht="12.5">
      <c r="B59" s="232"/>
      <c r="C59" s="311" t="str">
        <f>"   Net Rev. Req, w/"&amp;F13&amp;" Basis Point ROE increase, less Depreciation"</f>
        <v xml:space="preserve">   Net Rev. Req, w/0 Basis Point ROE increase, less Depreciation</v>
      </c>
      <c r="D59" s="240"/>
      <c r="E59" s="232"/>
      <c r="F59" s="296">
        <f>F57-F58</f>
        <v>66562927.962462097</v>
      </c>
      <c r="G59" s="296"/>
      <c r="H59" s="232"/>
      <c r="I59" s="241"/>
      <c r="J59" s="232"/>
      <c r="K59" s="242"/>
      <c r="L59" s="232"/>
      <c r="M59" s="232"/>
      <c r="N59" s="232"/>
      <c r="O59" s="232"/>
      <c r="P59" s="232"/>
      <c r="Q59" s="242"/>
      <c r="R59" s="242"/>
      <c r="S59" s="232"/>
    </row>
    <row r="60" spans="2:19" ht="12.5">
      <c r="B60" s="232"/>
      <c r="C60" s="232"/>
      <c r="D60" s="240"/>
      <c r="E60" s="232"/>
      <c r="F60" s="232"/>
      <c r="G60" s="232"/>
      <c r="H60" s="232"/>
      <c r="I60" s="241"/>
      <c r="J60" s="232"/>
      <c r="K60" s="242"/>
      <c r="L60" s="232"/>
      <c r="M60" s="232"/>
      <c r="N60" s="232"/>
      <c r="O60" s="232"/>
      <c r="P60" s="232"/>
      <c r="Q60" s="242"/>
      <c r="R60" s="242"/>
      <c r="S60" s="232"/>
    </row>
    <row r="61" spans="2:19" ht="15.5">
      <c r="B61" s="232"/>
      <c r="C61" s="330" t="str">
        <f>"C.   Determine Gross Margin Tax with hypothetical "&amp;F13&amp;" basis point increase in ROE."</f>
        <v>C.   Determine Gross Margin Tax with hypothetical 0 basis point increase in ROE.</v>
      </c>
      <c r="D61" s="331"/>
      <c r="E61" s="331"/>
      <c r="F61" s="332"/>
      <c r="G61" s="332"/>
      <c r="H61" s="329"/>
      <c r="I61" s="241"/>
      <c r="J61" s="232"/>
      <c r="K61" s="242"/>
      <c r="L61" s="232"/>
      <c r="M61" s="232"/>
      <c r="N61" s="232"/>
      <c r="O61" s="232"/>
      <c r="P61" s="232"/>
      <c r="Q61" s="242"/>
      <c r="R61" s="242"/>
      <c r="S61" s="232"/>
    </row>
    <row r="62" spans="2:19" ht="12.5">
      <c r="B62" s="232"/>
      <c r="C62" s="324" t="str">
        <f>"   Net Revenue Requirement before Gross Margin Taxes, with "&amp;F13&amp;" "</f>
        <v xml:space="preserve">   Net Revenue Requirement before Gross Margin Taxes, with 0 </v>
      </c>
      <c r="D62" s="331"/>
      <c r="E62" s="331"/>
      <c r="F62" s="332">
        <f>+F55</f>
        <v>86843899.346920505</v>
      </c>
      <c r="G62" s="332"/>
      <c r="H62" s="329"/>
      <c r="I62" s="241"/>
      <c r="J62" s="232"/>
      <c r="K62" s="242"/>
      <c r="L62" s="232"/>
      <c r="M62" s="232"/>
      <c r="N62" s="232"/>
      <c r="O62" s="232"/>
      <c r="P62" s="232"/>
      <c r="Q62" s="242"/>
      <c r="R62" s="242"/>
      <c r="S62" s="232"/>
    </row>
    <row r="63" spans="2:19" ht="12.5">
      <c r="B63" s="232"/>
      <c r="C63" s="324" t="s">
        <v>28</v>
      </c>
      <c r="D63" s="331"/>
      <c r="E63" s="331"/>
      <c r="F63" s="332"/>
      <c r="G63" s="332"/>
      <c r="H63" s="329"/>
      <c r="I63" s="241"/>
      <c r="J63" s="232"/>
      <c r="K63" s="242"/>
      <c r="L63" s="232"/>
      <c r="M63" s="232"/>
      <c r="N63" s="232"/>
      <c r="O63" s="232"/>
      <c r="P63" s="232"/>
      <c r="Q63" s="242"/>
      <c r="R63" s="242"/>
      <c r="S63" s="232"/>
    </row>
    <row r="64" spans="2:19" ht="12.5">
      <c r="B64" s="232"/>
      <c r="C64" s="311" t="str">
        <f>S122</f>
        <v xml:space="preserve">       Apportionment Factor to Texas (Worksheet K, ln 12)</v>
      </c>
      <c r="D64" s="295"/>
      <c r="E64" s="329"/>
      <c r="F64" s="334">
        <f>R122</f>
        <v>0</v>
      </c>
      <c r="G64" s="396"/>
      <c r="H64" s="329"/>
      <c r="I64" s="241"/>
      <c r="J64" s="232"/>
      <c r="K64" s="242"/>
      <c r="L64" s="232"/>
      <c r="M64" s="232"/>
      <c r="N64" s="232"/>
      <c r="O64" s="232"/>
      <c r="P64" s="232"/>
      <c r="Q64" s="242"/>
      <c r="R64" s="242"/>
      <c r="S64" s="232"/>
    </row>
    <row r="65" spans="2:19" ht="12.5">
      <c r="B65" s="232"/>
      <c r="C65" s="311" t="s">
        <v>29</v>
      </c>
      <c r="D65" s="295"/>
      <c r="E65" s="329"/>
      <c r="F65" s="332">
        <f>+F64*F62</f>
        <v>0</v>
      </c>
      <c r="G65" s="332"/>
      <c r="H65" s="329"/>
      <c r="I65" s="241"/>
      <c r="J65" s="232"/>
      <c r="K65" s="242"/>
      <c r="L65" s="232"/>
      <c r="M65" s="232"/>
      <c r="N65" s="232"/>
      <c r="O65" s="232"/>
      <c r="P65" s="232"/>
      <c r="Q65" s="242"/>
      <c r="R65" s="242"/>
      <c r="S65" s="232"/>
    </row>
    <row r="66" spans="2:19" ht="12.5">
      <c r="B66" s="232"/>
      <c r="C66" s="311" t="str">
        <f>+PSO.WS.F.BPU.ATRR.Projected!C66</f>
        <v xml:space="preserve">       Taxable Percentage of Revenue (22%)</v>
      </c>
      <c r="D66" s="295"/>
      <c r="E66" s="329"/>
      <c r="F66" s="335">
        <f>+PSO.WS.F.BPU.ATRR.Projected!F66</f>
        <v>0.22</v>
      </c>
      <c r="G66" s="397"/>
      <c r="H66" s="329"/>
      <c r="I66" s="241"/>
      <c r="J66" s="232"/>
      <c r="K66" s="242"/>
      <c r="L66" s="232"/>
      <c r="M66" s="232"/>
      <c r="N66" s="232"/>
      <c r="O66" s="232"/>
      <c r="P66" s="232"/>
      <c r="Q66" s="242"/>
      <c r="R66" s="242"/>
      <c r="S66" s="232"/>
    </row>
    <row r="67" spans="2:19" ht="12.5">
      <c r="B67" s="232"/>
      <c r="C67" s="311" t="s">
        <v>30</v>
      </c>
      <c r="D67" s="295"/>
      <c r="E67" s="329"/>
      <c r="F67" s="332">
        <f>+F65*F66</f>
        <v>0</v>
      </c>
      <c r="G67" s="332"/>
      <c r="H67" s="329"/>
      <c r="I67" s="241"/>
      <c r="J67" s="232"/>
      <c r="K67" s="242"/>
      <c r="L67" s="232"/>
      <c r="M67" s="232"/>
      <c r="N67" s="232"/>
      <c r="O67" s="232"/>
      <c r="P67" s="232"/>
      <c r="Q67" s="242"/>
      <c r="R67" s="242"/>
      <c r="S67" s="232"/>
    </row>
    <row r="68" spans="2:19" ht="12.5">
      <c r="B68" s="232"/>
      <c r="C68" s="311" t="s">
        <v>31</v>
      </c>
      <c r="D68" s="295"/>
      <c r="E68" s="329"/>
      <c r="F68" s="335">
        <v>0.01</v>
      </c>
      <c r="G68" s="397"/>
      <c r="H68" s="329"/>
      <c r="I68" s="241"/>
      <c r="J68" s="232"/>
      <c r="K68" s="242"/>
      <c r="L68" s="232"/>
      <c r="M68" s="232"/>
      <c r="N68" s="232"/>
      <c r="O68" s="232"/>
      <c r="P68" s="232"/>
      <c r="Q68" s="242"/>
      <c r="R68" s="242"/>
      <c r="S68" s="232"/>
    </row>
    <row r="69" spans="2:19" ht="12.5">
      <c r="B69" s="232"/>
      <c r="C69" s="311" t="s">
        <v>32</v>
      </c>
      <c r="D69" s="295"/>
      <c r="E69" s="329"/>
      <c r="F69" s="332">
        <f>+F67*F68</f>
        <v>0</v>
      </c>
      <c r="G69" s="332"/>
      <c r="H69" s="329"/>
      <c r="I69" s="241"/>
      <c r="J69" s="232"/>
      <c r="K69" s="242"/>
      <c r="L69" s="232"/>
      <c r="M69" s="232"/>
      <c r="N69" s="232"/>
      <c r="O69" s="232"/>
      <c r="P69" s="232"/>
      <c r="Q69" s="242"/>
      <c r="R69" s="242"/>
      <c r="S69" s="232"/>
    </row>
    <row r="70" spans="2:19" ht="12.5">
      <c r="B70" s="232"/>
      <c r="C70" s="311" t="s">
        <v>33</v>
      </c>
      <c r="D70" s="295"/>
      <c r="E70" s="329"/>
      <c r="F70" s="336">
        <f>+ROUND((F69*F66*F64)/(1-F68)*F68,0)</f>
        <v>0</v>
      </c>
      <c r="G70" s="398"/>
      <c r="H70" s="329"/>
      <c r="I70" s="241"/>
      <c r="J70" s="232"/>
      <c r="K70" s="242"/>
      <c r="L70" s="232"/>
      <c r="M70" s="232"/>
      <c r="N70" s="232"/>
      <c r="O70" s="232"/>
      <c r="P70" s="232"/>
      <c r="Q70" s="242"/>
      <c r="R70" s="242"/>
      <c r="S70" s="232"/>
    </row>
    <row r="71" spans="2:19" ht="12.5">
      <c r="B71" s="232"/>
      <c r="C71" s="311" t="s">
        <v>34</v>
      </c>
      <c r="D71" s="295"/>
      <c r="E71" s="329"/>
      <c r="F71" s="332">
        <f>+F69+F70</f>
        <v>0</v>
      </c>
      <c r="G71" s="332"/>
      <c r="H71" s="329"/>
      <c r="I71" s="241"/>
      <c r="J71" s="232"/>
      <c r="K71" s="242"/>
      <c r="L71" s="232"/>
      <c r="M71" s="232"/>
      <c r="N71" s="232"/>
      <c r="O71" s="232"/>
      <c r="P71" s="232"/>
      <c r="Q71" s="242"/>
      <c r="R71" s="242"/>
      <c r="S71" s="232"/>
    </row>
    <row r="72" spans="2:19" ht="12.5">
      <c r="B72" s="232"/>
      <c r="C72" s="232"/>
      <c r="D72" s="240"/>
      <c r="E72" s="232"/>
      <c r="F72" s="232"/>
      <c r="G72" s="232"/>
      <c r="H72" s="232"/>
      <c r="I72" s="241"/>
      <c r="J72" s="232"/>
      <c r="K72" s="242"/>
      <c r="L72" s="232"/>
      <c r="M72" s="232"/>
      <c r="N72" s="232"/>
      <c r="O72" s="232"/>
      <c r="P72" s="232"/>
      <c r="Q72" s="242"/>
      <c r="R72" s="242"/>
      <c r="S72" s="232"/>
    </row>
    <row r="73" spans="2:19" ht="15.5">
      <c r="B73" s="232"/>
      <c r="C73" s="244" t="str">
        <f>"D.   Determine FCR with hypothetical "&amp;F13&amp;" basis point ROE increase."</f>
        <v>D.   Determine FCR with hypothetical 0 basis point ROE increase.</v>
      </c>
      <c r="D73" s="240"/>
      <c r="E73" s="232"/>
      <c r="F73" s="232"/>
      <c r="G73" s="232"/>
      <c r="H73" s="232"/>
      <c r="I73" s="216"/>
      <c r="J73" s="232"/>
      <c r="K73" s="242"/>
      <c r="L73" s="232"/>
      <c r="M73" s="232"/>
      <c r="N73" s="232"/>
      <c r="O73" s="232"/>
      <c r="P73" s="232"/>
      <c r="Q73" s="242"/>
      <c r="R73" s="242"/>
      <c r="S73" s="232"/>
    </row>
    <row r="74" spans="2:19" ht="12.5">
      <c r="B74" s="232"/>
      <c r="C74" s="232"/>
      <c r="D74" s="240"/>
      <c r="E74" s="232"/>
      <c r="F74" s="232"/>
      <c r="G74" s="232"/>
      <c r="H74" s="232"/>
      <c r="I74" s="241"/>
      <c r="J74" s="232"/>
      <c r="K74" s="242"/>
      <c r="L74" s="232"/>
      <c r="M74" s="232"/>
      <c r="N74" s="232"/>
      <c r="O74" s="232"/>
      <c r="P74" s="232"/>
      <c r="Q74" s="242"/>
      <c r="R74" s="242"/>
      <c r="S74" s="232"/>
    </row>
    <row r="75" spans="2:19" ht="12.5">
      <c r="B75" s="232"/>
      <c r="C75" s="305" t="str">
        <f>S123</f>
        <v xml:space="preserve">   Net Transmission Plant  (True-Up TCOS, ln 39)</v>
      </c>
      <c r="D75" s="240"/>
      <c r="E75" s="232"/>
      <c r="F75" s="296">
        <f>R123</f>
        <v>645527388.39246774</v>
      </c>
      <c r="G75" s="296"/>
      <c r="I75" s="216"/>
      <c r="J75" s="232"/>
      <c r="K75" s="242"/>
      <c r="L75" s="232"/>
      <c r="M75" s="232"/>
      <c r="N75" s="232"/>
      <c r="O75" s="232"/>
      <c r="P75" s="232"/>
      <c r="Q75" s="242"/>
      <c r="R75" s="242"/>
      <c r="S75" s="232"/>
    </row>
    <row r="76" spans="2:19" ht="14">
      <c r="B76" s="232"/>
      <c r="C76" s="311" t="str">
        <f>"   Net Revenue Requirement, with "&amp;F13&amp;" Basis Point ROE increase"</f>
        <v xml:space="preserve">   Net Revenue Requirement, with 0 Basis Point ROE increase</v>
      </c>
      <c r="D76" s="240"/>
      <c r="E76" s="232"/>
      <c r="F76" s="399">
        <f>+F57</f>
        <v>86843899.346920505</v>
      </c>
      <c r="G76" s="399"/>
      <c r="I76" s="216"/>
      <c r="J76" s="232"/>
      <c r="K76" s="242"/>
      <c r="L76" s="232"/>
      <c r="M76" s="232"/>
      <c r="N76" s="232"/>
      <c r="O76" s="232"/>
      <c r="P76" s="232"/>
      <c r="Q76" s="242"/>
      <c r="R76" s="242"/>
      <c r="S76" s="232"/>
    </row>
    <row r="77" spans="2:19" ht="12.5">
      <c r="B77" s="232"/>
      <c r="C77" s="311" t="str">
        <f>"   FCR with "&amp;F13&amp;" Basis Point increase in ROE"</f>
        <v xml:space="preserve">   FCR with 0 Basis Point increase in ROE</v>
      </c>
      <c r="D77" s="240"/>
      <c r="E77" s="232"/>
      <c r="F77" s="338">
        <f>IF(F75=0,0,F76/F75)</f>
        <v>0.13453170370227754</v>
      </c>
      <c r="G77" s="338"/>
      <c r="I77" s="216"/>
      <c r="J77" s="232"/>
      <c r="K77" s="242"/>
      <c r="L77" s="232"/>
      <c r="M77" s="232"/>
      <c r="N77" s="232"/>
      <c r="O77" s="232"/>
      <c r="P77" s="232"/>
      <c r="Q77" s="242"/>
      <c r="R77" s="242"/>
      <c r="S77" s="232"/>
    </row>
    <row r="78" spans="2:19" ht="12.5">
      <c r="B78" s="232"/>
      <c r="D78" s="240"/>
      <c r="E78" s="232"/>
      <c r="F78" s="329"/>
      <c r="G78" s="329"/>
      <c r="H78" s="400"/>
      <c r="I78" s="216"/>
      <c r="J78" s="232"/>
      <c r="K78" s="242"/>
      <c r="L78" s="232"/>
      <c r="M78" s="232"/>
      <c r="N78" s="232"/>
      <c r="O78" s="232"/>
      <c r="P78" s="232"/>
      <c r="Q78" s="242"/>
      <c r="R78" s="242"/>
      <c r="S78" s="232"/>
    </row>
    <row r="79" spans="2:19" ht="12.5">
      <c r="B79" s="232"/>
      <c r="C79" s="311" t="str">
        <f>"   Net Rev. Req, w / "&amp;F13&amp;" Basis Point ROE increase, less Dep."</f>
        <v xml:space="preserve">   Net Rev. Req, w / 0 Basis Point ROE increase, less Dep.</v>
      </c>
      <c r="D79" s="240"/>
      <c r="E79" s="232"/>
      <c r="F79" s="296">
        <f>+F59</f>
        <v>66562927.962462097</v>
      </c>
      <c r="G79" s="296"/>
      <c r="I79" s="216"/>
      <c r="J79" s="232"/>
      <c r="K79" s="242"/>
      <c r="L79" s="232"/>
      <c r="M79" s="232"/>
      <c r="N79" s="232"/>
      <c r="O79" s="232"/>
      <c r="P79" s="232"/>
      <c r="Q79" s="242"/>
      <c r="R79" s="242"/>
      <c r="S79" s="232"/>
    </row>
    <row r="80" spans="2:19" ht="12.5">
      <c r="B80" s="232"/>
      <c r="C80" s="311" t="str">
        <f>"   FCR with "&amp;F13&amp;" Basis Point ROE increase, less Depreciation"</f>
        <v xml:space="preserve">   FCR with 0 Basis Point ROE increase, less Depreciation</v>
      </c>
      <c r="D80" s="240"/>
      <c r="E80" s="232"/>
      <c r="F80" s="338">
        <f>IF(F75=0,0,F79/F75)</f>
        <v>0.10311402608063032</v>
      </c>
      <c r="G80" s="338"/>
      <c r="H80" s="245"/>
      <c r="I80" s="216"/>
      <c r="J80" s="232"/>
      <c r="K80" s="242"/>
      <c r="L80" s="232"/>
      <c r="M80" s="232"/>
      <c r="N80" s="232"/>
      <c r="O80" s="232"/>
      <c r="P80" s="232"/>
      <c r="Q80" s="242"/>
      <c r="R80" s="242"/>
      <c r="S80" s="232"/>
    </row>
    <row r="81" spans="2:19" ht="12.5">
      <c r="B81" s="232"/>
      <c r="C81" s="305" t="str">
        <f>S124</f>
        <v xml:space="preserve">   FCR less Depreciation  (True-Up TCOS, ln 12)</v>
      </c>
      <c r="D81" s="240"/>
      <c r="E81" s="232"/>
      <c r="F81" s="339">
        <f>R124</f>
        <v>0.10311402608063032</v>
      </c>
      <c r="G81" s="339"/>
      <c r="H81" s="401"/>
      <c r="I81" s="216"/>
      <c r="J81" s="232"/>
      <c r="K81" s="242"/>
      <c r="L81" s="232"/>
      <c r="M81" s="232"/>
      <c r="N81" s="232"/>
      <c r="O81" s="232"/>
      <c r="P81" s="232"/>
      <c r="Q81" s="242"/>
      <c r="R81" s="242"/>
      <c r="S81" s="232"/>
    </row>
    <row r="82" spans="2:19" ht="12.5">
      <c r="B82" s="232"/>
      <c r="C82" s="311" t="str">
        <f>"   Incremental FCR with "&amp;F13&amp;" Basis Point ROE increase, less Depreciation"</f>
        <v xml:space="preserve">   Incremental FCR with 0 Basis Point ROE increase, less Depreciation</v>
      </c>
      <c r="D82" s="240"/>
      <c r="E82" s="232"/>
      <c r="F82" s="338">
        <f>F80-F81</f>
        <v>0</v>
      </c>
      <c r="G82" s="338"/>
      <c r="I82" s="216"/>
      <c r="J82" s="232"/>
      <c r="K82" s="242"/>
      <c r="L82" s="232"/>
      <c r="M82" s="232"/>
      <c r="N82" s="232"/>
      <c r="O82" s="232"/>
      <c r="P82" s="232"/>
      <c r="Q82" s="242"/>
      <c r="R82" s="242"/>
      <c r="S82" s="232"/>
    </row>
    <row r="83" spans="2:19" ht="12.5">
      <c r="B83" s="232"/>
      <c r="C83" s="311"/>
      <c r="D83" s="240"/>
      <c r="E83" s="232"/>
      <c r="F83" s="338"/>
      <c r="G83" s="338"/>
      <c r="H83" s="232"/>
      <c r="I83" s="241"/>
      <c r="J83" s="232"/>
      <c r="K83" s="242"/>
      <c r="L83" s="232"/>
      <c r="M83" s="232"/>
      <c r="N83" s="232"/>
      <c r="O83" s="232"/>
      <c r="P83" s="232"/>
      <c r="Q83" s="242"/>
      <c r="R83" s="242"/>
      <c r="S83" s="232"/>
    </row>
    <row r="84" spans="2:19" ht="18">
      <c r="B84" s="302" t="s">
        <v>35</v>
      </c>
      <c r="C84" s="303" t="s">
        <v>36</v>
      </c>
      <c r="D84" s="240"/>
      <c r="E84" s="232"/>
      <c r="F84" s="338"/>
      <c r="G84" s="338"/>
      <c r="H84" s="232"/>
      <c r="I84" s="241"/>
      <c r="J84" s="232"/>
      <c r="K84" s="242"/>
      <c r="L84" s="232"/>
      <c r="M84" s="232"/>
      <c r="N84" s="232"/>
      <c r="O84" s="232"/>
      <c r="P84" s="232"/>
      <c r="Q84" s="242"/>
      <c r="R84" s="242"/>
      <c r="S84" s="232"/>
    </row>
    <row r="85" spans="2:19" ht="12.75" customHeight="1">
      <c r="B85" s="302"/>
      <c r="C85" s="303"/>
      <c r="D85" s="240"/>
      <c r="E85" s="232"/>
      <c r="F85" s="338"/>
      <c r="G85" s="338"/>
      <c r="H85" s="232"/>
      <c r="I85" s="241"/>
      <c r="J85" s="232"/>
      <c r="K85" s="242"/>
      <c r="L85" s="232"/>
      <c r="M85" s="232"/>
      <c r="N85" s="232"/>
      <c r="O85" s="232"/>
      <c r="P85" s="232"/>
      <c r="Q85" s="242"/>
      <c r="R85" s="242"/>
      <c r="S85" s="232"/>
    </row>
    <row r="86" spans="2:19" ht="12.75" customHeight="1">
      <c r="B86" s="302"/>
      <c r="C86" s="311" t="s">
        <v>37</v>
      </c>
      <c r="D86" s="240"/>
      <c r="F86" s="333">
        <f>R125</f>
        <v>892407778</v>
      </c>
      <c r="G86" s="232" t="s">
        <v>283</v>
      </c>
      <c r="I86" s="241"/>
      <c r="J86" s="232"/>
      <c r="K86" s="242"/>
      <c r="L86" s="232"/>
      <c r="M86" s="232"/>
      <c r="N86" s="232"/>
      <c r="O86" s="232"/>
      <c r="P86" s="232"/>
      <c r="Q86" s="242"/>
      <c r="R86" s="242"/>
      <c r="S86" s="232"/>
    </row>
    <row r="87" spans="2:19" ht="12.75" customHeight="1">
      <c r="B87" s="302"/>
      <c r="C87" s="311" t="s">
        <v>38</v>
      </c>
      <c r="D87" s="240"/>
      <c r="F87" s="340">
        <f>R126</f>
        <v>948661097</v>
      </c>
      <c r="G87" s="232" t="s">
        <v>283</v>
      </c>
      <c r="I87" s="241"/>
      <c r="J87" s="232"/>
      <c r="K87" s="242"/>
      <c r="L87" s="232"/>
      <c r="M87" s="232"/>
      <c r="N87" s="232"/>
      <c r="O87" s="232"/>
      <c r="P87" s="232"/>
      <c r="Q87" s="242"/>
      <c r="R87" s="242"/>
      <c r="S87" s="232"/>
    </row>
    <row r="88" spans="2:19" ht="12.75" customHeight="1">
      <c r="B88" s="302"/>
      <c r="C88" s="311"/>
      <c r="D88" s="240"/>
      <c r="F88" s="241">
        <f>+F87+F86</f>
        <v>1841068875</v>
      </c>
      <c r="G88" s="241"/>
      <c r="H88" s="232"/>
      <c r="I88" s="241"/>
      <c r="J88" s="232"/>
      <c r="K88" s="242"/>
      <c r="L88" s="232"/>
      <c r="M88" s="232"/>
      <c r="N88" s="232"/>
      <c r="O88" s="232"/>
      <c r="P88" s="232"/>
      <c r="Q88" s="242"/>
      <c r="R88" s="242"/>
      <c r="S88" s="232"/>
    </row>
    <row r="89" spans="2:19" ht="12.5">
      <c r="B89" s="232"/>
      <c r="C89" s="311" t="str">
        <f>+S127</f>
        <v>Transmission Plant Average Balance for 2018</v>
      </c>
      <c r="D89" s="295"/>
      <c r="E89" s="155"/>
      <c r="F89" s="322">
        <f>+F88/2</f>
        <v>920534437.5</v>
      </c>
      <c r="G89" s="322"/>
      <c r="I89" s="241"/>
      <c r="J89" s="232"/>
      <c r="K89" s="242"/>
      <c r="L89" s="232"/>
      <c r="M89" s="232"/>
      <c r="N89" s="232"/>
      <c r="O89" s="232"/>
      <c r="P89" s="232"/>
      <c r="Q89" s="242"/>
      <c r="R89" s="242"/>
      <c r="S89" s="232"/>
    </row>
    <row r="90" spans="2:19" ht="12.5">
      <c r="B90" s="232"/>
      <c r="C90" s="247" t="str">
        <f>S128</f>
        <v>Annual Depreciation Expense  (True-Up TCOS, ln 82)</v>
      </c>
      <c r="D90" s="295"/>
      <c r="E90" s="329"/>
      <c r="F90" s="322">
        <f>R128</f>
        <v>22197738</v>
      </c>
      <c r="G90" s="322"/>
      <c r="I90" s="241"/>
      <c r="J90" s="232"/>
      <c r="K90" s="242"/>
      <c r="L90" s="232"/>
      <c r="M90" s="232"/>
      <c r="N90" s="232"/>
      <c r="O90" s="232"/>
      <c r="P90" s="232"/>
      <c r="Q90" s="242"/>
      <c r="R90" s="242"/>
      <c r="S90" s="232"/>
    </row>
    <row r="91" spans="2:19" ht="12.5">
      <c r="B91" s="232"/>
      <c r="C91" s="311" t="s">
        <v>39</v>
      </c>
      <c r="D91" s="240"/>
      <c r="E91" s="232"/>
      <c r="F91" s="338">
        <f>IF(F89=0,0,F90/F89)</f>
        <v>2.4113968033922684E-2</v>
      </c>
      <c r="G91" s="338"/>
      <c r="H91" s="232"/>
      <c r="I91" s="342"/>
      <c r="J91" s="232"/>
      <c r="K91" s="242"/>
      <c r="L91" s="232"/>
      <c r="M91" s="232"/>
      <c r="N91" s="232"/>
      <c r="O91" s="232"/>
      <c r="P91" s="232"/>
      <c r="Q91" s="242"/>
      <c r="R91" s="242"/>
      <c r="S91" s="232"/>
    </row>
    <row r="92" spans="2:19" ht="12.5">
      <c r="B92" s="232"/>
      <c r="C92" s="311" t="s">
        <v>40</v>
      </c>
      <c r="D92" s="240"/>
      <c r="E92" s="232"/>
      <c r="F92" s="343">
        <f>IF(F91=0,0,1/F91)</f>
        <v>41.469740633032075</v>
      </c>
      <c r="G92" s="343"/>
      <c r="H92" s="232"/>
      <c r="I92" s="241"/>
      <c r="J92" s="232"/>
      <c r="K92" s="242"/>
      <c r="L92" s="232"/>
      <c r="M92" s="232"/>
      <c r="N92" s="232"/>
      <c r="O92" s="232"/>
      <c r="P92" s="232"/>
      <c r="Q92" s="242"/>
      <c r="R92" s="242"/>
      <c r="S92" s="232"/>
    </row>
    <row r="93" spans="2:19" ht="12.5">
      <c r="B93" s="232"/>
      <c r="C93" s="311" t="s">
        <v>41</v>
      </c>
      <c r="D93" s="240"/>
      <c r="E93" s="232"/>
      <c r="F93" s="344">
        <f>ROUND(F92,0)</f>
        <v>41</v>
      </c>
      <c r="G93" s="344"/>
      <c r="H93" s="232"/>
      <c r="I93" s="241"/>
      <c r="J93" s="232"/>
      <c r="K93" s="242"/>
      <c r="L93" s="232"/>
      <c r="M93" s="232"/>
      <c r="N93" s="232"/>
      <c r="O93" s="232"/>
      <c r="P93" s="232"/>
      <c r="Q93" s="242"/>
      <c r="R93" s="242"/>
      <c r="S93" s="232"/>
    </row>
    <row r="94" spans="2:19" ht="12.5">
      <c r="B94" s="232"/>
      <c r="C94" s="311"/>
      <c r="D94" s="240"/>
      <c r="E94" s="232"/>
      <c r="F94" s="344"/>
      <c r="G94" s="344"/>
      <c r="H94" s="232"/>
      <c r="I94" s="241"/>
      <c r="J94" s="232"/>
      <c r="K94" s="242"/>
      <c r="L94" s="232"/>
      <c r="M94" s="232"/>
      <c r="N94" s="232"/>
      <c r="O94" s="232"/>
      <c r="P94" s="232"/>
      <c r="Q94" s="242"/>
      <c r="R94" s="242"/>
      <c r="S94" s="232"/>
    </row>
    <row r="95" spans="2:19" ht="12.5">
      <c r="B95" s="232"/>
      <c r="C95" s="311"/>
      <c r="D95" s="240"/>
      <c r="E95" s="232"/>
      <c r="F95" s="344"/>
      <c r="G95" s="344"/>
      <c r="H95" s="232"/>
      <c r="I95" s="241"/>
      <c r="J95" s="232"/>
      <c r="K95" s="242"/>
      <c r="L95" s="232"/>
      <c r="M95" s="232"/>
      <c r="N95" s="232"/>
      <c r="O95" s="232"/>
      <c r="P95" s="232"/>
      <c r="Q95" s="242"/>
      <c r="R95" s="242"/>
      <c r="S95" s="232"/>
    </row>
    <row r="96" spans="2:19" ht="12.5">
      <c r="B96" s="232"/>
      <c r="C96" s="311"/>
      <c r="D96" s="240"/>
      <c r="E96" s="232"/>
      <c r="F96" s="344"/>
      <c r="G96" s="344"/>
      <c r="H96" s="232"/>
      <c r="I96" s="241"/>
      <c r="J96" s="232"/>
      <c r="K96" s="242"/>
      <c r="L96" s="232"/>
      <c r="M96" s="232"/>
      <c r="N96" s="232"/>
      <c r="O96" s="232"/>
      <c r="P96" s="232"/>
      <c r="Q96" s="242"/>
      <c r="R96" s="242"/>
      <c r="S96" s="232"/>
    </row>
    <row r="97" spans="3:19" ht="13">
      <c r="C97" s="232"/>
      <c r="D97" s="240"/>
      <c r="E97" s="232"/>
      <c r="F97" s="232"/>
      <c r="G97" s="232"/>
      <c r="H97" s="232"/>
      <c r="I97" s="241"/>
      <c r="J97" s="232"/>
      <c r="K97" s="242"/>
      <c r="L97" s="232"/>
      <c r="M97" s="232"/>
      <c r="N97" s="232"/>
      <c r="O97" s="232"/>
      <c r="P97" s="232"/>
      <c r="Q97" s="242"/>
      <c r="R97" s="349" t="s">
        <v>126</v>
      </c>
      <c r="S97" s="233" t="s">
        <v>132</v>
      </c>
    </row>
    <row r="98" spans="3:19" ht="12.5">
      <c r="C98" s="232"/>
      <c r="D98" s="240"/>
      <c r="E98" s="232"/>
      <c r="F98" s="232"/>
      <c r="G98" s="232"/>
      <c r="H98" s="232"/>
      <c r="I98" s="241"/>
      <c r="J98" s="232"/>
      <c r="K98" s="242"/>
      <c r="L98" s="232"/>
      <c r="M98" s="232"/>
      <c r="N98" s="232"/>
      <c r="O98" s="232"/>
      <c r="P98" s="232"/>
      <c r="Q98" s="242"/>
    </row>
    <row r="99" spans="3:19" ht="13">
      <c r="C99" s="239" t="s">
        <v>122</v>
      </c>
      <c r="J99" s="195"/>
      <c r="L99" s="239" t="s">
        <v>121</v>
      </c>
      <c r="N99" s="232"/>
      <c r="O99" s="232"/>
      <c r="P99" s="232"/>
      <c r="Q99" s="242"/>
    </row>
    <row r="100" spans="3:19" ht="12.5">
      <c r="C100" s="232"/>
      <c r="D100" s="240"/>
      <c r="E100" s="232"/>
      <c r="F100" s="232"/>
      <c r="G100" s="232"/>
      <c r="H100" s="232"/>
      <c r="I100" s="241"/>
      <c r="J100" s="232"/>
      <c r="K100" s="242"/>
      <c r="L100" s="232"/>
      <c r="M100" s="232"/>
      <c r="N100" s="232"/>
      <c r="O100" s="232"/>
      <c r="P100" s="232"/>
      <c r="Q100" s="242"/>
      <c r="S100" s="233" t="s">
        <v>119</v>
      </c>
    </row>
    <row r="101" spans="3:19" ht="13">
      <c r="C101" s="232"/>
      <c r="D101" s="240"/>
      <c r="E101" s="232"/>
      <c r="F101" s="232"/>
      <c r="G101" s="232"/>
      <c r="H101" s="232"/>
      <c r="I101" s="241"/>
      <c r="J101" s="232"/>
      <c r="K101" s="242"/>
      <c r="L101" s="232"/>
      <c r="M101" s="232"/>
      <c r="N101" s="232"/>
      <c r="O101" s="232"/>
      <c r="P101" s="232"/>
      <c r="Q101" s="242"/>
      <c r="R101" s="349" t="s">
        <v>115</v>
      </c>
      <c r="S101" s="203" t="s">
        <v>135</v>
      </c>
    </row>
    <row r="102" spans="3:19" ht="13.5" thickBot="1">
      <c r="C102" s="232"/>
      <c r="D102" s="240"/>
      <c r="E102" s="232"/>
      <c r="F102" s="232"/>
      <c r="G102" s="232"/>
      <c r="H102" s="232"/>
      <c r="I102" s="241"/>
      <c r="J102" s="232"/>
      <c r="K102" s="242"/>
      <c r="L102" s="232"/>
      <c r="M102" s="232"/>
      <c r="N102" s="232"/>
      <c r="O102" s="232"/>
      <c r="P102" s="232"/>
      <c r="Q102" s="242"/>
      <c r="R102" s="350" t="s">
        <v>227</v>
      </c>
    </row>
    <row r="103" spans="3:19" ht="12.5">
      <c r="C103" s="232"/>
      <c r="D103" s="240"/>
      <c r="E103" s="232"/>
      <c r="F103" s="232"/>
      <c r="G103" s="232"/>
      <c r="H103" s="232"/>
      <c r="I103" s="241"/>
      <c r="J103" s="232"/>
      <c r="K103" s="242"/>
      <c r="L103" s="232"/>
      <c r="M103" s="232"/>
      <c r="N103" s="232"/>
      <c r="O103" s="232"/>
      <c r="P103" s="232"/>
      <c r="Q103" s="242"/>
      <c r="R103" s="402" t="s">
        <v>212</v>
      </c>
      <c r="S103" s="403" t="s">
        <v>143</v>
      </c>
    </row>
    <row r="104" spans="3:19" ht="12.5">
      <c r="C104" s="232"/>
      <c r="D104" s="240"/>
      <c r="E104" s="232"/>
      <c r="F104" s="232"/>
      <c r="G104" s="232"/>
      <c r="H104" s="232"/>
      <c r="I104" s="241"/>
      <c r="J104" s="232"/>
      <c r="K104" s="242"/>
      <c r="L104" s="232"/>
      <c r="M104" s="232"/>
      <c r="N104" s="232"/>
      <c r="O104" s="232"/>
      <c r="P104" s="232"/>
      <c r="Q104" s="242"/>
      <c r="R104" s="404">
        <v>2019</v>
      </c>
      <c r="S104" s="272" t="s">
        <v>94</v>
      </c>
    </row>
    <row r="105" spans="3:19" ht="12.5">
      <c r="C105" s="232"/>
      <c r="D105" s="240"/>
      <c r="E105" s="232"/>
      <c r="F105" s="232"/>
      <c r="G105" s="232"/>
      <c r="H105" s="232"/>
      <c r="I105" s="241"/>
      <c r="J105" s="232"/>
      <c r="K105" s="242"/>
      <c r="L105" s="232"/>
      <c r="M105" s="232"/>
      <c r="N105" s="232"/>
      <c r="O105" s="232"/>
      <c r="P105" s="232"/>
      <c r="Q105" s="242"/>
      <c r="R105" s="405">
        <v>0.105</v>
      </c>
      <c r="S105" s="354" t="s">
        <v>311</v>
      </c>
    </row>
    <row r="106" spans="3:19" ht="12.5">
      <c r="C106" s="232"/>
      <c r="D106" s="240"/>
      <c r="E106" s="232"/>
      <c r="F106" s="232"/>
      <c r="G106" s="232"/>
      <c r="H106" s="232"/>
      <c r="I106" s="241"/>
      <c r="J106" s="232"/>
      <c r="K106" s="242"/>
      <c r="L106" s="232"/>
      <c r="M106" s="232"/>
      <c r="N106" s="232"/>
      <c r="O106" s="232"/>
      <c r="P106" s="232"/>
      <c r="Q106" s="242"/>
      <c r="R106" s="406">
        <v>0</v>
      </c>
      <c r="S106" s="354" t="s">
        <v>1</v>
      </c>
    </row>
    <row r="107" spans="3:19" ht="12.5">
      <c r="C107" s="232"/>
      <c r="D107" s="240"/>
      <c r="E107" s="232"/>
      <c r="F107" s="232"/>
      <c r="G107" s="232"/>
      <c r="H107" s="232"/>
      <c r="I107" s="241"/>
      <c r="J107" s="232"/>
      <c r="K107" s="242"/>
      <c r="L107" s="232"/>
      <c r="M107" s="232"/>
      <c r="N107" s="232"/>
      <c r="O107" s="232"/>
      <c r="P107" s="232"/>
      <c r="Q107" s="242"/>
      <c r="R107" s="405">
        <v>0.51594421374413535</v>
      </c>
      <c r="S107" s="358" t="s">
        <v>109</v>
      </c>
    </row>
    <row r="108" spans="3:19" ht="12.5">
      <c r="C108" s="232"/>
      <c r="D108" s="240"/>
      <c r="E108" s="232"/>
      <c r="F108" s="232"/>
      <c r="G108" s="232"/>
      <c r="H108" s="232"/>
      <c r="I108" s="241"/>
      <c r="J108" s="232"/>
      <c r="K108" s="242"/>
      <c r="L108" s="232"/>
      <c r="M108" s="232"/>
      <c r="N108" s="232"/>
      <c r="O108" s="232"/>
      <c r="P108" s="232"/>
      <c r="Q108" s="242"/>
      <c r="R108" s="407">
        <v>4.5957173907919965E-2</v>
      </c>
      <c r="S108" s="358" t="s">
        <v>110</v>
      </c>
    </row>
    <row r="109" spans="3:19" ht="12.5">
      <c r="C109" s="232"/>
      <c r="D109" s="240"/>
      <c r="E109" s="232"/>
      <c r="F109" s="232"/>
      <c r="G109" s="232"/>
      <c r="H109" s="232"/>
      <c r="I109" s="241"/>
      <c r="J109" s="232"/>
      <c r="K109" s="242"/>
      <c r="L109" s="232"/>
      <c r="M109" s="232"/>
      <c r="N109" s="232"/>
      <c r="O109" s="232"/>
      <c r="P109" s="232"/>
      <c r="Q109" s="242"/>
      <c r="R109" s="405">
        <v>0</v>
      </c>
      <c r="S109" s="358" t="s">
        <v>111</v>
      </c>
    </row>
    <row r="110" spans="3:19" ht="12.5">
      <c r="C110" s="232"/>
      <c r="D110" s="240"/>
      <c r="E110" s="232"/>
      <c r="F110" s="232"/>
      <c r="G110" s="232"/>
      <c r="H110" s="232"/>
      <c r="I110" s="241"/>
      <c r="J110" s="232"/>
      <c r="K110" s="242"/>
      <c r="L110" s="232"/>
      <c r="M110" s="232"/>
      <c r="N110" s="232"/>
      <c r="O110" s="232"/>
      <c r="P110" s="232"/>
      <c r="Q110" s="242"/>
      <c r="R110" s="407">
        <v>0</v>
      </c>
      <c r="S110" s="358" t="s">
        <v>112</v>
      </c>
    </row>
    <row r="111" spans="3:19" ht="12.5">
      <c r="C111" s="232"/>
      <c r="D111" s="240"/>
      <c r="E111" s="232"/>
      <c r="F111" s="232"/>
      <c r="G111" s="232"/>
      <c r="H111" s="232"/>
      <c r="I111" s="241"/>
      <c r="J111" s="232"/>
      <c r="K111" s="242"/>
      <c r="L111" s="232"/>
      <c r="M111" s="232"/>
      <c r="N111" s="232"/>
      <c r="O111" s="232"/>
      <c r="P111" s="232"/>
      <c r="Q111" s="242"/>
      <c r="R111" s="405">
        <v>0.48405578625586471</v>
      </c>
      <c r="S111" s="359" t="s">
        <v>113</v>
      </c>
    </row>
    <row r="112" spans="3:19" ht="12.5">
      <c r="C112" s="232"/>
      <c r="D112" s="240"/>
      <c r="E112" s="232"/>
      <c r="F112" s="232"/>
      <c r="G112" s="232"/>
      <c r="H112" s="232"/>
      <c r="I112" s="241"/>
      <c r="J112" s="232"/>
      <c r="K112" s="242"/>
      <c r="L112" s="232"/>
      <c r="M112" s="232"/>
      <c r="N112" s="232"/>
      <c r="O112" s="232"/>
      <c r="P112" s="232"/>
      <c r="Q112" s="242"/>
      <c r="R112" s="360">
        <v>480313816.37099826</v>
      </c>
      <c r="S112" s="408" t="s">
        <v>232</v>
      </c>
    </row>
    <row r="113" spans="3:19" ht="12.5">
      <c r="C113" s="232"/>
      <c r="D113" s="240"/>
      <c r="E113" s="232"/>
      <c r="F113" s="232"/>
      <c r="G113" s="232"/>
      <c r="H113" s="232"/>
      <c r="I113" s="241"/>
      <c r="J113" s="232"/>
      <c r="K113" s="242"/>
      <c r="L113" s="232"/>
      <c r="M113" s="232"/>
      <c r="N113" s="232"/>
      <c r="O113" s="232"/>
      <c r="P113" s="232"/>
      <c r="Q113" s="242"/>
      <c r="R113" s="362">
        <v>0.25289699999999993</v>
      </c>
      <c r="S113" s="409" t="s">
        <v>312</v>
      </c>
    </row>
    <row r="114" spans="3:19" ht="12.5">
      <c r="C114" s="232"/>
      <c r="D114" s="240"/>
      <c r="E114" s="232"/>
      <c r="F114" s="232"/>
      <c r="G114" s="232"/>
      <c r="H114" s="232"/>
      <c r="I114" s="241"/>
      <c r="J114" s="232"/>
      <c r="K114" s="242"/>
      <c r="L114" s="232"/>
      <c r="M114" s="232"/>
      <c r="N114" s="232"/>
      <c r="O114" s="232"/>
      <c r="P114" s="232"/>
      <c r="Q114" s="242"/>
      <c r="R114" s="360">
        <v>-541451.51302864379</v>
      </c>
      <c r="S114" s="409" t="s">
        <v>313</v>
      </c>
    </row>
    <row r="115" spans="3:19" ht="12.5">
      <c r="C115" s="232"/>
      <c r="D115" s="240"/>
      <c r="E115" s="232"/>
      <c r="F115" s="232"/>
      <c r="G115" s="232"/>
      <c r="H115" s="232"/>
      <c r="I115" s="241"/>
      <c r="J115" s="232"/>
      <c r="K115" s="242"/>
      <c r="L115" s="232"/>
      <c r="M115" s="232"/>
      <c r="N115" s="232"/>
      <c r="O115" s="232"/>
      <c r="P115" s="232"/>
      <c r="Q115" s="242"/>
      <c r="R115" s="360">
        <v>-4199677.1529494589</v>
      </c>
      <c r="S115" s="410" t="s">
        <v>324</v>
      </c>
    </row>
    <row r="116" spans="3:19" ht="12.5">
      <c r="C116" s="232"/>
      <c r="D116" s="240"/>
      <c r="E116" s="232"/>
      <c r="F116" s="232"/>
      <c r="G116" s="232"/>
      <c r="H116" s="232"/>
      <c r="I116" s="241"/>
      <c r="J116" s="232"/>
      <c r="K116" s="242"/>
      <c r="L116" s="232"/>
      <c r="M116" s="232"/>
      <c r="N116" s="232"/>
      <c r="O116" s="232"/>
      <c r="P116" s="232"/>
      <c r="Q116" s="242"/>
      <c r="R116" s="360">
        <v>79136.317214627692</v>
      </c>
      <c r="S116" s="410" t="s">
        <v>325</v>
      </c>
    </row>
    <row r="117" spans="3:19" ht="12.5">
      <c r="C117" s="232"/>
      <c r="D117" s="240"/>
      <c r="E117" s="232"/>
      <c r="F117" s="232"/>
      <c r="G117" s="232"/>
      <c r="H117" s="232"/>
      <c r="I117" s="241"/>
      <c r="J117" s="232"/>
      <c r="K117" s="242"/>
      <c r="L117" s="232"/>
      <c r="M117" s="232"/>
      <c r="N117" s="232"/>
      <c r="O117" s="232"/>
      <c r="P117" s="232"/>
      <c r="Q117" s="242"/>
      <c r="R117" s="360">
        <v>86843899.346920505</v>
      </c>
      <c r="S117" s="409" t="s">
        <v>314</v>
      </c>
    </row>
    <row r="118" spans="3:19" ht="12.5">
      <c r="C118" s="232"/>
      <c r="D118" s="240"/>
      <c r="E118" s="232"/>
      <c r="F118" s="232"/>
      <c r="G118" s="232"/>
      <c r="H118" s="232"/>
      <c r="I118" s="241"/>
      <c r="J118" s="232"/>
      <c r="K118" s="242"/>
      <c r="L118" s="232"/>
      <c r="M118" s="232"/>
      <c r="N118" s="232"/>
      <c r="O118" s="232"/>
      <c r="P118" s="232"/>
      <c r="Q118" s="242"/>
      <c r="R118" s="360">
        <v>35801244.839252032</v>
      </c>
      <c r="S118" s="409" t="s">
        <v>315</v>
      </c>
    </row>
    <row r="119" spans="3:19" ht="12.5">
      <c r="C119" s="232"/>
      <c r="D119" s="240"/>
      <c r="E119" s="232"/>
      <c r="F119" s="232"/>
      <c r="G119" s="232"/>
      <c r="H119" s="232"/>
      <c r="I119" s="241"/>
      <c r="J119" s="232"/>
      <c r="K119" s="242"/>
      <c r="L119" s="232"/>
      <c r="M119" s="232"/>
      <c r="N119" s="232"/>
      <c r="O119" s="232"/>
      <c r="P119" s="232"/>
      <c r="Q119" s="242"/>
      <c r="R119" s="360">
        <v>3601678.1424016636</v>
      </c>
      <c r="S119" s="409" t="s">
        <v>316</v>
      </c>
    </row>
    <row r="120" spans="3:19" ht="12.5">
      <c r="C120" s="232"/>
      <c r="D120" s="240"/>
      <c r="E120" s="232"/>
      <c r="F120" s="232"/>
      <c r="G120" s="232"/>
      <c r="H120" s="232"/>
      <c r="I120" s="241"/>
      <c r="J120" s="232"/>
      <c r="K120" s="242"/>
      <c r="L120" s="232"/>
      <c r="M120" s="232"/>
      <c r="N120" s="232"/>
      <c r="O120" s="232"/>
      <c r="P120" s="232"/>
      <c r="Q120" s="242"/>
      <c r="R120" s="360">
        <v>0</v>
      </c>
      <c r="S120" s="409" t="s">
        <v>317</v>
      </c>
    </row>
    <row r="121" spans="3:19" ht="12.5">
      <c r="C121" s="232"/>
      <c r="D121" s="240"/>
      <c r="E121" s="232"/>
      <c r="F121" s="232"/>
      <c r="G121" s="232"/>
      <c r="H121" s="232"/>
      <c r="I121" s="241"/>
      <c r="J121" s="232"/>
      <c r="K121" s="242"/>
      <c r="L121" s="232"/>
      <c r="M121" s="232"/>
      <c r="N121" s="232"/>
      <c r="O121" s="232"/>
      <c r="P121" s="232"/>
      <c r="Q121" s="242"/>
      <c r="R121" s="360">
        <v>20280971.384458408</v>
      </c>
      <c r="S121" s="409" t="s">
        <v>318</v>
      </c>
    </row>
    <row r="122" spans="3:19" ht="12.5">
      <c r="C122" s="232"/>
      <c r="D122" s="240"/>
      <c r="E122" s="232"/>
      <c r="F122" s="232"/>
      <c r="G122" s="232"/>
      <c r="H122" s="232"/>
      <c r="I122" s="241"/>
      <c r="J122" s="232"/>
      <c r="K122" s="242"/>
      <c r="L122" s="232"/>
      <c r="M122" s="232"/>
      <c r="N122" s="232"/>
      <c r="O122" s="232"/>
      <c r="P122" s="232"/>
      <c r="Q122" s="242"/>
      <c r="R122" s="362">
        <v>0</v>
      </c>
      <c r="S122" s="409" t="s">
        <v>118</v>
      </c>
    </row>
    <row r="123" spans="3:19" ht="12.5">
      <c r="C123" s="232"/>
      <c r="D123" s="240"/>
      <c r="E123" s="232"/>
      <c r="F123" s="232"/>
      <c r="G123" s="232"/>
      <c r="H123" s="232"/>
      <c r="I123" s="241"/>
      <c r="J123" s="232"/>
      <c r="K123" s="242"/>
      <c r="L123" s="232"/>
      <c r="M123" s="232"/>
      <c r="N123" s="232"/>
      <c r="O123" s="232"/>
      <c r="P123" s="232"/>
      <c r="Q123" s="242"/>
      <c r="R123" s="360">
        <v>645527388.39246774</v>
      </c>
      <c r="S123" s="409" t="s">
        <v>233</v>
      </c>
    </row>
    <row r="124" spans="3:19" ht="12.5">
      <c r="C124" s="232"/>
      <c r="D124" s="240"/>
      <c r="E124" s="232"/>
      <c r="F124" s="232"/>
      <c r="G124" s="232"/>
      <c r="H124" s="232"/>
      <c r="I124" s="241"/>
      <c r="J124" s="232"/>
      <c r="K124" s="242"/>
      <c r="L124" s="232"/>
      <c r="M124" s="232"/>
      <c r="N124" s="232"/>
      <c r="O124" s="232"/>
      <c r="P124" s="232"/>
      <c r="Q124" s="242"/>
      <c r="R124" s="362">
        <v>0.10311402608063032</v>
      </c>
      <c r="S124" s="365" t="s">
        <v>234</v>
      </c>
    </row>
    <row r="125" spans="3:19" ht="12.5">
      <c r="C125" s="232"/>
      <c r="D125" s="240"/>
      <c r="E125" s="232"/>
      <c r="F125" s="232"/>
      <c r="G125" s="232"/>
      <c r="H125" s="232"/>
      <c r="I125" s="241"/>
      <c r="J125" s="232"/>
      <c r="K125" s="242"/>
      <c r="L125" s="232"/>
      <c r="M125" s="232"/>
      <c r="N125" s="232"/>
      <c r="O125" s="232"/>
      <c r="P125" s="232"/>
      <c r="Q125" s="242"/>
      <c r="R125" s="411">
        <v>892407778</v>
      </c>
      <c r="S125" s="358" t="s">
        <v>37</v>
      </c>
    </row>
    <row r="126" spans="3:19" ht="12.5">
      <c r="C126" s="232"/>
      <c r="D126" s="240"/>
      <c r="E126" s="232"/>
      <c r="F126" s="232"/>
      <c r="G126" s="232"/>
      <c r="H126" s="232"/>
      <c r="I126" s="241"/>
      <c r="J126" s="232"/>
      <c r="K126" s="242"/>
      <c r="L126" s="232"/>
      <c r="M126" s="232"/>
      <c r="N126" s="232"/>
      <c r="O126" s="232"/>
      <c r="P126" s="232"/>
      <c r="Q126" s="242"/>
      <c r="R126" s="412">
        <v>948661097</v>
      </c>
      <c r="S126" s="359" t="s">
        <v>38</v>
      </c>
    </row>
    <row r="127" spans="3:19" ht="12.5">
      <c r="C127" s="232"/>
      <c r="D127" s="240"/>
      <c r="E127" s="232"/>
      <c r="F127" s="232"/>
      <c r="G127" s="232"/>
      <c r="H127" s="232"/>
      <c r="I127" s="241"/>
      <c r="J127" s="232"/>
      <c r="K127" s="242"/>
      <c r="L127" s="232"/>
      <c r="M127" s="232"/>
      <c r="N127" s="232"/>
      <c r="O127" s="232"/>
      <c r="P127" s="232"/>
      <c r="Q127" s="242"/>
      <c r="R127" s="412">
        <v>915403759.15384614</v>
      </c>
      <c r="S127" s="367" t="s">
        <v>323</v>
      </c>
    </row>
    <row r="128" spans="3:19" ht="13" thickBot="1">
      <c r="C128" s="232"/>
      <c r="D128" s="240"/>
      <c r="E128" s="232"/>
      <c r="F128" s="232"/>
      <c r="G128" s="232"/>
      <c r="H128" s="232"/>
      <c r="I128" s="241"/>
      <c r="J128" s="232"/>
      <c r="K128" s="242"/>
      <c r="L128" s="232"/>
      <c r="M128" s="232"/>
      <c r="N128" s="232"/>
      <c r="O128" s="232"/>
      <c r="P128" s="232"/>
      <c r="Q128" s="242"/>
      <c r="R128" s="413">
        <v>22197738</v>
      </c>
      <c r="S128" s="369" t="s">
        <v>319</v>
      </c>
    </row>
    <row r="129" spans="3:19" ht="12.5">
      <c r="C129" s="232"/>
      <c r="D129" s="240"/>
      <c r="E129" s="232"/>
      <c r="F129" s="232"/>
      <c r="G129" s="232"/>
      <c r="H129" s="232"/>
      <c r="I129" s="241"/>
      <c r="J129" s="232"/>
      <c r="K129" s="242"/>
      <c r="L129" s="232"/>
      <c r="M129" s="232"/>
      <c r="N129" s="232"/>
      <c r="O129" s="232"/>
      <c r="P129" s="232"/>
      <c r="Q129" s="242"/>
      <c r="R129" s="232"/>
      <c r="S129" s="232"/>
    </row>
    <row r="130" spans="3:19" ht="13">
      <c r="C130" s="232"/>
      <c r="D130" s="240"/>
      <c r="E130" s="232"/>
      <c r="F130" s="232"/>
      <c r="G130" s="232"/>
      <c r="H130" s="232"/>
      <c r="I130" s="241"/>
      <c r="J130" s="232"/>
      <c r="K130" s="242"/>
      <c r="L130" s="232"/>
      <c r="M130" s="232"/>
      <c r="N130" s="232"/>
      <c r="O130" s="232"/>
      <c r="P130" s="232"/>
      <c r="Q130" s="242"/>
      <c r="R130" s="349" t="s">
        <v>116</v>
      </c>
      <c r="S130" s="232" t="s">
        <v>130</v>
      </c>
    </row>
    <row r="131" spans="3:19" ht="13.5" thickBot="1">
      <c r="C131" s="232"/>
      <c r="D131" s="240"/>
      <c r="E131" s="232"/>
      <c r="F131" s="232"/>
      <c r="G131" s="232"/>
      <c r="H131" s="232"/>
      <c r="I131" s="241"/>
      <c r="J131" s="232"/>
      <c r="K131" s="242"/>
      <c r="L131" s="232"/>
      <c r="M131" s="232"/>
      <c r="N131" s="232"/>
      <c r="O131" s="232"/>
      <c r="P131" s="232"/>
      <c r="Q131" s="242"/>
      <c r="R131" s="350" t="s">
        <v>134</v>
      </c>
      <c r="S131" s="232"/>
    </row>
    <row r="132" spans="3:19" ht="12.5">
      <c r="C132" s="232"/>
      <c r="D132" s="240"/>
      <c r="E132" s="232"/>
      <c r="F132" s="232"/>
      <c r="G132" s="232"/>
      <c r="H132" s="232"/>
      <c r="I132" s="241"/>
      <c r="J132" s="232"/>
      <c r="K132" s="242"/>
      <c r="L132" s="232"/>
      <c r="M132" s="232"/>
      <c r="N132" s="232"/>
      <c r="O132" s="232"/>
      <c r="P132" s="232"/>
      <c r="Q132" s="242"/>
      <c r="R132" s="370">
        <f>+N17</f>
        <v>7284760.4319926891</v>
      </c>
      <c r="S132" s="148" t="s">
        <v>136</v>
      </c>
    </row>
    <row r="133" spans="3:19" ht="12.5">
      <c r="C133" s="232"/>
      <c r="D133" s="240"/>
      <c r="E133" s="232"/>
      <c r="F133" s="232"/>
      <c r="G133" s="232"/>
      <c r="H133" s="232"/>
      <c r="I133" s="241"/>
      <c r="J133" s="232"/>
      <c r="K133" s="242"/>
      <c r="L133" s="232"/>
      <c r="M133" s="232"/>
      <c r="N133" s="232"/>
      <c r="O133" s="232"/>
      <c r="P133" s="232"/>
      <c r="Q133" s="242"/>
      <c r="R133" s="371">
        <f>+O17</f>
        <v>7284760.4319926891</v>
      </c>
      <c r="S133" s="148" t="s">
        <v>137</v>
      </c>
    </row>
    <row r="134" spans="3:19" ht="12.5">
      <c r="C134" s="232"/>
      <c r="D134" s="240"/>
      <c r="E134" s="232"/>
      <c r="F134" s="232"/>
      <c r="G134" s="232"/>
      <c r="H134" s="232"/>
      <c r="I134" s="241"/>
      <c r="J134" s="232"/>
      <c r="K134" s="242"/>
      <c r="L134" s="232"/>
      <c r="M134" s="232"/>
      <c r="N134" s="232"/>
      <c r="O134" s="232"/>
      <c r="P134" s="232"/>
      <c r="Q134" s="242"/>
      <c r="R134" s="414">
        <f>+N18</f>
        <v>6892824.3905835506</v>
      </c>
      <c r="S134" s="148" t="s">
        <v>138</v>
      </c>
    </row>
    <row r="135" spans="3:19" ht="13" thickBot="1">
      <c r="C135" s="232"/>
      <c r="D135" s="240"/>
      <c r="E135" s="232"/>
      <c r="F135" s="232"/>
      <c r="G135" s="232"/>
      <c r="H135" s="232"/>
      <c r="I135" s="241"/>
      <c r="J135" s="232"/>
      <c r="K135" s="242"/>
      <c r="L135" s="232"/>
      <c r="M135" s="232"/>
      <c r="N135" s="232"/>
      <c r="O135" s="232"/>
      <c r="P135" s="232"/>
      <c r="Q135" s="242"/>
      <c r="R135" s="372">
        <f>+O18</f>
        <v>6892824.3905835506</v>
      </c>
      <c r="S135" s="148" t="s">
        <v>139</v>
      </c>
    </row>
    <row r="136" spans="3:19" ht="12.75" customHeight="1">
      <c r="R136" s="232"/>
      <c r="S136" s="232"/>
    </row>
    <row r="137" spans="3:19" ht="12.75" customHeight="1">
      <c r="R137" s="349" t="s">
        <v>128</v>
      </c>
      <c r="S137" s="233" t="s">
        <v>133</v>
      </c>
    </row>
  </sheetData>
  <mergeCells count="6">
    <mergeCell ref="C8:I8"/>
    <mergeCell ref="A1:K1"/>
    <mergeCell ref="A2:K2"/>
    <mergeCell ref="A3:K3"/>
    <mergeCell ref="A4:K4"/>
    <mergeCell ref="A5:K5"/>
  </mergeCells>
  <phoneticPr fontId="0" type="noConversion"/>
  <printOptions horizontalCentered="1"/>
  <pageMargins left="0.25" right="0.25" top="0.75" bottom="0.25" header="0.25" footer="0.5"/>
  <pageSetup scale="41" fitToHeight="5" orientation="landscape" horizontalDpi="1200" verticalDpi="1200" r:id="rId1"/>
  <headerFooter alignWithMargins="0">
    <oddHeader xml:space="preserve">&amp;R&amp;16AEP - SPP Formula Rate
PSO TCOS - WS G
Page: &amp;P of &amp;N
</oddHeader>
    <oddFooter xml:space="preserve">&amp;C &amp;R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85" zoomScaleNormal="85" workbookViewId="0">
      <selection activeCell="E9" sqref="E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27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645841.5888943586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645841.5888943586</v>
      </c>
      <c r="O6" s="232"/>
      <c r="P6" s="232"/>
    </row>
    <row r="7" spans="1:16" ht="13.5" thickBot="1">
      <c r="C7" s="431" t="s">
        <v>46</v>
      </c>
      <c r="D7" s="621" t="s">
        <v>334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336</v>
      </c>
      <c r="E9" s="625" t="s">
        <v>338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5058522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2019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3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117640.04651162791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2019</v>
      </c>
      <c r="D17" s="584">
        <v>0</v>
      </c>
      <c r="E17" s="585">
        <v>0</v>
      </c>
      <c r="F17" s="584">
        <v>4120000</v>
      </c>
      <c r="G17" s="585">
        <v>230012.66047295602</v>
      </c>
      <c r="H17" s="587">
        <v>230012.66047295602</v>
      </c>
      <c r="I17" s="475">
        <f>H17-G17</f>
        <v>0</v>
      </c>
      <c r="J17" s="475"/>
      <c r="K17" s="554">
        <f>+G17</f>
        <v>230012.66047295602</v>
      </c>
      <c r="L17" s="477">
        <f t="shared" ref="L17:L18" si="0">IF(K17&lt;&gt;0,+G17-K17,0)</f>
        <v>0</v>
      </c>
      <c r="M17" s="554">
        <f>+H17</f>
        <v>230012.66047295602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2020</v>
      </c>
      <c r="D18" s="584">
        <v>4236000</v>
      </c>
      <c r="E18" s="585">
        <v>100857.14285714286</v>
      </c>
      <c r="F18" s="584">
        <v>4135142.8571428573</v>
      </c>
      <c r="G18" s="585">
        <v>552918.85124067403</v>
      </c>
      <c r="H18" s="587">
        <v>552918.85124067403</v>
      </c>
      <c r="I18" s="475">
        <f>H18-G18</f>
        <v>0</v>
      </c>
      <c r="J18" s="475"/>
      <c r="K18" s="478">
        <f>+G18</f>
        <v>552918.85124067403</v>
      </c>
      <c r="L18" s="478">
        <f t="shared" si="0"/>
        <v>0</v>
      </c>
      <c r="M18" s="478">
        <f>+H18</f>
        <v>552918.85124067403</v>
      </c>
      <c r="N18" s="478">
        <f t="shared" si="1"/>
        <v>0</v>
      </c>
      <c r="O18" s="478">
        <f t="shared" si="2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2021</v>
      </c>
      <c r="D19" s="483">
        <f>IF(F18+SUM(E$17:E18)=D$10,F18,D$10-SUM(E$17:E18))</f>
        <v>4957664.8571428573</v>
      </c>
      <c r="E19" s="484">
        <f t="shared" ref="E19:E71" si="3">IF(+I$14&lt;F18,I$14,D19)</f>
        <v>117640.04651162791</v>
      </c>
      <c r="F19" s="485">
        <f t="shared" ref="F19:F71" si="4">+D19-E19</f>
        <v>4840024.8106312295</v>
      </c>
      <c r="G19" s="486">
        <f t="shared" ref="G19:G71" si="5">(D19+F19)/2*I$12+E19</f>
        <v>645841.5888943586</v>
      </c>
      <c r="H19" s="455">
        <f t="shared" ref="H19:H71" si="6">+(D19+F19)/2*I$13+E19</f>
        <v>645841.5888943586</v>
      </c>
      <c r="I19" s="475">
        <f t="shared" ref="I19:I71" si="7">H19-G19</f>
        <v>0</v>
      </c>
      <c r="J19" s="475"/>
      <c r="K19" s="487"/>
      <c r="L19" s="478">
        <f t="shared" ref="L19:L72" si="8">IF(K19&lt;&gt;0,+G19-K19,0)</f>
        <v>0</v>
      </c>
      <c r="M19" s="487"/>
      <c r="N19" s="478">
        <f t="shared" si="1"/>
        <v>0</v>
      </c>
      <c r="O19" s="478">
        <f t="shared" si="2"/>
        <v>0</v>
      </c>
      <c r="P19" s="242"/>
    </row>
    <row r="20" spans="2:16" ht="12.5">
      <c r="B20" s="160" t="str">
        <f t="shared" ref="B20:B72" si="9">IF(D20=F19,"","IU")</f>
        <v/>
      </c>
      <c r="C20" s="472">
        <f>IF(D11="","-",+C19+1)</f>
        <v>2022</v>
      </c>
      <c r="D20" s="483">
        <f>IF(F19+SUM(E$17:E19)=D$10,F19,D$10-SUM(E$17:E19))</f>
        <v>4840024.8106312295</v>
      </c>
      <c r="E20" s="484">
        <f t="shared" si="3"/>
        <v>117640.04651162791</v>
      </c>
      <c r="F20" s="485">
        <f t="shared" si="4"/>
        <v>4722384.7641196018</v>
      </c>
      <c r="G20" s="486">
        <f t="shared" si="5"/>
        <v>633157.44475009223</v>
      </c>
      <c r="H20" s="455">
        <f t="shared" si="6"/>
        <v>633157.44475009223</v>
      </c>
      <c r="I20" s="475">
        <f t="shared" si="7"/>
        <v>0</v>
      </c>
      <c r="J20" s="475"/>
      <c r="K20" s="487"/>
      <c r="L20" s="478">
        <f t="shared" si="8"/>
        <v>0</v>
      </c>
      <c r="M20" s="487"/>
      <c r="N20" s="478">
        <f t="shared" si="1"/>
        <v>0</v>
      </c>
      <c r="O20" s="478">
        <f t="shared" si="2"/>
        <v>0</v>
      </c>
      <c r="P20" s="242"/>
    </row>
    <row r="21" spans="2:16" ht="12.5">
      <c r="B21" s="160" t="str">
        <f t="shared" si="9"/>
        <v/>
      </c>
      <c r="C21" s="472">
        <f>IF(D11="","-",+C20+1)</f>
        <v>2023</v>
      </c>
      <c r="D21" s="483">
        <f>IF(F20+SUM(E$17:E20)=D$10,F20,D$10-SUM(E$17:E20))</f>
        <v>4722384.7641196018</v>
      </c>
      <c r="E21" s="484">
        <f t="shared" si="3"/>
        <v>117640.04651162791</v>
      </c>
      <c r="F21" s="485">
        <f t="shared" si="4"/>
        <v>4604744.7176079741</v>
      </c>
      <c r="G21" s="486">
        <f t="shared" si="5"/>
        <v>620473.30060582585</v>
      </c>
      <c r="H21" s="455">
        <f t="shared" si="6"/>
        <v>620473.30060582585</v>
      </c>
      <c r="I21" s="475">
        <f t="shared" si="7"/>
        <v>0</v>
      </c>
      <c r="J21" s="475"/>
      <c r="K21" s="487"/>
      <c r="L21" s="478">
        <f t="shared" si="8"/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 ht="12.5">
      <c r="B22" s="160" t="str">
        <f t="shared" si="9"/>
        <v/>
      </c>
      <c r="C22" s="472">
        <f>IF(D11="","-",+C21+1)</f>
        <v>2024</v>
      </c>
      <c r="D22" s="483">
        <f>IF(F21+SUM(E$17:E21)=D$10,F21,D$10-SUM(E$17:E21))</f>
        <v>4604744.7176079741</v>
      </c>
      <c r="E22" s="484">
        <f t="shared" si="3"/>
        <v>117640.04651162791</v>
      </c>
      <c r="F22" s="485">
        <f t="shared" si="4"/>
        <v>4487104.6710963463</v>
      </c>
      <c r="G22" s="486">
        <f t="shared" si="5"/>
        <v>607789.15646155947</v>
      </c>
      <c r="H22" s="455">
        <f t="shared" si="6"/>
        <v>607789.15646155947</v>
      </c>
      <c r="I22" s="475">
        <f t="shared" si="7"/>
        <v>0</v>
      </c>
      <c r="J22" s="475"/>
      <c r="K22" s="487"/>
      <c r="L22" s="478">
        <f t="shared" si="8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 ht="12.5">
      <c r="B23" s="160" t="str">
        <f t="shared" si="9"/>
        <v/>
      </c>
      <c r="C23" s="472">
        <f>IF(D11="","-",+C22+1)</f>
        <v>2025</v>
      </c>
      <c r="D23" s="483">
        <f>IF(F22+SUM(E$17:E22)=D$10,F22,D$10-SUM(E$17:E22))</f>
        <v>4487104.6710963463</v>
      </c>
      <c r="E23" s="484">
        <f t="shared" si="3"/>
        <v>117640.04651162791</v>
      </c>
      <c r="F23" s="485">
        <f t="shared" si="4"/>
        <v>4369464.6245847186</v>
      </c>
      <c r="G23" s="486">
        <f t="shared" si="5"/>
        <v>595105.01231729309</v>
      </c>
      <c r="H23" s="455">
        <f t="shared" si="6"/>
        <v>595105.01231729309</v>
      </c>
      <c r="I23" s="475">
        <f t="shared" si="7"/>
        <v>0</v>
      </c>
      <c r="J23" s="475"/>
      <c r="K23" s="487"/>
      <c r="L23" s="478">
        <f t="shared" si="8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 ht="12.5">
      <c r="B24" s="160" t="str">
        <f t="shared" si="9"/>
        <v/>
      </c>
      <c r="C24" s="472">
        <f>IF(D11="","-",+C23+1)</f>
        <v>2026</v>
      </c>
      <c r="D24" s="483">
        <f>IF(F23+SUM(E$17:E23)=D$10,F23,D$10-SUM(E$17:E23))</f>
        <v>4369464.6245847186</v>
      </c>
      <c r="E24" s="484">
        <f t="shared" si="3"/>
        <v>117640.04651162791</v>
      </c>
      <c r="F24" s="485">
        <f t="shared" si="4"/>
        <v>4251824.5780730909</v>
      </c>
      <c r="G24" s="486">
        <f t="shared" si="5"/>
        <v>582420.86817302671</v>
      </c>
      <c r="H24" s="455">
        <f t="shared" si="6"/>
        <v>582420.86817302671</v>
      </c>
      <c r="I24" s="475">
        <f t="shared" si="7"/>
        <v>0</v>
      </c>
      <c r="J24" s="475"/>
      <c r="K24" s="487"/>
      <c r="L24" s="478">
        <f t="shared" si="8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 ht="12.5">
      <c r="B25" s="160" t="str">
        <f t="shared" si="9"/>
        <v/>
      </c>
      <c r="C25" s="472">
        <f>IF(D11="","-",+C24+1)</f>
        <v>2027</v>
      </c>
      <c r="D25" s="483">
        <f>IF(F24+SUM(E$17:E24)=D$10,F24,D$10-SUM(E$17:E24))</f>
        <v>4251824.5780730909</v>
      </c>
      <c r="E25" s="484">
        <f t="shared" si="3"/>
        <v>117640.04651162791</v>
      </c>
      <c r="F25" s="485">
        <f t="shared" si="4"/>
        <v>4134184.5315614631</v>
      </c>
      <c r="G25" s="486">
        <f t="shared" si="5"/>
        <v>569736.72402876033</v>
      </c>
      <c r="H25" s="455">
        <f t="shared" si="6"/>
        <v>569736.72402876033</v>
      </c>
      <c r="I25" s="475">
        <f t="shared" si="7"/>
        <v>0</v>
      </c>
      <c r="J25" s="475"/>
      <c r="K25" s="487"/>
      <c r="L25" s="478">
        <f t="shared" si="8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 ht="12.5">
      <c r="B26" s="160" t="str">
        <f t="shared" si="9"/>
        <v/>
      </c>
      <c r="C26" s="472">
        <f>IF(D11="","-",+C25+1)</f>
        <v>2028</v>
      </c>
      <c r="D26" s="483">
        <f>IF(F25+SUM(E$17:E25)=D$10,F25,D$10-SUM(E$17:E25))</f>
        <v>4134184.5315614631</v>
      </c>
      <c r="E26" s="484">
        <f t="shared" si="3"/>
        <v>117640.04651162791</v>
      </c>
      <c r="F26" s="485">
        <f t="shared" si="4"/>
        <v>4016544.4850498354</v>
      </c>
      <c r="G26" s="486">
        <f t="shared" si="5"/>
        <v>557052.57988449396</v>
      </c>
      <c r="H26" s="455">
        <f t="shared" si="6"/>
        <v>557052.57988449396</v>
      </c>
      <c r="I26" s="475">
        <f t="shared" si="7"/>
        <v>0</v>
      </c>
      <c r="J26" s="475"/>
      <c r="K26" s="487"/>
      <c r="L26" s="478">
        <f t="shared" si="8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 ht="12.5">
      <c r="B27" s="160" t="str">
        <f t="shared" si="9"/>
        <v/>
      </c>
      <c r="C27" s="472">
        <f>IF(D11="","-",+C26+1)</f>
        <v>2029</v>
      </c>
      <c r="D27" s="483">
        <f>IF(F26+SUM(E$17:E26)=D$10,F26,D$10-SUM(E$17:E26))</f>
        <v>4016544.4850498354</v>
      </c>
      <c r="E27" s="484">
        <f t="shared" si="3"/>
        <v>117640.04651162791</v>
      </c>
      <c r="F27" s="485">
        <f t="shared" si="4"/>
        <v>3898904.4385382077</v>
      </c>
      <c r="G27" s="486">
        <f t="shared" si="5"/>
        <v>544368.43574022758</v>
      </c>
      <c r="H27" s="455">
        <f t="shared" si="6"/>
        <v>544368.43574022758</v>
      </c>
      <c r="I27" s="475">
        <f t="shared" si="7"/>
        <v>0</v>
      </c>
      <c r="J27" s="475"/>
      <c r="K27" s="487"/>
      <c r="L27" s="478">
        <f t="shared" si="8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 ht="12.5">
      <c r="B28" s="160" t="str">
        <f t="shared" si="9"/>
        <v/>
      </c>
      <c r="C28" s="472">
        <f>IF(D11="","-",+C27+1)</f>
        <v>2030</v>
      </c>
      <c r="D28" s="483">
        <f>IF(F27+SUM(E$17:E27)=D$10,F27,D$10-SUM(E$17:E27))</f>
        <v>3898904.4385382077</v>
      </c>
      <c r="E28" s="484">
        <f t="shared" si="3"/>
        <v>117640.04651162791</v>
      </c>
      <c r="F28" s="485">
        <f t="shared" si="4"/>
        <v>3781264.3920265799</v>
      </c>
      <c r="G28" s="486">
        <f t="shared" si="5"/>
        <v>531684.2915959612</v>
      </c>
      <c r="H28" s="455">
        <f t="shared" si="6"/>
        <v>531684.2915959612</v>
      </c>
      <c r="I28" s="475">
        <f t="shared" si="7"/>
        <v>0</v>
      </c>
      <c r="J28" s="475"/>
      <c r="K28" s="487"/>
      <c r="L28" s="478">
        <f t="shared" si="8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 ht="12.5">
      <c r="B29" s="160" t="str">
        <f t="shared" si="9"/>
        <v/>
      </c>
      <c r="C29" s="472">
        <f>IF(D11="","-",+C28+1)</f>
        <v>2031</v>
      </c>
      <c r="D29" s="483">
        <f>IF(F28+SUM(E$17:E28)=D$10,F28,D$10-SUM(E$17:E28))</f>
        <v>3781264.3920265799</v>
      </c>
      <c r="E29" s="484">
        <f t="shared" si="3"/>
        <v>117640.04651162791</v>
      </c>
      <c r="F29" s="485">
        <f t="shared" si="4"/>
        <v>3663624.3455149522</v>
      </c>
      <c r="G29" s="486">
        <f t="shared" si="5"/>
        <v>519000.14745169488</v>
      </c>
      <c r="H29" s="455">
        <f t="shared" si="6"/>
        <v>519000.14745169488</v>
      </c>
      <c r="I29" s="475">
        <f t="shared" si="7"/>
        <v>0</v>
      </c>
      <c r="J29" s="475"/>
      <c r="K29" s="487"/>
      <c r="L29" s="478">
        <f t="shared" si="8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 ht="12.5">
      <c r="B30" s="160" t="str">
        <f t="shared" si="9"/>
        <v/>
      </c>
      <c r="C30" s="472">
        <f>IF(D11="","-",+C29+1)</f>
        <v>2032</v>
      </c>
      <c r="D30" s="483">
        <f>IF(F29+SUM(E$17:E29)=D$10,F29,D$10-SUM(E$17:E29))</f>
        <v>3663624.3455149522</v>
      </c>
      <c r="E30" s="484">
        <f t="shared" si="3"/>
        <v>117640.04651162791</v>
      </c>
      <c r="F30" s="485">
        <f t="shared" si="4"/>
        <v>3545984.2990033245</v>
      </c>
      <c r="G30" s="486">
        <f t="shared" si="5"/>
        <v>506316.0033074285</v>
      </c>
      <c r="H30" s="455">
        <f t="shared" si="6"/>
        <v>506316.0033074285</v>
      </c>
      <c r="I30" s="475">
        <f t="shared" si="7"/>
        <v>0</v>
      </c>
      <c r="J30" s="475"/>
      <c r="K30" s="487"/>
      <c r="L30" s="478">
        <f t="shared" si="8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 ht="12.5">
      <c r="B31" s="160" t="str">
        <f t="shared" si="9"/>
        <v/>
      </c>
      <c r="C31" s="472">
        <f>IF(D11="","-",+C30+1)</f>
        <v>2033</v>
      </c>
      <c r="D31" s="483">
        <f>IF(F30+SUM(E$17:E30)=D$10,F30,D$10-SUM(E$17:E30))</f>
        <v>3545984.2990033245</v>
      </c>
      <c r="E31" s="484">
        <f t="shared" si="3"/>
        <v>117640.04651162791</v>
      </c>
      <c r="F31" s="485">
        <f t="shared" si="4"/>
        <v>3428344.2524916967</v>
      </c>
      <c r="G31" s="486">
        <f t="shared" si="5"/>
        <v>493631.85916316212</v>
      </c>
      <c r="H31" s="455">
        <f t="shared" si="6"/>
        <v>493631.85916316212</v>
      </c>
      <c r="I31" s="475">
        <f t="shared" si="7"/>
        <v>0</v>
      </c>
      <c r="J31" s="475"/>
      <c r="K31" s="487"/>
      <c r="L31" s="478">
        <f t="shared" si="8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 ht="12.5">
      <c r="B32" s="160" t="str">
        <f t="shared" si="9"/>
        <v/>
      </c>
      <c r="C32" s="472">
        <f>IF(D11="","-",+C31+1)</f>
        <v>2034</v>
      </c>
      <c r="D32" s="483">
        <f>IF(F31+SUM(E$17:E31)=D$10,F31,D$10-SUM(E$17:E31))</f>
        <v>3428344.2524916967</v>
      </c>
      <c r="E32" s="484">
        <f t="shared" si="3"/>
        <v>117640.04651162791</v>
      </c>
      <c r="F32" s="485">
        <f t="shared" si="4"/>
        <v>3310704.205980069</v>
      </c>
      <c r="G32" s="486">
        <f t="shared" si="5"/>
        <v>480947.71501889575</v>
      </c>
      <c r="H32" s="455">
        <f t="shared" si="6"/>
        <v>480947.71501889575</v>
      </c>
      <c r="I32" s="475">
        <f t="shared" si="7"/>
        <v>0</v>
      </c>
      <c r="J32" s="475"/>
      <c r="K32" s="487"/>
      <c r="L32" s="478">
        <f t="shared" si="8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 ht="12.5">
      <c r="B33" s="160" t="str">
        <f t="shared" si="9"/>
        <v/>
      </c>
      <c r="C33" s="472">
        <f>IF(D11="","-",+C32+1)</f>
        <v>2035</v>
      </c>
      <c r="D33" s="483">
        <f>IF(F32+SUM(E$17:E32)=D$10,F32,D$10-SUM(E$17:E32))</f>
        <v>3310704.205980069</v>
      </c>
      <c r="E33" s="484">
        <f t="shared" si="3"/>
        <v>117640.04651162791</v>
      </c>
      <c r="F33" s="485">
        <f t="shared" si="4"/>
        <v>3193064.1594684413</v>
      </c>
      <c r="G33" s="486">
        <f t="shared" si="5"/>
        <v>468263.57087462937</v>
      </c>
      <c r="H33" s="455">
        <f t="shared" si="6"/>
        <v>468263.57087462937</v>
      </c>
      <c r="I33" s="475">
        <f t="shared" si="7"/>
        <v>0</v>
      </c>
      <c r="J33" s="475"/>
      <c r="K33" s="487"/>
      <c r="L33" s="478">
        <f t="shared" si="8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 ht="12.5">
      <c r="B34" s="160" t="str">
        <f t="shared" si="9"/>
        <v/>
      </c>
      <c r="C34" s="472">
        <f>IF(D11="","-",+C33+1)</f>
        <v>2036</v>
      </c>
      <c r="D34" s="483">
        <f>IF(F33+SUM(E$17:E33)=D$10,F33,D$10-SUM(E$17:E33))</f>
        <v>3193064.1594684413</v>
      </c>
      <c r="E34" s="484">
        <f t="shared" si="3"/>
        <v>117640.04651162791</v>
      </c>
      <c r="F34" s="485">
        <f t="shared" si="4"/>
        <v>3075424.1129568135</v>
      </c>
      <c r="G34" s="486">
        <f t="shared" si="5"/>
        <v>455579.42673036299</v>
      </c>
      <c r="H34" s="455">
        <f t="shared" si="6"/>
        <v>455579.42673036299</v>
      </c>
      <c r="I34" s="475">
        <f t="shared" si="7"/>
        <v>0</v>
      </c>
      <c r="J34" s="475"/>
      <c r="K34" s="487"/>
      <c r="L34" s="478">
        <f t="shared" si="8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 ht="12.5">
      <c r="B35" s="160" t="str">
        <f t="shared" si="9"/>
        <v/>
      </c>
      <c r="C35" s="472">
        <f>IF(D11="","-",+C34+1)</f>
        <v>2037</v>
      </c>
      <c r="D35" s="483">
        <f>IF(F34+SUM(E$17:E34)=D$10,F34,D$10-SUM(E$17:E34))</f>
        <v>3075424.1129568135</v>
      </c>
      <c r="E35" s="484">
        <f t="shared" si="3"/>
        <v>117640.04651162791</v>
      </c>
      <c r="F35" s="485">
        <f t="shared" si="4"/>
        <v>2957784.0664451858</v>
      </c>
      <c r="G35" s="486">
        <f t="shared" si="5"/>
        <v>442895.28258609655</v>
      </c>
      <c r="H35" s="455">
        <f t="shared" si="6"/>
        <v>442895.28258609655</v>
      </c>
      <c r="I35" s="475">
        <f t="shared" si="7"/>
        <v>0</v>
      </c>
      <c r="J35" s="475"/>
      <c r="K35" s="487"/>
      <c r="L35" s="478">
        <f t="shared" si="8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 ht="12.5">
      <c r="B36" s="160" t="str">
        <f t="shared" si="9"/>
        <v/>
      </c>
      <c r="C36" s="472">
        <f>IF(D11="","-",+C35+1)</f>
        <v>2038</v>
      </c>
      <c r="D36" s="483">
        <f>IF(F35+SUM(E$17:E35)=D$10,F35,D$10-SUM(E$17:E35))</f>
        <v>2957784.0664451858</v>
      </c>
      <c r="E36" s="484">
        <f t="shared" si="3"/>
        <v>117640.04651162791</v>
      </c>
      <c r="F36" s="485">
        <f t="shared" si="4"/>
        <v>2840144.0199335581</v>
      </c>
      <c r="G36" s="486">
        <f t="shared" si="5"/>
        <v>430211.13844183017</v>
      </c>
      <c r="H36" s="455">
        <f t="shared" si="6"/>
        <v>430211.13844183017</v>
      </c>
      <c r="I36" s="475">
        <f t="shared" si="7"/>
        <v>0</v>
      </c>
      <c r="J36" s="475"/>
      <c r="K36" s="487"/>
      <c r="L36" s="478">
        <f t="shared" si="8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 ht="12.5">
      <c r="B37" s="160" t="str">
        <f t="shared" si="9"/>
        <v/>
      </c>
      <c r="C37" s="472">
        <f>IF(D11="","-",+C36+1)</f>
        <v>2039</v>
      </c>
      <c r="D37" s="483">
        <f>IF(F36+SUM(E$17:E36)=D$10,F36,D$10-SUM(E$17:E36))</f>
        <v>2840144.0199335581</v>
      </c>
      <c r="E37" s="484">
        <f t="shared" si="3"/>
        <v>117640.04651162791</v>
      </c>
      <c r="F37" s="485">
        <f t="shared" si="4"/>
        <v>2722503.9734219303</v>
      </c>
      <c r="G37" s="486">
        <f t="shared" si="5"/>
        <v>417526.9942975638</v>
      </c>
      <c r="H37" s="455">
        <f t="shared" si="6"/>
        <v>417526.9942975638</v>
      </c>
      <c r="I37" s="475">
        <f t="shared" si="7"/>
        <v>0</v>
      </c>
      <c r="J37" s="475"/>
      <c r="K37" s="487"/>
      <c r="L37" s="478">
        <f t="shared" si="8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 ht="12.5">
      <c r="B38" s="160" t="str">
        <f t="shared" si="9"/>
        <v/>
      </c>
      <c r="C38" s="472">
        <f>IF(D11="","-",+C37+1)</f>
        <v>2040</v>
      </c>
      <c r="D38" s="483">
        <f>IF(F37+SUM(E$17:E37)=D$10,F37,D$10-SUM(E$17:E37))</f>
        <v>2722503.9734219303</v>
      </c>
      <c r="E38" s="484">
        <f t="shared" si="3"/>
        <v>117640.04651162791</v>
      </c>
      <c r="F38" s="485">
        <f t="shared" si="4"/>
        <v>2604863.9269103026</v>
      </c>
      <c r="G38" s="486">
        <f t="shared" si="5"/>
        <v>404842.85015329742</v>
      </c>
      <c r="H38" s="455">
        <f t="shared" si="6"/>
        <v>404842.85015329742</v>
      </c>
      <c r="I38" s="475">
        <f t="shared" si="7"/>
        <v>0</v>
      </c>
      <c r="J38" s="475"/>
      <c r="K38" s="487"/>
      <c r="L38" s="478">
        <f t="shared" si="8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 ht="12.5">
      <c r="B39" s="160" t="str">
        <f t="shared" si="9"/>
        <v/>
      </c>
      <c r="C39" s="472">
        <f>IF(D11="","-",+C38+1)</f>
        <v>2041</v>
      </c>
      <c r="D39" s="483">
        <f>IF(F38+SUM(E$17:E38)=D$10,F38,D$10-SUM(E$17:E38))</f>
        <v>2604863.9269103026</v>
      </c>
      <c r="E39" s="484">
        <f t="shared" si="3"/>
        <v>117640.04651162791</v>
      </c>
      <c r="F39" s="485">
        <f t="shared" si="4"/>
        <v>2487223.8803986749</v>
      </c>
      <c r="G39" s="486">
        <f t="shared" si="5"/>
        <v>392158.70600903104</v>
      </c>
      <c r="H39" s="455">
        <f t="shared" si="6"/>
        <v>392158.70600903104</v>
      </c>
      <c r="I39" s="475">
        <f t="shared" si="7"/>
        <v>0</v>
      </c>
      <c r="J39" s="475"/>
      <c r="K39" s="487"/>
      <c r="L39" s="478">
        <f t="shared" si="8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 ht="12.5">
      <c r="B40" s="160" t="str">
        <f t="shared" si="9"/>
        <v/>
      </c>
      <c r="C40" s="472">
        <f>IF(D11="","-",+C39+1)</f>
        <v>2042</v>
      </c>
      <c r="D40" s="483">
        <f>IF(F39+SUM(E$17:E39)=D$10,F39,D$10-SUM(E$17:E39))</f>
        <v>2487223.8803986749</v>
      </c>
      <c r="E40" s="484">
        <f t="shared" si="3"/>
        <v>117640.04651162791</v>
      </c>
      <c r="F40" s="485">
        <f t="shared" si="4"/>
        <v>2369583.8338870471</v>
      </c>
      <c r="G40" s="486">
        <f t="shared" si="5"/>
        <v>379474.56186476466</v>
      </c>
      <c r="H40" s="455">
        <f t="shared" si="6"/>
        <v>379474.56186476466</v>
      </c>
      <c r="I40" s="475">
        <f t="shared" si="7"/>
        <v>0</v>
      </c>
      <c r="J40" s="475"/>
      <c r="K40" s="487"/>
      <c r="L40" s="478">
        <f t="shared" si="8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 ht="12.5">
      <c r="B41" s="160" t="str">
        <f t="shared" si="9"/>
        <v/>
      </c>
      <c r="C41" s="472">
        <f>IF(D11="","-",+C40+1)</f>
        <v>2043</v>
      </c>
      <c r="D41" s="483">
        <f>IF(F40+SUM(E$17:E40)=D$10,F40,D$10-SUM(E$17:E40))</f>
        <v>2369583.8338870471</v>
      </c>
      <c r="E41" s="484">
        <f t="shared" si="3"/>
        <v>117640.04651162791</v>
      </c>
      <c r="F41" s="485">
        <f t="shared" si="4"/>
        <v>2251943.7873754194</v>
      </c>
      <c r="G41" s="486">
        <f t="shared" si="5"/>
        <v>366790.41772049828</v>
      </c>
      <c r="H41" s="455">
        <f t="shared" si="6"/>
        <v>366790.41772049828</v>
      </c>
      <c r="I41" s="475">
        <f t="shared" si="7"/>
        <v>0</v>
      </c>
      <c r="J41" s="475"/>
      <c r="K41" s="487"/>
      <c r="L41" s="478">
        <f t="shared" si="8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 ht="12.5">
      <c r="B42" s="160" t="str">
        <f t="shared" si="9"/>
        <v/>
      </c>
      <c r="C42" s="472">
        <f>IF(D11="","-",+C41+1)</f>
        <v>2044</v>
      </c>
      <c r="D42" s="483">
        <f>IF(F41+SUM(E$17:E41)=D$10,F41,D$10-SUM(E$17:E41))</f>
        <v>2251943.7873754194</v>
      </c>
      <c r="E42" s="484">
        <f t="shared" si="3"/>
        <v>117640.04651162791</v>
      </c>
      <c r="F42" s="485">
        <f t="shared" si="4"/>
        <v>2134303.7408637917</v>
      </c>
      <c r="G42" s="486">
        <f t="shared" si="5"/>
        <v>354106.27357623191</v>
      </c>
      <c r="H42" s="455">
        <f t="shared" si="6"/>
        <v>354106.27357623191</v>
      </c>
      <c r="I42" s="475">
        <f t="shared" si="7"/>
        <v>0</v>
      </c>
      <c r="J42" s="475"/>
      <c r="K42" s="487"/>
      <c r="L42" s="478">
        <f t="shared" si="8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 ht="12.5">
      <c r="B43" s="160" t="str">
        <f t="shared" si="9"/>
        <v/>
      </c>
      <c r="C43" s="472">
        <f>IF(D11="","-",+C42+1)</f>
        <v>2045</v>
      </c>
      <c r="D43" s="483">
        <f>IF(F42+SUM(E$17:E42)=D$10,F42,D$10-SUM(E$17:E42))</f>
        <v>2134303.7408637917</v>
      </c>
      <c r="E43" s="484">
        <f t="shared" si="3"/>
        <v>117640.04651162791</v>
      </c>
      <c r="F43" s="485">
        <f t="shared" si="4"/>
        <v>2016663.6943521637</v>
      </c>
      <c r="G43" s="486">
        <f t="shared" si="5"/>
        <v>341422.12943196553</v>
      </c>
      <c r="H43" s="455">
        <f t="shared" si="6"/>
        <v>341422.12943196553</v>
      </c>
      <c r="I43" s="475">
        <f t="shared" si="7"/>
        <v>0</v>
      </c>
      <c r="J43" s="475"/>
      <c r="K43" s="487"/>
      <c r="L43" s="478">
        <f t="shared" si="8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 ht="12.5">
      <c r="B44" s="160" t="str">
        <f t="shared" si="9"/>
        <v/>
      </c>
      <c r="C44" s="472">
        <f>IF(D11="","-",+C43+1)</f>
        <v>2046</v>
      </c>
      <c r="D44" s="483">
        <f>IF(F43+SUM(E$17:E43)=D$10,F43,D$10-SUM(E$17:E43))</f>
        <v>2016663.6943521637</v>
      </c>
      <c r="E44" s="484">
        <f t="shared" si="3"/>
        <v>117640.04651162791</v>
      </c>
      <c r="F44" s="485">
        <f t="shared" si="4"/>
        <v>1899023.6478405357</v>
      </c>
      <c r="G44" s="486">
        <f t="shared" si="5"/>
        <v>328737.98528769909</v>
      </c>
      <c r="H44" s="455">
        <f t="shared" si="6"/>
        <v>328737.98528769909</v>
      </c>
      <c r="I44" s="475">
        <f t="shared" si="7"/>
        <v>0</v>
      </c>
      <c r="J44" s="475"/>
      <c r="K44" s="487"/>
      <c r="L44" s="478">
        <f t="shared" si="8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 ht="12.5">
      <c r="B45" s="160" t="str">
        <f t="shared" si="9"/>
        <v/>
      </c>
      <c r="C45" s="472">
        <f>IF(D11="","-",+C44+1)</f>
        <v>2047</v>
      </c>
      <c r="D45" s="483">
        <f>IF(F44+SUM(E$17:E44)=D$10,F44,D$10-SUM(E$17:E44))</f>
        <v>1899023.6478405357</v>
      </c>
      <c r="E45" s="484">
        <f t="shared" si="3"/>
        <v>117640.04651162791</v>
      </c>
      <c r="F45" s="485">
        <f t="shared" si="4"/>
        <v>1781383.6013289078</v>
      </c>
      <c r="G45" s="486">
        <f t="shared" si="5"/>
        <v>316053.84114343271</v>
      </c>
      <c r="H45" s="455">
        <f t="shared" si="6"/>
        <v>316053.84114343271</v>
      </c>
      <c r="I45" s="475">
        <f t="shared" si="7"/>
        <v>0</v>
      </c>
      <c r="J45" s="475"/>
      <c r="K45" s="487"/>
      <c r="L45" s="478">
        <f t="shared" si="8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 ht="12.5">
      <c r="B46" s="160" t="str">
        <f t="shared" si="9"/>
        <v/>
      </c>
      <c r="C46" s="472">
        <f>IF(D11="","-",+C45+1)</f>
        <v>2048</v>
      </c>
      <c r="D46" s="483">
        <f>IF(F45+SUM(E$17:E45)=D$10,F45,D$10-SUM(E$17:E45))</f>
        <v>1781383.6013289078</v>
      </c>
      <c r="E46" s="484">
        <f t="shared" si="3"/>
        <v>117640.04651162791</v>
      </c>
      <c r="F46" s="485">
        <f t="shared" si="4"/>
        <v>1663743.5548172798</v>
      </c>
      <c r="G46" s="486">
        <f t="shared" si="5"/>
        <v>303369.69699916628</v>
      </c>
      <c r="H46" s="455">
        <f t="shared" si="6"/>
        <v>303369.69699916628</v>
      </c>
      <c r="I46" s="475">
        <f t="shared" si="7"/>
        <v>0</v>
      </c>
      <c r="J46" s="475"/>
      <c r="K46" s="487"/>
      <c r="L46" s="478">
        <f t="shared" si="8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 ht="12.5">
      <c r="B47" s="160" t="str">
        <f t="shared" si="9"/>
        <v/>
      </c>
      <c r="C47" s="472">
        <f>IF(D11="","-",+C46+1)</f>
        <v>2049</v>
      </c>
      <c r="D47" s="483">
        <f>IF(F46+SUM(E$17:E46)=D$10,F46,D$10-SUM(E$17:E46))</f>
        <v>1663743.5548172798</v>
      </c>
      <c r="E47" s="484">
        <f t="shared" si="3"/>
        <v>117640.04651162791</v>
      </c>
      <c r="F47" s="485">
        <f t="shared" si="4"/>
        <v>1546103.5083056518</v>
      </c>
      <c r="G47" s="486">
        <f t="shared" si="5"/>
        <v>290685.5528548999</v>
      </c>
      <c r="H47" s="455">
        <f t="shared" si="6"/>
        <v>290685.5528548999</v>
      </c>
      <c r="I47" s="475">
        <f t="shared" si="7"/>
        <v>0</v>
      </c>
      <c r="J47" s="475"/>
      <c r="K47" s="487"/>
      <c r="L47" s="478">
        <f t="shared" si="8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 ht="12.5">
      <c r="B48" s="160" t="str">
        <f t="shared" si="9"/>
        <v/>
      </c>
      <c r="C48" s="472">
        <f>IF(D11="","-",+C47+1)</f>
        <v>2050</v>
      </c>
      <c r="D48" s="483">
        <f>IF(F47+SUM(E$17:E47)=D$10,F47,D$10-SUM(E$17:E47))</f>
        <v>1546103.5083056518</v>
      </c>
      <c r="E48" s="484">
        <f t="shared" si="3"/>
        <v>117640.04651162791</v>
      </c>
      <c r="F48" s="485">
        <f t="shared" si="4"/>
        <v>1428463.4617940239</v>
      </c>
      <c r="G48" s="486">
        <f t="shared" si="5"/>
        <v>278001.40871063346</v>
      </c>
      <c r="H48" s="455">
        <f t="shared" si="6"/>
        <v>278001.40871063346</v>
      </c>
      <c r="I48" s="475">
        <f t="shared" si="7"/>
        <v>0</v>
      </c>
      <c r="J48" s="475"/>
      <c r="K48" s="487"/>
      <c r="L48" s="478">
        <f t="shared" si="8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 ht="12.5">
      <c r="B49" s="160" t="str">
        <f t="shared" si="9"/>
        <v/>
      </c>
      <c r="C49" s="472">
        <f>IF(D11="","-",+C48+1)</f>
        <v>2051</v>
      </c>
      <c r="D49" s="483">
        <f>IF(F48+SUM(E$17:E48)=D$10,F48,D$10-SUM(E$17:E48))</f>
        <v>1428463.4617940239</v>
      </c>
      <c r="E49" s="484">
        <f t="shared" si="3"/>
        <v>117640.04651162791</v>
      </c>
      <c r="F49" s="485">
        <f t="shared" si="4"/>
        <v>1310823.4152823959</v>
      </c>
      <c r="G49" s="486">
        <f t="shared" si="5"/>
        <v>265317.26456636708</v>
      </c>
      <c r="H49" s="455">
        <f t="shared" si="6"/>
        <v>265317.26456636708</v>
      </c>
      <c r="I49" s="475">
        <f t="shared" si="7"/>
        <v>0</v>
      </c>
      <c r="J49" s="475"/>
      <c r="K49" s="487"/>
      <c r="L49" s="478">
        <f t="shared" si="8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 ht="12.5">
      <c r="B50" s="160" t="str">
        <f t="shared" si="9"/>
        <v/>
      </c>
      <c r="C50" s="472">
        <f>IF(D11="","-",+C49+1)</f>
        <v>2052</v>
      </c>
      <c r="D50" s="483">
        <f>IF(F49+SUM(E$17:E49)=D$10,F49,D$10-SUM(E$17:E49))</f>
        <v>1310823.4152823959</v>
      </c>
      <c r="E50" s="484">
        <f t="shared" si="3"/>
        <v>117640.04651162791</v>
      </c>
      <c r="F50" s="485">
        <f t="shared" si="4"/>
        <v>1193183.3687707679</v>
      </c>
      <c r="G50" s="486">
        <f t="shared" si="5"/>
        <v>252633.12042210065</v>
      </c>
      <c r="H50" s="455">
        <f t="shared" si="6"/>
        <v>252633.12042210065</v>
      </c>
      <c r="I50" s="475">
        <f t="shared" si="7"/>
        <v>0</v>
      </c>
      <c r="J50" s="475"/>
      <c r="K50" s="487"/>
      <c r="L50" s="478">
        <f t="shared" si="8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 ht="12.5">
      <c r="B51" s="160" t="str">
        <f t="shared" si="9"/>
        <v/>
      </c>
      <c r="C51" s="472">
        <f>IF(D11="","-",+C50+1)</f>
        <v>2053</v>
      </c>
      <c r="D51" s="483">
        <f>IF(F50+SUM(E$17:E50)=D$10,F50,D$10-SUM(E$17:E50))</f>
        <v>1193183.3687707679</v>
      </c>
      <c r="E51" s="484">
        <f t="shared" si="3"/>
        <v>117640.04651162791</v>
      </c>
      <c r="F51" s="485">
        <f t="shared" si="4"/>
        <v>1075543.32225914</v>
      </c>
      <c r="G51" s="486">
        <f t="shared" si="5"/>
        <v>239948.97627783427</v>
      </c>
      <c r="H51" s="455">
        <f t="shared" si="6"/>
        <v>239948.97627783427</v>
      </c>
      <c r="I51" s="475">
        <f t="shared" si="7"/>
        <v>0</v>
      </c>
      <c r="J51" s="475"/>
      <c r="K51" s="487"/>
      <c r="L51" s="478">
        <f t="shared" si="8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 ht="12.5">
      <c r="B52" s="160" t="str">
        <f t="shared" si="9"/>
        <v/>
      </c>
      <c r="C52" s="472">
        <f>IF(D11="","-",+C51+1)</f>
        <v>2054</v>
      </c>
      <c r="D52" s="483">
        <f>IF(F51+SUM(E$17:E51)=D$10,F51,D$10-SUM(E$17:E51))</f>
        <v>1075543.32225914</v>
      </c>
      <c r="E52" s="484">
        <f t="shared" si="3"/>
        <v>117640.04651162791</v>
      </c>
      <c r="F52" s="485">
        <f t="shared" si="4"/>
        <v>957903.275747512</v>
      </c>
      <c r="G52" s="486">
        <f t="shared" si="5"/>
        <v>227264.83213356786</v>
      </c>
      <c r="H52" s="455">
        <f t="shared" si="6"/>
        <v>227264.83213356786</v>
      </c>
      <c r="I52" s="475">
        <f t="shared" si="7"/>
        <v>0</v>
      </c>
      <c r="J52" s="475"/>
      <c r="K52" s="487"/>
      <c r="L52" s="478">
        <f t="shared" si="8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 ht="12.5">
      <c r="B53" s="160" t="str">
        <f t="shared" si="9"/>
        <v/>
      </c>
      <c r="C53" s="472">
        <f>IF(D11="","-",+C52+1)</f>
        <v>2055</v>
      </c>
      <c r="D53" s="483">
        <f>IF(F52+SUM(E$17:E52)=D$10,F52,D$10-SUM(E$17:E52))</f>
        <v>957903.275747512</v>
      </c>
      <c r="E53" s="484">
        <f t="shared" si="3"/>
        <v>117640.04651162791</v>
      </c>
      <c r="F53" s="485">
        <f t="shared" si="4"/>
        <v>840263.22923588404</v>
      </c>
      <c r="G53" s="486">
        <f t="shared" si="5"/>
        <v>214580.68798930146</v>
      </c>
      <c r="H53" s="455">
        <f t="shared" si="6"/>
        <v>214580.68798930146</v>
      </c>
      <c r="I53" s="475">
        <f t="shared" si="7"/>
        <v>0</v>
      </c>
      <c r="J53" s="475"/>
      <c r="K53" s="487"/>
      <c r="L53" s="478">
        <f t="shared" si="8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 ht="12.5">
      <c r="B54" s="160" t="str">
        <f t="shared" si="9"/>
        <v/>
      </c>
      <c r="C54" s="472">
        <f>IF(D11="","-",+C53+1)</f>
        <v>2056</v>
      </c>
      <c r="D54" s="483">
        <f>IF(F53+SUM(E$17:E53)=D$10,F53,D$10-SUM(E$17:E53))</f>
        <v>840263.22923588404</v>
      </c>
      <c r="E54" s="484">
        <f t="shared" si="3"/>
        <v>117640.04651162791</v>
      </c>
      <c r="F54" s="485">
        <f t="shared" si="4"/>
        <v>722623.18272425607</v>
      </c>
      <c r="G54" s="486">
        <f t="shared" si="5"/>
        <v>201896.54384503505</v>
      </c>
      <c r="H54" s="455">
        <f t="shared" si="6"/>
        <v>201896.54384503505</v>
      </c>
      <c r="I54" s="475">
        <f t="shared" si="7"/>
        <v>0</v>
      </c>
      <c r="J54" s="475"/>
      <c r="K54" s="487"/>
      <c r="L54" s="478">
        <f t="shared" si="8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 ht="12.5">
      <c r="B55" s="160" t="str">
        <f t="shared" si="9"/>
        <v/>
      </c>
      <c r="C55" s="472">
        <f>IF(D11="","-",+C54+1)</f>
        <v>2057</v>
      </c>
      <c r="D55" s="483">
        <f>IF(F54+SUM(E$17:E54)=D$10,F54,D$10-SUM(E$17:E54))</f>
        <v>722623.18272425607</v>
      </c>
      <c r="E55" s="484">
        <f t="shared" si="3"/>
        <v>117640.04651162791</v>
      </c>
      <c r="F55" s="485">
        <f t="shared" si="4"/>
        <v>604983.1362126281</v>
      </c>
      <c r="G55" s="486">
        <f t="shared" si="5"/>
        <v>189212.39970076864</v>
      </c>
      <c r="H55" s="455">
        <f t="shared" si="6"/>
        <v>189212.39970076864</v>
      </c>
      <c r="I55" s="475">
        <f t="shared" si="7"/>
        <v>0</v>
      </c>
      <c r="J55" s="475"/>
      <c r="K55" s="487"/>
      <c r="L55" s="478">
        <f t="shared" si="8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 ht="12.5">
      <c r="B56" s="160" t="str">
        <f t="shared" si="9"/>
        <v/>
      </c>
      <c r="C56" s="472">
        <f>IF(D11="","-",+C55+1)</f>
        <v>2058</v>
      </c>
      <c r="D56" s="483">
        <f>IF(F55+SUM(E$17:E55)=D$10,F55,D$10-SUM(E$17:E55))</f>
        <v>604983.1362126281</v>
      </c>
      <c r="E56" s="484">
        <f t="shared" si="3"/>
        <v>117640.04651162791</v>
      </c>
      <c r="F56" s="485">
        <f t="shared" si="4"/>
        <v>487343.08970100019</v>
      </c>
      <c r="G56" s="486">
        <f t="shared" si="5"/>
        <v>176528.25555650223</v>
      </c>
      <c r="H56" s="455">
        <f t="shared" si="6"/>
        <v>176528.25555650223</v>
      </c>
      <c r="I56" s="475">
        <f t="shared" si="7"/>
        <v>0</v>
      </c>
      <c r="J56" s="475"/>
      <c r="K56" s="487"/>
      <c r="L56" s="478">
        <f t="shared" si="8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 ht="12.5">
      <c r="B57" s="160" t="str">
        <f t="shared" si="9"/>
        <v/>
      </c>
      <c r="C57" s="472">
        <f>IF(D11="","-",+C56+1)</f>
        <v>2059</v>
      </c>
      <c r="D57" s="483">
        <f>IF(F56+SUM(E$17:E56)=D$10,F56,D$10-SUM(E$17:E56))</f>
        <v>487343.08970100019</v>
      </c>
      <c r="E57" s="484">
        <f t="shared" si="3"/>
        <v>117640.04651162791</v>
      </c>
      <c r="F57" s="485">
        <f t="shared" si="4"/>
        <v>369703.04318937229</v>
      </c>
      <c r="G57" s="486">
        <f t="shared" si="5"/>
        <v>163844.11141223583</v>
      </c>
      <c r="H57" s="455">
        <f t="shared" si="6"/>
        <v>163844.11141223583</v>
      </c>
      <c r="I57" s="475">
        <f t="shared" si="7"/>
        <v>0</v>
      </c>
      <c r="J57" s="475"/>
      <c r="K57" s="487"/>
      <c r="L57" s="478">
        <f t="shared" si="8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 ht="12.5">
      <c r="B58" s="160" t="str">
        <f t="shared" si="9"/>
        <v/>
      </c>
      <c r="C58" s="472">
        <f>IF(D11="","-",+C57+1)</f>
        <v>2060</v>
      </c>
      <c r="D58" s="483">
        <f>IF(F57+SUM(E$17:E57)=D$10,F57,D$10-SUM(E$17:E57))</f>
        <v>369703.04318937229</v>
      </c>
      <c r="E58" s="484">
        <f t="shared" si="3"/>
        <v>117640.04651162791</v>
      </c>
      <c r="F58" s="485">
        <f t="shared" si="4"/>
        <v>252062.99667774438</v>
      </c>
      <c r="G58" s="486">
        <f t="shared" si="5"/>
        <v>151159.96726796942</v>
      </c>
      <c r="H58" s="455">
        <f t="shared" si="6"/>
        <v>151159.96726796942</v>
      </c>
      <c r="I58" s="475">
        <f t="shared" si="7"/>
        <v>0</v>
      </c>
      <c r="J58" s="475"/>
      <c r="K58" s="487"/>
      <c r="L58" s="478">
        <f t="shared" si="8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 ht="12.5">
      <c r="B59" s="160" t="str">
        <f t="shared" si="9"/>
        <v/>
      </c>
      <c r="C59" s="472">
        <f>IF(D11="","-",+C58+1)</f>
        <v>2061</v>
      </c>
      <c r="D59" s="483">
        <f>IF(F58+SUM(E$17:E58)=D$10,F58,D$10-SUM(E$17:E58))</f>
        <v>252062.99667774438</v>
      </c>
      <c r="E59" s="484">
        <f t="shared" si="3"/>
        <v>117640.04651162791</v>
      </c>
      <c r="F59" s="485">
        <f t="shared" si="4"/>
        <v>134422.95016611647</v>
      </c>
      <c r="G59" s="486">
        <f t="shared" si="5"/>
        <v>138475.82312370304</v>
      </c>
      <c r="H59" s="455">
        <f t="shared" si="6"/>
        <v>138475.82312370304</v>
      </c>
      <c r="I59" s="475">
        <f t="shared" si="7"/>
        <v>0</v>
      </c>
      <c r="J59" s="475"/>
      <c r="K59" s="487"/>
      <c r="L59" s="478">
        <f t="shared" si="8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 ht="12.5">
      <c r="B60" s="160" t="str">
        <f t="shared" si="9"/>
        <v/>
      </c>
      <c r="C60" s="472">
        <f>IF(D11="","-",+C59+1)</f>
        <v>2062</v>
      </c>
      <c r="D60" s="483">
        <f>IF(F59+SUM(E$17:E59)=D$10,F59,D$10-SUM(E$17:E59))</f>
        <v>134422.95016611647</v>
      </c>
      <c r="E60" s="484">
        <f t="shared" si="3"/>
        <v>117640.04651162791</v>
      </c>
      <c r="F60" s="485">
        <f t="shared" si="4"/>
        <v>16782.90365448856</v>
      </c>
      <c r="G60" s="486">
        <f t="shared" si="5"/>
        <v>125791.67897943663</v>
      </c>
      <c r="H60" s="455">
        <f t="shared" si="6"/>
        <v>125791.67897943663</v>
      </c>
      <c r="I60" s="475">
        <f t="shared" si="7"/>
        <v>0</v>
      </c>
      <c r="J60" s="475"/>
      <c r="K60" s="487"/>
      <c r="L60" s="478">
        <f t="shared" si="8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 ht="12.5">
      <c r="B61" s="160" t="str">
        <f t="shared" si="9"/>
        <v/>
      </c>
      <c r="C61" s="472">
        <f>IF(D11="","-",+C60+1)</f>
        <v>2063</v>
      </c>
      <c r="D61" s="483">
        <f>IF(F60+SUM(E$17:E60)=D$10,F60,D$10-SUM(E$17:E60))</f>
        <v>16782.90365448856</v>
      </c>
      <c r="E61" s="484">
        <f t="shared" si="3"/>
        <v>16782.90365448856</v>
      </c>
      <c r="F61" s="485">
        <f t="shared" si="4"/>
        <v>0</v>
      </c>
      <c r="G61" s="486">
        <f t="shared" si="5"/>
        <v>17687.683852326321</v>
      </c>
      <c r="H61" s="455">
        <f t="shared" si="6"/>
        <v>17687.683852326321</v>
      </c>
      <c r="I61" s="475">
        <f t="shared" si="7"/>
        <v>0</v>
      </c>
      <c r="J61" s="475"/>
      <c r="K61" s="487"/>
      <c r="L61" s="478">
        <f t="shared" si="8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 ht="12.5">
      <c r="B62" s="160" t="str">
        <f t="shared" si="9"/>
        <v/>
      </c>
      <c r="C62" s="472">
        <f>IF(D11="","-",+C61+1)</f>
        <v>2064</v>
      </c>
      <c r="D62" s="483">
        <f>IF(F61+SUM(E$17:E61)=D$10,F61,D$10-SUM(E$17:E61))</f>
        <v>0</v>
      </c>
      <c r="E62" s="484">
        <f t="shared" si="3"/>
        <v>0</v>
      </c>
      <c r="F62" s="485">
        <f t="shared" si="4"/>
        <v>0</v>
      </c>
      <c r="G62" s="486">
        <f t="shared" si="5"/>
        <v>0</v>
      </c>
      <c r="H62" s="455">
        <f t="shared" si="6"/>
        <v>0</v>
      </c>
      <c r="I62" s="475">
        <f t="shared" si="7"/>
        <v>0</v>
      </c>
      <c r="J62" s="475"/>
      <c r="K62" s="487"/>
      <c r="L62" s="478">
        <f t="shared" si="8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 ht="12.5">
      <c r="B63" s="160" t="str">
        <f t="shared" si="9"/>
        <v/>
      </c>
      <c r="C63" s="472">
        <f>IF(D11="","-",+C62+1)</f>
        <v>2065</v>
      </c>
      <c r="D63" s="483">
        <f>IF(F62+SUM(E$17:E62)=D$10,F62,D$10-SUM(E$17:E62))</f>
        <v>0</v>
      </c>
      <c r="E63" s="484">
        <f t="shared" si="3"/>
        <v>0</v>
      </c>
      <c r="F63" s="485">
        <f t="shared" si="4"/>
        <v>0</v>
      </c>
      <c r="G63" s="486">
        <f t="shared" si="5"/>
        <v>0</v>
      </c>
      <c r="H63" s="455">
        <f t="shared" si="6"/>
        <v>0</v>
      </c>
      <c r="I63" s="475">
        <f t="shared" si="7"/>
        <v>0</v>
      </c>
      <c r="J63" s="475"/>
      <c r="K63" s="487"/>
      <c r="L63" s="478">
        <f t="shared" si="8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 ht="12.5">
      <c r="B64" s="160" t="str">
        <f t="shared" si="9"/>
        <v/>
      </c>
      <c r="C64" s="472">
        <f>IF(D11="","-",+C63+1)</f>
        <v>2066</v>
      </c>
      <c r="D64" s="483">
        <f>IF(F63+SUM(E$17:E63)=D$10,F63,D$10-SUM(E$17:E63))</f>
        <v>0</v>
      </c>
      <c r="E64" s="484">
        <f t="shared" si="3"/>
        <v>0</v>
      </c>
      <c r="F64" s="485">
        <f t="shared" si="4"/>
        <v>0</v>
      </c>
      <c r="G64" s="486">
        <f t="shared" si="5"/>
        <v>0</v>
      </c>
      <c r="H64" s="455">
        <f t="shared" si="6"/>
        <v>0</v>
      </c>
      <c r="I64" s="475">
        <f t="shared" si="7"/>
        <v>0</v>
      </c>
      <c r="J64" s="475"/>
      <c r="K64" s="487"/>
      <c r="L64" s="478">
        <f t="shared" si="8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 ht="12.5">
      <c r="B65" s="160" t="str">
        <f t="shared" si="9"/>
        <v/>
      </c>
      <c r="C65" s="472">
        <f>IF(D11="","-",+C64+1)</f>
        <v>2067</v>
      </c>
      <c r="D65" s="483">
        <f>IF(F64+SUM(E$17:E64)=D$10,F64,D$10-SUM(E$17:E64))</f>
        <v>0</v>
      </c>
      <c r="E65" s="484">
        <f t="shared" si="3"/>
        <v>0</v>
      </c>
      <c r="F65" s="485">
        <f t="shared" si="4"/>
        <v>0</v>
      </c>
      <c r="G65" s="486">
        <f t="shared" si="5"/>
        <v>0</v>
      </c>
      <c r="H65" s="455">
        <f t="shared" si="6"/>
        <v>0</v>
      </c>
      <c r="I65" s="475">
        <f t="shared" si="7"/>
        <v>0</v>
      </c>
      <c r="J65" s="475"/>
      <c r="K65" s="487"/>
      <c r="L65" s="478">
        <f t="shared" si="8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 ht="12.5">
      <c r="B66" s="160" t="str">
        <f t="shared" si="9"/>
        <v/>
      </c>
      <c r="C66" s="472">
        <f>IF(D11="","-",+C65+1)</f>
        <v>2068</v>
      </c>
      <c r="D66" s="483">
        <f>IF(F65+SUM(E$17:E65)=D$10,F65,D$10-SUM(E$17:E65))</f>
        <v>0</v>
      </c>
      <c r="E66" s="484">
        <f t="shared" si="3"/>
        <v>0</v>
      </c>
      <c r="F66" s="485">
        <f t="shared" si="4"/>
        <v>0</v>
      </c>
      <c r="G66" s="486">
        <f t="shared" si="5"/>
        <v>0</v>
      </c>
      <c r="H66" s="455">
        <f t="shared" si="6"/>
        <v>0</v>
      </c>
      <c r="I66" s="475">
        <f t="shared" si="7"/>
        <v>0</v>
      </c>
      <c r="J66" s="475"/>
      <c r="K66" s="487"/>
      <c r="L66" s="478">
        <f t="shared" si="8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 ht="12.5">
      <c r="B67" s="160" t="str">
        <f t="shared" si="9"/>
        <v/>
      </c>
      <c r="C67" s="472">
        <f>IF(D11="","-",+C66+1)</f>
        <v>2069</v>
      </c>
      <c r="D67" s="483">
        <f>IF(F66+SUM(E$17:E66)=D$10,F66,D$10-SUM(E$17:E66))</f>
        <v>0</v>
      </c>
      <c r="E67" s="484">
        <f t="shared" si="3"/>
        <v>0</v>
      </c>
      <c r="F67" s="485">
        <f t="shared" si="4"/>
        <v>0</v>
      </c>
      <c r="G67" s="486">
        <f t="shared" si="5"/>
        <v>0</v>
      </c>
      <c r="H67" s="455">
        <f t="shared" si="6"/>
        <v>0</v>
      </c>
      <c r="I67" s="475">
        <f t="shared" si="7"/>
        <v>0</v>
      </c>
      <c r="J67" s="475"/>
      <c r="K67" s="487"/>
      <c r="L67" s="478">
        <f t="shared" si="8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 ht="12.5">
      <c r="B68" s="160" t="str">
        <f t="shared" si="9"/>
        <v/>
      </c>
      <c r="C68" s="472">
        <f>IF(D11="","-",+C67+1)</f>
        <v>2070</v>
      </c>
      <c r="D68" s="483">
        <f>IF(F67+SUM(E$17:E67)=D$10,F67,D$10-SUM(E$17:E67))</f>
        <v>0</v>
      </c>
      <c r="E68" s="484">
        <f t="shared" si="3"/>
        <v>0</v>
      </c>
      <c r="F68" s="485">
        <f t="shared" si="4"/>
        <v>0</v>
      </c>
      <c r="G68" s="486">
        <f t="shared" si="5"/>
        <v>0</v>
      </c>
      <c r="H68" s="455">
        <f t="shared" si="6"/>
        <v>0</v>
      </c>
      <c r="I68" s="475">
        <f t="shared" si="7"/>
        <v>0</v>
      </c>
      <c r="J68" s="475"/>
      <c r="K68" s="487"/>
      <c r="L68" s="478">
        <f t="shared" si="8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 ht="12.5">
      <c r="B69" s="160" t="str">
        <f t="shared" si="9"/>
        <v/>
      </c>
      <c r="C69" s="472">
        <f>IF(D11="","-",+C68+1)</f>
        <v>2071</v>
      </c>
      <c r="D69" s="483">
        <f>IF(F68+SUM(E$17:E68)=D$10,F68,D$10-SUM(E$17:E68))</f>
        <v>0</v>
      </c>
      <c r="E69" s="484">
        <f t="shared" si="3"/>
        <v>0</v>
      </c>
      <c r="F69" s="485">
        <f t="shared" si="4"/>
        <v>0</v>
      </c>
      <c r="G69" s="486">
        <f t="shared" si="5"/>
        <v>0</v>
      </c>
      <c r="H69" s="455">
        <f t="shared" si="6"/>
        <v>0</v>
      </c>
      <c r="I69" s="475">
        <f t="shared" si="7"/>
        <v>0</v>
      </c>
      <c r="J69" s="475"/>
      <c r="K69" s="487"/>
      <c r="L69" s="478">
        <f t="shared" si="8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 ht="12.5">
      <c r="B70" s="160" t="str">
        <f t="shared" si="9"/>
        <v/>
      </c>
      <c r="C70" s="472">
        <f>IF(D11="","-",+C69+1)</f>
        <v>2072</v>
      </c>
      <c r="D70" s="483">
        <f>IF(F69+SUM(E$17:E69)=D$10,F69,D$10-SUM(E$17:E69))</f>
        <v>0</v>
      </c>
      <c r="E70" s="484">
        <f t="shared" si="3"/>
        <v>0</v>
      </c>
      <c r="F70" s="485">
        <f t="shared" si="4"/>
        <v>0</v>
      </c>
      <c r="G70" s="486">
        <f t="shared" si="5"/>
        <v>0</v>
      </c>
      <c r="H70" s="455">
        <f t="shared" si="6"/>
        <v>0</v>
      </c>
      <c r="I70" s="475">
        <f t="shared" si="7"/>
        <v>0</v>
      </c>
      <c r="J70" s="475"/>
      <c r="K70" s="487"/>
      <c r="L70" s="478">
        <f t="shared" si="8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 ht="12.5">
      <c r="B71" s="160" t="str">
        <f t="shared" si="9"/>
        <v/>
      </c>
      <c r="C71" s="472">
        <f>IF(D11="","-",+C70+1)</f>
        <v>2073</v>
      </c>
      <c r="D71" s="483">
        <f>IF(F70+SUM(E$17:E70)=D$10,F70,D$10-SUM(E$17:E70))</f>
        <v>0</v>
      </c>
      <c r="E71" s="484">
        <f t="shared" si="3"/>
        <v>0</v>
      </c>
      <c r="F71" s="485">
        <f t="shared" si="4"/>
        <v>0</v>
      </c>
      <c r="G71" s="486">
        <f t="shared" si="5"/>
        <v>0</v>
      </c>
      <c r="H71" s="455">
        <f t="shared" si="6"/>
        <v>0</v>
      </c>
      <c r="I71" s="475">
        <f t="shared" si="7"/>
        <v>0</v>
      </c>
      <c r="J71" s="475"/>
      <c r="K71" s="487"/>
      <c r="L71" s="478">
        <f t="shared" si="8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" thickBot="1">
      <c r="B72" s="160" t="str">
        <f t="shared" si="9"/>
        <v/>
      </c>
      <c r="C72" s="489">
        <f>IF(D11="","-",+C71+1)</f>
        <v>2074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8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 ht="12.5">
      <c r="C73" s="346" t="s">
        <v>77</v>
      </c>
      <c r="D73" s="347"/>
      <c r="E73" s="347">
        <f>SUM(E17:E72)</f>
        <v>5058522</v>
      </c>
      <c r="F73" s="347"/>
      <c r="G73" s="347">
        <f>SUM(G17:G72)</f>
        <v>17004917.820915662</v>
      </c>
      <c r="H73" s="347">
        <f>SUM(H17:H72)</f>
        <v>17004917.820915662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27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230012.66047295602</v>
      </c>
      <c r="N87" s="508">
        <f>IF(J92&lt;D11,0,VLOOKUP(J92,C17:O72,11))</f>
        <v>230012.66047295602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260802.28471872112</v>
      </c>
      <c r="N88" s="512">
        <f>IF(J92&lt;D11,0,VLOOKUP(J92,C99:P154,7))</f>
        <v>260802.28471872112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Broken Arrow North-Lynn Lane East 138 kV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30789.624245765095</v>
      </c>
      <c r="N89" s="517">
        <f>+N88-N87</f>
        <v>30789.624245765095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TP2017016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5058522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v>2019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v>3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123379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2019</v>
      </c>
      <c r="D99" s="346">
        <v>0</v>
      </c>
      <c r="E99" s="486">
        <v>0</v>
      </c>
      <c r="F99" s="485">
        <v>5058522</v>
      </c>
      <c r="G99" s="617">
        <v>2529261</v>
      </c>
      <c r="H99" s="617">
        <v>260802.28471872112</v>
      </c>
      <c r="I99" s="617">
        <v>260802.28471872112</v>
      </c>
      <c r="J99" s="478">
        <f>+I99-H99</f>
        <v>0</v>
      </c>
      <c r="K99" s="478"/>
      <c r="L99" s="618"/>
      <c r="M99" s="477">
        <f t="shared" ref="M99:M130" si="10">IF(L99&lt;&gt;0,+H99-L99,0)</f>
        <v>0</v>
      </c>
      <c r="N99" s="618"/>
      <c r="O99" s="477">
        <f t="shared" ref="O99:O130" si="11">IF(N99&lt;&gt;0,+I99-N99,0)</f>
        <v>0</v>
      </c>
      <c r="P99" s="477">
        <f t="shared" ref="P99:P130" si="12">+O99-M99</f>
        <v>0</v>
      </c>
    </row>
    <row r="100" spans="1:16" ht="12.5">
      <c r="B100" s="160" t="str">
        <f>IF(D100=F99,"","IU")</f>
        <v/>
      </c>
      <c r="C100" s="472">
        <f>IF(D93="","-",+C99+1)</f>
        <v>2020</v>
      </c>
      <c r="D100" s="346">
        <f>IF(F99+SUM(E$99:E99)=D$92,F99,D$92-SUM(E$99:E99))</f>
        <v>5058522</v>
      </c>
      <c r="E100" s="484">
        <f>IF(+J$96&lt;F99,J$96,D100)</f>
        <v>123379</v>
      </c>
      <c r="F100" s="485">
        <f>+D100-E100</f>
        <v>4935143</v>
      </c>
      <c r="G100" s="485">
        <f>+(F100+D100)/2</f>
        <v>4996832.5</v>
      </c>
      <c r="H100" s="613">
        <f t="shared" ref="H100:H154" si="13">+J$94*G100+E100</f>
        <v>638622.51672554121</v>
      </c>
      <c r="I100" s="614">
        <f t="shared" ref="I100:I154" si="14">+J$95*G100+E100</f>
        <v>638622.51672554121</v>
      </c>
      <c r="J100" s="478">
        <f t="shared" ref="J100:J130" si="15">+I100-H100</f>
        <v>0</v>
      </c>
      <c r="K100" s="478"/>
      <c r="L100" s="487"/>
      <c r="M100" s="478">
        <f t="shared" si="10"/>
        <v>0</v>
      </c>
      <c r="N100" s="487"/>
      <c r="O100" s="478">
        <f t="shared" si="11"/>
        <v>0</v>
      </c>
      <c r="P100" s="478">
        <f t="shared" si="12"/>
        <v>0</v>
      </c>
    </row>
    <row r="101" spans="1:16" ht="12.5">
      <c r="B101" s="160" t="str">
        <f t="shared" ref="B101:B154" si="16">IF(D101=F100,"","IU")</f>
        <v/>
      </c>
      <c r="C101" s="472">
        <f>IF(D93="","-",+C100+1)</f>
        <v>2021</v>
      </c>
      <c r="D101" s="346">
        <f>IF(F100+SUM(E$99:E100)=D$92,F100,D$92-SUM(E$99:E100))</f>
        <v>4935143</v>
      </c>
      <c r="E101" s="484">
        <f t="shared" ref="E101:E154" si="17">IF(+J$96&lt;F100,J$96,D101)</f>
        <v>123379</v>
      </c>
      <c r="F101" s="485">
        <f t="shared" ref="F101:F154" si="18">+D101-E101</f>
        <v>4811764</v>
      </c>
      <c r="G101" s="485">
        <f t="shared" ref="G101:G154" si="19">+(F101+D101)/2</f>
        <v>4873453.5</v>
      </c>
      <c r="H101" s="613">
        <f t="shared" si="13"/>
        <v>625900.41130173905</v>
      </c>
      <c r="I101" s="614">
        <f t="shared" si="14"/>
        <v>625900.41130173905</v>
      </c>
      <c r="J101" s="478">
        <f t="shared" si="15"/>
        <v>0</v>
      </c>
      <c r="K101" s="478"/>
      <c r="L101" s="487"/>
      <c r="M101" s="478">
        <f t="shared" si="10"/>
        <v>0</v>
      </c>
      <c r="N101" s="487"/>
      <c r="O101" s="478">
        <f t="shared" si="11"/>
        <v>0</v>
      </c>
      <c r="P101" s="478">
        <f t="shared" si="12"/>
        <v>0</v>
      </c>
    </row>
    <row r="102" spans="1:16" ht="12.5">
      <c r="B102" s="160" t="str">
        <f t="shared" si="16"/>
        <v/>
      </c>
      <c r="C102" s="472">
        <f>IF(D93="","-",+C101+1)</f>
        <v>2022</v>
      </c>
      <c r="D102" s="346">
        <f>IF(F101+SUM(E$99:E101)=D$92,F101,D$92-SUM(E$99:E101))</f>
        <v>4811764</v>
      </c>
      <c r="E102" s="484">
        <f t="shared" si="17"/>
        <v>123379</v>
      </c>
      <c r="F102" s="485">
        <f t="shared" si="18"/>
        <v>4688385</v>
      </c>
      <c r="G102" s="485">
        <f t="shared" si="19"/>
        <v>4750074.5</v>
      </c>
      <c r="H102" s="613">
        <f t="shared" si="13"/>
        <v>613178.305877937</v>
      </c>
      <c r="I102" s="614">
        <f t="shared" si="14"/>
        <v>613178.305877937</v>
      </c>
      <c r="J102" s="478">
        <f t="shared" si="15"/>
        <v>0</v>
      </c>
      <c r="K102" s="478"/>
      <c r="L102" s="487"/>
      <c r="M102" s="478">
        <f t="shared" si="10"/>
        <v>0</v>
      </c>
      <c r="N102" s="487"/>
      <c r="O102" s="478">
        <f t="shared" si="11"/>
        <v>0</v>
      </c>
      <c r="P102" s="478">
        <f t="shared" si="12"/>
        <v>0</v>
      </c>
    </row>
    <row r="103" spans="1:16" ht="12.5">
      <c r="B103" s="160" t="str">
        <f t="shared" si="16"/>
        <v/>
      </c>
      <c r="C103" s="472">
        <f>IF(D93="","-",+C102+1)</f>
        <v>2023</v>
      </c>
      <c r="D103" s="346">
        <f>IF(F102+SUM(E$99:E102)=D$92,F102,D$92-SUM(E$99:E102))</f>
        <v>4688385</v>
      </c>
      <c r="E103" s="484">
        <f t="shared" si="17"/>
        <v>123379</v>
      </c>
      <c r="F103" s="485">
        <f t="shared" si="18"/>
        <v>4565006</v>
      </c>
      <c r="G103" s="485">
        <f t="shared" si="19"/>
        <v>4626695.5</v>
      </c>
      <c r="H103" s="613">
        <f t="shared" si="13"/>
        <v>600456.20045413496</v>
      </c>
      <c r="I103" s="614">
        <f t="shared" si="14"/>
        <v>600456.20045413496</v>
      </c>
      <c r="J103" s="478">
        <f t="shared" si="15"/>
        <v>0</v>
      </c>
      <c r="K103" s="478"/>
      <c r="L103" s="487"/>
      <c r="M103" s="478">
        <f t="shared" si="10"/>
        <v>0</v>
      </c>
      <c r="N103" s="487"/>
      <c r="O103" s="478">
        <f t="shared" si="11"/>
        <v>0</v>
      </c>
      <c r="P103" s="478">
        <f t="shared" si="12"/>
        <v>0</v>
      </c>
    </row>
    <row r="104" spans="1:16" ht="12.5">
      <c r="B104" s="160" t="str">
        <f t="shared" si="16"/>
        <v/>
      </c>
      <c r="C104" s="472">
        <f>IF(D93="","-",+C103+1)</f>
        <v>2024</v>
      </c>
      <c r="D104" s="346">
        <f>IF(F103+SUM(E$99:E103)=D$92,F103,D$92-SUM(E$99:E103))</f>
        <v>4565006</v>
      </c>
      <c r="E104" s="484">
        <f t="shared" si="17"/>
        <v>123379</v>
      </c>
      <c r="F104" s="485">
        <f t="shared" si="18"/>
        <v>4441627</v>
      </c>
      <c r="G104" s="485">
        <f t="shared" si="19"/>
        <v>4503316.5</v>
      </c>
      <c r="H104" s="613">
        <f t="shared" si="13"/>
        <v>587734.09503033292</v>
      </c>
      <c r="I104" s="614">
        <f t="shared" si="14"/>
        <v>587734.09503033292</v>
      </c>
      <c r="J104" s="478">
        <f t="shared" si="15"/>
        <v>0</v>
      </c>
      <c r="K104" s="478"/>
      <c r="L104" s="487"/>
      <c r="M104" s="478">
        <f t="shared" si="10"/>
        <v>0</v>
      </c>
      <c r="N104" s="487"/>
      <c r="O104" s="478">
        <f t="shared" si="11"/>
        <v>0</v>
      </c>
      <c r="P104" s="478">
        <f t="shared" si="12"/>
        <v>0</v>
      </c>
    </row>
    <row r="105" spans="1:16" ht="12.5">
      <c r="B105" s="160" t="str">
        <f t="shared" si="16"/>
        <v/>
      </c>
      <c r="C105" s="472">
        <f>IF(D93="","-",+C104+1)</f>
        <v>2025</v>
      </c>
      <c r="D105" s="346">
        <f>IF(F104+SUM(E$99:E104)=D$92,F104,D$92-SUM(E$99:E104))</f>
        <v>4441627</v>
      </c>
      <c r="E105" s="484">
        <f t="shared" si="17"/>
        <v>123379</v>
      </c>
      <c r="F105" s="485">
        <f t="shared" si="18"/>
        <v>4318248</v>
      </c>
      <c r="G105" s="485">
        <f t="shared" si="19"/>
        <v>4379937.5</v>
      </c>
      <c r="H105" s="613">
        <f t="shared" si="13"/>
        <v>575011.98960653075</v>
      </c>
      <c r="I105" s="614">
        <f t="shared" si="14"/>
        <v>575011.98960653075</v>
      </c>
      <c r="J105" s="478">
        <f t="shared" si="15"/>
        <v>0</v>
      </c>
      <c r="K105" s="478"/>
      <c r="L105" s="487"/>
      <c r="M105" s="478">
        <f t="shared" si="10"/>
        <v>0</v>
      </c>
      <c r="N105" s="487"/>
      <c r="O105" s="478">
        <f t="shared" si="11"/>
        <v>0</v>
      </c>
      <c r="P105" s="478">
        <f t="shared" si="12"/>
        <v>0</v>
      </c>
    </row>
    <row r="106" spans="1:16" ht="12.5">
      <c r="B106" s="160" t="str">
        <f t="shared" si="16"/>
        <v/>
      </c>
      <c r="C106" s="472">
        <f>IF(D93="","-",+C105+1)</f>
        <v>2026</v>
      </c>
      <c r="D106" s="346">
        <f>IF(F105+SUM(E$99:E105)=D$92,F105,D$92-SUM(E$99:E105))</f>
        <v>4318248</v>
      </c>
      <c r="E106" s="484">
        <f t="shared" si="17"/>
        <v>123379</v>
      </c>
      <c r="F106" s="485">
        <f t="shared" si="18"/>
        <v>4194869</v>
      </c>
      <c r="G106" s="485">
        <f t="shared" si="19"/>
        <v>4256558.5</v>
      </c>
      <c r="H106" s="613">
        <f t="shared" si="13"/>
        <v>562289.88418272859</v>
      </c>
      <c r="I106" s="614">
        <f t="shared" si="14"/>
        <v>562289.88418272859</v>
      </c>
      <c r="J106" s="478">
        <f t="shared" si="15"/>
        <v>0</v>
      </c>
      <c r="K106" s="478"/>
      <c r="L106" s="487"/>
      <c r="M106" s="478">
        <f t="shared" si="10"/>
        <v>0</v>
      </c>
      <c r="N106" s="487"/>
      <c r="O106" s="478">
        <f t="shared" si="11"/>
        <v>0</v>
      </c>
      <c r="P106" s="478">
        <f t="shared" si="12"/>
        <v>0</v>
      </c>
    </row>
    <row r="107" spans="1:16" ht="12.5">
      <c r="B107" s="160" t="str">
        <f t="shared" si="16"/>
        <v/>
      </c>
      <c r="C107" s="472">
        <f>IF(D93="","-",+C106+1)</f>
        <v>2027</v>
      </c>
      <c r="D107" s="346">
        <f>IF(F106+SUM(E$99:E106)=D$92,F106,D$92-SUM(E$99:E106))</f>
        <v>4194869</v>
      </c>
      <c r="E107" s="484">
        <f t="shared" si="17"/>
        <v>123379</v>
      </c>
      <c r="F107" s="485">
        <f t="shared" si="18"/>
        <v>4071490</v>
      </c>
      <c r="G107" s="485">
        <f t="shared" si="19"/>
        <v>4133179.5</v>
      </c>
      <c r="H107" s="613">
        <f t="shared" si="13"/>
        <v>549567.77875892655</v>
      </c>
      <c r="I107" s="614">
        <f t="shared" si="14"/>
        <v>549567.77875892655</v>
      </c>
      <c r="J107" s="478">
        <f t="shared" si="15"/>
        <v>0</v>
      </c>
      <c r="K107" s="478"/>
      <c r="L107" s="487"/>
      <c r="M107" s="478">
        <f t="shared" si="10"/>
        <v>0</v>
      </c>
      <c r="N107" s="487"/>
      <c r="O107" s="478">
        <f t="shared" si="11"/>
        <v>0</v>
      </c>
      <c r="P107" s="478">
        <f t="shared" si="12"/>
        <v>0</v>
      </c>
    </row>
    <row r="108" spans="1:16" ht="12.5">
      <c r="B108" s="160" t="str">
        <f t="shared" si="16"/>
        <v/>
      </c>
      <c r="C108" s="472">
        <f>IF(D93="","-",+C107+1)</f>
        <v>2028</v>
      </c>
      <c r="D108" s="346">
        <f>IF(F107+SUM(E$99:E107)=D$92,F107,D$92-SUM(E$99:E107))</f>
        <v>4071490</v>
      </c>
      <c r="E108" s="484">
        <f t="shared" si="17"/>
        <v>123379</v>
      </c>
      <c r="F108" s="485">
        <f t="shared" si="18"/>
        <v>3948111</v>
      </c>
      <c r="G108" s="485">
        <f t="shared" si="19"/>
        <v>4009800.5</v>
      </c>
      <c r="H108" s="613">
        <f t="shared" si="13"/>
        <v>536845.67333512451</v>
      </c>
      <c r="I108" s="614">
        <f t="shared" si="14"/>
        <v>536845.67333512451</v>
      </c>
      <c r="J108" s="478">
        <f t="shared" si="15"/>
        <v>0</v>
      </c>
      <c r="K108" s="478"/>
      <c r="L108" s="487"/>
      <c r="M108" s="478">
        <f t="shared" si="10"/>
        <v>0</v>
      </c>
      <c r="N108" s="487"/>
      <c r="O108" s="478">
        <f t="shared" si="11"/>
        <v>0</v>
      </c>
      <c r="P108" s="478">
        <f t="shared" si="12"/>
        <v>0</v>
      </c>
    </row>
    <row r="109" spans="1:16" ht="12.5">
      <c r="B109" s="160" t="str">
        <f t="shared" si="16"/>
        <v/>
      </c>
      <c r="C109" s="472">
        <f>IF(D93="","-",+C108+1)</f>
        <v>2029</v>
      </c>
      <c r="D109" s="346">
        <f>IF(F108+SUM(E$99:E108)=D$92,F108,D$92-SUM(E$99:E108))</f>
        <v>3948111</v>
      </c>
      <c r="E109" s="484">
        <f t="shared" si="17"/>
        <v>123379</v>
      </c>
      <c r="F109" s="485">
        <f t="shared" si="18"/>
        <v>3824732</v>
      </c>
      <c r="G109" s="485">
        <f t="shared" si="19"/>
        <v>3886421.5</v>
      </c>
      <c r="H109" s="613">
        <f t="shared" si="13"/>
        <v>524123.5679113224</v>
      </c>
      <c r="I109" s="614">
        <f t="shared" si="14"/>
        <v>524123.5679113224</v>
      </c>
      <c r="J109" s="478">
        <f t="shared" si="15"/>
        <v>0</v>
      </c>
      <c r="K109" s="478"/>
      <c r="L109" s="487"/>
      <c r="M109" s="478">
        <f t="shared" si="10"/>
        <v>0</v>
      </c>
      <c r="N109" s="487"/>
      <c r="O109" s="478">
        <f t="shared" si="11"/>
        <v>0</v>
      </c>
      <c r="P109" s="478">
        <f t="shared" si="12"/>
        <v>0</v>
      </c>
    </row>
    <row r="110" spans="1:16" ht="12.5">
      <c r="B110" s="160" t="str">
        <f t="shared" si="16"/>
        <v/>
      </c>
      <c r="C110" s="472">
        <f>IF(D93="","-",+C109+1)</f>
        <v>2030</v>
      </c>
      <c r="D110" s="346">
        <f>IF(F109+SUM(E$99:E109)=D$92,F109,D$92-SUM(E$99:E109))</f>
        <v>3824732</v>
      </c>
      <c r="E110" s="484">
        <f t="shared" si="17"/>
        <v>123379</v>
      </c>
      <c r="F110" s="485">
        <f t="shared" si="18"/>
        <v>3701353</v>
      </c>
      <c r="G110" s="485">
        <f t="shared" si="19"/>
        <v>3763042.5</v>
      </c>
      <c r="H110" s="613">
        <f t="shared" si="13"/>
        <v>511401.4624875203</v>
      </c>
      <c r="I110" s="614">
        <f t="shared" si="14"/>
        <v>511401.4624875203</v>
      </c>
      <c r="J110" s="478">
        <f t="shared" si="15"/>
        <v>0</v>
      </c>
      <c r="K110" s="478"/>
      <c r="L110" s="487"/>
      <c r="M110" s="478">
        <f t="shared" si="10"/>
        <v>0</v>
      </c>
      <c r="N110" s="487"/>
      <c r="O110" s="478">
        <f t="shared" si="11"/>
        <v>0</v>
      </c>
      <c r="P110" s="478">
        <f t="shared" si="12"/>
        <v>0</v>
      </c>
    </row>
    <row r="111" spans="1:16" ht="12.5">
      <c r="B111" s="160" t="str">
        <f t="shared" si="16"/>
        <v/>
      </c>
      <c r="C111" s="472">
        <f>IF(D93="","-",+C110+1)</f>
        <v>2031</v>
      </c>
      <c r="D111" s="346">
        <f>IF(F110+SUM(E$99:E110)=D$92,F110,D$92-SUM(E$99:E110))</f>
        <v>3701353</v>
      </c>
      <c r="E111" s="484">
        <f t="shared" si="17"/>
        <v>123379</v>
      </c>
      <c r="F111" s="485">
        <f t="shared" si="18"/>
        <v>3577974</v>
      </c>
      <c r="G111" s="485">
        <f t="shared" si="19"/>
        <v>3639663.5</v>
      </c>
      <c r="H111" s="613">
        <f t="shared" si="13"/>
        <v>498679.35706371826</v>
      </c>
      <c r="I111" s="614">
        <f t="shared" si="14"/>
        <v>498679.35706371826</v>
      </c>
      <c r="J111" s="478">
        <f t="shared" si="15"/>
        <v>0</v>
      </c>
      <c r="K111" s="478"/>
      <c r="L111" s="487"/>
      <c r="M111" s="478">
        <f t="shared" si="10"/>
        <v>0</v>
      </c>
      <c r="N111" s="487"/>
      <c r="O111" s="478">
        <f t="shared" si="11"/>
        <v>0</v>
      </c>
      <c r="P111" s="478">
        <f t="shared" si="12"/>
        <v>0</v>
      </c>
    </row>
    <row r="112" spans="1:16" ht="12.5">
      <c r="B112" s="160" t="str">
        <f t="shared" si="16"/>
        <v/>
      </c>
      <c r="C112" s="472">
        <f>IF(D93="","-",+C111+1)</f>
        <v>2032</v>
      </c>
      <c r="D112" s="346">
        <f>IF(F111+SUM(E$99:E111)=D$92,F111,D$92-SUM(E$99:E111))</f>
        <v>3577974</v>
      </c>
      <c r="E112" s="484">
        <f t="shared" si="17"/>
        <v>123379</v>
      </c>
      <c r="F112" s="485">
        <f t="shared" si="18"/>
        <v>3454595</v>
      </c>
      <c r="G112" s="485">
        <f t="shared" si="19"/>
        <v>3516284.5</v>
      </c>
      <c r="H112" s="613">
        <f t="shared" si="13"/>
        <v>485957.25163991615</v>
      </c>
      <c r="I112" s="614">
        <f t="shared" si="14"/>
        <v>485957.25163991615</v>
      </c>
      <c r="J112" s="478">
        <f t="shared" si="15"/>
        <v>0</v>
      </c>
      <c r="K112" s="478"/>
      <c r="L112" s="487"/>
      <c r="M112" s="478">
        <f t="shared" si="10"/>
        <v>0</v>
      </c>
      <c r="N112" s="487"/>
      <c r="O112" s="478">
        <f t="shared" si="11"/>
        <v>0</v>
      </c>
      <c r="P112" s="478">
        <f t="shared" si="12"/>
        <v>0</v>
      </c>
    </row>
    <row r="113" spans="2:16" ht="12.5">
      <c r="B113" s="160" t="str">
        <f t="shared" si="16"/>
        <v/>
      </c>
      <c r="C113" s="472">
        <f>IF(D93="","-",+C112+1)</f>
        <v>2033</v>
      </c>
      <c r="D113" s="346">
        <f>IF(F112+SUM(E$99:E112)=D$92,F112,D$92-SUM(E$99:E112))</f>
        <v>3454595</v>
      </c>
      <c r="E113" s="484">
        <f t="shared" si="17"/>
        <v>123379</v>
      </c>
      <c r="F113" s="485">
        <f t="shared" si="18"/>
        <v>3331216</v>
      </c>
      <c r="G113" s="485">
        <f t="shared" si="19"/>
        <v>3392905.5</v>
      </c>
      <c r="H113" s="613">
        <f t="shared" si="13"/>
        <v>473235.14621611405</v>
      </c>
      <c r="I113" s="614">
        <f t="shared" si="14"/>
        <v>473235.14621611405</v>
      </c>
      <c r="J113" s="478">
        <f t="shared" si="15"/>
        <v>0</v>
      </c>
      <c r="K113" s="478"/>
      <c r="L113" s="487"/>
      <c r="M113" s="478">
        <f t="shared" si="10"/>
        <v>0</v>
      </c>
      <c r="N113" s="487"/>
      <c r="O113" s="478">
        <f t="shared" si="11"/>
        <v>0</v>
      </c>
      <c r="P113" s="478">
        <f t="shared" si="12"/>
        <v>0</v>
      </c>
    </row>
    <row r="114" spans="2:16" ht="12.5">
      <c r="B114" s="160" t="str">
        <f t="shared" si="16"/>
        <v/>
      </c>
      <c r="C114" s="472">
        <f>IF(D93="","-",+C113+1)</f>
        <v>2034</v>
      </c>
      <c r="D114" s="346">
        <f>IF(F113+SUM(E$99:E113)=D$92,F113,D$92-SUM(E$99:E113))</f>
        <v>3331216</v>
      </c>
      <c r="E114" s="484">
        <f t="shared" si="17"/>
        <v>123379</v>
      </c>
      <c r="F114" s="485">
        <f t="shared" si="18"/>
        <v>3207837</v>
      </c>
      <c r="G114" s="485">
        <f t="shared" si="19"/>
        <v>3269526.5</v>
      </c>
      <c r="H114" s="613">
        <f t="shared" si="13"/>
        <v>460513.04079231195</v>
      </c>
      <c r="I114" s="614">
        <f t="shared" si="14"/>
        <v>460513.04079231195</v>
      </c>
      <c r="J114" s="478">
        <f t="shared" si="15"/>
        <v>0</v>
      </c>
      <c r="K114" s="478"/>
      <c r="L114" s="487"/>
      <c r="M114" s="478">
        <f t="shared" si="10"/>
        <v>0</v>
      </c>
      <c r="N114" s="487"/>
      <c r="O114" s="478">
        <f t="shared" si="11"/>
        <v>0</v>
      </c>
      <c r="P114" s="478">
        <f t="shared" si="12"/>
        <v>0</v>
      </c>
    </row>
    <row r="115" spans="2:16" ht="12.5">
      <c r="B115" s="160" t="str">
        <f t="shared" si="16"/>
        <v/>
      </c>
      <c r="C115" s="472">
        <f>IF(D93="","-",+C114+1)</f>
        <v>2035</v>
      </c>
      <c r="D115" s="346">
        <f>IF(F114+SUM(E$99:E114)=D$92,F114,D$92-SUM(E$99:E114))</f>
        <v>3207837</v>
      </c>
      <c r="E115" s="484">
        <f t="shared" si="17"/>
        <v>123379</v>
      </c>
      <c r="F115" s="485">
        <f t="shared" si="18"/>
        <v>3084458</v>
      </c>
      <c r="G115" s="485">
        <f t="shared" si="19"/>
        <v>3146147.5</v>
      </c>
      <c r="H115" s="613">
        <f t="shared" si="13"/>
        <v>447790.9353685099</v>
      </c>
      <c r="I115" s="614">
        <f t="shared" si="14"/>
        <v>447790.9353685099</v>
      </c>
      <c r="J115" s="478">
        <f t="shared" si="15"/>
        <v>0</v>
      </c>
      <c r="K115" s="478"/>
      <c r="L115" s="487"/>
      <c r="M115" s="478">
        <f t="shared" si="10"/>
        <v>0</v>
      </c>
      <c r="N115" s="487"/>
      <c r="O115" s="478">
        <f t="shared" si="11"/>
        <v>0</v>
      </c>
      <c r="P115" s="478">
        <f t="shared" si="12"/>
        <v>0</v>
      </c>
    </row>
    <row r="116" spans="2:16" ht="12.5">
      <c r="B116" s="160" t="str">
        <f t="shared" si="16"/>
        <v/>
      </c>
      <c r="C116" s="472">
        <f>IF(D93="","-",+C115+1)</f>
        <v>2036</v>
      </c>
      <c r="D116" s="346">
        <f>IF(F115+SUM(E$99:E115)=D$92,F115,D$92-SUM(E$99:E115))</f>
        <v>3084458</v>
      </c>
      <c r="E116" s="484">
        <f t="shared" si="17"/>
        <v>123379</v>
      </c>
      <c r="F116" s="485">
        <f t="shared" si="18"/>
        <v>2961079</v>
      </c>
      <c r="G116" s="485">
        <f t="shared" si="19"/>
        <v>3022768.5</v>
      </c>
      <c r="H116" s="613">
        <f t="shared" si="13"/>
        <v>435068.8299447078</v>
      </c>
      <c r="I116" s="614">
        <f t="shared" si="14"/>
        <v>435068.8299447078</v>
      </c>
      <c r="J116" s="478">
        <f t="shared" si="15"/>
        <v>0</v>
      </c>
      <c r="K116" s="478"/>
      <c r="L116" s="487"/>
      <c r="M116" s="478">
        <f t="shared" si="10"/>
        <v>0</v>
      </c>
      <c r="N116" s="487"/>
      <c r="O116" s="478">
        <f t="shared" si="11"/>
        <v>0</v>
      </c>
      <c r="P116" s="478">
        <f t="shared" si="12"/>
        <v>0</v>
      </c>
    </row>
    <row r="117" spans="2:16" ht="12.5">
      <c r="B117" s="160" t="str">
        <f t="shared" si="16"/>
        <v/>
      </c>
      <c r="C117" s="472">
        <f>IF(D93="","-",+C116+1)</f>
        <v>2037</v>
      </c>
      <c r="D117" s="346">
        <f>IF(F116+SUM(E$99:E116)=D$92,F116,D$92-SUM(E$99:E116))</f>
        <v>2961079</v>
      </c>
      <c r="E117" s="484">
        <f t="shared" si="17"/>
        <v>123379</v>
      </c>
      <c r="F117" s="485">
        <f t="shared" si="18"/>
        <v>2837700</v>
      </c>
      <c r="G117" s="485">
        <f t="shared" si="19"/>
        <v>2899389.5</v>
      </c>
      <c r="H117" s="613">
        <f t="shared" si="13"/>
        <v>422346.7245209057</v>
      </c>
      <c r="I117" s="614">
        <f t="shared" si="14"/>
        <v>422346.7245209057</v>
      </c>
      <c r="J117" s="478">
        <f t="shared" si="15"/>
        <v>0</v>
      </c>
      <c r="K117" s="478"/>
      <c r="L117" s="487"/>
      <c r="M117" s="478">
        <f t="shared" si="10"/>
        <v>0</v>
      </c>
      <c r="N117" s="487"/>
      <c r="O117" s="478">
        <f t="shared" si="11"/>
        <v>0</v>
      </c>
      <c r="P117" s="478">
        <f t="shared" si="12"/>
        <v>0</v>
      </c>
    </row>
    <row r="118" spans="2:16" ht="12.5">
      <c r="B118" s="160" t="str">
        <f t="shared" si="16"/>
        <v/>
      </c>
      <c r="C118" s="472">
        <f>IF(D93="","-",+C117+1)</f>
        <v>2038</v>
      </c>
      <c r="D118" s="346">
        <f>IF(F117+SUM(E$99:E117)=D$92,F117,D$92-SUM(E$99:E117))</f>
        <v>2837700</v>
      </c>
      <c r="E118" s="484">
        <f t="shared" si="17"/>
        <v>123379</v>
      </c>
      <c r="F118" s="485">
        <f t="shared" si="18"/>
        <v>2714321</v>
      </c>
      <c r="G118" s="485">
        <f t="shared" si="19"/>
        <v>2776010.5</v>
      </c>
      <c r="H118" s="613">
        <f t="shared" si="13"/>
        <v>409624.6190971036</v>
      </c>
      <c r="I118" s="614">
        <f t="shared" si="14"/>
        <v>409624.6190971036</v>
      </c>
      <c r="J118" s="478">
        <f t="shared" si="15"/>
        <v>0</v>
      </c>
      <c r="K118" s="478"/>
      <c r="L118" s="487"/>
      <c r="M118" s="478">
        <f t="shared" si="10"/>
        <v>0</v>
      </c>
      <c r="N118" s="487"/>
      <c r="O118" s="478">
        <f t="shared" si="11"/>
        <v>0</v>
      </c>
      <c r="P118" s="478">
        <f t="shared" si="12"/>
        <v>0</v>
      </c>
    </row>
    <row r="119" spans="2:16" ht="12.5">
      <c r="B119" s="160" t="str">
        <f t="shared" si="16"/>
        <v/>
      </c>
      <c r="C119" s="472">
        <f>IF(D93="","-",+C118+1)</f>
        <v>2039</v>
      </c>
      <c r="D119" s="346">
        <f>IF(F118+SUM(E$99:E118)=D$92,F118,D$92-SUM(E$99:E118))</f>
        <v>2714321</v>
      </c>
      <c r="E119" s="484">
        <f t="shared" si="17"/>
        <v>123379</v>
      </c>
      <c r="F119" s="485">
        <f t="shared" si="18"/>
        <v>2590942</v>
      </c>
      <c r="G119" s="485">
        <f t="shared" si="19"/>
        <v>2652631.5</v>
      </c>
      <c r="H119" s="613">
        <f t="shared" si="13"/>
        <v>396902.51367330155</v>
      </c>
      <c r="I119" s="614">
        <f t="shared" si="14"/>
        <v>396902.51367330155</v>
      </c>
      <c r="J119" s="478">
        <f t="shared" si="15"/>
        <v>0</v>
      </c>
      <c r="K119" s="478"/>
      <c r="L119" s="487"/>
      <c r="M119" s="478">
        <f t="shared" si="10"/>
        <v>0</v>
      </c>
      <c r="N119" s="487"/>
      <c r="O119" s="478">
        <f t="shared" si="11"/>
        <v>0</v>
      </c>
      <c r="P119" s="478">
        <f t="shared" si="12"/>
        <v>0</v>
      </c>
    </row>
    <row r="120" spans="2:16" ht="12.5">
      <c r="B120" s="160" t="str">
        <f t="shared" si="16"/>
        <v/>
      </c>
      <c r="C120" s="472">
        <f>IF(D93="","-",+C119+1)</f>
        <v>2040</v>
      </c>
      <c r="D120" s="346">
        <f>IF(F119+SUM(E$99:E119)=D$92,F119,D$92-SUM(E$99:E119))</f>
        <v>2590942</v>
      </c>
      <c r="E120" s="484">
        <f t="shared" si="17"/>
        <v>123379</v>
      </c>
      <c r="F120" s="485">
        <f t="shared" si="18"/>
        <v>2467563</v>
      </c>
      <c r="G120" s="485">
        <f t="shared" si="19"/>
        <v>2529252.5</v>
      </c>
      <c r="H120" s="613">
        <f t="shared" si="13"/>
        <v>384180.40824949945</v>
      </c>
      <c r="I120" s="614">
        <f t="shared" si="14"/>
        <v>384180.40824949945</v>
      </c>
      <c r="J120" s="478">
        <f t="shared" si="15"/>
        <v>0</v>
      </c>
      <c r="K120" s="478"/>
      <c r="L120" s="487"/>
      <c r="M120" s="478">
        <f t="shared" si="10"/>
        <v>0</v>
      </c>
      <c r="N120" s="487"/>
      <c r="O120" s="478">
        <f t="shared" si="11"/>
        <v>0</v>
      </c>
      <c r="P120" s="478">
        <f t="shared" si="12"/>
        <v>0</v>
      </c>
    </row>
    <row r="121" spans="2:16" ht="12.5">
      <c r="B121" s="160" t="str">
        <f t="shared" si="16"/>
        <v/>
      </c>
      <c r="C121" s="472">
        <f>IF(D93="","-",+C120+1)</f>
        <v>2041</v>
      </c>
      <c r="D121" s="346">
        <f>IF(F120+SUM(E$99:E120)=D$92,F120,D$92-SUM(E$99:E120))</f>
        <v>2467563</v>
      </c>
      <c r="E121" s="484">
        <f t="shared" si="17"/>
        <v>123379</v>
      </c>
      <c r="F121" s="485">
        <f t="shared" si="18"/>
        <v>2344184</v>
      </c>
      <c r="G121" s="485">
        <f t="shared" si="19"/>
        <v>2405873.5</v>
      </c>
      <c r="H121" s="613">
        <f t="shared" si="13"/>
        <v>371458.30282569735</v>
      </c>
      <c r="I121" s="614">
        <f t="shared" si="14"/>
        <v>371458.30282569735</v>
      </c>
      <c r="J121" s="478">
        <f t="shared" si="15"/>
        <v>0</v>
      </c>
      <c r="K121" s="478"/>
      <c r="L121" s="487"/>
      <c r="M121" s="478">
        <f t="shared" si="10"/>
        <v>0</v>
      </c>
      <c r="N121" s="487"/>
      <c r="O121" s="478">
        <f t="shared" si="11"/>
        <v>0</v>
      </c>
      <c r="P121" s="478">
        <f t="shared" si="12"/>
        <v>0</v>
      </c>
    </row>
    <row r="122" spans="2:16" ht="12.5">
      <c r="B122" s="160" t="str">
        <f t="shared" si="16"/>
        <v/>
      </c>
      <c r="C122" s="472">
        <f>IF(D93="","-",+C121+1)</f>
        <v>2042</v>
      </c>
      <c r="D122" s="346">
        <f>IF(F121+SUM(E$99:E121)=D$92,F121,D$92-SUM(E$99:E121))</f>
        <v>2344184</v>
      </c>
      <c r="E122" s="484">
        <f t="shared" si="17"/>
        <v>123379</v>
      </c>
      <c r="F122" s="485">
        <f t="shared" si="18"/>
        <v>2220805</v>
      </c>
      <c r="G122" s="485">
        <f t="shared" si="19"/>
        <v>2282494.5</v>
      </c>
      <c r="H122" s="613">
        <f t="shared" si="13"/>
        <v>358736.19740189525</v>
      </c>
      <c r="I122" s="614">
        <f t="shared" si="14"/>
        <v>358736.19740189525</v>
      </c>
      <c r="J122" s="478">
        <f t="shared" si="15"/>
        <v>0</v>
      </c>
      <c r="K122" s="478"/>
      <c r="L122" s="487"/>
      <c r="M122" s="478">
        <f t="shared" si="10"/>
        <v>0</v>
      </c>
      <c r="N122" s="487"/>
      <c r="O122" s="478">
        <f t="shared" si="11"/>
        <v>0</v>
      </c>
      <c r="P122" s="478">
        <f t="shared" si="12"/>
        <v>0</v>
      </c>
    </row>
    <row r="123" spans="2:16" ht="12.5">
      <c r="B123" s="160" t="str">
        <f t="shared" si="16"/>
        <v/>
      </c>
      <c r="C123" s="472">
        <f>IF(D93="","-",+C122+1)</f>
        <v>2043</v>
      </c>
      <c r="D123" s="346">
        <f>IF(F122+SUM(E$99:E122)=D$92,F122,D$92-SUM(E$99:E122))</f>
        <v>2220805</v>
      </c>
      <c r="E123" s="484">
        <f t="shared" si="17"/>
        <v>123379</v>
      </c>
      <c r="F123" s="485">
        <f t="shared" si="18"/>
        <v>2097426</v>
      </c>
      <c r="G123" s="485">
        <f t="shared" si="19"/>
        <v>2159115.5</v>
      </c>
      <c r="H123" s="613">
        <f t="shared" si="13"/>
        <v>346014.09197809314</v>
      </c>
      <c r="I123" s="614">
        <f t="shared" si="14"/>
        <v>346014.09197809314</v>
      </c>
      <c r="J123" s="478">
        <f t="shared" si="15"/>
        <v>0</v>
      </c>
      <c r="K123" s="478"/>
      <c r="L123" s="487"/>
      <c r="M123" s="478">
        <f t="shared" si="10"/>
        <v>0</v>
      </c>
      <c r="N123" s="487"/>
      <c r="O123" s="478">
        <f t="shared" si="11"/>
        <v>0</v>
      </c>
      <c r="P123" s="478">
        <f t="shared" si="12"/>
        <v>0</v>
      </c>
    </row>
    <row r="124" spans="2:16" ht="12.5">
      <c r="B124" s="160" t="str">
        <f t="shared" si="16"/>
        <v/>
      </c>
      <c r="C124" s="472">
        <f>IF(D93="","-",+C123+1)</f>
        <v>2044</v>
      </c>
      <c r="D124" s="346">
        <f>IF(F123+SUM(E$99:E123)=D$92,F123,D$92-SUM(E$99:E123))</f>
        <v>2097426</v>
      </c>
      <c r="E124" s="484">
        <f t="shared" si="17"/>
        <v>123379</v>
      </c>
      <c r="F124" s="485">
        <f t="shared" si="18"/>
        <v>1974047</v>
      </c>
      <c r="G124" s="485">
        <f t="shared" si="19"/>
        <v>2035736.5</v>
      </c>
      <c r="H124" s="613">
        <f t="shared" si="13"/>
        <v>333291.9865542911</v>
      </c>
      <c r="I124" s="614">
        <f t="shared" si="14"/>
        <v>333291.9865542911</v>
      </c>
      <c r="J124" s="478">
        <f t="shared" si="15"/>
        <v>0</v>
      </c>
      <c r="K124" s="478"/>
      <c r="L124" s="487"/>
      <c r="M124" s="478">
        <f t="shared" si="10"/>
        <v>0</v>
      </c>
      <c r="N124" s="487"/>
      <c r="O124" s="478">
        <f t="shared" si="11"/>
        <v>0</v>
      </c>
      <c r="P124" s="478">
        <f t="shared" si="12"/>
        <v>0</v>
      </c>
    </row>
    <row r="125" spans="2:16" ht="12.5">
      <c r="B125" s="160" t="str">
        <f t="shared" si="16"/>
        <v/>
      </c>
      <c r="C125" s="472">
        <f>IF(D93="","-",+C124+1)</f>
        <v>2045</v>
      </c>
      <c r="D125" s="346">
        <f>IF(F124+SUM(E$99:E124)=D$92,F124,D$92-SUM(E$99:E124))</f>
        <v>1974047</v>
      </c>
      <c r="E125" s="484">
        <f t="shared" si="17"/>
        <v>123379</v>
      </c>
      <c r="F125" s="485">
        <f t="shared" si="18"/>
        <v>1850668</v>
      </c>
      <c r="G125" s="485">
        <f t="shared" si="19"/>
        <v>1912357.5</v>
      </c>
      <c r="H125" s="613">
        <f t="shared" si="13"/>
        <v>320569.881130489</v>
      </c>
      <c r="I125" s="614">
        <f t="shared" si="14"/>
        <v>320569.881130489</v>
      </c>
      <c r="J125" s="478">
        <f t="shared" si="15"/>
        <v>0</v>
      </c>
      <c r="K125" s="478"/>
      <c r="L125" s="487"/>
      <c r="M125" s="478">
        <f t="shared" si="10"/>
        <v>0</v>
      </c>
      <c r="N125" s="487"/>
      <c r="O125" s="478">
        <f t="shared" si="11"/>
        <v>0</v>
      </c>
      <c r="P125" s="478">
        <f t="shared" si="12"/>
        <v>0</v>
      </c>
    </row>
    <row r="126" spans="2:16" ht="12.5">
      <c r="B126" s="160" t="str">
        <f t="shared" si="16"/>
        <v/>
      </c>
      <c r="C126" s="472">
        <f>IF(D93="","-",+C125+1)</f>
        <v>2046</v>
      </c>
      <c r="D126" s="346">
        <f>IF(F125+SUM(E$99:E125)=D$92,F125,D$92-SUM(E$99:E125))</f>
        <v>1850668</v>
      </c>
      <c r="E126" s="484">
        <f t="shared" si="17"/>
        <v>123379</v>
      </c>
      <c r="F126" s="485">
        <f t="shared" si="18"/>
        <v>1727289</v>
      </c>
      <c r="G126" s="485">
        <f t="shared" si="19"/>
        <v>1788978.5</v>
      </c>
      <c r="H126" s="613">
        <f t="shared" si="13"/>
        <v>307847.77570668689</v>
      </c>
      <c r="I126" s="614">
        <f t="shared" si="14"/>
        <v>307847.77570668689</v>
      </c>
      <c r="J126" s="478">
        <f t="shared" si="15"/>
        <v>0</v>
      </c>
      <c r="K126" s="478"/>
      <c r="L126" s="487"/>
      <c r="M126" s="478">
        <f t="shared" si="10"/>
        <v>0</v>
      </c>
      <c r="N126" s="487"/>
      <c r="O126" s="478">
        <f t="shared" si="11"/>
        <v>0</v>
      </c>
      <c r="P126" s="478">
        <f t="shared" si="12"/>
        <v>0</v>
      </c>
    </row>
    <row r="127" spans="2:16" ht="12.5">
      <c r="B127" s="160" t="str">
        <f t="shared" si="16"/>
        <v/>
      </c>
      <c r="C127" s="472">
        <f>IF(D93="","-",+C126+1)</f>
        <v>2047</v>
      </c>
      <c r="D127" s="346">
        <f>IF(F126+SUM(E$99:E126)=D$92,F126,D$92-SUM(E$99:E126))</f>
        <v>1727289</v>
      </c>
      <c r="E127" s="484">
        <f t="shared" si="17"/>
        <v>123379</v>
      </c>
      <c r="F127" s="485">
        <f t="shared" si="18"/>
        <v>1603910</v>
      </c>
      <c r="G127" s="485">
        <f t="shared" si="19"/>
        <v>1665599.5</v>
      </c>
      <c r="H127" s="613">
        <f t="shared" si="13"/>
        <v>295125.67028288485</v>
      </c>
      <c r="I127" s="614">
        <f t="shared" si="14"/>
        <v>295125.67028288485</v>
      </c>
      <c r="J127" s="478">
        <f t="shared" si="15"/>
        <v>0</v>
      </c>
      <c r="K127" s="478"/>
      <c r="L127" s="487"/>
      <c r="M127" s="478">
        <f t="shared" si="10"/>
        <v>0</v>
      </c>
      <c r="N127" s="487"/>
      <c r="O127" s="478">
        <f t="shared" si="11"/>
        <v>0</v>
      </c>
      <c r="P127" s="478">
        <f t="shared" si="12"/>
        <v>0</v>
      </c>
    </row>
    <row r="128" spans="2:16" ht="12.5">
      <c r="B128" s="160" t="str">
        <f t="shared" si="16"/>
        <v/>
      </c>
      <c r="C128" s="472">
        <f>IF(D93="","-",+C127+1)</f>
        <v>2048</v>
      </c>
      <c r="D128" s="346">
        <f>IF(F127+SUM(E$99:E127)=D$92,F127,D$92-SUM(E$99:E127))</f>
        <v>1603910</v>
      </c>
      <c r="E128" s="484">
        <f t="shared" si="17"/>
        <v>123379</v>
      </c>
      <c r="F128" s="485">
        <f t="shared" si="18"/>
        <v>1480531</v>
      </c>
      <c r="G128" s="485">
        <f t="shared" si="19"/>
        <v>1542220.5</v>
      </c>
      <c r="H128" s="613">
        <f t="shared" si="13"/>
        <v>282403.56485908269</v>
      </c>
      <c r="I128" s="614">
        <f t="shared" si="14"/>
        <v>282403.56485908269</v>
      </c>
      <c r="J128" s="478">
        <f t="shared" si="15"/>
        <v>0</v>
      </c>
      <c r="K128" s="478"/>
      <c r="L128" s="487"/>
      <c r="M128" s="478">
        <f t="shared" si="10"/>
        <v>0</v>
      </c>
      <c r="N128" s="487"/>
      <c r="O128" s="478">
        <f t="shared" si="11"/>
        <v>0</v>
      </c>
      <c r="P128" s="478">
        <f t="shared" si="12"/>
        <v>0</v>
      </c>
    </row>
    <row r="129" spans="2:16" ht="12.5">
      <c r="B129" s="160" t="str">
        <f t="shared" si="16"/>
        <v/>
      </c>
      <c r="C129" s="472">
        <f>IF(D93="","-",+C128+1)</f>
        <v>2049</v>
      </c>
      <c r="D129" s="346">
        <f>IF(F128+SUM(E$99:E128)=D$92,F128,D$92-SUM(E$99:E128))</f>
        <v>1480531</v>
      </c>
      <c r="E129" s="484">
        <f t="shared" si="17"/>
        <v>123379</v>
      </c>
      <c r="F129" s="485">
        <f t="shared" si="18"/>
        <v>1357152</v>
      </c>
      <c r="G129" s="485">
        <f t="shared" si="19"/>
        <v>1418841.5</v>
      </c>
      <c r="H129" s="613">
        <f t="shared" si="13"/>
        <v>269681.45943528065</v>
      </c>
      <c r="I129" s="614">
        <f t="shared" si="14"/>
        <v>269681.45943528065</v>
      </c>
      <c r="J129" s="478">
        <f t="shared" si="15"/>
        <v>0</v>
      </c>
      <c r="K129" s="478"/>
      <c r="L129" s="487"/>
      <c r="M129" s="478">
        <f t="shared" si="10"/>
        <v>0</v>
      </c>
      <c r="N129" s="487"/>
      <c r="O129" s="478">
        <f t="shared" si="11"/>
        <v>0</v>
      </c>
      <c r="P129" s="478">
        <f t="shared" si="12"/>
        <v>0</v>
      </c>
    </row>
    <row r="130" spans="2:16" ht="12.5">
      <c r="B130" s="160" t="str">
        <f t="shared" si="16"/>
        <v/>
      </c>
      <c r="C130" s="472">
        <f>IF(D93="","-",+C129+1)</f>
        <v>2050</v>
      </c>
      <c r="D130" s="346">
        <f>IF(F129+SUM(E$99:E129)=D$92,F129,D$92-SUM(E$99:E129))</f>
        <v>1357152</v>
      </c>
      <c r="E130" s="484">
        <f t="shared" si="17"/>
        <v>123379</v>
      </c>
      <c r="F130" s="485">
        <f t="shared" si="18"/>
        <v>1233773</v>
      </c>
      <c r="G130" s="485">
        <f t="shared" si="19"/>
        <v>1295462.5</v>
      </c>
      <c r="H130" s="613">
        <f t="shared" si="13"/>
        <v>256959.35401147854</v>
      </c>
      <c r="I130" s="614">
        <f t="shared" si="14"/>
        <v>256959.35401147854</v>
      </c>
      <c r="J130" s="478">
        <f t="shared" si="15"/>
        <v>0</v>
      </c>
      <c r="K130" s="478"/>
      <c r="L130" s="487"/>
      <c r="M130" s="478">
        <f t="shared" si="10"/>
        <v>0</v>
      </c>
      <c r="N130" s="487"/>
      <c r="O130" s="478">
        <f t="shared" si="11"/>
        <v>0</v>
      </c>
      <c r="P130" s="478">
        <f t="shared" si="12"/>
        <v>0</v>
      </c>
    </row>
    <row r="131" spans="2:16" ht="12.5">
      <c r="B131" s="160" t="str">
        <f t="shared" si="16"/>
        <v/>
      </c>
      <c r="C131" s="472">
        <f>IF(D93="","-",+C130+1)</f>
        <v>2051</v>
      </c>
      <c r="D131" s="346">
        <f>IF(F130+SUM(E$99:E130)=D$92,F130,D$92-SUM(E$99:E130))</f>
        <v>1233773</v>
      </c>
      <c r="E131" s="484">
        <f t="shared" si="17"/>
        <v>123379</v>
      </c>
      <c r="F131" s="485">
        <f t="shared" si="18"/>
        <v>1110394</v>
      </c>
      <c r="G131" s="485">
        <f t="shared" si="19"/>
        <v>1172083.5</v>
      </c>
      <c r="H131" s="613">
        <f t="shared" si="13"/>
        <v>244237.24858767647</v>
      </c>
      <c r="I131" s="614">
        <f t="shared" si="14"/>
        <v>244237.24858767647</v>
      </c>
      <c r="J131" s="478">
        <f t="shared" ref="J131:J154" si="20">+I541-H541</f>
        <v>0</v>
      </c>
      <c r="K131" s="478"/>
      <c r="L131" s="487"/>
      <c r="M131" s="478">
        <f t="shared" ref="M131:M154" si="21">IF(L541&lt;&gt;0,+H541-L541,0)</f>
        <v>0</v>
      </c>
      <c r="N131" s="487"/>
      <c r="O131" s="478">
        <f t="shared" ref="O131:O154" si="22">IF(N541&lt;&gt;0,+I541-N541,0)</f>
        <v>0</v>
      </c>
      <c r="P131" s="478">
        <f t="shared" ref="P131:P154" si="23">+O541-M541</f>
        <v>0</v>
      </c>
    </row>
    <row r="132" spans="2:16" ht="12.5">
      <c r="B132" s="160" t="str">
        <f t="shared" si="16"/>
        <v/>
      </c>
      <c r="C132" s="472">
        <f>IF(D93="","-",+C131+1)</f>
        <v>2052</v>
      </c>
      <c r="D132" s="346">
        <f>IF(F131+SUM(E$99:E131)=D$92,F131,D$92-SUM(E$99:E131))</f>
        <v>1110394</v>
      </c>
      <c r="E132" s="484">
        <f t="shared" si="17"/>
        <v>123379</v>
      </c>
      <c r="F132" s="485">
        <f t="shared" si="18"/>
        <v>987015</v>
      </c>
      <c r="G132" s="485">
        <f t="shared" si="19"/>
        <v>1048704.5</v>
      </c>
      <c r="H132" s="613">
        <f t="shared" si="13"/>
        <v>231515.1431638744</v>
      </c>
      <c r="I132" s="614">
        <f t="shared" si="14"/>
        <v>231515.1431638744</v>
      </c>
      <c r="J132" s="478">
        <f t="shared" si="20"/>
        <v>0</v>
      </c>
      <c r="K132" s="478"/>
      <c r="L132" s="487"/>
      <c r="M132" s="478">
        <f t="shared" si="21"/>
        <v>0</v>
      </c>
      <c r="N132" s="487"/>
      <c r="O132" s="478">
        <f t="shared" si="22"/>
        <v>0</v>
      </c>
      <c r="P132" s="478">
        <f t="shared" si="23"/>
        <v>0</v>
      </c>
    </row>
    <row r="133" spans="2:16" ht="12.5">
      <c r="B133" s="160" t="str">
        <f t="shared" si="16"/>
        <v/>
      </c>
      <c r="C133" s="472">
        <f>IF(D93="","-",+C132+1)</f>
        <v>2053</v>
      </c>
      <c r="D133" s="346">
        <f>IF(F132+SUM(E$99:E132)=D$92,F132,D$92-SUM(E$99:E132))</f>
        <v>987015</v>
      </c>
      <c r="E133" s="484">
        <f t="shared" si="17"/>
        <v>123379</v>
      </c>
      <c r="F133" s="485">
        <f t="shared" si="18"/>
        <v>863636</v>
      </c>
      <c r="G133" s="485">
        <f t="shared" si="19"/>
        <v>925325.5</v>
      </c>
      <c r="H133" s="613">
        <f t="shared" si="13"/>
        <v>218793.03774007229</v>
      </c>
      <c r="I133" s="614">
        <f t="shared" si="14"/>
        <v>218793.03774007229</v>
      </c>
      <c r="J133" s="478">
        <f t="shared" si="20"/>
        <v>0</v>
      </c>
      <c r="K133" s="478"/>
      <c r="L133" s="487"/>
      <c r="M133" s="478">
        <f t="shared" si="21"/>
        <v>0</v>
      </c>
      <c r="N133" s="487"/>
      <c r="O133" s="478">
        <f t="shared" si="22"/>
        <v>0</v>
      </c>
      <c r="P133" s="478">
        <f t="shared" si="23"/>
        <v>0</v>
      </c>
    </row>
    <row r="134" spans="2:16" ht="12.5">
      <c r="B134" s="160" t="str">
        <f t="shared" si="16"/>
        <v/>
      </c>
      <c r="C134" s="472">
        <f>IF(D93="","-",+C133+1)</f>
        <v>2054</v>
      </c>
      <c r="D134" s="346">
        <f>IF(F133+SUM(E$99:E133)=D$92,F133,D$92-SUM(E$99:E133))</f>
        <v>863636</v>
      </c>
      <c r="E134" s="484">
        <f t="shared" si="17"/>
        <v>123379</v>
      </c>
      <c r="F134" s="485">
        <f t="shared" si="18"/>
        <v>740257</v>
      </c>
      <c r="G134" s="485">
        <f t="shared" si="19"/>
        <v>801946.5</v>
      </c>
      <c r="H134" s="613">
        <f t="shared" si="13"/>
        <v>206070.93231627019</v>
      </c>
      <c r="I134" s="614">
        <f t="shared" si="14"/>
        <v>206070.93231627019</v>
      </c>
      <c r="J134" s="478">
        <f t="shared" si="20"/>
        <v>0</v>
      </c>
      <c r="K134" s="478"/>
      <c r="L134" s="487"/>
      <c r="M134" s="478">
        <f t="shared" si="21"/>
        <v>0</v>
      </c>
      <c r="N134" s="487"/>
      <c r="O134" s="478">
        <f t="shared" si="22"/>
        <v>0</v>
      </c>
      <c r="P134" s="478">
        <f t="shared" si="23"/>
        <v>0</v>
      </c>
    </row>
    <row r="135" spans="2:16" ht="12.5">
      <c r="B135" s="160" t="str">
        <f t="shared" si="16"/>
        <v/>
      </c>
      <c r="C135" s="472">
        <f>IF(D93="","-",+C134+1)</f>
        <v>2055</v>
      </c>
      <c r="D135" s="346">
        <f>IF(F134+SUM(E$99:E134)=D$92,F134,D$92-SUM(E$99:E134))</f>
        <v>740257</v>
      </c>
      <c r="E135" s="484">
        <f t="shared" si="17"/>
        <v>123379</v>
      </c>
      <c r="F135" s="485">
        <f t="shared" si="18"/>
        <v>616878</v>
      </c>
      <c r="G135" s="485">
        <f t="shared" si="19"/>
        <v>678567.5</v>
      </c>
      <c r="H135" s="613">
        <f t="shared" si="13"/>
        <v>193348.82689246812</v>
      </c>
      <c r="I135" s="614">
        <f t="shared" si="14"/>
        <v>193348.82689246812</v>
      </c>
      <c r="J135" s="478">
        <f t="shared" si="20"/>
        <v>0</v>
      </c>
      <c r="K135" s="478"/>
      <c r="L135" s="487"/>
      <c r="M135" s="478">
        <f t="shared" si="21"/>
        <v>0</v>
      </c>
      <c r="N135" s="487"/>
      <c r="O135" s="478">
        <f t="shared" si="22"/>
        <v>0</v>
      </c>
      <c r="P135" s="478">
        <f t="shared" si="23"/>
        <v>0</v>
      </c>
    </row>
    <row r="136" spans="2:16" ht="12.5">
      <c r="B136" s="160" t="str">
        <f t="shared" si="16"/>
        <v/>
      </c>
      <c r="C136" s="472">
        <f>IF(D93="","-",+C135+1)</f>
        <v>2056</v>
      </c>
      <c r="D136" s="346">
        <f>IF(F135+SUM(E$99:E135)=D$92,F135,D$92-SUM(E$99:E135))</f>
        <v>616878</v>
      </c>
      <c r="E136" s="484">
        <f t="shared" si="17"/>
        <v>123379</v>
      </c>
      <c r="F136" s="485">
        <f t="shared" si="18"/>
        <v>493499</v>
      </c>
      <c r="G136" s="485">
        <f t="shared" si="19"/>
        <v>555188.5</v>
      </c>
      <c r="H136" s="613">
        <f t="shared" si="13"/>
        <v>180626.72146866602</v>
      </c>
      <c r="I136" s="614">
        <f t="shared" si="14"/>
        <v>180626.72146866602</v>
      </c>
      <c r="J136" s="478">
        <f t="shared" si="20"/>
        <v>0</v>
      </c>
      <c r="K136" s="478"/>
      <c r="L136" s="487"/>
      <c r="M136" s="478">
        <f t="shared" si="21"/>
        <v>0</v>
      </c>
      <c r="N136" s="487"/>
      <c r="O136" s="478">
        <f t="shared" si="22"/>
        <v>0</v>
      </c>
      <c r="P136" s="478">
        <f t="shared" si="23"/>
        <v>0</v>
      </c>
    </row>
    <row r="137" spans="2:16" ht="12.5">
      <c r="B137" s="160" t="str">
        <f t="shared" si="16"/>
        <v/>
      </c>
      <c r="C137" s="472">
        <f>IF(D93="","-",+C136+1)</f>
        <v>2057</v>
      </c>
      <c r="D137" s="346">
        <f>IF(F136+SUM(E$99:E136)=D$92,F136,D$92-SUM(E$99:E136))</f>
        <v>493499</v>
      </c>
      <c r="E137" s="484">
        <f t="shared" si="17"/>
        <v>123379</v>
      </c>
      <c r="F137" s="485">
        <f t="shared" si="18"/>
        <v>370120</v>
      </c>
      <c r="G137" s="485">
        <f t="shared" si="19"/>
        <v>431809.5</v>
      </c>
      <c r="H137" s="613">
        <f t="shared" si="13"/>
        <v>167904.61604486394</v>
      </c>
      <c r="I137" s="614">
        <f t="shared" si="14"/>
        <v>167904.61604486394</v>
      </c>
      <c r="J137" s="478">
        <f t="shared" si="20"/>
        <v>0</v>
      </c>
      <c r="K137" s="478"/>
      <c r="L137" s="487"/>
      <c r="M137" s="478">
        <f t="shared" si="21"/>
        <v>0</v>
      </c>
      <c r="N137" s="487"/>
      <c r="O137" s="478">
        <f t="shared" si="22"/>
        <v>0</v>
      </c>
      <c r="P137" s="478">
        <f t="shared" si="23"/>
        <v>0</v>
      </c>
    </row>
    <row r="138" spans="2:16" ht="12.5">
      <c r="B138" s="160" t="str">
        <f t="shared" si="16"/>
        <v/>
      </c>
      <c r="C138" s="472">
        <f>IF(D93="","-",+C137+1)</f>
        <v>2058</v>
      </c>
      <c r="D138" s="346">
        <f>IF(F137+SUM(E$99:E137)=D$92,F137,D$92-SUM(E$99:E137))</f>
        <v>370120</v>
      </c>
      <c r="E138" s="484">
        <f t="shared" si="17"/>
        <v>123379</v>
      </c>
      <c r="F138" s="485">
        <f t="shared" si="18"/>
        <v>246741</v>
      </c>
      <c r="G138" s="485">
        <f t="shared" si="19"/>
        <v>308430.5</v>
      </c>
      <c r="H138" s="613">
        <f t="shared" si="13"/>
        <v>155182.51062106184</v>
      </c>
      <c r="I138" s="614">
        <f t="shared" si="14"/>
        <v>155182.51062106184</v>
      </c>
      <c r="J138" s="478">
        <f t="shared" si="20"/>
        <v>0</v>
      </c>
      <c r="K138" s="478"/>
      <c r="L138" s="487"/>
      <c r="M138" s="478">
        <f t="shared" si="21"/>
        <v>0</v>
      </c>
      <c r="N138" s="487"/>
      <c r="O138" s="478">
        <f t="shared" si="22"/>
        <v>0</v>
      </c>
      <c r="P138" s="478">
        <f t="shared" si="23"/>
        <v>0</v>
      </c>
    </row>
    <row r="139" spans="2:16" ht="12.5">
      <c r="B139" s="160" t="str">
        <f t="shared" si="16"/>
        <v/>
      </c>
      <c r="C139" s="472">
        <f>IF(D93="","-",+C138+1)</f>
        <v>2059</v>
      </c>
      <c r="D139" s="346">
        <f>IF(F138+SUM(E$99:E138)=D$92,F138,D$92-SUM(E$99:E138))</f>
        <v>246741</v>
      </c>
      <c r="E139" s="484">
        <f t="shared" si="17"/>
        <v>123379</v>
      </c>
      <c r="F139" s="485">
        <f t="shared" si="18"/>
        <v>123362</v>
      </c>
      <c r="G139" s="485">
        <f t="shared" si="19"/>
        <v>185051.5</v>
      </c>
      <c r="H139" s="613">
        <f t="shared" si="13"/>
        <v>142460.40519725977</v>
      </c>
      <c r="I139" s="614">
        <f t="shared" si="14"/>
        <v>142460.40519725977</v>
      </c>
      <c r="J139" s="478">
        <f t="shared" si="20"/>
        <v>0</v>
      </c>
      <c r="K139" s="478"/>
      <c r="L139" s="487"/>
      <c r="M139" s="478">
        <f t="shared" si="21"/>
        <v>0</v>
      </c>
      <c r="N139" s="487"/>
      <c r="O139" s="478">
        <f t="shared" si="22"/>
        <v>0</v>
      </c>
      <c r="P139" s="478">
        <f t="shared" si="23"/>
        <v>0</v>
      </c>
    </row>
    <row r="140" spans="2:16" ht="12.5">
      <c r="B140" s="160" t="str">
        <f t="shared" si="16"/>
        <v/>
      </c>
      <c r="C140" s="472">
        <f>IF(D93="","-",+C139+1)</f>
        <v>2060</v>
      </c>
      <c r="D140" s="346">
        <f>IF(F139+SUM(E$99:E139)=D$92,F139,D$92-SUM(E$99:E139))</f>
        <v>123362</v>
      </c>
      <c r="E140" s="484">
        <f t="shared" si="17"/>
        <v>123362</v>
      </c>
      <c r="F140" s="485">
        <f t="shared" si="18"/>
        <v>0</v>
      </c>
      <c r="G140" s="485">
        <f t="shared" si="19"/>
        <v>61681</v>
      </c>
      <c r="H140" s="613">
        <f t="shared" si="13"/>
        <v>129722.17624267936</v>
      </c>
      <c r="I140" s="614">
        <f t="shared" si="14"/>
        <v>129722.17624267936</v>
      </c>
      <c r="J140" s="478">
        <f t="shared" si="20"/>
        <v>0</v>
      </c>
      <c r="K140" s="478"/>
      <c r="L140" s="487"/>
      <c r="M140" s="478">
        <f t="shared" si="21"/>
        <v>0</v>
      </c>
      <c r="N140" s="487"/>
      <c r="O140" s="478">
        <f t="shared" si="22"/>
        <v>0</v>
      </c>
      <c r="P140" s="478">
        <f t="shared" si="23"/>
        <v>0</v>
      </c>
    </row>
    <row r="141" spans="2:16" ht="12.5">
      <c r="B141" s="160" t="str">
        <f t="shared" si="16"/>
        <v/>
      </c>
      <c r="C141" s="472">
        <f>IF(D93="","-",+C140+1)</f>
        <v>2061</v>
      </c>
      <c r="D141" s="346">
        <f>IF(F140+SUM(E$99:E140)=D$92,F140,D$92-SUM(E$99:E140))</f>
        <v>0</v>
      </c>
      <c r="E141" s="484">
        <f t="shared" si="17"/>
        <v>0</v>
      </c>
      <c r="F141" s="485">
        <f t="shared" si="18"/>
        <v>0</v>
      </c>
      <c r="G141" s="485">
        <f t="shared" si="19"/>
        <v>0</v>
      </c>
      <c r="H141" s="613">
        <f t="shared" si="13"/>
        <v>0</v>
      </c>
      <c r="I141" s="614">
        <f t="shared" si="14"/>
        <v>0</v>
      </c>
      <c r="J141" s="478">
        <f t="shared" si="20"/>
        <v>0</v>
      </c>
      <c r="K141" s="478"/>
      <c r="L141" s="487"/>
      <c r="M141" s="478">
        <f t="shared" si="21"/>
        <v>0</v>
      </c>
      <c r="N141" s="487"/>
      <c r="O141" s="478">
        <f t="shared" si="22"/>
        <v>0</v>
      </c>
      <c r="P141" s="478">
        <f t="shared" si="23"/>
        <v>0</v>
      </c>
    </row>
    <row r="142" spans="2:16" ht="12.5">
      <c r="B142" s="160" t="str">
        <f t="shared" si="16"/>
        <v/>
      </c>
      <c r="C142" s="472">
        <f>IF(D93="","-",+C141+1)</f>
        <v>2062</v>
      </c>
      <c r="D142" s="346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613">
        <f t="shared" si="13"/>
        <v>0</v>
      </c>
      <c r="I142" s="614">
        <f t="shared" si="14"/>
        <v>0</v>
      </c>
      <c r="J142" s="478">
        <f t="shared" si="20"/>
        <v>0</v>
      </c>
      <c r="K142" s="478"/>
      <c r="L142" s="487"/>
      <c r="M142" s="478">
        <f t="shared" si="21"/>
        <v>0</v>
      </c>
      <c r="N142" s="487"/>
      <c r="O142" s="478">
        <f t="shared" si="22"/>
        <v>0</v>
      </c>
      <c r="P142" s="478">
        <f t="shared" si="23"/>
        <v>0</v>
      </c>
    </row>
    <row r="143" spans="2:16" ht="12.5">
      <c r="B143" s="160" t="str">
        <f t="shared" si="16"/>
        <v/>
      </c>
      <c r="C143" s="472">
        <f>IF(D93="","-",+C142+1)</f>
        <v>2063</v>
      </c>
      <c r="D143" s="346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613">
        <f t="shared" si="13"/>
        <v>0</v>
      </c>
      <c r="I143" s="614">
        <f t="shared" si="14"/>
        <v>0</v>
      </c>
      <c r="J143" s="478">
        <f t="shared" si="20"/>
        <v>0</v>
      </c>
      <c r="K143" s="478"/>
      <c r="L143" s="487"/>
      <c r="M143" s="478">
        <f t="shared" si="21"/>
        <v>0</v>
      </c>
      <c r="N143" s="487"/>
      <c r="O143" s="478">
        <f t="shared" si="22"/>
        <v>0</v>
      </c>
      <c r="P143" s="478">
        <f t="shared" si="23"/>
        <v>0</v>
      </c>
    </row>
    <row r="144" spans="2:16" ht="12.5">
      <c r="B144" s="160" t="str">
        <f t="shared" si="16"/>
        <v/>
      </c>
      <c r="C144" s="472">
        <f>IF(D93="","-",+C143+1)</f>
        <v>2064</v>
      </c>
      <c r="D144" s="346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613">
        <f t="shared" si="13"/>
        <v>0</v>
      </c>
      <c r="I144" s="614">
        <f t="shared" si="14"/>
        <v>0</v>
      </c>
      <c r="J144" s="478">
        <f t="shared" si="20"/>
        <v>0</v>
      </c>
      <c r="K144" s="478"/>
      <c r="L144" s="487"/>
      <c r="M144" s="478">
        <f t="shared" si="21"/>
        <v>0</v>
      </c>
      <c r="N144" s="487"/>
      <c r="O144" s="478">
        <f t="shared" si="22"/>
        <v>0</v>
      </c>
      <c r="P144" s="478">
        <f t="shared" si="23"/>
        <v>0</v>
      </c>
    </row>
    <row r="145" spans="2:16" ht="12.5">
      <c r="B145" s="160" t="str">
        <f t="shared" si="16"/>
        <v/>
      </c>
      <c r="C145" s="472">
        <f>IF(D93="","-",+C144+1)</f>
        <v>2065</v>
      </c>
      <c r="D145" s="346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613">
        <f t="shared" si="13"/>
        <v>0</v>
      </c>
      <c r="I145" s="614">
        <f t="shared" si="14"/>
        <v>0</v>
      </c>
      <c r="J145" s="478">
        <f t="shared" si="20"/>
        <v>0</v>
      </c>
      <c r="K145" s="478"/>
      <c r="L145" s="487"/>
      <c r="M145" s="478">
        <f t="shared" si="21"/>
        <v>0</v>
      </c>
      <c r="N145" s="487"/>
      <c r="O145" s="478">
        <f t="shared" si="22"/>
        <v>0</v>
      </c>
      <c r="P145" s="478">
        <f t="shared" si="23"/>
        <v>0</v>
      </c>
    </row>
    <row r="146" spans="2:16" ht="12.5">
      <c r="B146" s="160" t="str">
        <f t="shared" si="16"/>
        <v/>
      </c>
      <c r="C146" s="472">
        <f>IF(D93="","-",+C145+1)</f>
        <v>2066</v>
      </c>
      <c r="D146" s="346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613">
        <f t="shared" si="13"/>
        <v>0</v>
      </c>
      <c r="I146" s="614">
        <f t="shared" si="14"/>
        <v>0</v>
      </c>
      <c r="J146" s="478">
        <f t="shared" si="20"/>
        <v>0</v>
      </c>
      <c r="K146" s="478"/>
      <c r="L146" s="487"/>
      <c r="M146" s="478">
        <f t="shared" si="21"/>
        <v>0</v>
      </c>
      <c r="N146" s="487"/>
      <c r="O146" s="478">
        <f t="shared" si="22"/>
        <v>0</v>
      </c>
      <c r="P146" s="478">
        <f t="shared" si="23"/>
        <v>0</v>
      </c>
    </row>
    <row r="147" spans="2:16" ht="12.5">
      <c r="B147" s="160" t="str">
        <f t="shared" si="16"/>
        <v/>
      </c>
      <c r="C147" s="472">
        <f>IF(D93="","-",+C146+1)</f>
        <v>2067</v>
      </c>
      <c r="D147" s="346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613">
        <f t="shared" si="13"/>
        <v>0</v>
      </c>
      <c r="I147" s="614">
        <f t="shared" si="14"/>
        <v>0</v>
      </c>
      <c r="J147" s="478">
        <f t="shared" si="20"/>
        <v>0</v>
      </c>
      <c r="K147" s="478"/>
      <c r="L147" s="487"/>
      <c r="M147" s="478">
        <f t="shared" si="21"/>
        <v>0</v>
      </c>
      <c r="N147" s="487"/>
      <c r="O147" s="478">
        <f t="shared" si="22"/>
        <v>0</v>
      </c>
      <c r="P147" s="478">
        <f t="shared" si="23"/>
        <v>0</v>
      </c>
    </row>
    <row r="148" spans="2:16" ht="12.5">
      <c r="B148" s="160" t="str">
        <f t="shared" si="16"/>
        <v/>
      </c>
      <c r="C148" s="472">
        <f>IF(D93="","-",+C147+1)</f>
        <v>2068</v>
      </c>
      <c r="D148" s="346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613">
        <f t="shared" si="13"/>
        <v>0</v>
      </c>
      <c r="I148" s="614">
        <f t="shared" si="14"/>
        <v>0</v>
      </c>
      <c r="J148" s="478">
        <f t="shared" si="20"/>
        <v>0</v>
      </c>
      <c r="K148" s="478"/>
      <c r="L148" s="487"/>
      <c r="M148" s="478">
        <f t="shared" si="21"/>
        <v>0</v>
      </c>
      <c r="N148" s="487"/>
      <c r="O148" s="478">
        <f t="shared" si="22"/>
        <v>0</v>
      </c>
      <c r="P148" s="478">
        <f t="shared" si="23"/>
        <v>0</v>
      </c>
    </row>
    <row r="149" spans="2:16" ht="12.5">
      <c r="B149" s="160" t="str">
        <f t="shared" si="16"/>
        <v/>
      </c>
      <c r="C149" s="472">
        <f>IF(D93="","-",+C148+1)</f>
        <v>2069</v>
      </c>
      <c r="D149" s="346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613">
        <f t="shared" si="13"/>
        <v>0</v>
      </c>
      <c r="I149" s="614">
        <f t="shared" si="14"/>
        <v>0</v>
      </c>
      <c r="J149" s="478">
        <f t="shared" si="20"/>
        <v>0</v>
      </c>
      <c r="K149" s="478"/>
      <c r="L149" s="487"/>
      <c r="M149" s="478">
        <f t="shared" si="21"/>
        <v>0</v>
      </c>
      <c r="N149" s="487"/>
      <c r="O149" s="478">
        <f t="shared" si="22"/>
        <v>0</v>
      </c>
      <c r="P149" s="478">
        <f t="shared" si="23"/>
        <v>0</v>
      </c>
    </row>
    <row r="150" spans="2:16" ht="12.5">
      <c r="B150" s="160" t="str">
        <f t="shared" si="16"/>
        <v/>
      </c>
      <c r="C150" s="472">
        <f>IF(D93="","-",+C149+1)</f>
        <v>2070</v>
      </c>
      <c r="D150" s="346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613">
        <f t="shared" si="13"/>
        <v>0</v>
      </c>
      <c r="I150" s="614">
        <f t="shared" si="14"/>
        <v>0</v>
      </c>
      <c r="J150" s="478">
        <f t="shared" si="20"/>
        <v>0</v>
      </c>
      <c r="K150" s="478"/>
      <c r="L150" s="487"/>
      <c r="M150" s="478">
        <f t="shared" si="21"/>
        <v>0</v>
      </c>
      <c r="N150" s="487"/>
      <c r="O150" s="478">
        <f t="shared" si="22"/>
        <v>0</v>
      </c>
      <c r="P150" s="478">
        <f t="shared" si="23"/>
        <v>0</v>
      </c>
    </row>
    <row r="151" spans="2:16" ht="12.5">
      <c r="B151" s="160" t="str">
        <f t="shared" si="16"/>
        <v/>
      </c>
      <c r="C151" s="472">
        <f>IF(D93="","-",+C150+1)</f>
        <v>2071</v>
      </c>
      <c r="D151" s="346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613">
        <f t="shared" si="13"/>
        <v>0</v>
      </c>
      <c r="I151" s="614">
        <f t="shared" si="14"/>
        <v>0</v>
      </c>
      <c r="J151" s="478">
        <f t="shared" si="20"/>
        <v>0</v>
      </c>
      <c r="K151" s="478"/>
      <c r="L151" s="487"/>
      <c r="M151" s="478">
        <f t="shared" si="21"/>
        <v>0</v>
      </c>
      <c r="N151" s="487"/>
      <c r="O151" s="478">
        <f t="shared" si="22"/>
        <v>0</v>
      </c>
      <c r="P151" s="478">
        <f t="shared" si="23"/>
        <v>0</v>
      </c>
    </row>
    <row r="152" spans="2:16" ht="12.5">
      <c r="B152" s="160" t="str">
        <f t="shared" si="16"/>
        <v/>
      </c>
      <c r="C152" s="472">
        <f>IF(D93="","-",+C151+1)</f>
        <v>2072</v>
      </c>
      <c r="D152" s="346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613">
        <f t="shared" si="13"/>
        <v>0</v>
      </c>
      <c r="I152" s="614">
        <f t="shared" si="14"/>
        <v>0</v>
      </c>
      <c r="J152" s="478">
        <f t="shared" si="20"/>
        <v>0</v>
      </c>
      <c r="K152" s="478"/>
      <c r="L152" s="487"/>
      <c r="M152" s="478">
        <f t="shared" si="21"/>
        <v>0</v>
      </c>
      <c r="N152" s="487"/>
      <c r="O152" s="478">
        <f t="shared" si="22"/>
        <v>0</v>
      </c>
      <c r="P152" s="478">
        <f t="shared" si="23"/>
        <v>0</v>
      </c>
    </row>
    <row r="153" spans="2:16" ht="12.5">
      <c r="B153" s="160" t="str">
        <f t="shared" si="16"/>
        <v/>
      </c>
      <c r="C153" s="472">
        <f>IF(D93="","-",+C152+1)</f>
        <v>2073</v>
      </c>
      <c r="D153" s="346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613">
        <f t="shared" si="13"/>
        <v>0</v>
      </c>
      <c r="I153" s="614">
        <f t="shared" si="14"/>
        <v>0</v>
      </c>
      <c r="J153" s="478">
        <f t="shared" si="20"/>
        <v>0</v>
      </c>
      <c r="K153" s="478"/>
      <c r="L153" s="487"/>
      <c r="M153" s="478">
        <f t="shared" si="21"/>
        <v>0</v>
      </c>
      <c r="N153" s="487"/>
      <c r="O153" s="478">
        <f t="shared" si="22"/>
        <v>0</v>
      </c>
      <c r="P153" s="478">
        <f t="shared" si="23"/>
        <v>0</v>
      </c>
    </row>
    <row r="154" spans="2:16" ht="13" thickBot="1">
      <c r="B154" s="160" t="str">
        <f t="shared" si="16"/>
        <v/>
      </c>
      <c r="C154" s="489">
        <f>IF(D93="","-",+C153+1)</f>
        <v>2074</v>
      </c>
      <c r="D154" s="543">
        <f>IF(F153+SUM(E$99:E153)=D$92,F153,D$92-SUM(E$99:E153))</f>
        <v>0</v>
      </c>
      <c r="E154" s="491">
        <f t="shared" si="17"/>
        <v>0</v>
      </c>
      <c r="F154" s="490">
        <f t="shared" si="18"/>
        <v>0</v>
      </c>
      <c r="G154" s="490">
        <f t="shared" si="19"/>
        <v>0</v>
      </c>
      <c r="H154" s="615">
        <f t="shared" si="13"/>
        <v>0</v>
      </c>
      <c r="I154" s="616">
        <f t="shared" si="14"/>
        <v>0</v>
      </c>
      <c r="J154" s="495">
        <f t="shared" si="20"/>
        <v>0</v>
      </c>
      <c r="K154" s="478"/>
      <c r="L154" s="494"/>
      <c r="M154" s="495">
        <f t="shared" si="21"/>
        <v>0</v>
      </c>
      <c r="N154" s="494"/>
      <c r="O154" s="495">
        <f t="shared" si="22"/>
        <v>0</v>
      </c>
      <c r="P154" s="495">
        <f t="shared" si="23"/>
        <v>0</v>
      </c>
    </row>
    <row r="155" spans="2:16" ht="12.5">
      <c r="C155" s="346" t="s">
        <v>77</v>
      </c>
      <c r="D155" s="347"/>
      <c r="E155" s="347">
        <f>SUM(E99:E154)</f>
        <v>5058522</v>
      </c>
      <c r="F155" s="347"/>
      <c r="G155" s="347"/>
      <c r="H155" s="347">
        <f>SUM(H99:H154)</f>
        <v>16012182.899417419</v>
      </c>
      <c r="I155" s="347">
        <f>SUM(I99:I154)</f>
        <v>16012182.899417419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5" priority="1" stopIfTrue="1" operator="equal">
      <formula>$I$10</formula>
    </cfRule>
  </conditionalFormatting>
  <conditionalFormatting sqref="C99:C154">
    <cfRule type="cellIs" dxfId="4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86" zoomScaleNormal="86" workbookViewId="0">
      <selection activeCell="E9" sqref="E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28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302407.38707255269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302407.38707255269</v>
      </c>
      <c r="O6" s="232"/>
      <c r="P6" s="232"/>
    </row>
    <row r="7" spans="1:16" ht="13.5" thickBot="1">
      <c r="C7" s="431" t="s">
        <v>46</v>
      </c>
      <c r="D7" s="624" t="s">
        <v>337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340</v>
      </c>
      <c r="E9" s="625" t="s">
        <v>341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2345950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2020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54556.976744186046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2020</v>
      </c>
      <c r="D17" s="584">
        <v>0</v>
      </c>
      <c r="E17" s="585">
        <v>19964.285714285714</v>
      </c>
      <c r="F17" s="584">
        <v>1657035.7142857143</v>
      </c>
      <c r="G17" s="585">
        <v>109448.17204091245</v>
      </c>
      <c r="H17" s="587">
        <v>109448.17204091245</v>
      </c>
      <c r="I17" s="475">
        <f>H17-G17</f>
        <v>0</v>
      </c>
      <c r="J17" s="475"/>
      <c r="K17" s="554">
        <f>+G17</f>
        <v>109448.17204091245</v>
      </c>
      <c r="L17" s="477">
        <f t="shared" ref="L17" si="0">IF(K17&lt;&gt;0,+G17-K17,0)</f>
        <v>0</v>
      </c>
      <c r="M17" s="554">
        <f>+H17</f>
        <v>109448.17204091245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2021</v>
      </c>
      <c r="D18" s="483">
        <f>IF(F17+SUM(E$17:E17)=D$10,F17,D$10-SUM(E$17:E17))</f>
        <v>2325985.7142857141</v>
      </c>
      <c r="E18" s="484">
        <f>IF(+I$14&lt;F17,I$14,D18)</f>
        <v>54556.976744186046</v>
      </c>
      <c r="F18" s="485">
        <f>+D18-E18</f>
        <v>2271428.737541528</v>
      </c>
      <c r="G18" s="486">
        <f>(D18+F18)/2*I$12+E18</f>
        <v>302407.38707255269</v>
      </c>
      <c r="H18" s="455">
        <f>+(D18+F18)/2*I$13+E18</f>
        <v>302407.38707255269</v>
      </c>
      <c r="I18" s="475">
        <f>H18-G18</f>
        <v>0</v>
      </c>
      <c r="J18" s="475"/>
      <c r="K18" s="487"/>
      <c r="L18" s="478">
        <f t="shared" ref="L18:L72" si="3">IF(K18&lt;&gt;0,+G18-K18,0)</f>
        <v>0</v>
      </c>
      <c r="M18" s="487"/>
      <c r="N18" s="478">
        <f t="shared" si="1"/>
        <v>0</v>
      </c>
      <c r="O18" s="478">
        <f t="shared" si="2"/>
        <v>0</v>
      </c>
      <c r="P18" s="242"/>
    </row>
    <row r="19" spans="2:16" ht="12.5">
      <c r="B19" s="160" t="str">
        <f>IF(D19=F18,"","IU")</f>
        <v/>
      </c>
      <c r="C19" s="472">
        <f>IF(D11="","-",+C18+1)</f>
        <v>2022</v>
      </c>
      <c r="D19" s="483">
        <f>IF(F18+SUM(E$17:E18)=D$10,F18,D$10-SUM(E$17:E18))</f>
        <v>2271428.737541528</v>
      </c>
      <c r="E19" s="484">
        <f t="shared" ref="E19:E71" si="4">IF(+I$14&lt;F18,I$14,D19)</f>
        <v>54556.976744186046</v>
      </c>
      <c r="F19" s="485">
        <f t="shared" ref="F19:F71" si="5">+D19-E19</f>
        <v>2216871.7607973418</v>
      </c>
      <c r="G19" s="486">
        <f t="shared" ref="G19:G71" si="6">(D19+F19)/2*I$12+E19</f>
        <v>296524.96371742216</v>
      </c>
      <c r="H19" s="455">
        <f t="shared" ref="H19:H71" si="7">+(D19+F19)/2*I$13+E19</f>
        <v>296524.96371742216</v>
      </c>
      <c r="I19" s="475">
        <f t="shared" ref="I19:I71" si="8">H19-G19</f>
        <v>0</v>
      </c>
      <c r="J19" s="475"/>
      <c r="K19" s="487"/>
      <c r="L19" s="478">
        <f t="shared" si="3"/>
        <v>0</v>
      </c>
      <c r="M19" s="487"/>
      <c r="N19" s="478">
        <f t="shared" si="1"/>
        <v>0</v>
      </c>
      <c r="O19" s="478">
        <f t="shared" si="2"/>
        <v>0</v>
      </c>
      <c r="P19" s="242"/>
    </row>
    <row r="20" spans="2:16" ht="12.5">
      <c r="B20" s="160" t="str">
        <f t="shared" ref="B20:B72" si="9">IF(D20=F19,"","IU")</f>
        <v/>
      </c>
      <c r="C20" s="472">
        <f>IF(D11="","-",+C19+1)</f>
        <v>2023</v>
      </c>
      <c r="D20" s="483">
        <f>IF(F19+SUM(E$17:E19)=D$10,F19,D$10-SUM(E$17:E19))</f>
        <v>2216871.7607973418</v>
      </c>
      <c r="E20" s="484">
        <f t="shared" si="4"/>
        <v>54556.976744186046</v>
      </c>
      <c r="F20" s="485">
        <f t="shared" si="5"/>
        <v>2162314.7840531557</v>
      </c>
      <c r="G20" s="486">
        <f t="shared" si="6"/>
        <v>290642.54036229162</v>
      </c>
      <c r="H20" s="455">
        <f t="shared" si="7"/>
        <v>290642.54036229162</v>
      </c>
      <c r="I20" s="475">
        <f t="shared" si="8"/>
        <v>0</v>
      </c>
      <c r="J20" s="475"/>
      <c r="K20" s="487"/>
      <c r="L20" s="478">
        <f t="shared" si="3"/>
        <v>0</v>
      </c>
      <c r="M20" s="487"/>
      <c r="N20" s="478">
        <f t="shared" si="1"/>
        <v>0</v>
      </c>
      <c r="O20" s="478">
        <f t="shared" si="2"/>
        <v>0</v>
      </c>
      <c r="P20" s="242"/>
    </row>
    <row r="21" spans="2:16" ht="12.5">
      <c r="B21" s="160" t="str">
        <f t="shared" si="9"/>
        <v/>
      </c>
      <c r="C21" s="472">
        <f>IF(D11="","-",+C20+1)</f>
        <v>2024</v>
      </c>
      <c r="D21" s="483">
        <f>IF(F20+SUM(E$17:E20)=D$10,F20,D$10-SUM(E$17:E20))</f>
        <v>2162314.7840531557</v>
      </c>
      <c r="E21" s="484">
        <f t="shared" si="4"/>
        <v>54556.976744186046</v>
      </c>
      <c r="F21" s="485">
        <f t="shared" si="5"/>
        <v>2107757.8073089696</v>
      </c>
      <c r="G21" s="486">
        <f t="shared" si="6"/>
        <v>284760.11700716102</v>
      </c>
      <c r="H21" s="455">
        <f t="shared" si="7"/>
        <v>284760.11700716102</v>
      </c>
      <c r="I21" s="475">
        <f t="shared" si="8"/>
        <v>0</v>
      </c>
      <c r="J21" s="475"/>
      <c r="K21" s="487"/>
      <c r="L21" s="478">
        <f t="shared" si="3"/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 ht="12.5">
      <c r="B22" s="160" t="str">
        <f t="shared" si="9"/>
        <v/>
      </c>
      <c r="C22" s="472">
        <f>IF(D11="","-",+C21+1)</f>
        <v>2025</v>
      </c>
      <c r="D22" s="483">
        <f>IF(F21+SUM(E$17:E21)=D$10,F21,D$10-SUM(E$17:E21))</f>
        <v>2107757.8073089696</v>
      </c>
      <c r="E22" s="484">
        <f t="shared" si="4"/>
        <v>54556.976744186046</v>
      </c>
      <c r="F22" s="485">
        <f t="shared" si="5"/>
        <v>2053200.8305647834</v>
      </c>
      <c r="G22" s="486">
        <f t="shared" si="6"/>
        <v>278877.69365203043</v>
      </c>
      <c r="H22" s="455">
        <f t="shared" si="7"/>
        <v>278877.69365203043</v>
      </c>
      <c r="I22" s="475">
        <f t="shared" si="8"/>
        <v>0</v>
      </c>
      <c r="J22" s="475"/>
      <c r="K22" s="487"/>
      <c r="L22" s="478">
        <f t="shared" si="3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 ht="12.5">
      <c r="B23" s="160" t="str">
        <f t="shared" si="9"/>
        <v/>
      </c>
      <c r="C23" s="472">
        <f>IF(D11="","-",+C22+1)</f>
        <v>2026</v>
      </c>
      <c r="D23" s="483">
        <f>IF(F22+SUM(E$17:E22)=D$10,F22,D$10-SUM(E$17:E22))</f>
        <v>2053200.8305647834</v>
      </c>
      <c r="E23" s="484">
        <f t="shared" si="4"/>
        <v>54556.976744186046</v>
      </c>
      <c r="F23" s="485">
        <f t="shared" si="5"/>
        <v>1998643.8538205973</v>
      </c>
      <c r="G23" s="486">
        <f t="shared" si="6"/>
        <v>272995.27029689983</v>
      </c>
      <c r="H23" s="455">
        <f t="shared" si="7"/>
        <v>272995.27029689983</v>
      </c>
      <c r="I23" s="475">
        <f t="shared" si="8"/>
        <v>0</v>
      </c>
      <c r="J23" s="475"/>
      <c r="K23" s="487"/>
      <c r="L23" s="478">
        <f t="shared" si="3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 ht="12.5">
      <c r="B24" s="160" t="str">
        <f t="shared" si="9"/>
        <v/>
      </c>
      <c r="C24" s="472">
        <f>IF(D11="","-",+C23+1)</f>
        <v>2027</v>
      </c>
      <c r="D24" s="483">
        <f>IF(F23+SUM(E$17:E23)=D$10,F23,D$10-SUM(E$17:E23))</f>
        <v>1998643.8538205973</v>
      </c>
      <c r="E24" s="484">
        <f t="shared" si="4"/>
        <v>54556.976744186046</v>
      </c>
      <c r="F24" s="485">
        <f t="shared" si="5"/>
        <v>1944086.8770764112</v>
      </c>
      <c r="G24" s="486">
        <f t="shared" si="6"/>
        <v>267112.8469417693</v>
      </c>
      <c r="H24" s="455">
        <f t="shared" si="7"/>
        <v>267112.8469417693</v>
      </c>
      <c r="I24" s="475">
        <f t="shared" si="8"/>
        <v>0</v>
      </c>
      <c r="J24" s="475"/>
      <c r="K24" s="487"/>
      <c r="L24" s="478">
        <f t="shared" si="3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 ht="12.5">
      <c r="B25" s="160" t="str">
        <f t="shared" si="9"/>
        <v/>
      </c>
      <c r="C25" s="472">
        <f>IF(D11="","-",+C24+1)</f>
        <v>2028</v>
      </c>
      <c r="D25" s="483">
        <f>IF(F24+SUM(E$17:E24)=D$10,F24,D$10-SUM(E$17:E24))</f>
        <v>1944086.8770764112</v>
      </c>
      <c r="E25" s="484">
        <f t="shared" si="4"/>
        <v>54556.976744186046</v>
      </c>
      <c r="F25" s="485">
        <f t="shared" si="5"/>
        <v>1889529.900332225</v>
      </c>
      <c r="G25" s="486">
        <f t="shared" si="6"/>
        <v>261230.42358663873</v>
      </c>
      <c r="H25" s="455">
        <f t="shared" si="7"/>
        <v>261230.42358663873</v>
      </c>
      <c r="I25" s="475">
        <f t="shared" si="8"/>
        <v>0</v>
      </c>
      <c r="J25" s="475"/>
      <c r="K25" s="487"/>
      <c r="L25" s="478">
        <f t="shared" si="3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 ht="12.5">
      <c r="B26" s="160" t="str">
        <f t="shared" si="9"/>
        <v/>
      </c>
      <c r="C26" s="472">
        <f>IF(D11="","-",+C25+1)</f>
        <v>2029</v>
      </c>
      <c r="D26" s="483">
        <f>IF(F25+SUM(E$17:E25)=D$10,F25,D$10-SUM(E$17:E25))</f>
        <v>1889529.900332225</v>
      </c>
      <c r="E26" s="484">
        <f t="shared" si="4"/>
        <v>54556.976744186046</v>
      </c>
      <c r="F26" s="485">
        <f t="shared" si="5"/>
        <v>1834972.9235880389</v>
      </c>
      <c r="G26" s="486">
        <f t="shared" si="6"/>
        <v>255348.00023150814</v>
      </c>
      <c r="H26" s="455">
        <f t="shared" si="7"/>
        <v>255348.00023150814</v>
      </c>
      <c r="I26" s="475">
        <f t="shared" si="8"/>
        <v>0</v>
      </c>
      <c r="J26" s="475"/>
      <c r="K26" s="487"/>
      <c r="L26" s="478">
        <f t="shared" si="3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 ht="12.5">
      <c r="B27" s="160" t="str">
        <f t="shared" si="9"/>
        <v/>
      </c>
      <c r="C27" s="472">
        <f>IF(D11="","-",+C26+1)</f>
        <v>2030</v>
      </c>
      <c r="D27" s="483">
        <f>IF(F26+SUM(E$17:E26)=D$10,F26,D$10-SUM(E$17:E26))</f>
        <v>1834972.9235880389</v>
      </c>
      <c r="E27" s="484">
        <f t="shared" si="4"/>
        <v>54556.976744186046</v>
      </c>
      <c r="F27" s="485">
        <f t="shared" si="5"/>
        <v>1780415.9468438528</v>
      </c>
      <c r="G27" s="486">
        <f t="shared" si="6"/>
        <v>249465.57687637757</v>
      </c>
      <c r="H27" s="455">
        <f t="shared" si="7"/>
        <v>249465.57687637757</v>
      </c>
      <c r="I27" s="475">
        <f t="shared" si="8"/>
        <v>0</v>
      </c>
      <c r="J27" s="475"/>
      <c r="K27" s="487"/>
      <c r="L27" s="478">
        <f t="shared" si="3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 ht="12.5">
      <c r="B28" s="160" t="str">
        <f t="shared" si="9"/>
        <v/>
      </c>
      <c r="C28" s="472">
        <f>IF(D11="","-",+C27+1)</f>
        <v>2031</v>
      </c>
      <c r="D28" s="483">
        <f>IF(F27+SUM(E$17:E27)=D$10,F27,D$10-SUM(E$17:E27))</f>
        <v>1780415.9468438528</v>
      </c>
      <c r="E28" s="484">
        <f t="shared" si="4"/>
        <v>54556.976744186046</v>
      </c>
      <c r="F28" s="485">
        <f t="shared" si="5"/>
        <v>1725858.9700996666</v>
      </c>
      <c r="G28" s="486">
        <f t="shared" si="6"/>
        <v>243583.153521247</v>
      </c>
      <c r="H28" s="455">
        <f t="shared" si="7"/>
        <v>243583.153521247</v>
      </c>
      <c r="I28" s="475">
        <f t="shared" si="8"/>
        <v>0</v>
      </c>
      <c r="J28" s="475"/>
      <c r="K28" s="487"/>
      <c r="L28" s="478">
        <f t="shared" si="3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 ht="12.5">
      <c r="B29" s="160" t="str">
        <f t="shared" si="9"/>
        <v/>
      </c>
      <c r="C29" s="472">
        <f>IF(D11="","-",+C28+1)</f>
        <v>2032</v>
      </c>
      <c r="D29" s="483">
        <f>IF(F28+SUM(E$17:E28)=D$10,F28,D$10-SUM(E$17:E28))</f>
        <v>1725858.9700996666</v>
      </c>
      <c r="E29" s="484">
        <f t="shared" si="4"/>
        <v>54556.976744186046</v>
      </c>
      <c r="F29" s="485">
        <f t="shared" si="5"/>
        <v>1671301.9933554805</v>
      </c>
      <c r="G29" s="486">
        <f t="shared" si="6"/>
        <v>237700.73016611644</v>
      </c>
      <c r="H29" s="455">
        <f t="shared" si="7"/>
        <v>237700.73016611644</v>
      </c>
      <c r="I29" s="475">
        <f t="shared" si="8"/>
        <v>0</v>
      </c>
      <c r="J29" s="475"/>
      <c r="K29" s="487"/>
      <c r="L29" s="478">
        <f t="shared" si="3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 ht="12.5">
      <c r="B30" s="160" t="str">
        <f t="shared" si="9"/>
        <v/>
      </c>
      <c r="C30" s="472">
        <f>IF(D11="","-",+C29+1)</f>
        <v>2033</v>
      </c>
      <c r="D30" s="483">
        <f>IF(F29+SUM(E$17:E29)=D$10,F29,D$10-SUM(E$17:E29))</f>
        <v>1671301.9933554805</v>
      </c>
      <c r="E30" s="484">
        <f t="shared" si="4"/>
        <v>54556.976744186046</v>
      </c>
      <c r="F30" s="485">
        <f t="shared" si="5"/>
        <v>1616745.0166112944</v>
      </c>
      <c r="G30" s="486">
        <f t="shared" si="6"/>
        <v>231818.30681098587</v>
      </c>
      <c r="H30" s="455">
        <f t="shared" si="7"/>
        <v>231818.30681098587</v>
      </c>
      <c r="I30" s="475">
        <f t="shared" si="8"/>
        <v>0</v>
      </c>
      <c r="J30" s="475"/>
      <c r="K30" s="487"/>
      <c r="L30" s="478">
        <f t="shared" si="3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 ht="12.5">
      <c r="B31" s="160" t="str">
        <f t="shared" si="9"/>
        <v/>
      </c>
      <c r="C31" s="472">
        <f>IF(D11="","-",+C30+1)</f>
        <v>2034</v>
      </c>
      <c r="D31" s="483">
        <f>IF(F30+SUM(E$17:E30)=D$10,F30,D$10-SUM(E$17:E30))</f>
        <v>1616745.0166112944</v>
      </c>
      <c r="E31" s="484">
        <f t="shared" si="4"/>
        <v>54556.976744186046</v>
      </c>
      <c r="F31" s="485">
        <f t="shared" si="5"/>
        <v>1562188.0398671082</v>
      </c>
      <c r="G31" s="486">
        <f t="shared" si="6"/>
        <v>225935.88345585528</v>
      </c>
      <c r="H31" s="455">
        <f t="shared" si="7"/>
        <v>225935.88345585528</v>
      </c>
      <c r="I31" s="475">
        <f t="shared" si="8"/>
        <v>0</v>
      </c>
      <c r="J31" s="475"/>
      <c r="K31" s="487"/>
      <c r="L31" s="478">
        <f t="shared" si="3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 ht="12.5">
      <c r="B32" s="160" t="str">
        <f t="shared" si="9"/>
        <v/>
      </c>
      <c r="C32" s="472">
        <f>IF(D11="","-",+C31+1)</f>
        <v>2035</v>
      </c>
      <c r="D32" s="483">
        <f>IF(F31+SUM(E$17:E31)=D$10,F31,D$10-SUM(E$17:E31))</f>
        <v>1562188.0398671082</v>
      </c>
      <c r="E32" s="484">
        <f t="shared" si="4"/>
        <v>54556.976744186046</v>
      </c>
      <c r="F32" s="485">
        <f t="shared" si="5"/>
        <v>1507631.0631229221</v>
      </c>
      <c r="G32" s="486">
        <f t="shared" si="6"/>
        <v>220053.46010072471</v>
      </c>
      <c r="H32" s="455">
        <f t="shared" si="7"/>
        <v>220053.46010072471</v>
      </c>
      <c r="I32" s="475">
        <f t="shared" si="8"/>
        <v>0</v>
      </c>
      <c r="J32" s="475"/>
      <c r="K32" s="487"/>
      <c r="L32" s="478">
        <f t="shared" si="3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 ht="12.5">
      <c r="B33" s="160" t="str">
        <f t="shared" si="9"/>
        <v/>
      </c>
      <c r="C33" s="472">
        <f>IF(D11="","-",+C32+1)</f>
        <v>2036</v>
      </c>
      <c r="D33" s="483">
        <f>IF(F32+SUM(E$17:E32)=D$10,F32,D$10-SUM(E$17:E32))</f>
        <v>1507631.0631229221</v>
      </c>
      <c r="E33" s="484">
        <f t="shared" si="4"/>
        <v>54556.976744186046</v>
      </c>
      <c r="F33" s="485">
        <f t="shared" si="5"/>
        <v>1453074.086378736</v>
      </c>
      <c r="G33" s="486">
        <f t="shared" si="6"/>
        <v>214171.03674559415</v>
      </c>
      <c r="H33" s="455">
        <f t="shared" si="7"/>
        <v>214171.03674559415</v>
      </c>
      <c r="I33" s="475">
        <f t="shared" si="8"/>
        <v>0</v>
      </c>
      <c r="J33" s="475"/>
      <c r="K33" s="487"/>
      <c r="L33" s="478">
        <f t="shared" si="3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 ht="12.5">
      <c r="B34" s="160" t="str">
        <f t="shared" si="9"/>
        <v/>
      </c>
      <c r="C34" s="472">
        <f>IF(D11="","-",+C33+1)</f>
        <v>2037</v>
      </c>
      <c r="D34" s="483">
        <f>IF(F33+SUM(E$17:E33)=D$10,F33,D$10-SUM(E$17:E33))</f>
        <v>1453074.086378736</v>
      </c>
      <c r="E34" s="484">
        <f t="shared" si="4"/>
        <v>54556.976744186046</v>
      </c>
      <c r="F34" s="485">
        <f t="shared" si="5"/>
        <v>1398517.1096345498</v>
      </c>
      <c r="G34" s="486">
        <f t="shared" si="6"/>
        <v>208288.61339046358</v>
      </c>
      <c r="H34" s="455">
        <f t="shared" si="7"/>
        <v>208288.61339046358</v>
      </c>
      <c r="I34" s="475">
        <f t="shared" si="8"/>
        <v>0</v>
      </c>
      <c r="J34" s="475"/>
      <c r="K34" s="487"/>
      <c r="L34" s="478">
        <f t="shared" si="3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 ht="12.5">
      <c r="B35" s="160" t="str">
        <f t="shared" si="9"/>
        <v/>
      </c>
      <c r="C35" s="472">
        <f>IF(D11="","-",+C34+1)</f>
        <v>2038</v>
      </c>
      <c r="D35" s="483">
        <f>IF(F34+SUM(E$17:E34)=D$10,F34,D$10-SUM(E$17:E34))</f>
        <v>1398517.1096345498</v>
      </c>
      <c r="E35" s="484">
        <f t="shared" si="4"/>
        <v>54556.976744186046</v>
      </c>
      <c r="F35" s="485">
        <f t="shared" si="5"/>
        <v>1343960.1328903637</v>
      </c>
      <c r="G35" s="486">
        <f t="shared" si="6"/>
        <v>202406.19003533301</v>
      </c>
      <c r="H35" s="455">
        <f t="shared" si="7"/>
        <v>202406.19003533301</v>
      </c>
      <c r="I35" s="475">
        <f t="shared" si="8"/>
        <v>0</v>
      </c>
      <c r="J35" s="475"/>
      <c r="K35" s="487"/>
      <c r="L35" s="478">
        <f t="shared" si="3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 ht="12.5">
      <c r="B36" s="160" t="str">
        <f t="shared" si="9"/>
        <v/>
      </c>
      <c r="C36" s="472">
        <f>IF(D11="","-",+C35+1)</f>
        <v>2039</v>
      </c>
      <c r="D36" s="483">
        <f>IF(F35+SUM(E$17:E35)=D$10,F35,D$10-SUM(E$17:E35))</f>
        <v>1343960.1328903637</v>
      </c>
      <c r="E36" s="484">
        <f t="shared" si="4"/>
        <v>54556.976744186046</v>
      </c>
      <c r="F36" s="485">
        <f t="shared" si="5"/>
        <v>1289403.1561461776</v>
      </c>
      <c r="G36" s="486">
        <f t="shared" si="6"/>
        <v>196523.76668020245</v>
      </c>
      <c r="H36" s="455">
        <f t="shared" si="7"/>
        <v>196523.76668020245</v>
      </c>
      <c r="I36" s="475">
        <f t="shared" si="8"/>
        <v>0</v>
      </c>
      <c r="J36" s="475"/>
      <c r="K36" s="487"/>
      <c r="L36" s="478">
        <f t="shared" si="3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 ht="12.5">
      <c r="B37" s="160" t="str">
        <f t="shared" si="9"/>
        <v/>
      </c>
      <c r="C37" s="472">
        <f>IF(D11="","-",+C36+1)</f>
        <v>2040</v>
      </c>
      <c r="D37" s="483">
        <f>IF(F36+SUM(E$17:E36)=D$10,F36,D$10-SUM(E$17:E36))</f>
        <v>1289403.1561461776</v>
      </c>
      <c r="E37" s="484">
        <f t="shared" si="4"/>
        <v>54556.976744186046</v>
      </c>
      <c r="F37" s="485">
        <f t="shared" si="5"/>
        <v>1234846.1794019914</v>
      </c>
      <c r="G37" s="486">
        <f t="shared" si="6"/>
        <v>190641.34332507185</v>
      </c>
      <c r="H37" s="455">
        <f t="shared" si="7"/>
        <v>190641.34332507185</v>
      </c>
      <c r="I37" s="475">
        <f t="shared" si="8"/>
        <v>0</v>
      </c>
      <c r="J37" s="475"/>
      <c r="K37" s="487"/>
      <c r="L37" s="478">
        <f t="shared" si="3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 ht="12.5">
      <c r="B38" s="160" t="str">
        <f t="shared" si="9"/>
        <v/>
      </c>
      <c r="C38" s="472">
        <f>IF(D11="","-",+C37+1)</f>
        <v>2041</v>
      </c>
      <c r="D38" s="483">
        <f>IF(F37+SUM(E$17:E37)=D$10,F37,D$10-SUM(E$17:E37))</f>
        <v>1234846.1794019914</v>
      </c>
      <c r="E38" s="484">
        <f t="shared" si="4"/>
        <v>54556.976744186046</v>
      </c>
      <c r="F38" s="485">
        <f t="shared" si="5"/>
        <v>1180289.2026578053</v>
      </c>
      <c r="G38" s="486">
        <f t="shared" si="6"/>
        <v>184758.91996994129</v>
      </c>
      <c r="H38" s="455">
        <f t="shared" si="7"/>
        <v>184758.91996994129</v>
      </c>
      <c r="I38" s="475">
        <f t="shared" si="8"/>
        <v>0</v>
      </c>
      <c r="J38" s="475"/>
      <c r="K38" s="487"/>
      <c r="L38" s="478">
        <f t="shared" si="3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 ht="12.5">
      <c r="B39" s="160" t="str">
        <f t="shared" si="9"/>
        <v/>
      </c>
      <c r="C39" s="472">
        <f>IF(D11="","-",+C38+1)</f>
        <v>2042</v>
      </c>
      <c r="D39" s="483">
        <f>IF(F38+SUM(E$17:E38)=D$10,F38,D$10-SUM(E$17:E38))</f>
        <v>1180289.2026578053</v>
      </c>
      <c r="E39" s="484">
        <f t="shared" si="4"/>
        <v>54556.976744186046</v>
      </c>
      <c r="F39" s="485">
        <f t="shared" si="5"/>
        <v>1125732.2259136192</v>
      </c>
      <c r="G39" s="486">
        <f t="shared" si="6"/>
        <v>178876.49661481072</v>
      </c>
      <c r="H39" s="455">
        <f t="shared" si="7"/>
        <v>178876.49661481072</v>
      </c>
      <c r="I39" s="475">
        <f t="shared" si="8"/>
        <v>0</v>
      </c>
      <c r="J39" s="475"/>
      <c r="K39" s="487"/>
      <c r="L39" s="478">
        <f t="shared" si="3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 ht="12.5">
      <c r="B40" s="160" t="str">
        <f t="shared" si="9"/>
        <v/>
      </c>
      <c r="C40" s="472">
        <f>IF(D11="","-",+C39+1)</f>
        <v>2043</v>
      </c>
      <c r="D40" s="483">
        <f>IF(F39+SUM(E$17:E39)=D$10,F39,D$10-SUM(E$17:E39))</f>
        <v>1125732.2259136192</v>
      </c>
      <c r="E40" s="484">
        <f t="shared" si="4"/>
        <v>54556.976744186046</v>
      </c>
      <c r="F40" s="485">
        <f t="shared" si="5"/>
        <v>1071175.249169433</v>
      </c>
      <c r="G40" s="486">
        <f t="shared" si="6"/>
        <v>172994.07325968015</v>
      </c>
      <c r="H40" s="455">
        <f t="shared" si="7"/>
        <v>172994.07325968015</v>
      </c>
      <c r="I40" s="475">
        <f t="shared" si="8"/>
        <v>0</v>
      </c>
      <c r="J40" s="475"/>
      <c r="K40" s="487"/>
      <c r="L40" s="478">
        <f t="shared" si="3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 ht="12.5">
      <c r="B41" s="160" t="str">
        <f t="shared" si="9"/>
        <v/>
      </c>
      <c r="C41" s="472">
        <f>IF(D11="","-",+C40+1)</f>
        <v>2044</v>
      </c>
      <c r="D41" s="483">
        <f>IF(F40+SUM(E$17:E40)=D$10,F40,D$10-SUM(E$17:E40))</f>
        <v>1071175.249169433</v>
      </c>
      <c r="E41" s="484">
        <f t="shared" si="4"/>
        <v>54556.976744186046</v>
      </c>
      <c r="F41" s="485">
        <f t="shared" si="5"/>
        <v>1016618.272425247</v>
      </c>
      <c r="G41" s="486">
        <f t="shared" si="6"/>
        <v>167111.64990454959</v>
      </c>
      <c r="H41" s="455">
        <f t="shared" si="7"/>
        <v>167111.64990454959</v>
      </c>
      <c r="I41" s="475">
        <f t="shared" si="8"/>
        <v>0</v>
      </c>
      <c r="J41" s="475"/>
      <c r="K41" s="487"/>
      <c r="L41" s="478">
        <f t="shared" si="3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 ht="12.5">
      <c r="B42" s="160" t="str">
        <f t="shared" si="9"/>
        <v/>
      </c>
      <c r="C42" s="472">
        <f>IF(D11="","-",+C41+1)</f>
        <v>2045</v>
      </c>
      <c r="D42" s="483">
        <f>IF(F41+SUM(E$17:E41)=D$10,F41,D$10-SUM(E$17:E41))</f>
        <v>1016618.272425247</v>
      </c>
      <c r="E42" s="484">
        <f t="shared" si="4"/>
        <v>54556.976744186046</v>
      </c>
      <c r="F42" s="485">
        <f t="shared" si="5"/>
        <v>962061.29568106099</v>
      </c>
      <c r="G42" s="486">
        <f t="shared" si="6"/>
        <v>161229.22654941902</v>
      </c>
      <c r="H42" s="455">
        <f t="shared" si="7"/>
        <v>161229.22654941902</v>
      </c>
      <c r="I42" s="475">
        <f t="shared" si="8"/>
        <v>0</v>
      </c>
      <c r="J42" s="475"/>
      <c r="K42" s="487"/>
      <c r="L42" s="478">
        <f t="shared" si="3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 ht="12.5">
      <c r="B43" s="160" t="str">
        <f t="shared" si="9"/>
        <v/>
      </c>
      <c r="C43" s="472">
        <f>IF(D11="","-",+C42+1)</f>
        <v>2046</v>
      </c>
      <c r="D43" s="483">
        <f>IF(F42+SUM(E$17:E42)=D$10,F42,D$10-SUM(E$17:E42))</f>
        <v>962061.29568106099</v>
      </c>
      <c r="E43" s="484">
        <f t="shared" si="4"/>
        <v>54556.976744186046</v>
      </c>
      <c r="F43" s="485">
        <f t="shared" si="5"/>
        <v>907504.31893687497</v>
      </c>
      <c r="G43" s="486">
        <f t="shared" si="6"/>
        <v>155346.80319428846</v>
      </c>
      <c r="H43" s="455">
        <f t="shared" si="7"/>
        <v>155346.80319428846</v>
      </c>
      <c r="I43" s="475">
        <f t="shared" si="8"/>
        <v>0</v>
      </c>
      <c r="J43" s="475"/>
      <c r="K43" s="487"/>
      <c r="L43" s="478">
        <f t="shared" si="3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 ht="12.5">
      <c r="B44" s="160" t="str">
        <f t="shared" si="9"/>
        <v/>
      </c>
      <c r="C44" s="472">
        <f>IF(D11="","-",+C43+1)</f>
        <v>2047</v>
      </c>
      <c r="D44" s="483">
        <f>IF(F43+SUM(E$17:E43)=D$10,F43,D$10-SUM(E$17:E43))</f>
        <v>907504.31893687497</v>
      </c>
      <c r="E44" s="484">
        <f t="shared" si="4"/>
        <v>54556.976744186046</v>
      </c>
      <c r="F44" s="485">
        <f t="shared" si="5"/>
        <v>852947.34219268896</v>
      </c>
      <c r="G44" s="486">
        <f t="shared" si="6"/>
        <v>149464.37983915792</v>
      </c>
      <c r="H44" s="455">
        <f t="shared" si="7"/>
        <v>149464.37983915792</v>
      </c>
      <c r="I44" s="475">
        <f t="shared" si="8"/>
        <v>0</v>
      </c>
      <c r="J44" s="475"/>
      <c r="K44" s="487"/>
      <c r="L44" s="478">
        <f t="shared" si="3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 ht="12.5">
      <c r="B45" s="160" t="str">
        <f t="shared" si="9"/>
        <v/>
      </c>
      <c r="C45" s="472">
        <f>IF(D11="","-",+C44+1)</f>
        <v>2048</v>
      </c>
      <c r="D45" s="483">
        <f>IF(F44+SUM(E$17:E44)=D$10,F44,D$10-SUM(E$17:E44))</f>
        <v>852947.34219268896</v>
      </c>
      <c r="E45" s="484">
        <f t="shared" si="4"/>
        <v>54556.976744186046</v>
      </c>
      <c r="F45" s="485">
        <f t="shared" si="5"/>
        <v>798390.36544850294</v>
      </c>
      <c r="G45" s="486">
        <f t="shared" si="6"/>
        <v>143581.95648402732</v>
      </c>
      <c r="H45" s="455">
        <f t="shared" si="7"/>
        <v>143581.95648402732</v>
      </c>
      <c r="I45" s="475">
        <f t="shared" si="8"/>
        <v>0</v>
      </c>
      <c r="J45" s="475"/>
      <c r="K45" s="487"/>
      <c r="L45" s="478">
        <f t="shared" si="3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 ht="12.5">
      <c r="B46" s="160" t="str">
        <f t="shared" si="9"/>
        <v/>
      </c>
      <c r="C46" s="472">
        <f>IF(D11="","-",+C45+1)</f>
        <v>2049</v>
      </c>
      <c r="D46" s="483">
        <f>IF(F45+SUM(E$17:E45)=D$10,F45,D$10-SUM(E$17:E45))</f>
        <v>798390.36544850294</v>
      </c>
      <c r="E46" s="484">
        <f t="shared" si="4"/>
        <v>54556.976744186046</v>
      </c>
      <c r="F46" s="485">
        <f t="shared" si="5"/>
        <v>743833.38870431692</v>
      </c>
      <c r="G46" s="486">
        <f t="shared" si="6"/>
        <v>137699.53312889679</v>
      </c>
      <c r="H46" s="455">
        <f t="shared" si="7"/>
        <v>137699.53312889679</v>
      </c>
      <c r="I46" s="475">
        <f t="shared" si="8"/>
        <v>0</v>
      </c>
      <c r="J46" s="475"/>
      <c r="K46" s="487"/>
      <c r="L46" s="478">
        <f t="shared" si="3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 ht="12.5">
      <c r="B47" s="160" t="str">
        <f t="shared" si="9"/>
        <v/>
      </c>
      <c r="C47" s="472">
        <f>IF(D11="","-",+C46+1)</f>
        <v>2050</v>
      </c>
      <c r="D47" s="483">
        <f>IF(F46+SUM(E$17:E46)=D$10,F46,D$10-SUM(E$17:E46))</f>
        <v>743833.38870431692</v>
      </c>
      <c r="E47" s="484">
        <f t="shared" si="4"/>
        <v>54556.976744186046</v>
      </c>
      <c r="F47" s="485">
        <f t="shared" si="5"/>
        <v>689276.41196013091</v>
      </c>
      <c r="G47" s="486">
        <f t="shared" si="6"/>
        <v>131817.10977376622</v>
      </c>
      <c r="H47" s="455">
        <f t="shared" si="7"/>
        <v>131817.10977376622</v>
      </c>
      <c r="I47" s="475">
        <f t="shared" si="8"/>
        <v>0</v>
      </c>
      <c r="J47" s="475"/>
      <c r="K47" s="487"/>
      <c r="L47" s="478">
        <f t="shared" si="3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 ht="12.5">
      <c r="B48" s="160" t="str">
        <f t="shared" si="9"/>
        <v/>
      </c>
      <c r="C48" s="472">
        <f>IF(D11="","-",+C47+1)</f>
        <v>2051</v>
      </c>
      <c r="D48" s="483">
        <f>IF(F47+SUM(E$17:E47)=D$10,F47,D$10-SUM(E$17:E47))</f>
        <v>689276.41196013091</v>
      </c>
      <c r="E48" s="484">
        <f t="shared" si="4"/>
        <v>54556.976744186046</v>
      </c>
      <c r="F48" s="485">
        <f t="shared" si="5"/>
        <v>634719.43521594489</v>
      </c>
      <c r="G48" s="486">
        <f t="shared" si="6"/>
        <v>125934.68641863567</v>
      </c>
      <c r="H48" s="455">
        <f t="shared" si="7"/>
        <v>125934.68641863567</v>
      </c>
      <c r="I48" s="475">
        <f t="shared" si="8"/>
        <v>0</v>
      </c>
      <c r="J48" s="475"/>
      <c r="K48" s="487"/>
      <c r="L48" s="478">
        <f t="shared" si="3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 ht="12.5">
      <c r="B49" s="160" t="str">
        <f t="shared" si="9"/>
        <v/>
      </c>
      <c r="C49" s="472">
        <f>IF(D11="","-",+C48+1)</f>
        <v>2052</v>
      </c>
      <c r="D49" s="483">
        <f>IF(F48+SUM(E$17:E48)=D$10,F48,D$10-SUM(E$17:E48))</f>
        <v>634719.43521594489</v>
      </c>
      <c r="E49" s="484">
        <f t="shared" si="4"/>
        <v>54556.976744186046</v>
      </c>
      <c r="F49" s="485">
        <f t="shared" si="5"/>
        <v>580162.45847175887</v>
      </c>
      <c r="G49" s="486">
        <f t="shared" si="6"/>
        <v>120052.2630635051</v>
      </c>
      <c r="H49" s="455">
        <f t="shared" si="7"/>
        <v>120052.2630635051</v>
      </c>
      <c r="I49" s="475">
        <f t="shared" si="8"/>
        <v>0</v>
      </c>
      <c r="J49" s="475"/>
      <c r="K49" s="487"/>
      <c r="L49" s="478">
        <f t="shared" si="3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 ht="12.5">
      <c r="B50" s="160" t="str">
        <f t="shared" si="9"/>
        <v/>
      </c>
      <c r="C50" s="472">
        <f>IF(D11="","-",+C49+1)</f>
        <v>2053</v>
      </c>
      <c r="D50" s="483">
        <f>IF(F49+SUM(E$17:E49)=D$10,F49,D$10-SUM(E$17:E49))</f>
        <v>580162.45847175887</v>
      </c>
      <c r="E50" s="484">
        <f t="shared" si="4"/>
        <v>54556.976744186046</v>
      </c>
      <c r="F50" s="485">
        <f t="shared" si="5"/>
        <v>525605.48172757286</v>
      </c>
      <c r="G50" s="486">
        <f t="shared" si="6"/>
        <v>114169.83970837455</v>
      </c>
      <c r="H50" s="455">
        <f t="shared" si="7"/>
        <v>114169.83970837455</v>
      </c>
      <c r="I50" s="475">
        <f t="shared" si="8"/>
        <v>0</v>
      </c>
      <c r="J50" s="475"/>
      <c r="K50" s="487"/>
      <c r="L50" s="478">
        <f t="shared" si="3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 ht="12.5">
      <c r="B51" s="160" t="str">
        <f t="shared" si="9"/>
        <v/>
      </c>
      <c r="C51" s="472">
        <f>IF(D11="","-",+C50+1)</f>
        <v>2054</v>
      </c>
      <c r="D51" s="483">
        <f>IF(F50+SUM(E$17:E50)=D$10,F50,D$10-SUM(E$17:E50))</f>
        <v>525605.48172757286</v>
      </c>
      <c r="E51" s="484">
        <f t="shared" si="4"/>
        <v>54556.976744186046</v>
      </c>
      <c r="F51" s="485">
        <f t="shared" si="5"/>
        <v>471048.50498338684</v>
      </c>
      <c r="G51" s="486">
        <f t="shared" si="6"/>
        <v>108287.41635324399</v>
      </c>
      <c r="H51" s="455">
        <f t="shared" si="7"/>
        <v>108287.41635324399</v>
      </c>
      <c r="I51" s="475">
        <f t="shared" si="8"/>
        <v>0</v>
      </c>
      <c r="J51" s="475"/>
      <c r="K51" s="487"/>
      <c r="L51" s="478">
        <f t="shared" si="3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 ht="12.5">
      <c r="B52" s="160" t="str">
        <f t="shared" si="9"/>
        <v/>
      </c>
      <c r="C52" s="472">
        <f>IF(D11="","-",+C51+1)</f>
        <v>2055</v>
      </c>
      <c r="D52" s="483">
        <f>IF(F51+SUM(E$17:E51)=D$10,F51,D$10-SUM(E$17:E51))</f>
        <v>471048.50498338684</v>
      </c>
      <c r="E52" s="484">
        <f t="shared" si="4"/>
        <v>54556.976744186046</v>
      </c>
      <c r="F52" s="485">
        <f t="shared" si="5"/>
        <v>416491.52823920082</v>
      </c>
      <c r="G52" s="486">
        <f t="shared" si="6"/>
        <v>102404.99299811343</v>
      </c>
      <c r="H52" s="455">
        <f t="shared" si="7"/>
        <v>102404.99299811343</v>
      </c>
      <c r="I52" s="475">
        <f t="shared" si="8"/>
        <v>0</v>
      </c>
      <c r="J52" s="475"/>
      <c r="K52" s="487"/>
      <c r="L52" s="478">
        <f t="shared" si="3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 ht="12.5">
      <c r="B53" s="160" t="str">
        <f t="shared" si="9"/>
        <v/>
      </c>
      <c r="C53" s="472">
        <f>IF(D11="","-",+C52+1)</f>
        <v>2056</v>
      </c>
      <c r="D53" s="483">
        <f>IF(F52+SUM(E$17:E52)=D$10,F52,D$10-SUM(E$17:E52))</f>
        <v>416491.52823920082</v>
      </c>
      <c r="E53" s="484">
        <f t="shared" si="4"/>
        <v>54556.976744186046</v>
      </c>
      <c r="F53" s="485">
        <f t="shared" si="5"/>
        <v>361934.55149501481</v>
      </c>
      <c r="G53" s="486">
        <f t="shared" si="6"/>
        <v>96522.569642982882</v>
      </c>
      <c r="H53" s="455">
        <f t="shared" si="7"/>
        <v>96522.569642982882</v>
      </c>
      <c r="I53" s="475">
        <f t="shared" si="8"/>
        <v>0</v>
      </c>
      <c r="J53" s="475"/>
      <c r="K53" s="487"/>
      <c r="L53" s="478">
        <f t="shared" si="3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 ht="12.5">
      <c r="B54" s="160" t="str">
        <f t="shared" si="9"/>
        <v/>
      </c>
      <c r="C54" s="472">
        <f>IF(D11="","-",+C53+1)</f>
        <v>2057</v>
      </c>
      <c r="D54" s="483">
        <f>IF(F53+SUM(E$17:E53)=D$10,F53,D$10-SUM(E$17:E53))</f>
        <v>361934.55149501481</v>
      </c>
      <c r="E54" s="484">
        <f t="shared" si="4"/>
        <v>54556.976744186046</v>
      </c>
      <c r="F54" s="485">
        <f t="shared" si="5"/>
        <v>307377.57475082879</v>
      </c>
      <c r="G54" s="486">
        <f t="shared" si="6"/>
        <v>90640.146287852316</v>
      </c>
      <c r="H54" s="455">
        <f t="shared" si="7"/>
        <v>90640.146287852316</v>
      </c>
      <c r="I54" s="475">
        <f t="shared" si="8"/>
        <v>0</v>
      </c>
      <c r="J54" s="475"/>
      <c r="K54" s="487"/>
      <c r="L54" s="478">
        <f t="shared" si="3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 ht="12.5">
      <c r="B55" s="160" t="str">
        <f t="shared" si="9"/>
        <v/>
      </c>
      <c r="C55" s="472">
        <f>IF(D11="","-",+C54+1)</f>
        <v>2058</v>
      </c>
      <c r="D55" s="483">
        <f>IF(F54+SUM(E$17:E54)=D$10,F54,D$10-SUM(E$17:E54))</f>
        <v>307377.57475082879</v>
      </c>
      <c r="E55" s="484">
        <f t="shared" si="4"/>
        <v>54556.976744186046</v>
      </c>
      <c r="F55" s="485">
        <f t="shared" si="5"/>
        <v>252820.59800664274</v>
      </c>
      <c r="G55" s="486">
        <f t="shared" si="6"/>
        <v>84757.72293272175</v>
      </c>
      <c r="H55" s="455">
        <f t="shared" si="7"/>
        <v>84757.72293272175</v>
      </c>
      <c r="I55" s="475">
        <f t="shared" si="8"/>
        <v>0</v>
      </c>
      <c r="J55" s="475"/>
      <c r="K55" s="487"/>
      <c r="L55" s="478">
        <f t="shared" si="3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 ht="12.5">
      <c r="B56" s="160" t="str">
        <f t="shared" si="9"/>
        <v/>
      </c>
      <c r="C56" s="472">
        <f>IF(D11="","-",+C55+1)</f>
        <v>2059</v>
      </c>
      <c r="D56" s="483">
        <f>IF(F55+SUM(E$17:E55)=D$10,F55,D$10-SUM(E$17:E55))</f>
        <v>252820.59800664274</v>
      </c>
      <c r="E56" s="484">
        <f t="shared" si="4"/>
        <v>54556.976744186046</v>
      </c>
      <c r="F56" s="485">
        <f t="shared" si="5"/>
        <v>198263.6212624567</v>
      </c>
      <c r="G56" s="486">
        <f t="shared" si="6"/>
        <v>78875.299577591184</v>
      </c>
      <c r="H56" s="455">
        <f t="shared" si="7"/>
        <v>78875.299577591184</v>
      </c>
      <c r="I56" s="475">
        <f t="shared" si="8"/>
        <v>0</v>
      </c>
      <c r="J56" s="475"/>
      <c r="K56" s="487"/>
      <c r="L56" s="478">
        <f t="shared" si="3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 ht="12.5">
      <c r="B57" s="160" t="str">
        <f t="shared" si="9"/>
        <v/>
      </c>
      <c r="C57" s="472">
        <f>IF(D11="","-",+C56+1)</f>
        <v>2060</v>
      </c>
      <c r="D57" s="483">
        <f>IF(F56+SUM(E$17:E56)=D$10,F56,D$10-SUM(E$17:E56))</f>
        <v>198263.6212624567</v>
      </c>
      <c r="E57" s="484">
        <f t="shared" si="4"/>
        <v>54556.976744186046</v>
      </c>
      <c r="F57" s="485">
        <f t="shared" si="5"/>
        <v>143706.64451827065</v>
      </c>
      <c r="G57" s="486">
        <f t="shared" si="6"/>
        <v>72992.876222460633</v>
      </c>
      <c r="H57" s="455">
        <f t="shared" si="7"/>
        <v>72992.876222460633</v>
      </c>
      <c r="I57" s="475">
        <f t="shared" si="8"/>
        <v>0</v>
      </c>
      <c r="J57" s="475"/>
      <c r="K57" s="487"/>
      <c r="L57" s="478">
        <f t="shared" si="3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 ht="12.5">
      <c r="B58" s="160" t="str">
        <f t="shared" si="9"/>
        <v/>
      </c>
      <c r="C58" s="472">
        <f>IF(D11="","-",+C57+1)</f>
        <v>2061</v>
      </c>
      <c r="D58" s="483">
        <f>IF(F57+SUM(E$17:E57)=D$10,F57,D$10-SUM(E$17:E57))</f>
        <v>143706.64451827065</v>
      </c>
      <c r="E58" s="484">
        <f t="shared" si="4"/>
        <v>54556.976744186046</v>
      </c>
      <c r="F58" s="485">
        <f t="shared" si="5"/>
        <v>89149.667774084606</v>
      </c>
      <c r="G58" s="486">
        <f t="shared" si="6"/>
        <v>67110.452867330067</v>
      </c>
      <c r="H58" s="455">
        <f t="shared" si="7"/>
        <v>67110.452867330067</v>
      </c>
      <c r="I58" s="475">
        <f t="shared" si="8"/>
        <v>0</v>
      </c>
      <c r="J58" s="475"/>
      <c r="K58" s="487"/>
      <c r="L58" s="478">
        <f t="shared" si="3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 ht="12.5">
      <c r="B59" s="160" t="str">
        <f t="shared" si="9"/>
        <v/>
      </c>
      <c r="C59" s="472">
        <f>IF(D11="","-",+C58+1)</f>
        <v>2062</v>
      </c>
      <c r="D59" s="483">
        <f>IF(F58+SUM(E$17:E58)=D$10,F58,D$10-SUM(E$17:E58))</f>
        <v>89149.667774084606</v>
      </c>
      <c r="E59" s="484">
        <f t="shared" si="4"/>
        <v>54556.976744186046</v>
      </c>
      <c r="F59" s="485">
        <f t="shared" si="5"/>
        <v>34592.69102989856</v>
      </c>
      <c r="G59" s="486">
        <f t="shared" si="6"/>
        <v>61228.029512199508</v>
      </c>
      <c r="H59" s="455">
        <f t="shared" si="7"/>
        <v>61228.029512199508</v>
      </c>
      <c r="I59" s="475">
        <f t="shared" si="8"/>
        <v>0</v>
      </c>
      <c r="J59" s="475"/>
      <c r="K59" s="487"/>
      <c r="L59" s="478">
        <f t="shared" si="3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 ht="12.5">
      <c r="B60" s="160" t="str">
        <f t="shared" si="9"/>
        <v/>
      </c>
      <c r="C60" s="472">
        <f>IF(D11="","-",+C59+1)</f>
        <v>2063</v>
      </c>
      <c r="D60" s="483">
        <f>IF(F59+SUM(E$17:E59)=D$10,F59,D$10-SUM(E$17:E59))</f>
        <v>34592.69102989856</v>
      </c>
      <c r="E60" s="484">
        <f t="shared" si="4"/>
        <v>34592.69102989856</v>
      </c>
      <c r="F60" s="485">
        <f t="shared" si="5"/>
        <v>0</v>
      </c>
      <c r="G60" s="486">
        <f t="shared" si="6"/>
        <v>36457.611575122646</v>
      </c>
      <c r="H60" s="455">
        <f t="shared" si="7"/>
        <v>36457.611575122646</v>
      </c>
      <c r="I60" s="475">
        <f t="shared" si="8"/>
        <v>0</v>
      </c>
      <c r="J60" s="475"/>
      <c r="K60" s="487"/>
      <c r="L60" s="478">
        <f t="shared" si="3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 ht="12.5">
      <c r="B61" s="160" t="str">
        <f t="shared" si="9"/>
        <v/>
      </c>
      <c r="C61" s="472">
        <f>IF(D11="","-",+C60+1)</f>
        <v>2064</v>
      </c>
      <c r="D61" s="483">
        <f>IF(F60+SUM(E$17:E60)=D$10,F60,D$10-SUM(E$17:E60))</f>
        <v>0</v>
      </c>
      <c r="E61" s="484">
        <f t="shared" si="4"/>
        <v>0</v>
      </c>
      <c r="F61" s="485">
        <f t="shared" si="5"/>
        <v>0</v>
      </c>
      <c r="G61" s="486">
        <f t="shared" si="6"/>
        <v>0</v>
      </c>
      <c r="H61" s="455">
        <f t="shared" si="7"/>
        <v>0</v>
      </c>
      <c r="I61" s="475">
        <f t="shared" si="8"/>
        <v>0</v>
      </c>
      <c r="J61" s="475"/>
      <c r="K61" s="487"/>
      <c r="L61" s="478">
        <f t="shared" si="3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 ht="12.5">
      <c r="B62" s="160" t="str">
        <f t="shared" si="9"/>
        <v/>
      </c>
      <c r="C62" s="472">
        <f>IF(D11="","-",+C61+1)</f>
        <v>2065</v>
      </c>
      <c r="D62" s="483">
        <f>IF(F61+SUM(E$17:E61)=D$10,F61,D$10-SUM(E$17:E61))</f>
        <v>0</v>
      </c>
      <c r="E62" s="484">
        <f t="shared" si="4"/>
        <v>0</v>
      </c>
      <c r="F62" s="485">
        <f t="shared" si="5"/>
        <v>0</v>
      </c>
      <c r="G62" s="486">
        <f t="shared" si="6"/>
        <v>0</v>
      </c>
      <c r="H62" s="455">
        <f t="shared" si="7"/>
        <v>0</v>
      </c>
      <c r="I62" s="475">
        <f t="shared" si="8"/>
        <v>0</v>
      </c>
      <c r="J62" s="475"/>
      <c r="K62" s="487"/>
      <c r="L62" s="478">
        <f t="shared" si="3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 ht="12.5">
      <c r="B63" s="160" t="str">
        <f t="shared" si="9"/>
        <v/>
      </c>
      <c r="C63" s="472">
        <f>IF(D11="","-",+C62+1)</f>
        <v>2066</v>
      </c>
      <c r="D63" s="483">
        <f>IF(F62+SUM(E$17:E62)=D$10,F62,D$10-SUM(E$17:E62))</f>
        <v>0</v>
      </c>
      <c r="E63" s="484">
        <f t="shared" si="4"/>
        <v>0</v>
      </c>
      <c r="F63" s="485">
        <f t="shared" si="5"/>
        <v>0</v>
      </c>
      <c r="G63" s="486">
        <f t="shared" si="6"/>
        <v>0</v>
      </c>
      <c r="H63" s="455">
        <f t="shared" si="7"/>
        <v>0</v>
      </c>
      <c r="I63" s="475">
        <f t="shared" si="8"/>
        <v>0</v>
      </c>
      <c r="J63" s="475"/>
      <c r="K63" s="487"/>
      <c r="L63" s="478">
        <f t="shared" si="3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 ht="12.5">
      <c r="B64" s="160" t="str">
        <f t="shared" si="9"/>
        <v/>
      </c>
      <c r="C64" s="472">
        <f>IF(D11="","-",+C63+1)</f>
        <v>2067</v>
      </c>
      <c r="D64" s="483">
        <f>IF(F63+SUM(E$17:E63)=D$10,F63,D$10-SUM(E$17:E63))</f>
        <v>0</v>
      </c>
      <c r="E64" s="484">
        <f t="shared" si="4"/>
        <v>0</v>
      </c>
      <c r="F64" s="485">
        <f t="shared" si="5"/>
        <v>0</v>
      </c>
      <c r="G64" s="486">
        <f t="shared" si="6"/>
        <v>0</v>
      </c>
      <c r="H64" s="455">
        <f t="shared" si="7"/>
        <v>0</v>
      </c>
      <c r="I64" s="475">
        <f t="shared" si="8"/>
        <v>0</v>
      </c>
      <c r="J64" s="475"/>
      <c r="K64" s="487"/>
      <c r="L64" s="478">
        <f t="shared" si="3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 ht="12.5">
      <c r="B65" s="160" t="str">
        <f t="shared" si="9"/>
        <v/>
      </c>
      <c r="C65" s="472">
        <f>IF(D11="","-",+C64+1)</f>
        <v>2068</v>
      </c>
      <c r="D65" s="483">
        <f>IF(F64+SUM(E$17:E64)=D$10,F64,D$10-SUM(E$17:E64))</f>
        <v>0</v>
      </c>
      <c r="E65" s="484">
        <f t="shared" si="4"/>
        <v>0</v>
      </c>
      <c r="F65" s="485">
        <f t="shared" si="5"/>
        <v>0</v>
      </c>
      <c r="G65" s="486">
        <f t="shared" si="6"/>
        <v>0</v>
      </c>
      <c r="H65" s="455">
        <f t="shared" si="7"/>
        <v>0</v>
      </c>
      <c r="I65" s="475">
        <f t="shared" si="8"/>
        <v>0</v>
      </c>
      <c r="J65" s="475"/>
      <c r="K65" s="487"/>
      <c r="L65" s="478">
        <f t="shared" si="3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 ht="12.5">
      <c r="B66" s="160" t="str">
        <f t="shared" si="9"/>
        <v/>
      </c>
      <c r="C66" s="472">
        <f>IF(D11="","-",+C65+1)</f>
        <v>2069</v>
      </c>
      <c r="D66" s="483">
        <f>IF(F65+SUM(E$17:E65)=D$10,F65,D$10-SUM(E$17:E65))</f>
        <v>0</v>
      </c>
      <c r="E66" s="484">
        <f t="shared" si="4"/>
        <v>0</v>
      </c>
      <c r="F66" s="485">
        <f t="shared" si="5"/>
        <v>0</v>
      </c>
      <c r="G66" s="486">
        <f t="shared" si="6"/>
        <v>0</v>
      </c>
      <c r="H66" s="455">
        <f t="shared" si="7"/>
        <v>0</v>
      </c>
      <c r="I66" s="475">
        <f t="shared" si="8"/>
        <v>0</v>
      </c>
      <c r="J66" s="475"/>
      <c r="K66" s="487"/>
      <c r="L66" s="478">
        <f t="shared" si="3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 ht="12.5">
      <c r="B67" s="160" t="str">
        <f t="shared" si="9"/>
        <v/>
      </c>
      <c r="C67" s="472">
        <f>IF(D11="","-",+C66+1)</f>
        <v>2070</v>
      </c>
      <c r="D67" s="483">
        <f>IF(F66+SUM(E$17:E66)=D$10,F66,D$10-SUM(E$17:E66))</f>
        <v>0</v>
      </c>
      <c r="E67" s="484">
        <f t="shared" si="4"/>
        <v>0</v>
      </c>
      <c r="F67" s="485">
        <f t="shared" si="5"/>
        <v>0</v>
      </c>
      <c r="G67" s="486">
        <f t="shared" si="6"/>
        <v>0</v>
      </c>
      <c r="H67" s="455">
        <f t="shared" si="7"/>
        <v>0</v>
      </c>
      <c r="I67" s="475">
        <f t="shared" si="8"/>
        <v>0</v>
      </c>
      <c r="J67" s="475"/>
      <c r="K67" s="487"/>
      <c r="L67" s="478">
        <f t="shared" si="3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 ht="12.5">
      <c r="B68" s="160" t="str">
        <f t="shared" si="9"/>
        <v/>
      </c>
      <c r="C68" s="472">
        <f>IF(D11="","-",+C67+1)</f>
        <v>2071</v>
      </c>
      <c r="D68" s="483">
        <f>IF(F67+SUM(E$17:E67)=D$10,F67,D$10-SUM(E$17:E67))</f>
        <v>0</v>
      </c>
      <c r="E68" s="484">
        <f t="shared" si="4"/>
        <v>0</v>
      </c>
      <c r="F68" s="485">
        <f t="shared" si="5"/>
        <v>0</v>
      </c>
      <c r="G68" s="486">
        <f t="shared" si="6"/>
        <v>0</v>
      </c>
      <c r="H68" s="455">
        <f t="shared" si="7"/>
        <v>0</v>
      </c>
      <c r="I68" s="475">
        <f t="shared" si="8"/>
        <v>0</v>
      </c>
      <c r="J68" s="475"/>
      <c r="K68" s="487"/>
      <c r="L68" s="478">
        <f t="shared" si="3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 ht="12.5">
      <c r="B69" s="160" t="str">
        <f t="shared" si="9"/>
        <v/>
      </c>
      <c r="C69" s="472">
        <f>IF(D11="","-",+C68+1)</f>
        <v>2072</v>
      </c>
      <c r="D69" s="483">
        <f>IF(F68+SUM(E$17:E68)=D$10,F68,D$10-SUM(E$17:E68))</f>
        <v>0</v>
      </c>
      <c r="E69" s="484">
        <f t="shared" si="4"/>
        <v>0</v>
      </c>
      <c r="F69" s="485">
        <f t="shared" si="5"/>
        <v>0</v>
      </c>
      <c r="G69" s="486">
        <f t="shared" si="6"/>
        <v>0</v>
      </c>
      <c r="H69" s="455">
        <f t="shared" si="7"/>
        <v>0</v>
      </c>
      <c r="I69" s="475">
        <f t="shared" si="8"/>
        <v>0</v>
      </c>
      <c r="J69" s="475"/>
      <c r="K69" s="487"/>
      <c r="L69" s="478">
        <f t="shared" si="3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 ht="12.5">
      <c r="B70" s="160" t="str">
        <f t="shared" si="9"/>
        <v/>
      </c>
      <c r="C70" s="472">
        <f>IF(D11="","-",+C69+1)</f>
        <v>2073</v>
      </c>
      <c r="D70" s="483">
        <f>IF(F69+SUM(E$17:E69)=D$10,F69,D$10-SUM(E$17:E69))</f>
        <v>0</v>
      </c>
      <c r="E70" s="484">
        <f t="shared" si="4"/>
        <v>0</v>
      </c>
      <c r="F70" s="485">
        <f t="shared" si="5"/>
        <v>0</v>
      </c>
      <c r="G70" s="486">
        <f t="shared" si="6"/>
        <v>0</v>
      </c>
      <c r="H70" s="455">
        <f t="shared" si="7"/>
        <v>0</v>
      </c>
      <c r="I70" s="475">
        <f t="shared" si="8"/>
        <v>0</v>
      </c>
      <c r="J70" s="475"/>
      <c r="K70" s="487"/>
      <c r="L70" s="478">
        <f t="shared" si="3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 ht="12.5">
      <c r="B71" s="160" t="str">
        <f t="shared" si="9"/>
        <v/>
      </c>
      <c r="C71" s="472">
        <f>IF(D11="","-",+C70+1)</f>
        <v>2074</v>
      </c>
      <c r="D71" s="483">
        <f>IF(F70+SUM(E$17:E70)=D$10,F70,D$10-SUM(E$17:E70))</f>
        <v>0</v>
      </c>
      <c r="E71" s="484">
        <f t="shared" si="4"/>
        <v>0</v>
      </c>
      <c r="F71" s="485">
        <f t="shared" si="5"/>
        <v>0</v>
      </c>
      <c r="G71" s="486">
        <f t="shared" si="6"/>
        <v>0</v>
      </c>
      <c r="H71" s="455">
        <f t="shared" si="7"/>
        <v>0</v>
      </c>
      <c r="I71" s="475">
        <f t="shared" si="8"/>
        <v>0</v>
      </c>
      <c r="J71" s="475"/>
      <c r="K71" s="487"/>
      <c r="L71" s="478">
        <f t="shared" si="3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" thickBot="1">
      <c r="B72" s="160" t="str">
        <f t="shared" si="9"/>
        <v/>
      </c>
      <c r="C72" s="489">
        <f>IF(D11="","-",+C71+1)</f>
        <v>2075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3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 ht="12.5">
      <c r="C73" s="346" t="s">
        <v>77</v>
      </c>
      <c r="D73" s="347"/>
      <c r="E73" s="347">
        <f>SUM(E17:E72)</f>
        <v>2345949.9999999995</v>
      </c>
      <c r="F73" s="347"/>
      <c r="G73" s="347">
        <f>SUM(G17:G72)</f>
        <v>7782249.5318958303</v>
      </c>
      <c r="H73" s="347">
        <f>SUM(H17:H72)</f>
        <v>7782249.5318958303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28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0</v>
      </c>
      <c r="N87" s="508">
        <f>IF(J92&lt;D11,0,VLOOKUP(J92,C17:O72,11))</f>
        <v>0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0</v>
      </c>
      <c r="N88" s="512">
        <f>IF(J92&lt;D11,0,VLOOKUP(J92,C99:P154,7))</f>
        <v>0</v>
      </c>
      <c r="O88" s="513">
        <f>+N88-M88</f>
        <v>0</v>
      </c>
      <c r="P88" s="232"/>
    </row>
    <row r="89" spans="1:16" ht="13.5" thickBot="1">
      <c r="C89" s="431" t="s">
        <v>92</v>
      </c>
      <c r="D89" s="514"/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0</v>
      </c>
      <c r="N89" s="517">
        <f>+N88-N87</f>
        <v>0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/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f>IF(D11=I10,0,D10)</f>
        <v>2345950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v>2019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v>12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57218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2019</v>
      </c>
      <c r="D99" s="346">
        <v>0</v>
      </c>
      <c r="E99" s="486">
        <f>IF(OR(D11=I10,D92&lt;100000),0,J$96/12*(12-D94))</f>
        <v>0</v>
      </c>
      <c r="F99" s="485">
        <f>IF(D93=C99,+D92-E99,+D99-E99)</f>
        <v>2345950</v>
      </c>
      <c r="G99" s="617">
        <f>+(F99+D99)/2</f>
        <v>1172975</v>
      </c>
      <c r="H99" s="617">
        <f>+J$94*G99+E99</f>
        <v>120950.17474192735</v>
      </c>
      <c r="I99" s="617">
        <f>+J$95*G99+E99</f>
        <v>120950.17474192735</v>
      </c>
      <c r="J99" s="478">
        <f>+I99-H99</f>
        <v>0</v>
      </c>
      <c r="K99" s="478"/>
      <c r="L99" s="618"/>
      <c r="M99" s="477">
        <f t="shared" ref="M99:M130" si="10">IF(L99&lt;&gt;0,+H99-L99,0)</f>
        <v>0</v>
      </c>
      <c r="N99" s="618"/>
      <c r="O99" s="477">
        <f t="shared" ref="O99:O130" si="11">IF(N99&lt;&gt;0,+I99-N99,0)</f>
        <v>0</v>
      </c>
      <c r="P99" s="477">
        <f t="shared" ref="P99:P130" si="12">+O99-M99</f>
        <v>0</v>
      </c>
    </row>
    <row r="100" spans="1:16" ht="12.5">
      <c r="B100" s="160" t="str">
        <f>IF(D100=F99,"","IU")</f>
        <v/>
      </c>
      <c r="C100" s="472">
        <f>IF(D93="","-",+C99+1)</f>
        <v>2020</v>
      </c>
      <c r="D100" s="346">
        <f>IF(F99+SUM(E$99:E99)=D$92,F99,D$92-SUM(E$99:E99))</f>
        <v>2345950</v>
      </c>
      <c r="E100" s="484">
        <f>IF(+J$96&lt;F99,J$96,D100)</f>
        <v>57218</v>
      </c>
      <c r="F100" s="485">
        <f>+D100-E100</f>
        <v>2288732</v>
      </c>
      <c r="G100" s="485">
        <f>+(F100+D100)/2</f>
        <v>2317341</v>
      </c>
      <c r="H100" s="613">
        <f t="shared" ref="H100:H154" si="13">+J$94*G100+E100</f>
        <v>296168.36031171394</v>
      </c>
      <c r="I100" s="614">
        <f t="shared" ref="I100:I154" si="14">+J$95*G100+E100</f>
        <v>296168.36031171394</v>
      </c>
      <c r="J100" s="478">
        <f t="shared" ref="J100:J130" si="15">+I100-H100</f>
        <v>0</v>
      </c>
      <c r="K100" s="478"/>
      <c r="L100" s="487"/>
      <c r="M100" s="478">
        <f t="shared" si="10"/>
        <v>0</v>
      </c>
      <c r="N100" s="487"/>
      <c r="O100" s="478">
        <f t="shared" si="11"/>
        <v>0</v>
      </c>
      <c r="P100" s="478">
        <f t="shared" si="12"/>
        <v>0</v>
      </c>
    </row>
    <row r="101" spans="1:16" ht="12.5">
      <c r="B101" s="160" t="str">
        <f t="shared" ref="B101:B154" si="16">IF(D101=F100,"","IU")</f>
        <v/>
      </c>
      <c r="C101" s="472">
        <f>IF(D93="","-",+C100+1)</f>
        <v>2021</v>
      </c>
      <c r="D101" s="346">
        <f>IF(F100+SUM(E$99:E100)=D$92,F100,D$92-SUM(E$99:E100))</f>
        <v>2288732</v>
      </c>
      <c r="E101" s="484">
        <f t="shared" ref="E101:E154" si="17">IF(+J$96&lt;F100,J$96,D101)</f>
        <v>57218</v>
      </c>
      <c r="F101" s="485">
        <f t="shared" ref="F101:F154" si="18">+D101-E101</f>
        <v>2231514</v>
      </c>
      <c r="G101" s="485">
        <f t="shared" ref="G101:G154" si="19">+(F101+D101)/2</f>
        <v>2260123</v>
      </c>
      <c r="H101" s="613">
        <f t="shared" si="13"/>
        <v>290268.38196743245</v>
      </c>
      <c r="I101" s="614">
        <f t="shared" si="14"/>
        <v>290268.38196743245</v>
      </c>
      <c r="J101" s="478">
        <f t="shared" si="15"/>
        <v>0</v>
      </c>
      <c r="K101" s="478"/>
      <c r="L101" s="487"/>
      <c r="M101" s="478">
        <f t="shared" si="10"/>
        <v>0</v>
      </c>
      <c r="N101" s="487"/>
      <c r="O101" s="478">
        <f t="shared" si="11"/>
        <v>0</v>
      </c>
      <c r="P101" s="478">
        <f t="shared" si="12"/>
        <v>0</v>
      </c>
    </row>
    <row r="102" spans="1:16" ht="12.5">
      <c r="B102" s="160" t="str">
        <f t="shared" si="16"/>
        <v/>
      </c>
      <c r="C102" s="472">
        <f>IF(D93="","-",+C101+1)</f>
        <v>2022</v>
      </c>
      <c r="D102" s="346">
        <f>IF(F101+SUM(E$99:E101)=D$92,F101,D$92-SUM(E$99:E101))</f>
        <v>2231514</v>
      </c>
      <c r="E102" s="484">
        <f t="shared" si="17"/>
        <v>57218</v>
      </c>
      <c r="F102" s="485">
        <f t="shared" si="18"/>
        <v>2174296</v>
      </c>
      <c r="G102" s="485">
        <f t="shared" si="19"/>
        <v>2202905</v>
      </c>
      <c r="H102" s="613">
        <f t="shared" si="13"/>
        <v>284368.40362315089</v>
      </c>
      <c r="I102" s="614">
        <f t="shared" si="14"/>
        <v>284368.40362315089</v>
      </c>
      <c r="J102" s="478">
        <f t="shared" si="15"/>
        <v>0</v>
      </c>
      <c r="K102" s="478"/>
      <c r="L102" s="487"/>
      <c r="M102" s="478">
        <f t="shared" si="10"/>
        <v>0</v>
      </c>
      <c r="N102" s="487"/>
      <c r="O102" s="478">
        <f t="shared" si="11"/>
        <v>0</v>
      </c>
      <c r="P102" s="478">
        <f t="shared" si="12"/>
        <v>0</v>
      </c>
    </row>
    <row r="103" spans="1:16" ht="12.5">
      <c r="B103" s="160" t="str">
        <f t="shared" si="16"/>
        <v/>
      </c>
      <c r="C103" s="472">
        <f>IF(D93="","-",+C102+1)</f>
        <v>2023</v>
      </c>
      <c r="D103" s="346">
        <f>IF(F102+SUM(E$99:E102)=D$92,F102,D$92-SUM(E$99:E102))</f>
        <v>2174296</v>
      </c>
      <c r="E103" s="484">
        <f t="shared" si="17"/>
        <v>57218</v>
      </c>
      <c r="F103" s="485">
        <f t="shared" si="18"/>
        <v>2117078</v>
      </c>
      <c r="G103" s="485">
        <f t="shared" si="19"/>
        <v>2145687</v>
      </c>
      <c r="H103" s="613">
        <f t="shared" si="13"/>
        <v>278468.42527886946</v>
      </c>
      <c r="I103" s="614">
        <f t="shared" si="14"/>
        <v>278468.42527886946</v>
      </c>
      <c r="J103" s="478">
        <f t="shared" si="15"/>
        <v>0</v>
      </c>
      <c r="K103" s="478"/>
      <c r="L103" s="487"/>
      <c r="M103" s="478">
        <f t="shared" si="10"/>
        <v>0</v>
      </c>
      <c r="N103" s="487"/>
      <c r="O103" s="478">
        <f t="shared" si="11"/>
        <v>0</v>
      </c>
      <c r="P103" s="478">
        <f t="shared" si="12"/>
        <v>0</v>
      </c>
    </row>
    <row r="104" spans="1:16" ht="12.5">
      <c r="B104" s="160" t="str">
        <f t="shared" si="16"/>
        <v/>
      </c>
      <c r="C104" s="472">
        <f>IF(D93="","-",+C103+1)</f>
        <v>2024</v>
      </c>
      <c r="D104" s="346">
        <f>IF(F103+SUM(E$99:E103)=D$92,F103,D$92-SUM(E$99:E103))</f>
        <v>2117078</v>
      </c>
      <c r="E104" s="484">
        <f t="shared" si="17"/>
        <v>57218</v>
      </c>
      <c r="F104" s="485">
        <f t="shared" si="18"/>
        <v>2059860</v>
      </c>
      <c r="G104" s="485">
        <f t="shared" si="19"/>
        <v>2088469</v>
      </c>
      <c r="H104" s="613">
        <f t="shared" si="13"/>
        <v>272568.4469345879</v>
      </c>
      <c r="I104" s="614">
        <f t="shared" si="14"/>
        <v>272568.4469345879</v>
      </c>
      <c r="J104" s="478">
        <f t="shared" si="15"/>
        <v>0</v>
      </c>
      <c r="K104" s="478"/>
      <c r="L104" s="487"/>
      <c r="M104" s="478">
        <f t="shared" si="10"/>
        <v>0</v>
      </c>
      <c r="N104" s="487"/>
      <c r="O104" s="478">
        <f t="shared" si="11"/>
        <v>0</v>
      </c>
      <c r="P104" s="478">
        <f t="shared" si="12"/>
        <v>0</v>
      </c>
    </row>
    <row r="105" spans="1:16" ht="12.5">
      <c r="B105" s="160" t="str">
        <f t="shared" si="16"/>
        <v/>
      </c>
      <c r="C105" s="472">
        <f>IF(D93="","-",+C104+1)</f>
        <v>2025</v>
      </c>
      <c r="D105" s="346">
        <f>IF(F104+SUM(E$99:E104)=D$92,F104,D$92-SUM(E$99:E104))</f>
        <v>2059860</v>
      </c>
      <c r="E105" s="484">
        <f t="shared" si="17"/>
        <v>57218</v>
      </c>
      <c r="F105" s="485">
        <f t="shared" si="18"/>
        <v>2002642</v>
      </c>
      <c r="G105" s="485">
        <f t="shared" si="19"/>
        <v>2031251</v>
      </c>
      <c r="H105" s="613">
        <f t="shared" si="13"/>
        <v>266668.46859030641</v>
      </c>
      <c r="I105" s="614">
        <f t="shared" si="14"/>
        <v>266668.46859030641</v>
      </c>
      <c r="J105" s="478">
        <f t="shared" si="15"/>
        <v>0</v>
      </c>
      <c r="K105" s="478"/>
      <c r="L105" s="487"/>
      <c r="M105" s="478">
        <f t="shared" si="10"/>
        <v>0</v>
      </c>
      <c r="N105" s="487"/>
      <c r="O105" s="478">
        <f t="shared" si="11"/>
        <v>0</v>
      </c>
      <c r="P105" s="478">
        <f t="shared" si="12"/>
        <v>0</v>
      </c>
    </row>
    <row r="106" spans="1:16" ht="12.5">
      <c r="B106" s="160" t="str">
        <f t="shared" si="16"/>
        <v/>
      </c>
      <c r="C106" s="472">
        <f>IF(D93="","-",+C105+1)</f>
        <v>2026</v>
      </c>
      <c r="D106" s="346">
        <f>IF(F105+SUM(E$99:E105)=D$92,F105,D$92-SUM(E$99:E105))</f>
        <v>2002642</v>
      </c>
      <c r="E106" s="484">
        <f t="shared" si="17"/>
        <v>57218</v>
      </c>
      <c r="F106" s="485">
        <f t="shared" si="18"/>
        <v>1945424</v>
      </c>
      <c r="G106" s="485">
        <f t="shared" si="19"/>
        <v>1974033</v>
      </c>
      <c r="H106" s="613">
        <f t="shared" si="13"/>
        <v>260768.49024602491</v>
      </c>
      <c r="I106" s="614">
        <f t="shared" si="14"/>
        <v>260768.49024602491</v>
      </c>
      <c r="J106" s="478">
        <f t="shared" si="15"/>
        <v>0</v>
      </c>
      <c r="K106" s="478"/>
      <c r="L106" s="487"/>
      <c r="M106" s="478">
        <f t="shared" si="10"/>
        <v>0</v>
      </c>
      <c r="N106" s="487"/>
      <c r="O106" s="478">
        <f t="shared" si="11"/>
        <v>0</v>
      </c>
      <c r="P106" s="478">
        <f t="shared" si="12"/>
        <v>0</v>
      </c>
    </row>
    <row r="107" spans="1:16" ht="12.5">
      <c r="B107" s="160" t="str">
        <f t="shared" si="16"/>
        <v/>
      </c>
      <c r="C107" s="472">
        <f>IF(D93="","-",+C106+1)</f>
        <v>2027</v>
      </c>
      <c r="D107" s="346">
        <f>IF(F106+SUM(E$99:E106)=D$92,F106,D$92-SUM(E$99:E106))</f>
        <v>1945424</v>
      </c>
      <c r="E107" s="484">
        <f t="shared" si="17"/>
        <v>57218</v>
      </c>
      <c r="F107" s="485">
        <f t="shared" si="18"/>
        <v>1888206</v>
      </c>
      <c r="G107" s="485">
        <f t="shared" si="19"/>
        <v>1916815</v>
      </c>
      <c r="H107" s="613">
        <f t="shared" si="13"/>
        <v>254868.51190174342</v>
      </c>
      <c r="I107" s="614">
        <f t="shared" si="14"/>
        <v>254868.51190174342</v>
      </c>
      <c r="J107" s="478">
        <f t="shared" si="15"/>
        <v>0</v>
      </c>
      <c r="K107" s="478"/>
      <c r="L107" s="487"/>
      <c r="M107" s="478">
        <f t="shared" si="10"/>
        <v>0</v>
      </c>
      <c r="N107" s="487"/>
      <c r="O107" s="478">
        <f t="shared" si="11"/>
        <v>0</v>
      </c>
      <c r="P107" s="478">
        <f t="shared" si="12"/>
        <v>0</v>
      </c>
    </row>
    <row r="108" spans="1:16" ht="12.5">
      <c r="B108" s="160" t="str">
        <f t="shared" si="16"/>
        <v/>
      </c>
      <c r="C108" s="472">
        <f>IF(D93="","-",+C107+1)</f>
        <v>2028</v>
      </c>
      <c r="D108" s="346">
        <f>IF(F107+SUM(E$99:E107)=D$92,F107,D$92-SUM(E$99:E107))</f>
        <v>1888206</v>
      </c>
      <c r="E108" s="484">
        <f t="shared" si="17"/>
        <v>57218</v>
      </c>
      <c r="F108" s="485">
        <f t="shared" si="18"/>
        <v>1830988</v>
      </c>
      <c r="G108" s="485">
        <f t="shared" si="19"/>
        <v>1859597</v>
      </c>
      <c r="H108" s="613">
        <f t="shared" si="13"/>
        <v>248968.53355746189</v>
      </c>
      <c r="I108" s="614">
        <f t="shared" si="14"/>
        <v>248968.53355746189</v>
      </c>
      <c r="J108" s="478">
        <f t="shared" si="15"/>
        <v>0</v>
      </c>
      <c r="K108" s="478"/>
      <c r="L108" s="487"/>
      <c r="M108" s="478">
        <f t="shared" si="10"/>
        <v>0</v>
      </c>
      <c r="N108" s="487"/>
      <c r="O108" s="478">
        <f t="shared" si="11"/>
        <v>0</v>
      </c>
      <c r="P108" s="478">
        <f t="shared" si="12"/>
        <v>0</v>
      </c>
    </row>
    <row r="109" spans="1:16" ht="12.5">
      <c r="B109" s="160" t="str">
        <f t="shared" si="16"/>
        <v/>
      </c>
      <c r="C109" s="472">
        <f>IF(D93="","-",+C108+1)</f>
        <v>2029</v>
      </c>
      <c r="D109" s="346">
        <f>IF(F108+SUM(E$99:E108)=D$92,F108,D$92-SUM(E$99:E108))</f>
        <v>1830988</v>
      </c>
      <c r="E109" s="484">
        <f t="shared" si="17"/>
        <v>57218</v>
      </c>
      <c r="F109" s="485">
        <f t="shared" si="18"/>
        <v>1773770</v>
      </c>
      <c r="G109" s="485">
        <f t="shared" si="19"/>
        <v>1802379</v>
      </c>
      <c r="H109" s="613">
        <f t="shared" si="13"/>
        <v>243068.5552131804</v>
      </c>
      <c r="I109" s="614">
        <f t="shared" si="14"/>
        <v>243068.5552131804</v>
      </c>
      <c r="J109" s="478">
        <f t="shared" si="15"/>
        <v>0</v>
      </c>
      <c r="K109" s="478"/>
      <c r="L109" s="487"/>
      <c r="M109" s="478">
        <f t="shared" si="10"/>
        <v>0</v>
      </c>
      <c r="N109" s="487"/>
      <c r="O109" s="478">
        <f t="shared" si="11"/>
        <v>0</v>
      </c>
      <c r="P109" s="478">
        <f t="shared" si="12"/>
        <v>0</v>
      </c>
    </row>
    <row r="110" spans="1:16" ht="12.5">
      <c r="B110" s="160" t="str">
        <f t="shared" si="16"/>
        <v/>
      </c>
      <c r="C110" s="472">
        <f>IF(D93="","-",+C109+1)</f>
        <v>2030</v>
      </c>
      <c r="D110" s="346">
        <f>IF(F109+SUM(E$99:E109)=D$92,F109,D$92-SUM(E$99:E109))</f>
        <v>1773770</v>
      </c>
      <c r="E110" s="484">
        <f t="shared" si="17"/>
        <v>57218</v>
      </c>
      <c r="F110" s="485">
        <f t="shared" si="18"/>
        <v>1716552</v>
      </c>
      <c r="G110" s="485">
        <f t="shared" si="19"/>
        <v>1745161</v>
      </c>
      <c r="H110" s="613">
        <f t="shared" si="13"/>
        <v>237168.57686889888</v>
      </c>
      <c r="I110" s="614">
        <f t="shared" si="14"/>
        <v>237168.57686889888</v>
      </c>
      <c r="J110" s="478">
        <f t="shared" si="15"/>
        <v>0</v>
      </c>
      <c r="K110" s="478"/>
      <c r="L110" s="487"/>
      <c r="M110" s="478">
        <f t="shared" si="10"/>
        <v>0</v>
      </c>
      <c r="N110" s="487"/>
      <c r="O110" s="478">
        <f t="shared" si="11"/>
        <v>0</v>
      </c>
      <c r="P110" s="478">
        <f t="shared" si="12"/>
        <v>0</v>
      </c>
    </row>
    <row r="111" spans="1:16" ht="12.5">
      <c r="B111" s="160" t="str">
        <f t="shared" si="16"/>
        <v/>
      </c>
      <c r="C111" s="472">
        <f>IF(D93="","-",+C110+1)</f>
        <v>2031</v>
      </c>
      <c r="D111" s="346">
        <f>IF(F110+SUM(E$99:E110)=D$92,F110,D$92-SUM(E$99:E110))</f>
        <v>1716552</v>
      </c>
      <c r="E111" s="484">
        <f t="shared" si="17"/>
        <v>57218</v>
      </c>
      <c r="F111" s="485">
        <f t="shared" si="18"/>
        <v>1659334</v>
      </c>
      <c r="G111" s="485">
        <f t="shared" si="19"/>
        <v>1687943</v>
      </c>
      <c r="H111" s="613">
        <f t="shared" si="13"/>
        <v>231268.59852461738</v>
      </c>
      <c r="I111" s="614">
        <f t="shared" si="14"/>
        <v>231268.59852461738</v>
      </c>
      <c r="J111" s="478">
        <f t="shared" si="15"/>
        <v>0</v>
      </c>
      <c r="K111" s="478"/>
      <c r="L111" s="487"/>
      <c r="M111" s="478">
        <f t="shared" si="10"/>
        <v>0</v>
      </c>
      <c r="N111" s="487"/>
      <c r="O111" s="478">
        <f t="shared" si="11"/>
        <v>0</v>
      </c>
      <c r="P111" s="478">
        <f t="shared" si="12"/>
        <v>0</v>
      </c>
    </row>
    <row r="112" spans="1:16" ht="12.5">
      <c r="B112" s="160" t="str">
        <f t="shared" si="16"/>
        <v/>
      </c>
      <c r="C112" s="472">
        <f>IF(D93="","-",+C111+1)</f>
        <v>2032</v>
      </c>
      <c r="D112" s="346">
        <f>IF(F111+SUM(E$99:E111)=D$92,F111,D$92-SUM(E$99:E111))</f>
        <v>1659334</v>
      </c>
      <c r="E112" s="484">
        <f t="shared" si="17"/>
        <v>57218</v>
      </c>
      <c r="F112" s="485">
        <f t="shared" si="18"/>
        <v>1602116</v>
      </c>
      <c r="G112" s="485">
        <f t="shared" si="19"/>
        <v>1630725</v>
      </c>
      <c r="H112" s="613">
        <f t="shared" si="13"/>
        <v>225368.62018033589</v>
      </c>
      <c r="I112" s="614">
        <f t="shared" si="14"/>
        <v>225368.62018033589</v>
      </c>
      <c r="J112" s="478">
        <f t="shared" si="15"/>
        <v>0</v>
      </c>
      <c r="K112" s="478"/>
      <c r="L112" s="487"/>
      <c r="M112" s="478">
        <f t="shared" si="10"/>
        <v>0</v>
      </c>
      <c r="N112" s="487"/>
      <c r="O112" s="478">
        <f t="shared" si="11"/>
        <v>0</v>
      </c>
      <c r="P112" s="478">
        <f t="shared" si="12"/>
        <v>0</v>
      </c>
    </row>
    <row r="113" spans="2:16" ht="12.5">
      <c r="B113" s="160" t="str">
        <f t="shared" si="16"/>
        <v/>
      </c>
      <c r="C113" s="472">
        <f>IF(D93="","-",+C112+1)</f>
        <v>2033</v>
      </c>
      <c r="D113" s="346">
        <f>IF(F112+SUM(E$99:E112)=D$92,F112,D$92-SUM(E$99:E112))</f>
        <v>1602116</v>
      </c>
      <c r="E113" s="484">
        <f t="shared" si="17"/>
        <v>57218</v>
      </c>
      <c r="F113" s="485">
        <f t="shared" si="18"/>
        <v>1544898</v>
      </c>
      <c r="G113" s="485">
        <f t="shared" si="19"/>
        <v>1573507</v>
      </c>
      <c r="H113" s="613">
        <f t="shared" si="13"/>
        <v>219468.64183605436</v>
      </c>
      <c r="I113" s="614">
        <f t="shared" si="14"/>
        <v>219468.64183605436</v>
      </c>
      <c r="J113" s="478">
        <f t="shared" si="15"/>
        <v>0</v>
      </c>
      <c r="K113" s="478"/>
      <c r="L113" s="487"/>
      <c r="M113" s="478">
        <f t="shared" si="10"/>
        <v>0</v>
      </c>
      <c r="N113" s="487"/>
      <c r="O113" s="478">
        <f t="shared" si="11"/>
        <v>0</v>
      </c>
      <c r="P113" s="478">
        <f t="shared" si="12"/>
        <v>0</v>
      </c>
    </row>
    <row r="114" spans="2:16" ht="12.5">
      <c r="B114" s="160" t="str">
        <f t="shared" si="16"/>
        <v/>
      </c>
      <c r="C114" s="472">
        <f>IF(D93="","-",+C113+1)</f>
        <v>2034</v>
      </c>
      <c r="D114" s="346">
        <f>IF(F113+SUM(E$99:E113)=D$92,F113,D$92-SUM(E$99:E113))</f>
        <v>1544898</v>
      </c>
      <c r="E114" s="484">
        <f t="shared" si="17"/>
        <v>57218</v>
      </c>
      <c r="F114" s="485">
        <f t="shared" si="18"/>
        <v>1487680</v>
      </c>
      <c r="G114" s="485">
        <f t="shared" si="19"/>
        <v>1516289</v>
      </c>
      <c r="H114" s="613">
        <f t="shared" si="13"/>
        <v>213568.66349177287</v>
      </c>
      <c r="I114" s="614">
        <f t="shared" si="14"/>
        <v>213568.66349177287</v>
      </c>
      <c r="J114" s="478">
        <f t="shared" si="15"/>
        <v>0</v>
      </c>
      <c r="K114" s="478"/>
      <c r="L114" s="487"/>
      <c r="M114" s="478">
        <f t="shared" si="10"/>
        <v>0</v>
      </c>
      <c r="N114" s="487"/>
      <c r="O114" s="478">
        <f t="shared" si="11"/>
        <v>0</v>
      </c>
      <c r="P114" s="478">
        <f t="shared" si="12"/>
        <v>0</v>
      </c>
    </row>
    <row r="115" spans="2:16" ht="12.5">
      <c r="B115" s="160" t="str">
        <f t="shared" si="16"/>
        <v/>
      </c>
      <c r="C115" s="472">
        <f>IF(D93="","-",+C114+1)</f>
        <v>2035</v>
      </c>
      <c r="D115" s="346">
        <f>IF(F114+SUM(E$99:E114)=D$92,F114,D$92-SUM(E$99:E114))</f>
        <v>1487680</v>
      </c>
      <c r="E115" s="484">
        <f t="shared" si="17"/>
        <v>57218</v>
      </c>
      <c r="F115" s="485">
        <f t="shared" si="18"/>
        <v>1430462</v>
      </c>
      <c r="G115" s="485">
        <f t="shared" si="19"/>
        <v>1459071</v>
      </c>
      <c r="H115" s="613">
        <f t="shared" si="13"/>
        <v>207668.68514749137</v>
      </c>
      <c r="I115" s="614">
        <f t="shared" si="14"/>
        <v>207668.68514749137</v>
      </c>
      <c r="J115" s="478">
        <f t="shared" si="15"/>
        <v>0</v>
      </c>
      <c r="K115" s="478"/>
      <c r="L115" s="487"/>
      <c r="M115" s="478">
        <f t="shared" si="10"/>
        <v>0</v>
      </c>
      <c r="N115" s="487"/>
      <c r="O115" s="478">
        <f t="shared" si="11"/>
        <v>0</v>
      </c>
      <c r="P115" s="478">
        <f t="shared" si="12"/>
        <v>0</v>
      </c>
    </row>
    <row r="116" spans="2:16" ht="12.5">
      <c r="B116" s="160" t="str">
        <f t="shared" si="16"/>
        <v/>
      </c>
      <c r="C116" s="472">
        <f>IF(D93="","-",+C115+1)</f>
        <v>2036</v>
      </c>
      <c r="D116" s="346">
        <f>IF(F115+SUM(E$99:E115)=D$92,F115,D$92-SUM(E$99:E115))</f>
        <v>1430462</v>
      </c>
      <c r="E116" s="484">
        <f t="shared" si="17"/>
        <v>57218</v>
      </c>
      <c r="F116" s="485">
        <f t="shared" si="18"/>
        <v>1373244</v>
      </c>
      <c r="G116" s="485">
        <f t="shared" si="19"/>
        <v>1401853</v>
      </c>
      <c r="H116" s="613">
        <f t="shared" si="13"/>
        <v>201768.70680320985</v>
      </c>
      <c r="I116" s="614">
        <f t="shared" si="14"/>
        <v>201768.70680320985</v>
      </c>
      <c r="J116" s="478">
        <f t="shared" si="15"/>
        <v>0</v>
      </c>
      <c r="K116" s="478"/>
      <c r="L116" s="487"/>
      <c r="M116" s="478">
        <f t="shared" si="10"/>
        <v>0</v>
      </c>
      <c r="N116" s="487"/>
      <c r="O116" s="478">
        <f t="shared" si="11"/>
        <v>0</v>
      </c>
      <c r="P116" s="478">
        <f t="shared" si="12"/>
        <v>0</v>
      </c>
    </row>
    <row r="117" spans="2:16" ht="12.5">
      <c r="B117" s="160" t="str">
        <f t="shared" si="16"/>
        <v/>
      </c>
      <c r="C117" s="472">
        <f>IF(D93="","-",+C116+1)</f>
        <v>2037</v>
      </c>
      <c r="D117" s="346">
        <f>IF(F116+SUM(E$99:E116)=D$92,F116,D$92-SUM(E$99:E116))</f>
        <v>1373244</v>
      </c>
      <c r="E117" s="484">
        <f t="shared" si="17"/>
        <v>57218</v>
      </c>
      <c r="F117" s="485">
        <f t="shared" si="18"/>
        <v>1316026</v>
      </c>
      <c r="G117" s="485">
        <f t="shared" si="19"/>
        <v>1344635</v>
      </c>
      <c r="H117" s="613">
        <f t="shared" si="13"/>
        <v>195868.72845892835</v>
      </c>
      <c r="I117" s="614">
        <f t="shared" si="14"/>
        <v>195868.72845892835</v>
      </c>
      <c r="J117" s="478">
        <f t="shared" si="15"/>
        <v>0</v>
      </c>
      <c r="K117" s="478"/>
      <c r="L117" s="487"/>
      <c r="M117" s="478">
        <f t="shared" si="10"/>
        <v>0</v>
      </c>
      <c r="N117" s="487"/>
      <c r="O117" s="478">
        <f t="shared" si="11"/>
        <v>0</v>
      </c>
      <c r="P117" s="478">
        <f t="shared" si="12"/>
        <v>0</v>
      </c>
    </row>
    <row r="118" spans="2:16" ht="12.5">
      <c r="B118" s="160" t="str">
        <f t="shared" si="16"/>
        <v/>
      </c>
      <c r="C118" s="472">
        <f>IF(D93="","-",+C117+1)</f>
        <v>2038</v>
      </c>
      <c r="D118" s="346">
        <f>IF(F117+SUM(E$99:E117)=D$92,F117,D$92-SUM(E$99:E117))</f>
        <v>1316026</v>
      </c>
      <c r="E118" s="484">
        <f t="shared" si="17"/>
        <v>57218</v>
      </c>
      <c r="F118" s="485">
        <f t="shared" si="18"/>
        <v>1258808</v>
      </c>
      <c r="G118" s="485">
        <f t="shared" si="19"/>
        <v>1287417</v>
      </c>
      <c r="H118" s="613">
        <f t="shared" si="13"/>
        <v>189968.75011464686</v>
      </c>
      <c r="I118" s="614">
        <f t="shared" si="14"/>
        <v>189968.75011464686</v>
      </c>
      <c r="J118" s="478">
        <f t="shared" si="15"/>
        <v>0</v>
      </c>
      <c r="K118" s="478"/>
      <c r="L118" s="487"/>
      <c r="M118" s="478">
        <f t="shared" si="10"/>
        <v>0</v>
      </c>
      <c r="N118" s="487"/>
      <c r="O118" s="478">
        <f t="shared" si="11"/>
        <v>0</v>
      </c>
      <c r="P118" s="478">
        <f t="shared" si="12"/>
        <v>0</v>
      </c>
    </row>
    <row r="119" spans="2:16" ht="12.5">
      <c r="B119" s="160" t="str">
        <f t="shared" si="16"/>
        <v/>
      </c>
      <c r="C119" s="472">
        <f>IF(D93="","-",+C118+1)</f>
        <v>2039</v>
      </c>
      <c r="D119" s="346">
        <f>IF(F118+SUM(E$99:E118)=D$92,F118,D$92-SUM(E$99:E118))</f>
        <v>1258808</v>
      </c>
      <c r="E119" s="484">
        <f t="shared" si="17"/>
        <v>57218</v>
      </c>
      <c r="F119" s="485">
        <f t="shared" si="18"/>
        <v>1201590</v>
      </c>
      <c r="G119" s="485">
        <f t="shared" si="19"/>
        <v>1230199</v>
      </c>
      <c r="H119" s="613">
        <f t="shared" si="13"/>
        <v>184068.77177036533</v>
      </c>
      <c r="I119" s="614">
        <f t="shared" si="14"/>
        <v>184068.77177036533</v>
      </c>
      <c r="J119" s="478">
        <f t="shared" si="15"/>
        <v>0</v>
      </c>
      <c r="K119" s="478"/>
      <c r="L119" s="487"/>
      <c r="M119" s="478">
        <f t="shared" si="10"/>
        <v>0</v>
      </c>
      <c r="N119" s="487"/>
      <c r="O119" s="478">
        <f t="shared" si="11"/>
        <v>0</v>
      </c>
      <c r="P119" s="478">
        <f t="shared" si="12"/>
        <v>0</v>
      </c>
    </row>
    <row r="120" spans="2:16" ht="12.5">
      <c r="B120" s="160" t="str">
        <f t="shared" si="16"/>
        <v/>
      </c>
      <c r="C120" s="472">
        <f>IF(D93="","-",+C119+1)</f>
        <v>2040</v>
      </c>
      <c r="D120" s="346">
        <f>IF(F119+SUM(E$99:E119)=D$92,F119,D$92-SUM(E$99:E119))</f>
        <v>1201590</v>
      </c>
      <c r="E120" s="484">
        <f t="shared" si="17"/>
        <v>57218</v>
      </c>
      <c r="F120" s="485">
        <f t="shared" si="18"/>
        <v>1144372</v>
      </c>
      <c r="G120" s="485">
        <f t="shared" si="19"/>
        <v>1172981</v>
      </c>
      <c r="H120" s="613">
        <f t="shared" si="13"/>
        <v>178168.79342608384</v>
      </c>
      <c r="I120" s="614">
        <f t="shared" si="14"/>
        <v>178168.79342608384</v>
      </c>
      <c r="J120" s="478">
        <f t="shared" si="15"/>
        <v>0</v>
      </c>
      <c r="K120" s="478"/>
      <c r="L120" s="487"/>
      <c r="M120" s="478">
        <f t="shared" si="10"/>
        <v>0</v>
      </c>
      <c r="N120" s="487"/>
      <c r="O120" s="478">
        <f t="shared" si="11"/>
        <v>0</v>
      </c>
      <c r="P120" s="478">
        <f t="shared" si="12"/>
        <v>0</v>
      </c>
    </row>
    <row r="121" spans="2:16" ht="12.5">
      <c r="B121" s="160" t="str">
        <f t="shared" si="16"/>
        <v/>
      </c>
      <c r="C121" s="472">
        <f>IF(D93="","-",+C120+1)</f>
        <v>2041</v>
      </c>
      <c r="D121" s="346">
        <f>IF(F120+SUM(E$99:E120)=D$92,F120,D$92-SUM(E$99:E120))</f>
        <v>1144372</v>
      </c>
      <c r="E121" s="484">
        <f t="shared" si="17"/>
        <v>57218</v>
      </c>
      <c r="F121" s="485">
        <f t="shared" si="18"/>
        <v>1087154</v>
      </c>
      <c r="G121" s="485">
        <f t="shared" si="19"/>
        <v>1115763</v>
      </c>
      <c r="H121" s="613">
        <f t="shared" si="13"/>
        <v>172268.81508180231</v>
      </c>
      <c r="I121" s="614">
        <f t="shared" si="14"/>
        <v>172268.81508180231</v>
      </c>
      <c r="J121" s="478">
        <f t="shared" si="15"/>
        <v>0</v>
      </c>
      <c r="K121" s="478"/>
      <c r="L121" s="487"/>
      <c r="M121" s="478">
        <f t="shared" si="10"/>
        <v>0</v>
      </c>
      <c r="N121" s="487"/>
      <c r="O121" s="478">
        <f t="shared" si="11"/>
        <v>0</v>
      </c>
      <c r="P121" s="478">
        <f t="shared" si="12"/>
        <v>0</v>
      </c>
    </row>
    <row r="122" spans="2:16" ht="12.5">
      <c r="B122" s="160" t="str">
        <f t="shared" si="16"/>
        <v/>
      </c>
      <c r="C122" s="472">
        <f>IF(D93="","-",+C121+1)</f>
        <v>2042</v>
      </c>
      <c r="D122" s="346">
        <f>IF(F121+SUM(E$99:E121)=D$92,F121,D$92-SUM(E$99:E121))</f>
        <v>1087154</v>
      </c>
      <c r="E122" s="484">
        <f t="shared" si="17"/>
        <v>57218</v>
      </c>
      <c r="F122" s="485">
        <f t="shared" si="18"/>
        <v>1029936</v>
      </c>
      <c r="G122" s="485">
        <f t="shared" si="19"/>
        <v>1058545</v>
      </c>
      <c r="H122" s="613">
        <f t="shared" si="13"/>
        <v>166368.83673752082</v>
      </c>
      <c r="I122" s="614">
        <f t="shared" si="14"/>
        <v>166368.83673752082</v>
      </c>
      <c r="J122" s="478">
        <f t="shared" si="15"/>
        <v>0</v>
      </c>
      <c r="K122" s="478"/>
      <c r="L122" s="487"/>
      <c r="M122" s="478">
        <f t="shared" si="10"/>
        <v>0</v>
      </c>
      <c r="N122" s="487"/>
      <c r="O122" s="478">
        <f t="shared" si="11"/>
        <v>0</v>
      </c>
      <c r="P122" s="478">
        <f t="shared" si="12"/>
        <v>0</v>
      </c>
    </row>
    <row r="123" spans="2:16" ht="12.5">
      <c r="B123" s="160" t="str">
        <f t="shared" si="16"/>
        <v/>
      </c>
      <c r="C123" s="472">
        <f>IF(D93="","-",+C122+1)</f>
        <v>2043</v>
      </c>
      <c r="D123" s="346">
        <f>IF(F122+SUM(E$99:E122)=D$92,F122,D$92-SUM(E$99:E122))</f>
        <v>1029936</v>
      </c>
      <c r="E123" s="484">
        <f t="shared" si="17"/>
        <v>57218</v>
      </c>
      <c r="F123" s="485">
        <f t="shared" si="18"/>
        <v>972718</v>
      </c>
      <c r="G123" s="485">
        <f t="shared" si="19"/>
        <v>1001327</v>
      </c>
      <c r="H123" s="613">
        <f t="shared" si="13"/>
        <v>160468.85839323932</v>
      </c>
      <c r="I123" s="614">
        <f t="shared" si="14"/>
        <v>160468.85839323932</v>
      </c>
      <c r="J123" s="478">
        <f t="shared" si="15"/>
        <v>0</v>
      </c>
      <c r="K123" s="478"/>
      <c r="L123" s="487"/>
      <c r="M123" s="478">
        <f t="shared" si="10"/>
        <v>0</v>
      </c>
      <c r="N123" s="487"/>
      <c r="O123" s="478">
        <f t="shared" si="11"/>
        <v>0</v>
      </c>
      <c r="P123" s="478">
        <f t="shared" si="12"/>
        <v>0</v>
      </c>
    </row>
    <row r="124" spans="2:16" ht="12.5">
      <c r="B124" s="160" t="str">
        <f t="shared" si="16"/>
        <v/>
      </c>
      <c r="C124" s="472">
        <f>IF(D93="","-",+C123+1)</f>
        <v>2044</v>
      </c>
      <c r="D124" s="346">
        <f>IF(F123+SUM(E$99:E123)=D$92,F123,D$92-SUM(E$99:E123))</f>
        <v>972718</v>
      </c>
      <c r="E124" s="484">
        <f t="shared" si="17"/>
        <v>57218</v>
      </c>
      <c r="F124" s="485">
        <f t="shared" si="18"/>
        <v>915500</v>
      </c>
      <c r="G124" s="485">
        <f t="shared" si="19"/>
        <v>944109</v>
      </c>
      <c r="H124" s="613">
        <f t="shared" si="13"/>
        <v>154568.88004895783</v>
      </c>
      <c r="I124" s="614">
        <f t="shared" si="14"/>
        <v>154568.88004895783</v>
      </c>
      <c r="J124" s="478">
        <f t="shared" si="15"/>
        <v>0</v>
      </c>
      <c r="K124" s="478"/>
      <c r="L124" s="487"/>
      <c r="M124" s="478">
        <f t="shared" si="10"/>
        <v>0</v>
      </c>
      <c r="N124" s="487"/>
      <c r="O124" s="478">
        <f t="shared" si="11"/>
        <v>0</v>
      </c>
      <c r="P124" s="478">
        <f t="shared" si="12"/>
        <v>0</v>
      </c>
    </row>
    <row r="125" spans="2:16" ht="12.5">
      <c r="B125" s="160" t="str">
        <f t="shared" si="16"/>
        <v/>
      </c>
      <c r="C125" s="472">
        <f>IF(D93="","-",+C124+1)</f>
        <v>2045</v>
      </c>
      <c r="D125" s="346">
        <f>IF(F124+SUM(E$99:E124)=D$92,F124,D$92-SUM(E$99:E124))</f>
        <v>915500</v>
      </c>
      <c r="E125" s="484">
        <f t="shared" si="17"/>
        <v>57218</v>
      </c>
      <c r="F125" s="485">
        <f t="shared" si="18"/>
        <v>858282</v>
      </c>
      <c r="G125" s="485">
        <f t="shared" si="19"/>
        <v>886891</v>
      </c>
      <c r="H125" s="613">
        <f t="shared" si="13"/>
        <v>148668.9017046763</v>
      </c>
      <c r="I125" s="614">
        <f t="shared" si="14"/>
        <v>148668.9017046763</v>
      </c>
      <c r="J125" s="478">
        <f t="shared" si="15"/>
        <v>0</v>
      </c>
      <c r="K125" s="478"/>
      <c r="L125" s="487"/>
      <c r="M125" s="478">
        <f t="shared" si="10"/>
        <v>0</v>
      </c>
      <c r="N125" s="487"/>
      <c r="O125" s="478">
        <f t="shared" si="11"/>
        <v>0</v>
      </c>
      <c r="P125" s="478">
        <f t="shared" si="12"/>
        <v>0</v>
      </c>
    </row>
    <row r="126" spans="2:16" ht="12.5">
      <c r="B126" s="160" t="str">
        <f t="shared" si="16"/>
        <v/>
      </c>
      <c r="C126" s="472">
        <f>IF(D93="","-",+C125+1)</f>
        <v>2046</v>
      </c>
      <c r="D126" s="346">
        <f>IF(F125+SUM(E$99:E125)=D$92,F125,D$92-SUM(E$99:E125))</f>
        <v>858282</v>
      </c>
      <c r="E126" s="484">
        <f t="shared" si="17"/>
        <v>57218</v>
      </c>
      <c r="F126" s="485">
        <f t="shared" si="18"/>
        <v>801064</v>
      </c>
      <c r="G126" s="485">
        <f t="shared" si="19"/>
        <v>829673</v>
      </c>
      <c r="H126" s="613">
        <f t="shared" si="13"/>
        <v>142768.92336039478</v>
      </c>
      <c r="I126" s="614">
        <f t="shared" si="14"/>
        <v>142768.92336039478</v>
      </c>
      <c r="J126" s="478">
        <f t="shared" si="15"/>
        <v>0</v>
      </c>
      <c r="K126" s="478"/>
      <c r="L126" s="487"/>
      <c r="M126" s="478">
        <f t="shared" si="10"/>
        <v>0</v>
      </c>
      <c r="N126" s="487"/>
      <c r="O126" s="478">
        <f t="shared" si="11"/>
        <v>0</v>
      </c>
      <c r="P126" s="478">
        <f t="shared" si="12"/>
        <v>0</v>
      </c>
    </row>
    <row r="127" spans="2:16" ht="12.5">
      <c r="B127" s="160" t="str">
        <f t="shared" si="16"/>
        <v/>
      </c>
      <c r="C127" s="472">
        <f>IF(D93="","-",+C126+1)</f>
        <v>2047</v>
      </c>
      <c r="D127" s="346">
        <f>IF(F126+SUM(E$99:E126)=D$92,F126,D$92-SUM(E$99:E126))</f>
        <v>801064</v>
      </c>
      <c r="E127" s="484">
        <f t="shared" si="17"/>
        <v>57218</v>
      </c>
      <c r="F127" s="485">
        <f t="shared" si="18"/>
        <v>743846</v>
      </c>
      <c r="G127" s="485">
        <f t="shared" si="19"/>
        <v>772455</v>
      </c>
      <c r="H127" s="613">
        <f t="shared" si="13"/>
        <v>136868.94501611328</v>
      </c>
      <c r="I127" s="614">
        <f t="shared" si="14"/>
        <v>136868.94501611328</v>
      </c>
      <c r="J127" s="478">
        <f t="shared" si="15"/>
        <v>0</v>
      </c>
      <c r="K127" s="478"/>
      <c r="L127" s="487"/>
      <c r="M127" s="478">
        <f t="shared" si="10"/>
        <v>0</v>
      </c>
      <c r="N127" s="487"/>
      <c r="O127" s="478">
        <f t="shared" si="11"/>
        <v>0</v>
      </c>
      <c r="P127" s="478">
        <f t="shared" si="12"/>
        <v>0</v>
      </c>
    </row>
    <row r="128" spans="2:16" ht="12.5">
      <c r="B128" s="160" t="str">
        <f t="shared" si="16"/>
        <v/>
      </c>
      <c r="C128" s="472">
        <f>IF(D93="","-",+C127+1)</f>
        <v>2048</v>
      </c>
      <c r="D128" s="346">
        <f>IF(F127+SUM(E$99:E127)=D$92,F127,D$92-SUM(E$99:E127))</f>
        <v>743846</v>
      </c>
      <c r="E128" s="484">
        <f t="shared" si="17"/>
        <v>57218</v>
      </c>
      <c r="F128" s="485">
        <f t="shared" si="18"/>
        <v>686628</v>
      </c>
      <c r="G128" s="485">
        <f t="shared" si="19"/>
        <v>715237</v>
      </c>
      <c r="H128" s="613">
        <f t="shared" si="13"/>
        <v>130968.96667183179</v>
      </c>
      <c r="I128" s="614">
        <f t="shared" si="14"/>
        <v>130968.96667183179</v>
      </c>
      <c r="J128" s="478">
        <f t="shared" si="15"/>
        <v>0</v>
      </c>
      <c r="K128" s="478"/>
      <c r="L128" s="487"/>
      <c r="M128" s="478">
        <f t="shared" si="10"/>
        <v>0</v>
      </c>
      <c r="N128" s="487"/>
      <c r="O128" s="478">
        <f t="shared" si="11"/>
        <v>0</v>
      </c>
      <c r="P128" s="478">
        <f t="shared" si="12"/>
        <v>0</v>
      </c>
    </row>
    <row r="129" spans="2:16" ht="12.5">
      <c r="B129" s="160" t="str">
        <f t="shared" si="16"/>
        <v/>
      </c>
      <c r="C129" s="472">
        <f>IF(D93="","-",+C128+1)</f>
        <v>2049</v>
      </c>
      <c r="D129" s="346">
        <f>IF(F128+SUM(E$99:E128)=D$92,F128,D$92-SUM(E$99:E128))</f>
        <v>686628</v>
      </c>
      <c r="E129" s="484">
        <f t="shared" si="17"/>
        <v>57218</v>
      </c>
      <c r="F129" s="485">
        <f t="shared" si="18"/>
        <v>629410</v>
      </c>
      <c r="G129" s="485">
        <f t="shared" si="19"/>
        <v>658019</v>
      </c>
      <c r="H129" s="613">
        <f t="shared" si="13"/>
        <v>125068.98832755028</v>
      </c>
      <c r="I129" s="614">
        <f t="shared" si="14"/>
        <v>125068.98832755028</v>
      </c>
      <c r="J129" s="478">
        <f t="shared" si="15"/>
        <v>0</v>
      </c>
      <c r="K129" s="478"/>
      <c r="L129" s="487"/>
      <c r="M129" s="478">
        <f t="shared" si="10"/>
        <v>0</v>
      </c>
      <c r="N129" s="487"/>
      <c r="O129" s="478">
        <f t="shared" si="11"/>
        <v>0</v>
      </c>
      <c r="P129" s="478">
        <f t="shared" si="12"/>
        <v>0</v>
      </c>
    </row>
    <row r="130" spans="2:16" ht="12.5">
      <c r="B130" s="160" t="str">
        <f t="shared" si="16"/>
        <v/>
      </c>
      <c r="C130" s="472">
        <f>IF(D93="","-",+C129+1)</f>
        <v>2050</v>
      </c>
      <c r="D130" s="346">
        <f>IF(F129+SUM(E$99:E129)=D$92,F129,D$92-SUM(E$99:E129))</f>
        <v>629410</v>
      </c>
      <c r="E130" s="484">
        <f t="shared" si="17"/>
        <v>57218</v>
      </c>
      <c r="F130" s="485">
        <f t="shared" si="18"/>
        <v>572192</v>
      </c>
      <c r="G130" s="485">
        <f t="shared" si="19"/>
        <v>600801</v>
      </c>
      <c r="H130" s="613">
        <f t="shared" si="13"/>
        <v>119169.00998326877</v>
      </c>
      <c r="I130" s="614">
        <f t="shared" si="14"/>
        <v>119169.00998326877</v>
      </c>
      <c r="J130" s="478">
        <f t="shared" si="15"/>
        <v>0</v>
      </c>
      <c r="K130" s="478"/>
      <c r="L130" s="487"/>
      <c r="M130" s="478">
        <f t="shared" si="10"/>
        <v>0</v>
      </c>
      <c r="N130" s="487"/>
      <c r="O130" s="478">
        <f t="shared" si="11"/>
        <v>0</v>
      </c>
      <c r="P130" s="478">
        <f t="shared" si="12"/>
        <v>0</v>
      </c>
    </row>
    <row r="131" spans="2:16" ht="12.5">
      <c r="B131" s="160" t="str">
        <f t="shared" si="16"/>
        <v/>
      </c>
      <c r="C131" s="472">
        <f>IF(D93="","-",+C130+1)</f>
        <v>2051</v>
      </c>
      <c r="D131" s="346">
        <f>IF(F130+SUM(E$99:E130)=D$92,F130,D$92-SUM(E$99:E130))</f>
        <v>572192</v>
      </c>
      <c r="E131" s="484">
        <f t="shared" si="17"/>
        <v>57218</v>
      </c>
      <c r="F131" s="485">
        <f t="shared" si="18"/>
        <v>514974</v>
      </c>
      <c r="G131" s="485">
        <f t="shared" si="19"/>
        <v>543583</v>
      </c>
      <c r="H131" s="613">
        <f t="shared" si="13"/>
        <v>113269.03163898728</v>
      </c>
      <c r="I131" s="614">
        <f t="shared" si="14"/>
        <v>113269.03163898728</v>
      </c>
      <c r="J131" s="478">
        <f t="shared" ref="J131:J154" si="20">+I541-H541</f>
        <v>0</v>
      </c>
      <c r="K131" s="478"/>
      <c r="L131" s="487"/>
      <c r="M131" s="478">
        <f t="shared" ref="M131:M154" si="21">IF(L541&lt;&gt;0,+H541-L541,0)</f>
        <v>0</v>
      </c>
      <c r="N131" s="487"/>
      <c r="O131" s="478">
        <f t="shared" ref="O131:O154" si="22">IF(N541&lt;&gt;0,+I541-N541,0)</f>
        <v>0</v>
      </c>
      <c r="P131" s="478">
        <f t="shared" ref="P131:P154" si="23">+O541-M541</f>
        <v>0</v>
      </c>
    </row>
    <row r="132" spans="2:16" ht="12.5">
      <c r="B132" s="160" t="str">
        <f t="shared" si="16"/>
        <v/>
      </c>
      <c r="C132" s="472">
        <f>IF(D93="","-",+C131+1)</f>
        <v>2052</v>
      </c>
      <c r="D132" s="346">
        <f>IF(F131+SUM(E$99:E131)=D$92,F131,D$92-SUM(E$99:E131))</f>
        <v>514974</v>
      </c>
      <c r="E132" s="484">
        <f t="shared" si="17"/>
        <v>57218</v>
      </c>
      <c r="F132" s="485">
        <f t="shared" si="18"/>
        <v>457756</v>
      </c>
      <c r="G132" s="485">
        <f t="shared" si="19"/>
        <v>486365</v>
      </c>
      <c r="H132" s="613">
        <f t="shared" si="13"/>
        <v>107369.05329470577</v>
      </c>
      <c r="I132" s="614">
        <f t="shared" si="14"/>
        <v>107369.05329470577</v>
      </c>
      <c r="J132" s="478">
        <f t="shared" si="20"/>
        <v>0</v>
      </c>
      <c r="K132" s="478"/>
      <c r="L132" s="487"/>
      <c r="M132" s="478">
        <f t="shared" si="21"/>
        <v>0</v>
      </c>
      <c r="N132" s="487"/>
      <c r="O132" s="478">
        <f t="shared" si="22"/>
        <v>0</v>
      </c>
      <c r="P132" s="478">
        <f t="shared" si="23"/>
        <v>0</v>
      </c>
    </row>
    <row r="133" spans="2:16" ht="12.5">
      <c r="B133" s="160" t="str">
        <f t="shared" si="16"/>
        <v/>
      </c>
      <c r="C133" s="472">
        <f>IF(D93="","-",+C132+1)</f>
        <v>2053</v>
      </c>
      <c r="D133" s="346">
        <f>IF(F132+SUM(E$99:E132)=D$92,F132,D$92-SUM(E$99:E132))</f>
        <v>457756</v>
      </c>
      <c r="E133" s="484">
        <f t="shared" si="17"/>
        <v>57218</v>
      </c>
      <c r="F133" s="485">
        <f t="shared" si="18"/>
        <v>400538</v>
      </c>
      <c r="G133" s="485">
        <f t="shared" si="19"/>
        <v>429147</v>
      </c>
      <c r="H133" s="613">
        <f t="shared" si="13"/>
        <v>101469.07495042426</v>
      </c>
      <c r="I133" s="614">
        <f t="shared" si="14"/>
        <v>101469.07495042426</v>
      </c>
      <c r="J133" s="478">
        <f t="shared" si="20"/>
        <v>0</v>
      </c>
      <c r="K133" s="478"/>
      <c r="L133" s="487"/>
      <c r="M133" s="478">
        <f t="shared" si="21"/>
        <v>0</v>
      </c>
      <c r="N133" s="487"/>
      <c r="O133" s="478">
        <f t="shared" si="22"/>
        <v>0</v>
      </c>
      <c r="P133" s="478">
        <f t="shared" si="23"/>
        <v>0</v>
      </c>
    </row>
    <row r="134" spans="2:16" ht="12.5">
      <c r="B134" s="160" t="str">
        <f t="shared" si="16"/>
        <v/>
      </c>
      <c r="C134" s="472">
        <f>IF(D93="","-",+C133+1)</f>
        <v>2054</v>
      </c>
      <c r="D134" s="346">
        <f>IF(F133+SUM(E$99:E133)=D$92,F133,D$92-SUM(E$99:E133))</f>
        <v>400538</v>
      </c>
      <c r="E134" s="484">
        <f t="shared" si="17"/>
        <v>57218</v>
      </c>
      <c r="F134" s="485">
        <f t="shared" si="18"/>
        <v>343320</v>
      </c>
      <c r="G134" s="485">
        <f t="shared" si="19"/>
        <v>371929</v>
      </c>
      <c r="H134" s="613">
        <f t="shared" si="13"/>
        <v>95569.096606142761</v>
      </c>
      <c r="I134" s="614">
        <f t="shared" si="14"/>
        <v>95569.096606142761</v>
      </c>
      <c r="J134" s="478">
        <f t="shared" si="20"/>
        <v>0</v>
      </c>
      <c r="K134" s="478"/>
      <c r="L134" s="487"/>
      <c r="M134" s="478">
        <f t="shared" si="21"/>
        <v>0</v>
      </c>
      <c r="N134" s="487"/>
      <c r="O134" s="478">
        <f t="shared" si="22"/>
        <v>0</v>
      </c>
      <c r="P134" s="478">
        <f t="shared" si="23"/>
        <v>0</v>
      </c>
    </row>
    <row r="135" spans="2:16" ht="12.5">
      <c r="B135" s="160" t="str">
        <f t="shared" si="16"/>
        <v/>
      </c>
      <c r="C135" s="472">
        <f>IF(D93="","-",+C134+1)</f>
        <v>2055</v>
      </c>
      <c r="D135" s="346">
        <f>IF(F134+SUM(E$99:E134)=D$92,F134,D$92-SUM(E$99:E134))</f>
        <v>343320</v>
      </c>
      <c r="E135" s="484">
        <f t="shared" si="17"/>
        <v>57218</v>
      </c>
      <c r="F135" s="485">
        <f t="shared" si="18"/>
        <v>286102</v>
      </c>
      <c r="G135" s="485">
        <f t="shared" si="19"/>
        <v>314711</v>
      </c>
      <c r="H135" s="613">
        <f t="shared" si="13"/>
        <v>89669.118261861251</v>
      </c>
      <c r="I135" s="614">
        <f t="shared" si="14"/>
        <v>89669.118261861251</v>
      </c>
      <c r="J135" s="478">
        <f t="shared" si="20"/>
        <v>0</v>
      </c>
      <c r="K135" s="478"/>
      <c r="L135" s="487"/>
      <c r="M135" s="478">
        <f t="shared" si="21"/>
        <v>0</v>
      </c>
      <c r="N135" s="487"/>
      <c r="O135" s="478">
        <f t="shared" si="22"/>
        <v>0</v>
      </c>
      <c r="P135" s="478">
        <f t="shared" si="23"/>
        <v>0</v>
      </c>
    </row>
    <row r="136" spans="2:16" ht="12.5">
      <c r="B136" s="160" t="str">
        <f t="shared" si="16"/>
        <v/>
      </c>
      <c r="C136" s="472">
        <f>IF(D93="","-",+C135+1)</f>
        <v>2056</v>
      </c>
      <c r="D136" s="346">
        <f>IF(F135+SUM(E$99:E135)=D$92,F135,D$92-SUM(E$99:E135))</f>
        <v>286102</v>
      </c>
      <c r="E136" s="484">
        <f t="shared" si="17"/>
        <v>57218</v>
      </c>
      <c r="F136" s="485">
        <f t="shared" si="18"/>
        <v>228884</v>
      </c>
      <c r="G136" s="485">
        <f t="shared" si="19"/>
        <v>257493</v>
      </c>
      <c r="H136" s="613">
        <f t="shared" si="13"/>
        <v>83769.139917579741</v>
      </c>
      <c r="I136" s="614">
        <f t="shared" si="14"/>
        <v>83769.139917579741</v>
      </c>
      <c r="J136" s="478">
        <f t="shared" si="20"/>
        <v>0</v>
      </c>
      <c r="K136" s="478"/>
      <c r="L136" s="487"/>
      <c r="M136" s="478">
        <f t="shared" si="21"/>
        <v>0</v>
      </c>
      <c r="N136" s="487"/>
      <c r="O136" s="478">
        <f t="shared" si="22"/>
        <v>0</v>
      </c>
      <c r="P136" s="478">
        <f t="shared" si="23"/>
        <v>0</v>
      </c>
    </row>
    <row r="137" spans="2:16" ht="12.5">
      <c r="B137" s="160" t="str">
        <f t="shared" si="16"/>
        <v/>
      </c>
      <c r="C137" s="472">
        <f>IF(D93="","-",+C136+1)</f>
        <v>2057</v>
      </c>
      <c r="D137" s="346">
        <f>IF(F136+SUM(E$99:E136)=D$92,F136,D$92-SUM(E$99:E136))</f>
        <v>228884</v>
      </c>
      <c r="E137" s="484">
        <f t="shared" si="17"/>
        <v>57218</v>
      </c>
      <c r="F137" s="485">
        <f t="shared" si="18"/>
        <v>171666</v>
      </c>
      <c r="G137" s="485">
        <f t="shared" si="19"/>
        <v>200275</v>
      </c>
      <c r="H137" s="613">
        <f t="shared" si="13"/>
        <v>77869.161573298232</v>
      </c>
      <c r="I137" s="614">
        <f t="shared" si="14"/>
        <v>77869.161573298232</v>
      </c>
      <c r="J137" s="478">
        <f t="shared" si="20"/>
        <v>0</v>
      </c>
      <c r="K137" s="478"/>
      <c r="L137" s="487"/>
      <c r="M137" s="478">
        <f t="shared" si="21"/>
        <v>0</v>
      </c>
      <c r="N137" s="487"/>
      <c r="O137" s="478">
        <f t="shared" si="22"/>
        <v>0</v>
      </c>
      <c r="P137" s="478">
        <f t="shared" si="23"/>
        <v>0</v>
      </c>
    </row>
    <row r="138" spans="2:16" ht="12.5">
      <c r="B138" s="160" t="str">
        <f t="shared" si="16"/>
        <v/>
      </c>
      <c r="C138" s="472">
        <f>IF(D93="","-",+C137+1)</f>
        <v>2058</v>
      </c>
      <c r="D138" s="346">
        <f>IF(F137+SUM(E$99:E137)=D$92,F137,D$92-SUM(E$99:E137))</f>
        <v>171666</v>
      </c>
      <c r="E138" s="484">
        <f t="shared" si="17"/>
        <v>57218</v>
      </c>
      <c r="F138" s="485">
        <f t="shared" si="18"/>
        <v>114448</v>
      </c>
      <c r="G138" s="485">
        <f t="shared" si="19"/>
        <v>143057</v>
      </c>
      <c r="H138" s="613">
        <f t="shared" si="13"/>
        <v>71969.183229016737</v>
      </c>
      <c r="I138" s="614">
        <f t="shared" si="14"/>
        <v>71969.183229016737</v>
      </c>
      <c r="J138" s="478">
        <f t="shared" si="20"/>
        <v>0</v>
      </c>
      <c r="K138" s="478"/>
      <c r="L138" s="487"/>
      <c r="M138" s="478">
        <f t="shared" si="21"/>
        <v>0</v>
      </c>
      <c r="N138" s="487"/>
      <c r="O138" s="478">
        <f t="shared" si="22"/>
        <v>0</v>
      </c>
      <c r="P138" s="478">
        <f t="shared" si="23"/>
        <v>0</v>
      </c>
    </row>
    <row r="139" spans="2:16" ht="12.5">
      <c r="B139" s="160" t="str">
        <f t="shared" si="16"/>
        <v/>
      </c>
      <c r="C139" s="472">
        <f>IF(D93="","-",+C138+1)</f>
        <v>2059</v>
      </c>
      <c r="D139" s="346">
        <f>IF(F138+SUM(E$99:E138)=D$92,F138,D$92-SUM(E$99:E138))</f>
        <v>114448</v>
      </c>
      <c r="E139" s="484">
        <f t="shared" si="17"/>
        <v>57218</v>
      </c>
      <c r="F139" s="485">
        <f t="shared" si="18"/>
        <v>57230</v>
      </c>
      <c r="G139" s="485">
        <f t="shared" si="19"/>
        <v>85839</v>
      </c>
      <c r="H139" s="613">
        <f t="shared" si="13"/>
        <v>66069.204884735227</v>
      </c>
      <c r="I139" s="614">
        <f t="shared" si="14"/>
        <v>66069.204884735227</v>
      </c>
      <c r="J139" s="478">
        <f t="shared" si="20"/>
        <v>0</v>
      </c>
      <c r="K139" s="478"/>
      <c r="L139" s="487"/>
      <c r="M139" s="478">
        <f t="shared" si="21"/>
        <v>0</v>
      </c>
      <c r="N139" s="487"/>
      <c r="O139" s="478">
        <f t="shared" si="22"/>
        <v>0</v>
      </c>
      <c r="P139" s="478">
        <f t="shared" si="23"/>
        <v>0</v>
      </c>
    </row>
    <row r="140" spans="2:16" ht="12.5">
      <c r="B140" s="160" t="str">
        <f t="shared" si="16"/>
        <v/>
      </c>
      <c r="C140" s="472">
        <f>IF(D93="","-",+C139+1)</f>
        <v>2060</v>
      </c>
      <c r="D140" s="346">
        <f>IF(F139+SUM(E$99:E139)=D$92,F139,D$92-SUM(E$99:E139))</f>
        <v>57230</v>
      </c>
      <c r="E140" s="484">
        <f t="shared" si="17"/>
        <v>57218</v>
      </c>
      <c r="F140" s="485">
        <f t="shared" si="18"/>
        <v>12</v>
      </c>
      <c r="G140" s="485">
        <f t="shared" si="19"/>
        <v>28621</v>
      </c>
      <c r="H140" s="613">
        <f t="shared" si="13"/>
        <v>60169.226540453717</v>
      </c>
      <c r="I140" s="614">
        <f t="shared" si="14"/>
        <v>60169.226540453717</v>
      </c>
      <c r="J140" s="478">
        <f t="shared" si="20"/>
        <v>0</v>
      </c>
      <c r="K140" s="478"/>
      <c r="L140" s="487"/>
      <c r="M140" s="478">
        <f t="shared" si="21"/>
        <v>0</v>
      </c>
      <c r="N140" s="487"/>
      <c r="O140" s="478">
        <f t="shared" si="22"/>
        <v>0</v>
      </c>
      <c r="P140" s="478">
        <f t="shared" si="23"/>
        <v>0</v>
      </c>
    </row>
    <row r="141" spans="2:16" ht="12.5">
      <c r="B141" s="160" t="str">
        <f t="shared" si="16"/>
        <v/>
      </c>
      <c r="C141" s="472">
        <f>IF(D93="","-",+C140+1)</f>
        <v>2061</v>
      </c>
      <c r="D141" s="346">
        <f>IF(F140+SUM(E$99:E140)=D$92,F140,D$92-SUM(E$99:E140))</f>
        <v>12</v>
      </c>
      <c r="E141" s="484">
        <f t="shared" si="17"/>
        <v>12</v>
      </c>
      <c r="F141" s="485">
        <f t="shared" si="18"/>
        <v>0</v>
      </c>
      <c r="G141" s="485">
        <f t="shared" si="19"/>
        <v>6</v>
      </c>
      <c r="H141" s="613">
        <f t="shared" si="13"/>
        <v>12.618684156483782</v>
      </c>
      <c r="I141" s="614">
        <f t="shared" si="14"/>
        <v>12.618684156483782</v>
      </c>
      <c r="J141" s="478">
        <f t="shared" si="20"/>
        <v>0</v>
      </c>
      <c r="K141" s="478"/>
      <c r="L141" s="487"/>
      <c r="M141" s="478">
        <f t="shared" si="21"/>
        <v>0</v>
      </c>
      <c r="N141" s="487"/>
      <c r="O141" s="478">
        <f t="shared" si="22"/>
        <v>0</v>
      </c>
      <c r="P141" s="478">
        <f t="shared" si="23"/>
        <v>0</v>
      </c>
    </row>
    <row r="142" spans="2:16" ht="12.5">
      <c r="B142" s="160" t="str">
        <f t="shared" si="16"/>
        <v/>
      </c>
      <c r="C142" s="472">
        <f>IF(D93="","-",+C141+1)</f>
        <v>2062</v>
      </c>
      <c r="D142" s="346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613">
        <f t="shared" si="13"/>
        <v>0</v>
      </c>
      <c r="I142" s="614">
        <f t="shared" si="14"/>
        <v>0</v>
      </c>
      <c r="J142" s="478">
        <f t="shared" si="20"/>
        <v>0</v>
      </c>
      <c r="K142" s="478"/>
      <c r="L142" s="487"/>
      <c r="M142" s="478">
        <f t="shared" si="21"/>
        <v>0</v>
      </c>
      <c r="N142" s="487"/>
      <c r="O142" s="478">
        <f t="shared" si="22"/>
        <v>0</v>
      </c>
      <c r="P142" s="478">
        <f t="shared" si="23"/>
        <v>0</v>
      </c>
    </row>
    <row r="143" spans="2:16" ht="12.5">
      <c r="B143" s="160" t="str">
        <f t="shared" si="16"/>
        <v/>
      </c>
      <c r="C143" s="472">
        <f>IF(D93="","-",+C142+1)</f>
        <v>2063</v>
      </c>
      <c r="D143" s="346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613">
        <f t="shared" si="13"/>
        <v>0</v>
      </c>
      <c r="I143" s="614">
        <f t="shared" si="14"/>
        <v>0</v>
      </c>
      <c r="J143" s="478">
        <f t="shared" si="20"/>
        <v>0</v>
      </c>
      <c r="K143" s="478"/>
      <c r="L143" s="487"/>
      <c r="M143" s="478">
        <f t="shared" si="21"/>
        <v>0</v>
      </c>
      <c r="N143" s="487"/>
      <c r="O143" s="478">
        <f t="shared" si="22"/>
        <v>0</v>
      </c>
      <c r="P143" s="478">
        <f t="shared" si="23"/>
        <v>0</v>
      </c>
    </row>
    <row r="144" spans="2:16" ht="12.5">
      <c r="B144" s="160" t="str">
        <f t="shared" si="16"/>
        <v/>
      </c>
      <c r="C144" s="472">
        <f>IF(D93="","-",+C143+1)</f>
        <v>2064</v>
      </c>
      <c r="D144" s="346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613">
        <f t="shared" si="13"/>
        <v>0</v>
      </c>
      <c r="I144" s="614">
        <f t="shared" si="14"/>
        <v>0</v>
      </c>
      <c r="J144" s="478">
        <f t="shared" si="20"/>
        <v>0</v>
      </c>
      <c r="K144" s="478"/>
      <c r="L144" s="487"/>
      <c r="M144" s="478">
        <f t="shared" si="21"/>
        <v>0</v>
      </c>
      <c r="N144" s="487"/>
      <c r="O144" s="478">
        <f t="shared" si="22"/>
        <v>0</v>
      </c>
      <c r="P144" s="478">
        <f t="shared" si="23"/>
        <v>0</v>
      </c>
    </row>
    <row r="145" spans="2:16" ht="12.5">
      <c r="B145" s="160" t="str">
        <f t="shared" si="16"/>
        <v/>
      </c>
      <c r="C145" s="472">
        <f>IF(D93="","-",+C144+1)</f>
        <v>2065</v>
      </c>
      <c r="D145" s="346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613">
        <f t="shared" si="13"/>
        <v>0</v>
      </c>
      <c r="I145" s="614">
        <f t="shared" si="14"/>
        <v>0</v>
      </c>
      <c r="J145" s="478">
        <f t="shared" si="20"/>
        <v>0</v>
      </c>
      <c r="K145" s="478"/>
      <c r="L145" s="487"/>
      <c r="M145" s="478">
        <f t="shared" si="21"/>
        <v>0</v>
      </c>
      <c r="N145" s="487"/>
      <c r="O145" s="478">
        <f t="shared" si="22"/>
        <v>0</v>
      </c>
      <c r="P145" s="478">
        <f t="shared" si="23"/>
        <v>0</v>
      </c>
    </row>
    <row r="146" spans="2:16" ht="12.5">
      <c r="B146" s="160" t="str">
        <f t="shared" si="16"/>
        <v/>
      </c>
      <c r="C146" s="472">
        <f>IF(D93="","-",+C145+1)</f>
        <v>2066</v>
      </c>
      <c r="D146" s="346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613">
        <f t="shared" si="13"/>
        <v>0</v>
      </c>
      <c r="I146" s="614">
        <f t="shared" si="14"/>
        <v>0</v>
      </c>
      <c r="J146" s="478">
        <f t="shared" si="20"/>
        <v>0</v>
      </c>
      <c r="K146" s="478"/>
      <c r="L146" s="487"/>
      <c r="M146" s="478">
        <f t="shared" si="21"/>
        <v>0</v>
      </c>
      <c r="N146" s="487"/>
      <c r="O146" s="478">
        <f t="shared" si="22"/>
        <v>0</v>
      </c>
      <c r="P146" s="478">
        <f t="shared" si="23"/>
        <v>0</v>
      </c>
    </row>
    <row r="147" spans="2:16" ht="12.5">
      <c r="B147" s="160" t="str">
        <f t="shared" si="16"/>
        <v/>
      </c>
      <c r="C147" s="472">
        <f>IF(D93="","-",+C146+1)</f>
        <v>2067</v>
      </c>
      <c r="D147" s="346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613">
        <f t="shared" si="13"/>
        <v>0</v>
      </c>
      <c r="I147" s="614">
        <f t="shared" si="14"/>
        <v>0</v>
      </c>
      <c r="J147" s="478">
        <f t="shared" si="20"/>
        <v>0</v>
      </c>
      <c r="K147" s="478"/>
      <c r="L147" s="487"/>
      <c r="M147" s="478">
        <f t="shared" si="21"/>
        <v>0</v>
      </c>
      <c r="N147" s="487"/>
      <c r="O147" s="478">
        <f t="shared" si="22"/>
        <v>0</v>
      </c>
      <c r="P147" s="478">
        <f t="shared" si="23"/>
        <v>0</v>
      </c>
    </row>
    <row r="148" spans="2:16" ht="12.5">
      <c r="B148" s="160" t="str">
        <f t="shared" si="16"/>
        <v/>
      </c>
      <c r="C148" s="472">
        <f>IF(D93="","-",+C147+1)</f>
        <v>2068</v>
      </c>
      <c r="D148" s="346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613">
        <f t="shared" si="13"/>
        <v>0</v>
      </c>
      <c r="I148" s="614">
        <f t="shared" si="14"/>
        <v>0</v>
      </c>
      <c r="J148" s="478">
        <f t="shared" si="20"/>
        <v>0</v>
      </c>
      <c r="K148" s="478"/>
      <c r="L148" s="487"/>
      <c r="M148" s="478">
        <f t="shared" si="21"/>
        <v>0</v>
      </c>
      <c r="N148" s="487"/>
      <c r="O148" s="478">
        <f t="shared" si="22"/>
        <v>0</v>
      </c>
      <c r="P148" s="478">
        <f t="shared" si="23"/>
        <v>0</v>
      </c>
    </row>
    <row r="149" spans="2:16" ht="12.5">
      <c r="B149" s="160" t="str">
        <f t="shared" si="16"/>
        <v/>
      </c>
      <c r="C149" s="472">
        <f>IF(D93="","-",+C148+1)</f>
        <v>2069</v>
      </c>
      <c r="D149" s="346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613">
        <f t="shared" si="13"/>
        <v>0</v>
      </c>
      <c r="I149" s="614">
        <f t="shared" si="14"/>
        <v>0</v>
      </c>
      <c r="J149" s="478">
        <f t="shared" si="20"/>
        <v>0</v>
      </c>
      <c r="K149" s="478"/>
      <c r="L149" s="487"/>
      <c r="M149" s="478">
        <f t="shared" si="21"/>
        <v>0</v>
      </c>
      <c r="N149" s="487"/>
      <c r="O149" s="478">
        <f t="shared" si="22"/>
        <v>0</v>
      </c>
      <c r="P149" s="478">
        <f t="shared" si="23"/>
        <v>0</v>
      </c>
    </row>
    <row r="150" spans="2:16" ht="12.5">
      <c r="B150" s="160" t="str">
        <f t="shared" si="16"/>
        <v/>
      </c>
      <c r="C150" s="472">
        <f>IF(D93="","-",+C149+1)</f>
        <v>2070</v>
      </c>
      <c r="D150" s="346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613">
        <f t="shared" si="13"/>
        <v>0</v>
      </c>
      <c r="I150" s="614">
        <f t="shared" si="14"/>
        <v>0</v>
      </c>
      <c r="J150" s="478">
        <f t="shared" si="20"/>
        <v>0</v>
      </c>
      <c r="K150" s="478"/>
      <c r="L150" s="487"/>
      <c r="M150" s="478">
        <f t="shared" si="21"/>
        <v>0</v>
      </c>
      <c r="N150" s="487"/>
      <c r="O150" s="478">
        <f t="shared" si="22"/>
        <v>0</v>
      </c>
      <c r="P150" s="478">
        <f t="shared" si="23"/>
        <v>0</v>
      </c>
    </row>
    <row r="151" spans="2:16" ht="12.5">
      <c r="B151" s="160" t="str">
        <f t="shared" si="16"/>
        <v/>
      </c>
      <c r="C151" s="472">
        <f>IF(D93="","-",+C150+1)</f>
        <v>2071</v>
      </c>
      <c r="D151" s="346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613">
        <f t="shared" si="13"/>
        <v>0</v>
      </c>
      <c r="I151" s="614">
        <f t="shared" si="14"/>
        <v>0</v>
      </c>
      <c r="J151" s="478">
        <f t="shared" si="20"/>
        <v>0</v>
      </c>
      <c r="K151" s="478"/>
      <c r="L151" s="487"/>
      <c r="M151" s="478">
        <f t="shared" si="21"/>
        <v>0</v>
      </c>
      <c r="N151" s="487"/>
      <c r="O151" s="478">
        <f t="shared" si="22"/>
        <v>0</v>
      </c>
      <c r="P151" s="478">
        <f t="shared" si="23"/>
        <v>0</v>
      </c>
    </row>
    <row r="152" spans="2:16" ht="12.5">
      <c r="B152" s="160" t="str">
        <f t="shared" si="16"/>
        <v/>
      </c>
      <c r="C152" s="472">
        <f>IF(D93="","-",+C151+1)</f>
        <v>2072</v>
      </c>
      <c r="D152" s="346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613">
        <f t="shared" si="13"/>
        <v>0</v>
      </c>
      <c r="I152" s="614">
        <f t="shared" si="14"/>
        <v>0</v>
      </c>
      <c r="J152" s="478">
        <f t="shared" si="20"/>
        <v>0</v>
      </c>
      <c r="K152" s="478"/>
      <c r="L152" s="487"/>
      <c r="M152" s="478">
        <f t="shared" si="21"/>
        <v>0</v>
      </c>
      <c r="N152" s="487"/>
      <c r="O152" s="478">
        <f t="shared" si="22"/>
        <v>0</v>
      </c>
      <c r="P152" s="478">
        <f t="shared" si="23"/>
        <v>0</v>
      </c>
    </row>
    <row r="153" spans="2:16" ht="12.5">
      <c r="B153" s="160" t="str">
        <f t="shared" si="16"/>
        <v/>
      </c>
      <c r="C153" s="472">
        <f>IF(D93="","-",+C152+1)</f>
        <v>2073</v>
      </c>
      <c r="D153" s="346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613">
        <f t="shared" si="13"/>
        <v>0</v>
      </c>
      <c r="I153" s="614">
        <f t="shared" si="14"/>
        <v>0</v>
      </c>
      <c r="J153" s="478">
        <f t="shared" si="20"/>
        <v>0</v>
      </c>
      <c r="K153" s="478"/>
      <c r="L153" s="487"/>
      <c r="M153" s="478">
        <f t="shared" si="21"/>
        <v>0</v>
      </c>
      <c r="N153" s="487"/>
      <c r="O153" s="478">
        <f t="shared" si="22"/>
        <v>0</v>
      </c>
      <c r="P153" s="478">
        <f t="shared" si="23"/>
        <v>0</v>
      </c>
    </row>
    <row r="154" spans="2:16" ht="13" thickBot="1">
      <c r="B154" s="160" t="str">
        <f t="shared" si="16"/>
        <v/>
      </c>
      <c r="C154" s="489">
        <f>IF(D93="","-",+C153+1)</f>
        <v>2074</v>
      </c>
      <c r="D154" s="543">
        <f>IF(F153+SUM(E$99:E153)=D$92,F153,D$92-SUM(E$99:E153))</f>
        <v>0</v>
      </c>
      <c r="E154" s="491">
        <f t="shared" si="17"/>
        <v>0</v>
      </c>
      <c r="F154" s="490">
        <f t="shared" si="18"/>
        <v>0</v>
      </c>
      <c r="G154" s="490">
        <f t="shared" si="19"/>
        <v>0</v>
      </c>
      <c r="H154" s="615">
        <f t="shared" si="13"/>
        <v>0</v>
      </c>
      <c r="I154" s="616">
        <f t="shared" si="14"/>
        <v>0</v>
      </c>
      <c r="J154" s="495">
        <f t="shared" si="20"/>
        <v>0</v>
      </c>
      <c r="K154" s="478"/>
      <c r="L154" s="494"/>
      <c r="M154" s="495">
        <f t="shared" si="21"/>
        <v>0</v>
      </c>
      <c r="N154" s="494"/>
      <c r="O154" s="495">
        <f t="shared" si="22"/>
        <v>0</v>
      </c>
      <c r="P154" s="495">
        <f t="shared" si="23"/>
        <v>0</v>
      </c>
    </row>
    <row r="155" spans="2:16" ht="12.5">
      <c r="C155" s="346" t="s">
        <v>77</v>
      </c>
      <c r="D155" s="347"/>
      <c r="E155" s="347">
        <f>SUM(E99:E154)</f>
        <v>2345950</v>
      </c>
      <c r="F155" s="347"/>
      <c r="G155" s="347"/>
      <c r="H155" s="347">
        <f>SUM(H99:H154)</f>
        <v>7425883.3238955215</v>
      </c>
      <c r="I155" s="347">
        <f>SUM(I99:I154)</f>
        <v>7425883.3238955215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3" priority="1" stopIfTrue="1" operator="equal">
      <formula>$I$10</formula>
    </cfRule>
  </conditionalFormatting>
  <conditionalFormatting sqref="C99:C154">
    <cfRule type="cellIs" dxfId="2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P162"/>
  <sheetViews>
    <sheetView view="pageBreakPreview" zoomScale="78" zoomScaleNormal="100" zoomScaleSheetLayoutView="78" workbookViewId="0"/>
  </sheetViews>
  <sheetFormatPr defaultRowHeight="12.75" customHeight="1"/>
  <cols>
    <col min="1" max="1" width="4.7265625" customWidth="1"/>
    <col min="2" max="2" width="6.7265625" customWidth="1"/>
    <col min="3" max="3" width="23.26953125" customWidth="1"/>
    <col min="4" max="8" width="17.7265625" customWidth="1"/>
    <col min="9" max="9" width="20.453125" customWidth="1"/>
    <col min="10" max="10" width="16.453125" customWidth="1"/>
    <col min="11" max="11" width="17.7265625" customWidth="1"/>
    <col min="12" max="12" width="16.1796875" customWidth="1"/>
    <col min="13" max="13" width="17.7265625" customWidth="1"/>
    <col min="14" max="14" width="16.7265625" customWidth="1"/>
    <col min="15" max="15" width="16.81640625" customWidth="1"/>
    <col min="16" max="16" width="24.453125" customWidth="1"/>
    <col min="17" max="17" width="9.1796875" customWidth="1"/>
    <col min="23" max="23" width="9.1796875" customWidth="1"/>
  </cols>
  <sheetData>
    <row r="1" spans="1:16" ht="20">
      <c r="A1" s="110" t="s">
        <v>147</v>
      </c>
      <c r="B1" s="1"/>
      <c r="C1" s="10"/>
      <c r="D1" s="2"/>
      <c r="E1" s="1"/>
      <c r="F1" s="15"/>
      <c r="G1" s="1"/>
      <c r="H1" s="3"/>
      <c r="J1" s="7"/>
      <c r="K1" s="19"/>
      <c r="L1" s="19"/>
      <c r="M1" s="19"/>
      <c r="P1" s="116" t="str">
        <f ca="1">"PSO Project "&amp;RIGHT(MID(CELL("filename",$A$1),FIND("]",CELL("filename",$A$1))+1,256),2)&amp;" of "&amp;COUNT('P.001:P.xyz - blank'!$P$3)-1</f>
        <v>PSO Project nk of 28</v>
      </c>
    </row>
    <row r="2" spans="1:16" ht="17.5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117" t="s">
        <v>150</v>
      </c>
    </row>
    <row r="3" spans="1:16" ht="18">
      <c r="B3" s="5" t="s">
        <v>42</v>
      </c>
      <c r="C3" s="14" t="s">
        <v>43</v>
      </c>
      <c r="D3" s="2"/>
      <c r="E3" s="1"/>
      <c r="F3" s="1"/>
      <c r="G3" s="1"/>
      <c r="H3" s="3"/>
      <c r="I3" s="3"/>
      <c r="J3" s="20"/>
      <c r="K3" s="3"/>
      <c r="L3" s="3"/>
      <c r="M3" s="3"/>
      <c r="N3" s="3"/>
      <c r="O3" s="1"/>
      <c r="P3" s="108">
        <v>1</v>
      </c>
    </row>
    <row r="4" spans="1:16" ht="16" thickBot="1">
      <c r="C4" s="13"/>
      <c r="D4" s="2"/>
      <c r="E4" s="1"/>
      <c r="F4" s="1"/>
      <c r="G4" s="1"/>
      <c r="H4" s="3"/>
      <c r="I4" s="3"/>
      <c r="J4" s="20"/>
      <c r="K4" s="3"/>
      <c r="L4" s="3"/>
      <c r="M4" s="3"/>
      <c r="N4" s="3"/>
      <c r="O4" s="1"/>
      <c r="P4" s="1"/>
    </row>
    <row r="5" spans="1:16" ht="15.5">
      <c r="C5" s="21" t="s">
        <v>44</v>
      </c>
      <c r="D5" s="2"/>
      <c r="E5" s="1"/>
      <c r="F5" s="1"/>
      <c r="G5" s="22"/>
      <c r="H5" s="1" t="s">
        <v>45</v>
      </c>
      <c r="I5" s="1"/>
      <c r="J5" s="4"/>
      <c r="K5" s="23" t="s">
        <v>284</v>
      </c>
      <c r="L5" s="24"/>
      <c r="M5" s="25"/>
      <c r="N5" s="26">
        <f>VLOOKUP(I10,C17:I72,5)</f>
        <v>0</v>
      </c>
      <c r="P5" s="1"/>
    </row>
    <row r="6" spans="1:16" ht="15.5">
      <c r="C6" s="8"/>
      <c r="D6" s="2"/>
      <c r="E6" s="1"/>
      <c r="F6" s="1"/>
      <c r="G6" s="1"/>
      <c r="H6" s="27"/>
      <c r="I6" s="27"/>
      <c r="J6" s="28"/>
      <c r="K6" s="29" t="s">
        <v>285</v>
      </c>
      <c r="L6" s="30"/>
      <c r="M6" s="4"/>
      <c r="N6" s="31">
        <f>VLOOKUP(I10,C17:I72,6)</f>
        <v>0</v>
      </c>
      <c r="O6" s="1"/>
      <c r="P6" s="1"/>
    </row>
    <row r="7" spans="1:16" ht="13.5" thickBot="1">
      <c r="C7" s="32" t="s">
        <v>46</v>
      </c>
      <c r="D7" s="104" t="s">
        <v>108</v>
      </c>
      <c r="E7" s="1"/>
      <c r="F7" s="1"/>
      <c r="G7" s="1"/>
      <c r="H7" s="3"/>
      <c r="I7" s="3"/>
      <c r="J7" s="20"/>
      <c r="K7" s="33" t="s">
        <v>47</v>
      </c>
      <c r="L7" s="34"/>
      <c r="M7" s="34"/>
      <c r="N7" s="35">
        <f>+N6-N5</f>
        <v>0</v>
      </c>
      <c r="O7" s="1"/>
      <c r="P7" s="1"/>
    </row>
    <row r="8" spans="1:16" ht="13.5" thickBot="1">
      <c r="C8" s="36"/>
      <c r="D8" s="114" t="str">
        <f>IF(D10&lt;100000,"DOES NOT MEET SPP $100,000 MINIMUM INVESTMENT FOR REGIONAL BPU SHARING.","")</f>
        <v>DOES NOT MEET SPP $100,000 MINIMUM INVESTMENT FOR REGIONAL BPU SHARING.</v>
      </c>
      <c r="E8" s="37"/>
      <c r="F8" s="37"/>
      <c r="G8" s="37"/>
      <c r="H8" s="37"/>
      <c r="I8" s="37"/>
      <c r="J8" s="16"/>
      <c r="K8" s="37"/>
      <c r="L8" s="37"/>
      <c r="M8" s="37"/>
      <c r="N8" s="37"/>
      <c r="O8" s="16"/>
      <c r="P8" s="10"/>
    </row>
    <row r="9" spans="1:16" ht="13.5" thickBot="1">
      <c r="C9" s="38" t="s">
        <v>48</v>
      </c>
      <c r="D9" s="106"/>
      <c r="E9" s="39"/>
      <c r="F9" s="39"/>
      <c r="G9" s="39"/>
      <c r="H9" s="39"/>
      <c r="I9" s="40"/>
      <c r="J9" s="41"/>
      <c r="O9" s="42"/>
      <c r="P9" s="4"/>
    </row>
    <row r="10" spans="1:16" ht="13">
      <c r="C10" s="145" t="s">
        <v>226</v>
      </c>
      <c r="D10" s="43"/>
      <c r="E10" s="12" t="s">
        <v>51</v>
      </c>
      <c r="F10" s="42"/>
      <c r="G10" s="44"/>
      <c r="H10" s="44"/>
      <c r="I10" s="45">
        <f>+PSO.WS.F.BPU.ATRR.Projected!L19</f>
        <v>2021</v>
      </c>
      <c r="J10" s="41"/>
      <c r="K10" s="20" t="s">
        <v>52</v>
      </c>
      <c r="O10" s="4"/>
      <c r="P10" s="4"/>
    </row>
    <row r="11" spans="1:16" ht="12.5">
      <c r="C11" s="46" t="s">
        <v>53</v>
      </c>
      <c r="D11" s="47">
        <v>2017</v>
      </c>
      <c r="E11" s="46" t="s">
        <v>54</v>
      </c>
      <c r="F11" s="44"/>
      <c r="G11" s="7"/>
      <c r="H11" s="7"/>
      <c r="I11" s="48">
        <f>IF(G5="",0,PSO.WS.F.BPU.ATRR.Projected!F$13)</f>
        <v>0</v>
      </c>
      <c r="J11" s="49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 ht="12.5">
      <c r="C12" s="46" t="s">
        <v>55</v>
      </c>
      <c r="D12" s="43">
        <v>4</v>
      </c>
      <c r="E12" s="46" t="s">
        <v>56</v>
      </c>
      <c r="F12" s="44"/>
      <c r="G12" s="7"/>
      <c r="H12" s="7"/>
      <c r="I12" s="50">
        <f>PSO.WS.F.BPU.ATRR.Projected!$F$81</f>
        <v>0.10782165189821359</v>
      </c>
      <c r="J12" s="51"/>
      <c r="K12" t="s">
        <v>57</v>
      </c>
      <c r="O12" s="4"/>
      <c r="P12" s="4"/>
    </row>
    <row r="13" spans="1:16" ht="12.5">
      <c r="C13" s="46" t="s">
        <v>58</v>
      </c>
      <c r="D13" s="48">
        <f>+PSO.WS.F.BPU.ATRR.Projected!F$93</f>
        <v>43</v>
      </c>
      <c r="E13" s="46" t="s">
        <v>59</v>
      </c>
      <c r="F13" s="44"/>
      <c r="G13" s="7"/>
      <c r="H13" s="7"/>
      <c r="I13" s="50">
        <f>IF(G5="",I12,PSO.WS.F.BPU.ATRR.Projected!$F$80)</f>
        <v>0.10782165189821359</v>
      </c>
      <c r="J13" s="51"/>
      <c r="K13" s="20" t="s">
        <v>60</v>
      </c>
      <c r="L13" s="11"/>
      <c r="M13" s="11"/>
      <c r="N13" s="11"/>
      <c r="O13" s="4"/>
      <c r="P13" s="4"/>
    </row>
    <row r="14" spans="1:16" ht="13" thickBot="1">
      <c r="C14" s="46" t="s">
        <v>61</v>
      </c>
      <c r="D14" s="47" t="s">
        <v>62</v>
      </c>
      <c r="E14" s="4" t="s">
        <v>63</v>
      </c>
      <c r="F14" s="44"/>
      <c r="G14" s="7"/>
      <c r="H14" s="7"/>
      <c r="I14" s="52">
        <f>IF(D10=0,0,D10/D13)</f>
        <v>0</v>
      </c>
      <c r="J14" s="20"/>
      <c r="K14" s="20"/>
      <c r="L14" s="20"/>
      <c r="M14" s="20"/>
      <c r="N14" s="20"/>
      <c r="O14" s="4"/>
      <c r="P14" s="4"/>
    </row>
    <row r="15" spans="1:16" ht="39">
      <c r="C15" s="53" t="s">
        <v>50</v>
      </c>
      <c r="D15" s="54" t="s">
        <v>64</v>
      </c>
      <c r="E15" s="54" t="s">
        <v>65</v>
      </c>
      <c r="F15" s="54" t="s">
        <v>66</v>
      </c>
      <c r="G15" s="142" t="s">
        <v>286</v>
      </c>
      <c r="H15" s="143" t="s">
        <v>287</v>
      </c>
      <c r="I15" s="53" t="s">
        <v>67</v>
      </c>
      <c r="J15" s="55"/>
      <c r="K15" s="135" t="s">
        <v>205</v>
      </c>
      <c r="L15" s="136" t="s">
        <v>68</v>
      </c>
      <c r="M15" s="135" t="s">
        <v>205</v>
      </c>
      <c r="N15" s="136" t="s">
        <v>68</v>
      </c>
      <c r="O15" s="56" t="s">
        <v>69</v>
      </c>
      <c r="P15" s="4"/>
    </row>
    <row r="16" spans="1:16" ht="13.5" thickBot="1">
      <c r="C16" s="57" t="s">
        <v>70</v>
      </c>
      <c r="D16" s="57" t="s">
        <v>71</v>
      </c>
      <c r="E16" s="57" t="s">
        <v>72</v>
      </c>
      <c r="F16" s="57" t="s">
        <v>71</v>
      </c>
      <c r="G16" s="129" t="s">
        <v>73</v>
      </c>
      <c r="H16" s="58" t="s">
        <v>74</v>
      </c>
      <c r="I16" s="59" t="s">
        <v>104</v>
      </c>
      <c r="J16" s="60" t="s">
        <v>75</v>
      </c>
      <c r="K16" s="61" t="s">
        <v>76</v>
      </c>
      <c r="L16" s="137" t="s">
        <v>76</v>
      </c>
      <c r="M16" s="61" t="s">
        <v>105</v>
      </c>
      <c r="N16" s="138" t="s">
        <v>105</v>
      </c>
      <c r="O16" s="61" t="s">
        <v>105</v>
      </c>
      <c r="P16" s="4"/>
    </row>
    <row r="17" spans="2:16" ht="12.5">
      <c r="B17" s="9"/>
      <c r="C17" s="62">
        <f>IF(D11= "","-",D11)</f>
        <v>2017</v>
      </c>
      <c r="D17" s="63">
        <v>0</v>
      </c>
      <c r="E17" s="64">
        <f>IF(D10&gt;=100000,I$14/12*(12-D12),0)</f>
        <v>0</v>
      </c>
      <c r="F17" s="68">
        <f>IF(D11=C17,+D10-E17,+D17-E17)</f>
        <v>0</v>
      </c>
      <c r="G17" s="64">
        <f>(D17+F17)/2*I$12+E17</f>
        <v>0</v>
      </c>
      <c r="H17" s="52">
        <f>+(D17+F17)/2*I$13+E17</f>
        <v>0</v>
      </c>
      <c r="I17" s="65">
        <f>H17-G17</f>
        <v>0</v>
      </c>
      <c r="J17" s="65"/>
      <c r="K17" s="134"/>
      <c r="L17" s="66">
        <f t="shared" ref="L17:L48" si="0">IF(K17&lt;&gt;0,+G17-K17,0)</f>
        <v>0</v>
      </c>
      <c r="M17" s="134"/>
      <c r="N17" s="66">
        <f t="shared" ref="N17:N48" si="1">IF(M17&lt;&gt;0,+H17-M17,0)</f>
        <v>0</v>
      </c>
      <c r="O17" s="67">
        <f t="shared" ref="O17:O48" si="2">+N17-L17</f>
        <v>0</v>
      </c>
      <c r="P17" s="4"/>
    </row>
    <row r="18" spans="2:16" ht="12.5">
      <c r="B18" s="9" t="str">
        <f>IF(D18=F17,"","IU")</f>
        <v/>
      </c>
      <c r="C18" s="62">
        <f>IF(D11="","-",+C17+1)</f>
        <v>2018</v>
      </c>
      <c r="D18" s="71">
        <f>IF(F17+SUM(E$17:E17)=D$10,F17,D$10-SUM(E$17:E17))</f>
        <v>0</v>
      </c>
      <c r="E18" s="69">
        <f>IF(+I$14&lt;F17,I$14,D18)</f>
        <v>0</v>
      </c>
      <c r="F18" s="68">
        <f>+D18-E18</f>
        <v>0</v>
      </c>
      <c r="G18" s="70">
        <f>(D18+F18)/2*I$12+E18</f>
        <v>0</v>
      </c>
      <c r="H18" s="52">
        <f>+(D18+F18)/2*I$13+E18</f>
        <v>0</v>
      </c>
      <c r="I18" s="65">
        <f>H18-G18</f>
        <v>0</v>
      </c>
      <c r="J18" s="65"/>
      <c r="K18" s="132"/>
      <c r="L18" s="67">
        <f t="shared" si="0"/>
        <v>0</v>
      </c>
      <c r="M18" s="132"/>
      <c r="N18" s="67">
        <f t="shared" si="1"/>
        <v>0</v>
      </c>
      <c r="O18" s="67">
        <f t="shared" si="2"/>
        <v>0</v>
      </c>
      <c r="P18" s="4"/>
    </row>
    <row r="19" spans="2:16" ht="12.5">
      <c r="B19" s="9" t="str">
        <f>IF(D19=F18,"","IU")</f>
        <v/>
      </c>
      <c r="C19" s="62">
        <f>IF(D11="","-",+C18+1)</f>
        <v>2019</v>
      </c>
      <c r="D19" s="71">
        <f>IF(F18+SUM(E$17:E18)=D$10,F18,D$10-SUM(E$17:E18))</f>
        <v>0</v>
      </c>
      <c r="E19" s="69">
        <f t="shared" ref="E19:E71" si="3">IF(+I$14&lt;F18,I$14,D19)</f>
        <v>0</v>
      </c>
      <c r="F19" s="68">
        <f t="shared" ref="F19:F71" si="4">+D19-E19</f>
        <v>0</v>
      </c>
      <c r="G19" s="70">
        <f t="shared" ref="G19:G71" si="5">(D19+F19)/2*I$12+E19</f>
        <v>0</v>
      </c>
      <c r="H19" s="52">
        <f t="shared" ref="H19:H71" si="6">+(D19+F19)/2*I$13+E19</f>
        <v>0</v>
      </c>
      <c r="I19" s="65">
        <f t="shared" ref="I19:I71" si="7">H19-G19</f>
        <v>0</v>
      </c>
      <c r="J19" s="65"/>
      <c r="K19" s="132"/>
      <c r="L19" s="67">
        <f t="shared" si="0"/>
        <v>0</v>
      </c>
      <c r="M19" s="132"/>
      <c r="N19" s="67">
        <f t="shared" si="1"/>
        <v>0</v>
      </c>
      <c r="O19" s="67">
        <f t="shared" si="2"/>
        <v>0</v>
      </c>
      <c r="P19" s="4"/>
    </row>
    <row r="20" spans="2:16" ht="12.5">
      <c r="B20" s="9" t="str">
        <f t="shared" ref="B20:B72" si="8">IF(D20=F19,"","IU")</f>
        <v/>
      </c>
      <c r="C20" s="62">
        <f>IF(D11="","-",+C19+1)</f>
        <v>2020</v>
      </c>
      <c r="D20" s="71">
        <f>IF(F19+SUM(E$17:E19)=D$10,F19,D$10-SUM(E$17:E19))</f>
        <v>0</v>
      </c>
      <c r="E20" s="69">
        <f t="shared" si="3"/>
        <v>0</v>
      </c>
      <c r="F20" s="68">
        <f t="shared" si="4"/>
        <v>0</v>
      </c>
      <c r="G20" s="70">
        <f t="shared" si="5"/>
        <v>0</v>
      </c>
      <c r="H20" s="52">
        <f t="shared" si="6"/>
        <v>0</v>
      </c>
      <c r="I20" s="65">
        <f t="shared" si="7"/>
        <v>0</v>
      </c>
      <c r="J20" s="65"/>
      <c r="K20" s="132"/>
      <c r="L20" s="67">
        <f t="shared" si="0"/>
        <v>0</v>
      </c>
      <c r="M20" s="132"/>
      <c r="N20" s="67">
        <f t="shared" si="1"/>
        <v>0</v>
      </c>
      <c r="O20" s="67">
        <f t="shared" si="2"/>
        <v>0</v>
      </c>
      <c r="P20" s="4"/>
    </row>
    <row r="21" spans="2:16" ht="12.5">
      <c r="B21" s="9" t="str">
        <f t="shared" si="8"/>
        <v/>
      </c>
      <c r="C21" s="62">
        <f>IF(D11="","-",+C20+1)</f>
        <v>2021</v>
      </c>
      <c r="D21" s="71">
        <f>IF(F20+SUM(E$17:E20)=D$10,F20,D$10-SUM(E$17:E20))</f>
        <v>0</v>
      </c>
      <c r="E21" s="69">
        <f t="shared" si="3"/>
        <v>0</v>
      </c>
      <c r="F21" s="68">
        <f t="shared" si="4"/>
        <v>0</v>
      </c>
      <c r="G21" s="70">
        <f t="shared" si="5"/>
        <v>0</v>
      </c>
      <c r="H21" s="52">
        <f t="shared" si="6"/>
        <v>0</v>
      </c>
      <c r="I21" s="65">
        <f t="shared" si="7"/>
        <v>0</v>
      </c>
      <c r="J21" s="65"/>
      <c r="K21" s="132"/>
      <c r="L21" s="67">
        <f t="shared" si="0"/>
        <v>0</v>
      </c>
      <c r="M21" s="132"/>
      <c r="N21" s="67">
        <f t="shared" si="1"/>
        <v>0</v>
      </c>
      <c r="O21" s="67">
        <f t="shared" si="2"/>
        <v>0</v>
      </c>
      <c r="P21" s="4"/>
    </row>
    <row r="22" spans="2:16" ht="12.5">
      <c r="B22" s="9" t="str">
        <f t="shared" si="8"/>
        <v/>
      </c>
      <c r="C22" s="62">
        <f>IF(D11="","-",+C21+1)</f>
        <v>2022</v>
      </c>
      <c r="D22" s="71">
        <f>IF(F21+SUM(E$17:E21)=D$10,F21,D$10-SUM(E$17:E21))</f>
        <v>0</v>
      </c>
      <c r="E22" s="69">
        <f t="shared" si="3"/>
        <v>0</v>
      </c>
      <c r="F22" s="68">
        <f t="shared" si="4"/>
        <v>0</v>
      </c>
      <c r="G22" s="70">
        <f t="shared" si="5"/>
        <v>0</v>
      </c>
      <c r="H22" s="52">
        <f t="shared" si="6"/>
        <v>0</v>
      </c>
      <c r="I22" s="65">
        <f t="shared" si="7"/>
        <v>0</v>
      </c>
      <c r="J22" s="65"/>
      <c r="K22" s="132"/>
      <c r="L22" s="67">
        <f t="shared" si="0"/>
        <v>0</v>
      </c>
      <c r="M22" s="132"/>
      <c r="N22" s="67">
        <f t="shared" si="1"/>
        <v>0</v>
      </c>
      <c r="O22" s="67">
        <f t="shared" si="2"/>
        <v>0</v>
      </c>
      <c r="P22" s="4"/>
    </row>
    <row r="23" spans="2:16" ht="12.5">
      <c r="B23" s="9" t="str">
        <f t="shared" si="8"/>
        <v/>
      </c>
      <c r="C23" s="62">
        <f>IF(D11="","-",+C22+1)</f>
        <v>2023</v>
      </c>
      <c r="D23" s="71">
        <f>IF(F22+SUM(E$17:E22)=D$10,F22,D$10-SUM(E$17:E22))</f>
        <v>0</v>
      </c>
      <c r="E23" s="69">
        <f t="shared" si="3"/>
        <v>0</v>
      </c>
      <c r="F23" s="68">
        <f t="shared" si="4"/>
        <v>0</v>
      </c>
      <c r="G23" s="70">
        <f t="shared" si="5"/>
        <v>0</v>
      </c>
      <c r="H23" s="52">
        <f t="shared" si="6"/>
        <v>0</v>
      </c>
      <c r="I23" s="65">
        <f t="shared" si="7"/>
        <v>0</v>
      </c>
      <c r="J23" s="65"/>
      <c r="K23" s="132"/>
      <c r="L23" s="67">
        <f t="shared" si="0"/>
        <v>0</v>
      </c>
      <c r="M23" s="132"/>
      <c r="N23" s="67">
        <f t="shared" si="1"/>
        <v>0</v>
      </c>
      <c r="O23" s="67">
        <f t="shared" si="2"/>
        <v>0</v>
      </c>
      <c r="P23" s="4"/>
    </row>
    <row r="24" spans="2:16" ht="12.5">
      <c r="B24" s="9" t="str">
        <f t="shared" si="8"/>
        <v/>
      </c>
      <c r="C24" s="62">
        <f>IF(D11="","-",+C23+1)</f>
        <v>2024</v>
      </c>
      <c r="D24" s="71">
        <f>IF(F23+SUM(E$17:E23)=D$10,F23,D$10-SUM(E$17:E23))</f>
        <v>0</v>
      </c>
      <c r="E24" s="69">
        <f t="shared" si="3"/>
        <v>0</v>
      </c>
      <c r="F24" s="68">
        <f t="shared" si="4"/>
        <v>0</v>
      </c>
      <c r="G24" s="70">
        <f t="shared" si="5"/>
        <v>0</v>
      </c>
      <c r="H24" s="52">
        <f t="shared" si="6"/>
        <v>0</v>
      </c>
      <c r="I24" s="65">
        <f t="shared" si="7"/>
        <v>0</v>
      </c>
      <c r="J24" s="65"/>
      <c r="K24" s="132"/>
      <c r="L24" s="67">
        <f t="shared" si="0"/>
        <v>0</v>
      </c>
      <c r="M24" s="132"/>
      <c r="N24" s="67">
        <f t="shared" si="1"/>
        <v>0</v>
      </c>
      <c r="O24" s="67">
        <f t="shared" si="2"/>
        <v>0</v>
      </c>
      <c r="P24" s="4"/>
    </row>
    <row r="25" spans="2:16" ht="12.5">
      <c r="B25" s="9" t="str">
        <f t="shared" si="8"/>
        <v/>
      </c>
      <c r="C25" s="62">
        <f>IF(D11="","-",+C24+1)</f>
        <v>2025</v>
      </c>
      <c r="D25" s="71">
        <f>IF(F24+SUM(E$17:E24)=D$10,F24,D$10-SUM(E$17:E24))</f>
        <v>0</v>
      </c>
      <c r="E25" s="69">
        <f t="shared" si="3"/>
        <v>0</v>
      </c>
      <c r="F25" s="68">
        <f t="shared" si="4"/>
        <v>0</v>
      </c>
      <c r="G25" s="70">
        <f t="shared" si="5"/>
        <v>0</v>
      </c>
      <c r="H25" s="52">
        <f t="shared" si="6"/>
        <v>0</v>
      </c>
      <c r="I25" s="65">
        <f t="shared" si="7"/>
        <v>0</v>
      </c>
      <c r="J25" s="65"/>
      <c r="K25" s="132"/>
      <c r="L25" s="67">
        <f t="shared" si="0"/>
        <v>0</v>
      </c>
      <c r="M25" s="132"/>
      <c r="N25" s="67">
        <f t="shared" si="1"/>
        <v>0</v>
      </c>
      <c r="O25" s="67">
        <f t="shared" si="2"/>
        <v>0</v>
      </c>
      <c r="P25" s="4"/>
    </row>
    <row r="26" spans="2:16" ht="12.5">
      <c r="B26" s="9" t="str">
        <f t="shared" si="8"/>
        <v/>
      </c>
      <c r="C26" s="62">
        <f>IF(D11="","-",+C25+1)</f>
        <v>2026</v>
      </c>
      <c r="D26" s="71">
        <f>IF(F25+SUM(E$17:E25)=D$10,F25,D$10-SUM(E$17:E25))</f>
        <v>0</v>
      </c>
      <c r="E26" s="69">
        <f t="shared" si="3"/>
        <v>0</v>
      </c>
      <c r="F26" s="68">
        <f t="shared" si="4"/>
        <v>0</v>
      </c>
      <c r="G26" s="70">
        <f t="shared" si="5"/>
        <v>0</v>
      </c>
      <c r="H26" s="52">
        <f t="shared" si="6"/>
        <v>0</v>
      </c>
      <c r="I26" s="65">
        <f t="shared" si="7"/>
        <v>0</v>
      </c>
      <c r="J26" s="65"/>
      <c r="K26" s="132"/>
      <c r="L26" s="67">
        <f t="shared" si="0"/>
        <v>0</v>
      </c>
      <c r="M26" s="132"/>
      <c r="N26" s="67">
        <f t="shared" si="1"/>
        <v>0</v>
      </c>
      <c r="O26" s="67">
        <f t="shared" si="2"/>
        <v>0</v>
      </c>
      <c r="P26" s="4"/>
    </row>
    <row r="27" spans="2:16" ht="12.5">
      <c r="B27" s="9" t="str">
        <f t="shared" si="8"/>
        <v/>
      </c>
      <c r="C27" s="62">
        <f>IF(D11="","-",+C26+1)</f>
        <v>2027</v>
      </c>
      <c r="D27" s="71">
        <f>IF(F26+SUM(E$17:E26)=D$10,F26,D$10-SUM(E$17:E26))</f>
        <v>0</v>
      </c>
      <c r="E27" s="69">
        <f t="shared" si="3"/>
        <v>0</v>
      </c>
      <c r="F27" s="68">
        <f t="shared" si="4"/>
        <v>0</v>
      </c>
      <c r="G27" s="70">
        <f t="shared" si="5"/>
        <v>0</v>
      </c>
      <c r="H27" s="52">
        <f t="shared" si="6"/>
        <v>0</v>
      </c>
      <c r="I27" s="65">
        <f t="shared" si="7"/>
        <v>0</v>
      </c>
      <c r="J27" s="65"/>
      <c r="K27" s="132"/>
      <c r="L27" s="67">
        <f t="shared" si="0"/>
        <v>0</v>
      </c>
      <c r="M27" s="132"/>
      <c r="N27" s="67">
        <f t="shared" si="1"/>
        <v>0</v>
      </c>
      <c r="O27" s="67">
        <f t="shared" si="2"/>
        <v>0</v>
      </c>
      <c r="P27" s="4"/>
    </row>
    <row r="28" spans="2:16" ht="12.5">
      <c r="B28" s="9" t="str">
        <f t="shared" si="8"/>
        <v/>
      </c>
      <c r="C28" s="62">
        <f>IF(D11="","-",+C27+1)</f>
        <v>2028</v>
      </c>
      <c r="D28" s="71">
        <f>IF(F27+SUM(E$17:E27)=D$10,F27,D$10-SUM(E$17:E27))</f>
        <v>0</v>
      </c>
      <c r="E28" s="69">
        <f t="shared" si="3"/>
        <v>0</v>
      </c>
      <c r="F28" s="68">
        <f t="shared" si="4"/>
        <v>0</v>
      </c>
      <c r="G28" s="70">
        <f t="shared" si="5"/>
        <v>0</v>
      </c>
      <c r="H28" s="52">
        <f t="shared" si="6"/>
        <v>0</v>
      </c>
      <c r="I28" s="65">
        <f t="shared" si="7"/>
        <v>0</v>
      </c>
      <c r="J28" s="65"/>
      <c r="K28" s="132"/>
      <c r="L28" s="67">
        <f t="shared" si="0"/>
        <v>0</v>
      </c>
      <c r="M28" s="132"/>
      <c r="N28" s="67">
        <f t="shared" si="1"/>
        <v>0</v>
      </c>
      <c r="O28" s="67">
        <f t="shared" si="2"/>
        <v>0</v>
      </c>
      <c r="P28" s="4"/>
    </row>
    <row r="29" spans="2:16" ht="12.5">
      <c r="B29" s="9" t="str">
        <f t="shared" si="8"/>
        <v/>
      </c>
      <c r="C29" s="62">
        <f>IF(D11="","-",+C28+1)</f>
        <v>2029</v>
      </c>
      <c r="D29" s="71">
        <f>IF(F28+SUM(E$17:E28)=D$10,F28,D$10-SUM(E$17:E28))</f>
        <v>0</v>
      </c>
      <c r="E29" s="69">
        <f t="shared" si="3"/>
        <v>0</v>
      </c>
      <c r="F29" s="68">
        <f t="shared" si="4"/>
        <v>0</v>
      </c>
      <c r="G29" s="70">
        <f t="shared" si="5"/>
        <v>0</v>
      </c>
      <c r="H29" s="52">
        <f t="shared" si="6"/>
        <v>0</v>
      </c>
      <c r="I29" s="65">
        <f t="shared" si="7"/>
        <v>0</v>
      </c>
      <c r="J29" s="65"/>
      <c r="K29" s="132"/>
      <c r="L29" s="67">
        <f t="shared" si="0"/>
        <v>0</v>
      </c>
      <c r="M29" s="132"/>
      <c r="N29" s="67">
        <f t="shared" si="1"/>
        <v>0</v>
      </c>
      <c r="O29" s="67">
        <f t="shared" si="2"/>
        <v>0</v>
      </c>
      <c r="P29" s="4"/>
    </row>
    <row r="30" spans="2:16" ht="12.5">
      <c r="B30" s="9" t="str">
        <f t="shared" si="8"/>
        <v/>
      </c>
      <c r="C30" s="62">
        <f>IF(D11="","-",+C29+1)</f>
        <v>2030</v>
      </c>
      <c r="D30" s="71">
        <f>IF(F29+SUM(E$17:E29)=D$10,F29,D$10-SUM(E$17:E29))</f>
        <v>0</v>
      </c>
      <c r="E30" s="69">
        <f t="shared" si="3"/>
        <v>0</v>
      </c>
      <c r="F30" s="68">
        <f t="shared" si="4"/>
        <v>0</v>
      </c>
      <c r="G30" s="70">
        <f t="shared" si="5"/>
        <v>0</v>
      </c>
      <c r="H30" s="52">
        <f t="shared" si="6"/>
        <v>0</v>
      </c>
      <c r="I30" s="65">
        <f t="shared" si="7"/>
        <v>0</v>
      </c>
      <c r="J30" s="65"/>
      <c r="K30" s="132"/>
      <c r="L30" s="67">
        <f t="shared" si="0"/>
        <v>0</v>
      </c>
      <c r="M30" s="132"/>
      <c r="N30" s="67">
        <f t="shared" si="1"/>
        <v>0</v>
      </c>
      <c r="O30" s="67">
        <f t="shared" si="2"/>
        <v>0</v>
      </c>
      <c r="P30" s="4"/>
    </row>
    <row r="31" spans="2:16" ht="12.5">
      <c r="B31" s="9" t="str">
        <f t="shared" si="8"/>
        <v/>
      </c>
      <c r="C31" s="62">
        <f>IF(D11="","-",+C30+1)</f>
        <v>2031</v>
      </c>
      <c r="D31" s="71">
        <f>IF(F30+SUM(E$17:E30)=D$10,F30,D$10-SUM(E$17:E30))</f>
        <v>0</v>
      </c>
      <c r="E31" s="69">
        <f t="shared" si="3"/>
        <v>0</v>
      </c>
      <c r="F31" s="68">
        <f t="shared" si="4"/>
        <v>0</v>
      </c>
      <c r="G31" s="70">
        <f t="shared" si="5"/>
        <v>0</v>
      </c>
      <c r="H31" s="52">
        <f t="shared" si="6"/>
        <v>0</v>
      </c>
      <c r="I31" s="65">
        <f t="shared" si="7"/>
        <v>0</v>
      </c>
      <c r="J31" s="65"/>
      <c r="K31" s="132"/>
      <c r="L31" s="67">
        <f t="shared" si="0"/>
        <v>0</v>
      </c>
      <c r="M31" s="132"/>
      <c r="N31" s="67">
        <f t="shared" si="1"/>
        <v>0</v>
      </c>
      <c r="O31" s="67">
        <f t="shared" si="2"/>
        <v>0</v>
      </c>
      <c r="P31" s="4"/>
    </row>
    <row r="32" spans="2:16" ht="12.5">
      <c r="B32" s="9" t="str">
        <f t="shared" si="8"/>
        <v/>
      </c>
      <c r="C32" s="62">
        <f>IF(D11="","-",+C31+1)</f>
        <v>2032</v>
      </c>
      <c r="D32" s="71">
        <f>IF(F31+SUM(E$17:E31)=D$10,F31,D$10-SUM(E$17:E31))</f>
        <v>0</v>
      </c>
      <c r="E32" s="69">
        <f t="shared" si="3"/>
        <v>0</v>
      </c>
      <c r="F32" s="68">
        <f t="shared" si="4"/>
        <v>0</v>
      </c>
      <c r="G32" s="70">
        <f t="shared" si="5"/>
        <v>0</v>
      </c>
      <c r="H32" s="52">
        <f t="shared" si="6"/>
        <v>0</v>
      </c>
      <c r="I32" s="65">
        <f t="shared" si="7"/>
        <v>0</v>
      </c>
      <c r="J32" s="65"/>
      <c r="K32" s="132"/>
      <c r="L32" s="67">
        <f t="shared" si="0"/>
        <v>0</v>
      </c>
      <c r="M32" s="132"/>
      <c r="N32" s="67">
        <f t="shared" si="1"/>
        <v>0</v>
      </c>
      <c r="O32" s="67">
        <f t="shared" si="2"/>
        <v>0</v>
      </c>
      <c r="P32" s="4"/>
    </row>
    <row r="33" spans="2:16" ht="12.5">
      <c r="B33" s="9" t="str">
        <f t="shared" si="8"/>
        <v/>
      </c>
      <c r="C33" s="62">
        <f>IF(D11="","-",+C32+1)</f>
        <v>2033</v>
      </c>
      <c r="D33" s="71">
        <f>IF(F32+SUM(E$17:E32)=D$10,F32,D$10-SUM(E$17:E32))</f>
        <v>0</v>
      </c>
      <c r="E33" s="69">
        <f t="shared" si="3"/>
        <v>0</v>
      </c>
      <c r="F33" s="68">
        <f t="shared" si="4"/>
        <v>0</v>
      </c>
      <c r="G33" s="70">
        <f t="shared" si="5"/>
        <v>0</v>
      </c>
      <c r="H33" s="52">
        <f t="shared" si="6"/>
        <v>0</v>
      </c>
      <c r="I33" s="65">
        <f t="shared" si="7"/>
        <v>0</v>
      </c>
      <c r="J33" s="65"/>
      <c r="K33" s="132"/>
      <c r="L33" s="67">
        <f t="shared" si="0"/>
        <v>0</v>
      </c>
      <c r="M33" s="132"/>
      <c r="N33" s="67">
        <f t="shared" si="1"/>
        <v>0</v>
      </c>
      <c r="O33" s="67">
        <f t="shared" si="2"/>
        <v>0</v>
      </c>
      <c r="P33" s="4"/>
    </row>
    <row r="34" spans="2:16" ht="12.5">
      <c r="B34" s="9" t="str">
        <f t="shared" si="8"/>
        <v/>
      </c>
      <c r="C34" s="62">
        <f>IF(D11="","-",+C33+1)</f>
        <v>2034</v>
      </c>
      <c r="D34" s="71">
        <f>IF(F33+SUM(E$17:E33)=D$10,F33,D$10-SUM(E$17:E33))</f>
        <v>0</v>
      </c>
      <c r="E34" s="69">
        <f t="shared" si="3"/>
        <v>0</v>
      </c>
      <c r="F34" s="68">
        <f t="shared" si="4"/>
        <v>0</v>
      </c>
      <c r="G34" s="70">
        <f t="shared" si="5"/>
        <v>0</v>
      </c>
      <c r="H34" s="52">
        <f t="shared" si="6"/>
        <v>0</v>
      </c>
      <c r="I34" s="65">
        <f t="shared" si="7"/>
        <v>0</v>
      </c>
      <c r="J34" s="65"/>
      <c r="K34" s="132"/>
      <c r="L34" s="67">
        <f t="shared" si="0"/>
        <v>0</v>
      </c>
      <c r="M34" s="132"/>
      <c r="N34" s="67">
        <f t="shared" si="1"/>
        <v>0</v>
      </c>
      <c r="O34" s="67">
        <f t="shared" si="2"/>
        <v>0</v>
      </c>
      <c r="P34" s="4"/>
    </row>
    <row r="35" spans="2:16" ht="12.5">
      <c r="B35" s="9" t="str">
        <f t="shared" si="8"/>
        <v/>
      </c>
      <c r="C35" s="62">
        <f>IF(D11="","-",+C34+1)</f>
        <v>2035</v>
      </c>
      <c r="D35" s="71">
        <f>IF(F34+SUM(E$17:E34)=D$10,F34,D$10-SUM(E$17:E34))</f>
        <v>0</v>
      </c>
      <c r="E35" s="69">
        <f t="shared" si="3"/>
        <v>0</v>
      </c>
      <c r="F35" s="68">
        <f t="shared" si="4"/>
        <v>0</v>
      </c>
      <c r="G35" s="70">
        <f t="shared" si="5"/>
        <v>0</v>
      </c>
      <c r="H35" s="52">
        <f t="shared" si="6"/>
        <v>0</v>
      </c>
      <c r="I35" s="65">
        <f t="shared" si="7"/>
        <v>0</v>
      </c>
      <c r="J35" s="65"/>
      <c r="K35" s="132"/>
      <c r="L35" s="67">
        <f t="shared" si="0"/>
        <v>0</v>
      </c>
      <c r="M35" s="132"/>
      <c r="N35" s="67">
        <f t="shared" si="1"/>
        <v>0</v>
      </c>
      <c r="O35" s="67">
        <f t="shared" si="2"/>
        <v>0</v>
      </c>
      <c r="P35" s="4"/>
    </row>
    <row r="36" spans="2:16" ht="12.5">
      <c r="B36" s="9" t="str">
        <f t="shared" si="8"/>
        <v/>
      </c>
      <c r="C36" s="62">
        <f>IF(D11="","-",+C35+1)</f>
        <v>2036</v>
      </c>
      <c r="D36" s="71">
        <f>IF(F35+SUM(E$17:E35)=D$10,F35,D$10-SUM(E$17:E35))</f>
        <v>0</v>
      </c>
      <c r="E36" s="69">
        <f t="shared" si="3"/>
        <v>0</v>
      </c>
      <c r="F36" s="68">
        <f t="shared" si="4"/>
        <v>0</v>
      </c>
      <c r="G36" s="70">
        <f t="shared" si="5"/>
        <v>0</v>
      </c>
      <c r="H36" s="52">
        <f t="shared" si="6"/>
        <v>0</v>
      </c>
      <c r="I36" s="65">
        <f t="shared" si="7"/>
        <v>0</v>
      </c>
      <c r="J36" s="65"/>
      <c r="K36" s="132"/>
      <c r="L36" s="67">
        <f t="shared" si="0"/>
        <v>0</v>
      </c>
      <c r="M36" s="132"/>
      <c r="N36" s="67">
        <f t="shared" si="1"/>
        <v>0</v>
      </c>
      <c r="O36" s="67">
        <f t="shared" si="2"/>
        <v>0</v>
      </c>
      <c r="P36" s="4"/>
    </row>
    <row r="37" spans="2:16" ht="12.5">
      <c r="B37" s="9" t="str">
        <f t="shared" si="8"/>
        <v/>
      </c>
      <c r="C37" s="62">
        <f>IF(D11="","-",+C36+1)</f>
        <v>2037</v>
      </c>
      <c r="D37" s="71">
        <f>IF(F36+SUM(E$17:E36)=D$10,F36,D$10-SUM(E$17:E36))</f>
        <v>0</v>
      </c>
      <c r="E37" s="69">
        <f t="shared" si="3"/>
        <v>0</v>
      </c>
      <c r="F37" s="68">
        <f t="shared" si="4"/>
        <v>0</v>
      </c>
      <c r="G37" s="70">
        <f t="shared" si="5"/>
        <v>0</v>
      </c>
      <c r="H37" s="52">
        <f t="shared" si="6"/>
        <v>0</v>
      </c>
      <c r="I37" s="65">
        <f t="shared" si="7"/>
        <v>0</v>
      </c>
      <c r="J37" s="65"/>
      <c r="K37" s="132"/>
      <c r="L37" s="67">
        <f t="shared" si="0"/>
        <v>0</v>
      </c>
      <c r="M37" s="132"/>
      <c r="N37" s="67">
        <f t="shared" si="1"/>
        <v>0</v>
      </c>
      <c r="O37" s="67">
        <f t="shared" si="2"/>
        <v>0</v>
      </c>
      <c r="P37" s="4"/>
    </row>
    <row r="38" spans="2:16" ht="12.5">
      <c r="B38" s="9" t="str">
        <f t="shared" si="8"/>
        <v/>
      </c>
      <c r="C38" s="62">
        <f>IF(D11="","-",+C37+1)</f>
        <v>2038</v>
      </c>
      <c r="D38" s="71">
        <f>IF(F37+SUM(E$17:E37)=D$10,F37,D$10-SUM(E$17:E37))</f>
        <v>0</v>
      </c>
      <c r="E38" s="69">
        <f t="shared" si="3"/>
        <v>0</v>
      </c>
      <c r="F38" s="68">
        <f t="shared" si="4"/>
        <v>0</v>
      </c>
      <c r="G38" s="70">
        <f t="shared" si="5"/>
        <v>0</v>
      </c>
      <c r="H38" s="52">
        <f t="shared" si="6"/>
        <v>0</v>
      </c>
      <c r="I38" s="65">
        <f t="shared" si="7"/>
        <v>0</v>
      </c>
      <c r="J38" s="65"/>
      <c r="K38" s="132"/>
      <c r="L38" s="67">
        <f t="shared" si="0"/>
        <v>0</v>
      </c>
      <c r="M38" s="132"/>
      <c r="N38" s="67">
        <f t="shared" si="1"/>
        <v>0</v>
      </c>
      <c r="O38" s="67">
        <f t="shared" si="2"/>
        <v>0</v>
      </c>
      <c r="P38" s="4"/>
    </row>
    <row r="39" spans="2:16" ht="12.5">
      <c r="B39" s="9" t="str">
        <f t="shared" si="8"/>
        <v/>
      </c>
      <c r="C39" s="62">
        <f>IF(D11="","-",+C38+1)</f>
        <v>2039</v>
      </c>
      <c r="D39" s="71">
        <f>IF(F38+SUM(E$17:E38)=D$10,F38,D$10-SUM(E$17:E38))</f>
        <v>0</v>
      </c>
      <c r="E39" s="69">
        <f t="shared" si="3"/>
        <v>0</v>
      </c>
      <c r="F39" s="68">
        <f t="shared" si="4"/>
        <v>0</v>
      </c>
      <c r="G39" s="70">
        <f t="shared" si="5"/>
        <v>0</v>
      </c>
      <c r="H39" s="52">
        <f t="shared" si="6"/>
        <v>0</v>
      </c>
      <c r="I39" s="65">
        <f t="shared" si="7"/>
        <v>0</v>
      </c>
      <c r="J39" s="65"/>
      <c r="K39" s="132"/>
      <c r="L39" s="67">
        <f t="shared" si="0"/>
        <v>0</v>
      </c>
      <c r="M39" s="132"/>
      <c r="N39" s="67">
        <f t="shared" si="1"/>
        <v>0</v>
      </c>
      <c r="O39" s="67">
        <f t="shared" si="2"/>
        <v>0</v>
      </c>
      <c r="P39" s="4"/>
    </row>
    <row r="40" spans="2:16" ht="12.5">
      <c r="B40" s="9" t="str">
        <f t="shared" si="8"/>
        <v/>
      </c>
      <c r="C40" s="62">
        <f>IF(D11="","-",+C39+1)</f>
        <v>2040</v>
      </c>
      <c r="D40" s="71">
        <f>IF(F39+SUM(E$17:E39)=D$10,F39,D$10-SUM(E$17:E39))</f>
        <v>0</v>
      </c>
      <c r="E40" s="69">
        <f t="shared" si="3"/>
        <v>0</v>
      </c>
      <c r="F40" s="68">
        <f t="shared" si="4"/>
        <v>0</v>
      </c>
      <c r="G40" s="70">
        <f t="shared" si="5"/>
        <v>0</v>
      </c>
      <c r="H40" s="52">
        <f t="shared" si="6"/>
        <v>0</v>
      </c>
      <c r="I40" s="65">
        <f t="shared" si="7"/>
        <v>0</v>
      </c>
      <c r="J40" s="65"/>
      <c r="K40" s="132"/>
      <c r="L40" s="67">
        <f t="shared" si="0"/>
        <v>0</v>
      </c>
      <c r="M40" s="132"/>
      <c r="N40" s="67">
        <f t="shared" si="1"/>
        <v>0</v>
      </c>
      <c r="O40" s="67">
        <f t="shared" si="2"/>
        <v>0</v>
      </c>
      <c r="P40" s="4"/>
    </row>
    <row r="41" spans="2:16" ht="12.5">
      <c r="B41" s="9" t="str">
        <f t="shared" si="8"/>
        <v/>
      </c>
      <c r="C41" s="62">
        <f>IF(D11="","-",+C40+1)</f>
        <v>2041</v>
      </c>
      <c r="D41" s="71">
        <f>IF(F40+SUM(E$17:E40)=D$10,F40,D$10-SUM(E$17:E40))</f>
        <v>0</v>
      </c>
      <c r="E41" s="69">
        <f t="shared" si="3"/>
        <v>0</v>
      </c>
      <c r="F41" s="68">
        <f t="shared" si="4"/>
        <v>0</v>
      </c>
      <c r="G41" s="70">
        <f t="shared" si="5"/>
        <v>0</v>
      </c>
      <c r="H41" s="52">
        <f t="shared" si="6"/>
        <v>0</v>
      </c>
      <c r="I41" s="65">
        <f t="shared" si="7"/>
        <v>0</v>
      </c>
      <c r="J41" s="65"/>
      <c r="K41" s="132"/>
      <c r="L41" s="67">
        <f t="shared" si="0"/>
        <v>0</v>
      </c>
      <c r="M41" s="132"/>
      <c r="N41" s="67">
        <f t="shared" si="1"/>
        <v>0</v>
      </c>
      <c r="O41" s="67">
        <f t="shared" si="2"/>
        <v>0</v>
      </c>
      <c r="P41" s="4"/>
    </row>
    <row r="42" spans="2:16" ht="12.5">
      <c r="B42" s="9" t="str">
        <f t="shared" si="8"/>
        <v/>
      </c>
      <c r="C42" s="62">
        <f>IF(D11="","-",+C41+1)</f>
        <v>2042</v>
      </c>
      <c r="D42" s="71">
        <f>IF(F41+SUM(E$17:E41)=D$10,F41,D$10-SUM(E$17:E41))</f>
        <v>0</v>
      </c>
      <c r="E42" s="69">
        <f t="shared" si="3"/>
        <v>0</v>
      </c>
      <c r="F42" s="68">
        <f t="shared" si="4"/>
        <v>0</v>
      </c>
      <c r="G42" s="70">
        <f t="shared" si="5"/>
        <v>0</v>
      </c>
      <c r="H42" s="52">
        <f t="shared" si="6"/>
        <v>0</v>
      </c>
      <c r="I42" s="65">
        <f t="shared" si="7"/>
        <v>0</v>
      </c>
      <c r="J42" s="65"/>
      <c r="K42" s="132"/>
      <c r="L42" s="67">
        <f t="shared" si="0"/>
        <v>0</v>
      </c>
      <c r="M42" s="132"/>
      <c r="N42" s="67">
        <f t="shared" si="1"/>
        <v>0</v>
      </c>
      <c r="O42" s="67">
        <f t="shared" si="2"/>
        <v>0</v>
      </c>
      <c r="P42" s="4"/>
    </row>
    <row r="43" spans="2:16" ht="12.5">
      <c r="B43" s="9" t="str">
        <f t="shared" si="8"/>
        <v/>
      </c>
      <c r="C43" s="62">
        <f>IF(D11="","-",+C42+1)</f>
        <v>2043</v>
      </c>
      <c r="D43" s="71">
        <f>IF(F42+SUM(E$17:E42)=D$10,F42,D$10-SUM(E$17:E42))</f>
        <v>0</v>
      </c>
      <c r="E43" s="69">
        <f t="shared" si="3"/>
        <v>0</v>
      </c>
      <c r="F43" s="68">
        <f t="shared" si="4"/>
        <v>0</v>
      </c>
      <c r="G43" s="70">
        <f t="shared" si="5"/>
        <v>0</v>
      </c>
      <c r="H43" s="52">
        <f t="shared" si="6"/>
        <v>0</v>
      </c>
      <c r="I43" s="65">
        <f t="shared" si="7"/>
        <v>0</v>
      </c>
      <c r="J43" s="65"/>
      <c r="K43" s="132"/>
      <c r="L43" s="67">
        <f t="shared" si="0"/>
        <v>0</v>
      </c>
      <c r="M43" s="132"/>
      <c r="N43" s="67">
        <f t="shared" si="1"/>
        <v>0</v>
      </c>
      <c r="O43" s="67">
        <f t="shared" si="2"/>
        <v>0</v>
      </c>
      <c r="P43" s="4"/>
    </row>
    <row r="44" spans="2:16" ht="12.5">
      <c r="B44" s="9" t="str">
        <f t="shared" si="8"/>
        <v/>
      </c>
      <c r="C44" s="62">
        <f>IF(D11="","-",+C43+1)</f>
        <v>2044</v>
      </c>
      <c r="D44" s="71">
        <f>IF(F43+SUM(E$17:E43)=D$10,F43,D$10-SUM(E$17:E43))</f>
        <v>0</v>
      </c>
      <c r="E44" s="69">
        <f t="shared" si="3"/>
        <v>0</v>
      </c>
      <c r="F44" s="68">
        <f t="shared" si="4"/>
        <v>0</v>
      </c>
      <c r="G44" s="70">
        <f t="shared" si="5"/>
        <v>0</v>
      </c>
      <c r="H44" s="52">
        <f t="shared" si="6"/>
        <v>0</v>
      </c>
      <c r="I44" s="65">
        <f t="shared" si="7"/>
        <v>0</v>
      </c>
      <c r="J44" s="65"/>
      <c r="K44" s="132"/>
      <c r="L44" s="67">
        <f t="shared" si="0"/>
        <v>0</v>
      </c>
      <c r="M44" s="132"/>
      <c r="N44" s="67">
        <f t="shared" si="1"/>
        <v>0</v>
      </c>
      <c r="O44" s="67">
        <f t="shared" si="2"/>
        <v>0</v>
      </c>
      <c r="P44" s="4"/>
    </row>
    <row r="45" spans="2:16" ht="12.5">
      <c r="B45" s="9" t="str">
        <f t="shared" si="8"/>
        <v/>
      </c>
      <c r="C45" s="62">
        <f>IF(D11="","-",+C44+1)</f>
        <v>2045</v>
      </c>
      <c r="D45" s="71">
        <f>IF(F44+SUM(E$17:E44)=D$10,F44,D$10-SUM(E$17:E44))</f>
        <v>0</v>
      </c>
      <c r="E45" s="69">
        <f t="shared" si="3"/>
        <v>0</v>
      </c>
      <c r="F45" s="68">
        <f t="shared" si="4"/>
        <v>0</v>
      </c>
      <c r="G45" s="70">
        <f t="shared" si="5"/>
        <v>0</v>
      </c>
      <c r="H45" s="52">
        <f t="shared" si="6"/>
        <v>0</v>
      </c>
      <c r="I45" s="65">
        <f t="shared" si="7"/>
        <v>0</v>
      </c>
      <c r="J45" s="65"/>
      <c r="K45" s="132"/>
      <c r="L45" s="67">
        <f t="shared" si="0"/>
        <v>0</v>
      </c>
      <c r="M45" s="132"/>
      <c r="N45" s="67">
        <f t="shared" si="1"/>
        <v>0</v>
      </c>
      <c r="O45" s="67">
        <f t="shared" si="2"/>
        <v>0</v>
      </c>
      <c r="P45" s="4"/>
    </row>
    <row r="46" spans="2:16" ht="12.5">
      <c r="B46" s="9" t="str">
        <f t="shared" si="8"/>
        <v/>
      </c>
      <c r="C46" s="62">
        <f>IF(D11="","-",+C45+1)</f>
        <v>2046</v>
      </c>
      <c r="D46" s="71">
        <f>IF(F45+SUM(E$17:E45)=D$10,F45,D$10-SUM(E$17:E45))</f>
        <v>0</v>
      </c>
      <c r="E46" s="69">
        <f t="shared" si="3"/>
        <v>0</v>
      </c>
      <c r="F46" s="68">
        <f t="shared" si="4"/>
        <v>0</v>
      </c>
      <c r="G46" s="70">
        <f t="shared" si="5"/>
        <v>0</v>
      </c>
      <c r="H46" s="52">
        <f t="shared" si="6"/>
        <v>0</v>
      </c>
      <c r="I46" s="65">
        <f t="shared" si="7"/>
        <v>0</v>
      </c>
      <c r="J46" s="65"/>
      <c r="K46" s="132"/>
      <c r="L46" s="67">
        <f t="shared" si="0"/>
        <v>0</v>
      </c>
      <c r="M46" s="132"/>
      <c r="N46" s="67">
        <f t="shared" si="1"/>
        <v>0</v>
      </c>
      <c r="O46" s="67">
        <f t="shared" si="2"/>
        <v>0</v>
      </c>
      <c r="P46" s="4"/>
    </row>
    <row r="47" spans="2:16" ht="12.5">
      <c r="B47" s="9" t="str">
        <f t="shared" si="8"/>
        <v/>
      </c>
      <c r="C47" s="62">
        <f>IF(D11="","-",+C46+1)</f>
        <v>2047</v>
      </c>
      <c r="D47" s="71">
        <f>IF(F46+SUM(E$17:E46)=D$10,F46,D$10-SUM(E$17:E46))</f>
        <v>0</v>
      </c>
      <c r="E47" s="69">
        <f t="shared" si="3"/>
        <v>0</v>
      </c>
      <c r="F47" s="68">
        <f t="shared" si="4"/>
        <v>0</v>
      </c>
      <c r="G47" s="70">
        <f t="shared" si="5"/>
        <v>0</v>
      </c>
      <c r="H47" s="52">
        <f t="shared" si="6"/>
        <v>0</v>
      </c>
      <c r="I47" s="65">
        <f t="shared" si="7"/>
        <v>0</v>
      </c>
      <c r="J47" s="65"/>
      <c r="K47" s="132"/>
      <c r="L47" s="67">
        <f t="shared" si="0"/>
        <v>0</v>
      </c>
      <c r="M47" s="132"/>
      <c r="N47" s="67">
        <f t="shared" si="1"/>
        <v>0</v>
      </c>
      <c r="O47" s="67">
        <f t="shared" si="2"/>
        <v>0</v>
      </c>
      <c r="P47" s="4"/>
    </row>
    <row r="48" spans="2:16" ht="12.5">
      <c r="B48" s="9" t="str">
        <f t="shared" si="8"/>
        <v/>
      </c>
      <c r="C48" s="62">
        <f>IF(D11="","-",+C47+1)</f>
        <v>2048</v>
      </c>
      <c r="D48" s="71">
        <f>IF(F47+SUM(E$17:E47)=D$10,F47,D$10-SUM(E$17:E47))</f>
        <v>0</v>
      </c>
      <c r="E48" s="69">
        <f t="shared" si="3"/>
        <v>0</v>
      </c>
      <c r="F48" s="68">
        <f t="shared" si="4"/>
        <v>0</v>
      </c>
      <c r="G48" s="70">
        <f t="shared" si="5"/>
        <v>0</v>
      </c>
      <c r="H48" s="52">
        <f t="shared" si="6"/>
        <v>0</v>
      </c>
      <c r="I48" s="65">
        <f t="shared" si="7"/>
        <v>0</v>
      </c>
      <c r="J48" s="65"/>
      <c r="K48" s="132"/>
      <c r="L48" s="67">
        <f t="shared" si="0"/>
        <v>0</v>
      </c>
      <c r="M48" s="132"/>
      <c r="N48" s="67">
        <f t="shared" si="1"/>
        <v>0</v>
      </c>
      <c r="O48" s="67">
        <f t="shared" si="2"/>
        <v>0</v>
      </c>
      <c r="P48" s="4"/>
    </row>
    <row r="49" spans="2:16" ht="12.5">
      <c r="B49" s="9" t="str">
        <f t="shared" si="8"/>
        <v/>
      </c>
      <c r="C49" s="62">
        <f>IF(D11="","-",+C48+1)</f>
        <v>2049</v>
      </c>
      <c r="D49" s="71">
        <f>IF(F48+SUM(E$17:E48)=D$10,F48,D$10-SUM(E$17:E48))</f>
        <v>0</v>
      </c>
      <c r="E49" s="69">
        <f t="shared" si="3"/>
        <v>0</v>
      </c>
      <c r="F49" s="68">
        <f t="shared" si="4"/>
        <v>0</v>
      </c>
      <c r="G49" s="70">
        <f t="shared" si="5"/>
        <v>0</v>
      </c>
      <c r="H49" s="52">
        <f t="shared" si="6"/>
        <v>0</v>
      </c>
      <c r="I49" s="65">
        <f t="shared" si="7"/>
        <v>0</v>
      </c>
      <c r="J49" s="65"/>
      <c r="K49" s="132"/>
      <c r="L49" s="67">
        <f t="shared" ref="L49:L72" si="9">IF(K49&lt;&gt;0,+G49-K49,0)</f>
        <v>0</v>
      </c>
      <c r="M49" s="132"/>
      <c r="N49" s="67">
        <f t="shared" ref="N49:N72" si="10">IF(M49&lt;&gt;0,+H49-M49,0)</f>
        <v>0</v>
      </c>
      <c r="O49" s="67">
        <f t="shared" ref="O49:O72" si="11">+N49-L49</f>
        <v>0</v>
      </c>
      <c r="P49" s="4"/>
    </row>
    <row r="50" spans="2:16" ht="12.5">
      <c r="B50" s="9" t="str">
        <f t="shared" si="8"/>
        <v/>
      </c>
      <c r="C50" s="62">
        <f>IF(D11="","-",+C49+1)</f>
        <v>2050</v>
      </c>
      <c r="D50" s="71">
        <f>IF(F49+SUM(E$17:E49)=D$10,F49,D$10-SUM(E$17:E49))</f>
        <v>0</v>
      </c>
      <c r="E50" s="69">
        <f t="shared" si="3"/>
        <v>0</v>
      </c>
      <c r="F50" s="68">
        <f t="shared" si="4"/>
        <v>0</v>
      </c>
      <c r="G50" s="70">
        <f t="shared" si="5"/>
        <v>0</v>
      </c>
      <c r="H50" s="52">
        <f t="shared" si="6"/>
        <v>0</v>
      </c>
      <c r="I50" s="65">
        <f t="shared" si="7"/>
        <v>0</v>
      </c>
      <c r="J50" s="65"/>
      <c r="K50" s="132"/>
      <c r="L50" s="67">
        <f t="shared" si="9"/>
        <v>0</v>
      </c>
      <c r="M50" s="132"/>
      <c r="N50" s="67">
        <f t="shared" si="10"/>
        <v>0</v>
      </c>
      <c r="O50" s="67">
        <f t="shared" si="11"/>
        <v>0</v>
      </c>
      <c r="P50" s="4"/>
    </row>
    <row r="51" spans="2:16" ht="12.5">
      <c r="B51" s="9" t="str">
        <f t="shared" si="8"/>
        <v/>
      </c>
      <c r="C51" s="62">
        <f>IF(D11="","-",+C50+1)</f>
        <v>2051</v>
      </c>
      <c r="D51" s="71">
        <f>IF(F50+SUM(E$17:E50)=D$10,F50,D$10-SUM(E$17:E50))</f>
        <v>0</v>
      </c>
      <c r="E51" s="69">
        <f t="shared" si="3"/>
        <v>0</v>
      </c>
      <c r="F51" s="68">
        <f t="shared" si="4"/>
        <v>0</v>
      </c>
      <c r="G51" s="70">
        <f t="shared" si="5"/>
        <v>0</v>
      </c>
      <c r="H51" s="52">
        <f t="shared" si="6"/>
        <v>0</v>
      </c>
      <c r="I51" s="65">
        <f t="shared" si="7"/>
        <v>0</v>
      </c>
      <c r="J51" s="65"/>
      <c r="K51" s="132"/>
      <c r="L51" s="67">
        <f t="shared" si="9"/>
        <v>0</v>
      </c>
      <c r="M51" s="132"/>
      <c r="N51" s="67">
        <f t="shared" si="10"/>
        <v>0</v>
      </c>
      <c r="O51" s="67">
        <f t="shared" si="11"/>
        <v>0</v>
      </c>
      <c r="P51" s="4"/>
    </row>
    <row r="52" spans="2:16" ht="12.5">
      <c r="B52" s="9" t="str">
        <f t="shared" si="8"/>
        <v/>
      </c>
      <c r="C52" s="62">
        <f>IF(D11="","-",+C51+1)</f>
        <v>2052</v>
      </c>
      <c r="D52" s="71">
        <f>IF(F51+SUM(E$17:E51)=D$10,F51,D$10-SUM(E$17:E51))</f>
        <v>0</v>
      </c>
      <c r="E52" s="69">
        <f t="shared" si="3"/>
        <v>0</v>
      </c>
      <c r="F52" s="68">
        <f t="shared" si="4"/>
        <v>0</v>
      </c>
      <c r="G52" s="70">
        <f t="shared" si="5"/>
        <v>0</v>
      </c>
      <c r="H52" s="52">
        <f t="shared" si="6"/>
        <v>0</v>
      </c>
      <c r="I52" s="65">
        <f t="shared" si="7"/>
        <v>0</v>
      </c>
      <c r="J52" s="65"/>
      <c r="K52" s="132"/>
      <c r="L52" s="67">
        <f t="shared" si="9"/>
        <v>0</v>
      </c>
      <c r="M52" s="132"/>
      <c r="N52" s="67">
        <f t="shared" si="10"/>
        <v>0</v>
      </c>
      <c r="O52" s="67">
        <f t="shared" si="11"/>
        <v>0</v>
      </c>
      <c r="P52" s="4"/>
    </row>
    <row r="53" spans="2:16" ht="12.5">
      <c r="B53" s="9" t="str">
        <f t="shared" si="8"/>
        <v/>
      </c>
      <c r="C53" s="62">
        <f>IF(D11="","-",+C52+1)</f>
        <v>2053</v>
      </c>
      <c r="D53" s="71">
        <f>IF(F52+SUM(E$17:E52)=D$10,F52,D$10-SUM(E$17:E52))</f>
        <v>0</v>
      </c>
      <c r="E53" s="69">
        <f t="shared" si="3"/>
        <v>0</v>
      </c>
      <c r="F53" s="68">
        <f t="shared" si="4"/>
        <v>0</v>
      </c>
      <c r="G53" s="70">
        <f t="shared" si="5"/>
        <v>0</v>
      </c>
      <c r="H53" s="52">
        <f t="shared" si="6"/>
        <v>0</v>
      </c>
      <c r="I53" s="65">
        <f t="shared" si="7"/>
        <v>0</v>
      </c>
      <c r="J53" s="65"/>
      <c r="K53" s="132"/>
      <c r="L53" s="67">
        <f t="shared" si="9"/>
        <v>0</v>
      </c>
      <c r="M53" s="132"/>
      <c r="N53" s="67">
        <f t="shared" si="10"/>
        <v>0</v>
      </c>
      <c r="O53" s="67">
        <f t="shared" si="11"/>
        <v>0</v>
      </c>
      <c r="P53" s="4"/>
    </row>
    <row r="54" spans="2:16" ht="12.5">
      <c r="B54" s="9" t="str">
        <f t="shared" si="8"/>
        <v/>
      </c>
      <c r="C54" s="62">
        <f>IF(D11="","-",+C53+1)</f>
        <v>2054</v>
      </c>
      <c r="D54" s="71">
        <f>IF(F53+SUM(E$17:E53)=D$10,F53,D$10-SUM(E$17:E53))</f>
        <v>0</v>
      </c>
      <c r="E54" s="69">
        <f t="shared" si="3"/>
        <v>0</v>
      </c>
      <c r="F54" s="68">
        <f t="shared" si="4"/>
        <v>0</v>
      </c>
      <c r="G54" s="70">
        <f t="shared" si="5"/>
        <v>0</v>
      </c>
      <c r="H54" s="52">
        <f t="shared" si="6"/>
        <v>0</v>
      </c>
      <c r="I54" s="65">
        <f t="shared" si="7"/>
        <v>0</v>
      </c>
      <c r="J54" s="65"/>
      <c r="K54" s="132"/>
      <c r="L54" s="67">
        <f t="shared" si="9"/>
        <v>0</v>
      </c>
      <c r="M54" s="132"/>
      <c r="N54" s="67">
        <f t="shared" si="10"/>
        <v>0</v>
      </c>
      <c r="O54" s="67">
        <f t="shared" si="11"/>
        <v>0</v>
      </c>
      <c r="P54" s="4"/>
    </row>
    <row r="55" spans="2:16" ht="12.5">
      <c r="B55" s="9" t="str">
        <f t="shared" si="8"/>
        <v/>
      </c>
      <c r="C55" s="62">
        <f>IF(D11="","-",+C54+1)</f>
        <v>2055</v>
      </c>
      <c r="D55" s="71">
        <f>IF(F54+SUM(E$17:E54)=D$10,F54,D$10-SUM(E$17:E54))</f>
        <v>0</v>
      </c>
      <c r="E55" s="69">
        <f t="shared" si="3"/>
        <v>0</v>
      </c>
      <c r="F55" s="68">
        <f t="shared" si="4"/>
        <v>0</v>
      </c>
      <c r="G55" s="70">
        <f t="shared" si="5"/>
        <v>0</v>
      </c>
      <c r="H55" s="52">
        <f t="shared" si="6"/>
        <v>0</v>
      </c>
      <c r="I55" s="65">
        <f t="shared" si="7"/>
        <v>0</v>
      </c>
      <c r="J55" s="65"/>
      <c r="K55" s="132"/>
      <c r="L55" s="67">
        <f t="shared" si="9"/>
        <v>0</v>
      </c>
      <c r="M55" s="132"/>
      <c r="N55" s="67">
        <f t="shared" si="10"/>
        <v>0</v>
      </c>
      <c r="O55" s="67">
        <f t="shared" si="11"/>
        <v>0</v>
      </c>
      <c r="P55" s="4"/>
    </row>
    <row r="56" spans="2:16" ht="12.5">
      <c r="B56" s="9" t="str">
        <f t="shared" si="8"/>
        <v/>
      </c>
      <c r="C56" s="62">
        <f>IF(D11="","-",+C55+1)</f>
        <v>2056</v>
      </c>
      <c r="D56" s="71">
        <f>IF(F55+SUM(E$17:E55)=D$10,F55,D$10-SUM(E$17:E55))</f>
        <v>0</v>
      </c>
      <c r="E56" s="69">
        <f t="shared" si="3"/>
        <v>0</v>
      </c>
      <c r="F56" s="68">
        <f t="shared" si="4"/>
        <v>0</v>
      </c>
      <c r="G56" s="70">
        <f t="shared" si="5"/>
        <v>0</v>
      </c>
      <c r="H56" s="52">
        <f t="shared" si="6"/>
        <v>0</v>
      </c>
      <c r="I56" s="65">
        <f t="shared" si="7"/>
        <v>0</v>
      </c>
      <c r="J56" s="65"/>
      <c r="K56" s="132"/>
      <c r="L56" s="67">
        <f t="shared" si="9"/>
        <v>0</v>
      </c>
      <c r="M56" s="132"/>
      <c r="N56" s="67">
        <f t="shared" si="10"/>
        <v>0</v>
      </c>
      <c r="O56" s="67">
        <f t="shared" si="11"/>
        <v>0</v>
      </c>
      <c r="P56" s="4"/>
    </row>
    <row r="57" spans="2:16" ht="12.5">
      <c r="B57" s="9" t="str">
        <f t="shared" si="8"/>
        <v/>
      </c>
      <c r="C57" s="62">
        <f>IF(D11="","-",+C56+1)</f>
        <v>2057</v>
      </c>
      <c r="D57" s="71">
        <f>IF(F56+SUM(E$17:E56)=D$10,F56,D$10-SUM(E$17:E56))</f>
        <v>0</v>
      </c>
      <c r="E57" s="69">
        <f t="shared" si="3"/>
        <v>0</v>
      </c>
      <c r="F57" s="68">
        <f t="shared" si="4"/>
        <v>0</v>
      </c>
      <c r="G57" s="70">
        <f t="shared" si="5"/>
        <v>0</v>
      </c>
      <c r="H57" s="52">
        <f t="shared" si="6"/>
        <v>0</v>
      </c>
      <c r="I57" s="65">
        <f t="shared" si="7"/>
        <v>0</v>
      </c>
      <c r="J57" s="65"/>
      <c r="K57" s="132"/>
      <c r="L57" s="67">
        <f t="shared" si="9"/>
        <v>0</v>
      </c>
      <c r="M57" s="132"/>
      <c r="N57" s="67">
        <f t="shared" si="10"/>
        <v>0</v>
      </c>
      <c r="O57" s="67">
        <f t="shared" si="11"/>
        <v>0</v>
      </c>
      <c r="P57" s="4"/>
    </row>
    <row r="58" spans="2:16" ht="12.5">
      <c r="B58" s="9" t="str">
        <f t="shared" si="8"/>
        <v/>
      </c>
      <c r="C58" s="62">
        <f>IF(D11="","-",+C57+1)</f>
        <v>2058</v>
      </c>
      <c r="D58" s="71">
        <f>IF(F57+SUM(E$17:E57)=D$10,F57,D$10-SUM(E$17:E57))</f>
        <v>0</v>
      </c>
      <c r="E58" s="69">
        <f t="shared" si="3"/>
        <v>0</v>
      </c>
      <c r="F58" s="68">
        <f t="shared" si="4"/>
        <v>0</v>
      </c>
      <c r="G58" s="70">
        <f t="shared" si="5"/>
        <v>0</v>
      </c>
      <c r="H58" s="52">
        <f t="shared" si="6"/>
        <v>0</v>
      </c>
      <c r="I58" s="65">
        <f t="shared" si="7"/>
        <v>0</v>
      </c>
      <c r="J58" s="65"/>
      <c r="K58" s="132"/>
      <c r="L58" s="67">
        <f t="shared" si="9"/>
        <v>0</v>
      </c>
      <c r="M58" s="132"/>
      <c r="N58" s="67">
        <f t="shared" si="10"/>
        <v>0</v>
      </c>
      <c r="O58" s="67">
        <f t="shared" si="11"/>
        <v>0</v>
      </c>
      <c r="P58" s="4"/>
    </row>
    <row r="59" spans="2:16" ht="12.5">
      <c r="B59" s="9" t="str">
        <f t="shared" si="8"/>
        <v/>
      </c>
      <c r="C59" s="62">
        <f>IF(D11="","-",+C58+1)</f>
        <v>2059</v>
      </c>
      <c r="D59" s="71">
        <f>IF(F58+SUM(E$17:E58)=D$10,F58,D$10-SUM(E$17:E58))</f>
        <v>0</v>
      </c>
      <c r="E59" s="69">
        <f t="shared" si="3"/>
        <v>0</v>
      </c>
      <c r="F59" s="68">
        <f t="shared" si="4"/>
        <v>0</v>
      </c>
      <c r="G59" s="70">
        <f t="shared" si="5"/>
        <v>0</v>
      </c>
      <c r="H59" s="52">
        <f t="shared" si="6"/>
        <v>0</v>
      </c>
      <c r="I59" s="65">
        <f t="shared" si="7"/>
        <v>0</v>
      </c>
      <c r="J59" s="65"/>
      <c r="K59" s="132"/>
      <c r="L59" s="67">
        <f t="shared" si="9"/>
        <v>0</v>
      </c>
      <c r="M59" s="132"/>
      <c r="N59" s="67">
        <f t="shared" si="10"/>
        <v>0</v>
      </c>
      <c r="O59" s="67">
        <f t="shared" si="11"/>
        <v>0</v>
      </c>
      <c r="P59" s="4"/>
    </row>
    <row r="60" spans="2:16" ht="12.5">
      <c r="B60" s="9" t="str">
        <f t="shared" si="8"/>
        <v/>
      </c>
      <c r="C60" s="62">
        <f>IF(D11="","-",+C59+1)</f>
        <v>2060</v>
      </c>
      <c r="D60" s="71">
        <f>IF(F59+SUM(E$17:E59)=D$10,F59,D$10-SUM(E$17:E59))</f>
        <v>0</v>
      </c>
      <c r="E60" s="69">
        <f t="shared" si="3"/>
        <v>0</v>
      </c>
      <c r="F60" s="68">
        <f t="shared" si="4"/>
        <v>0</v>
      </c>
      <c r="G60" s="70">
        <f t="shared" si="5"/>
        <v>0</v>
      </c>
      <c r="H60" s="52">
        <f t="shared" si="6"/>
        <v>0</v>
      </c>
      <c r="I60" s="65">
        <f t="shared" si="7"/>
        <v>0</v>
      </c>
      <c r="J60" s="65"/>
      <c r="K60" s="132"/>
      <c r="L60" s="67">
        <f t="shared" si="9"/>
        <v>0</v>
      </c>
      <c r="M60" s="132"/>
      <c r="N60" s="67">
        <f t="shared" si="10"/>
        <v>0</v>
      </c>
      <c r="O60" s="67">
        <f t="shared" si="11"/>
        <v>0</v>
      </c>
      <c r="P60" s="4"/>
    </row>
    <row r="61" spans="2:16" ht="12.5">
      <c r="B61" s="9" t="str">
        <f t="shared" si="8"/>
        <v/>
      </c>
      <c r="C61" s="62">
        <f>IF(D11="","-",+C60+1)</f>
        <v>2061</v>
      </c>
      <c r="D61" s="71">
        <f>IF(F60+SUM(E$17:E60)=D$10,F60,D$10-SUM(E$17:E60))</f>
        <v>0</v>
      </c>
      <c r="E61" s="69">
        <f t="shared" si="3"/>
        <v>0</v>
      </c>
      <c r="F61" s="68">
        <f t="shared" si="4"/>
        <v>0</v>
      </c>
      <c r="G61" s="70">
        <f t="shared" si="5"/>
        <v>0</v>
      </c>
      <c r="H61" s="52">
        <f t="shared" si="6"/>
        <v>0</v>
      </c>
      <c r="I61" s="65">
        <f t="shared" si="7"/>
        <v>0</v>
      </c>
      <c r="J61" s="65"/>
      <c r="K61" s="132"/>
      <c r="L61" s="67">
        <f t="shared" si="9"/>
        <v>0</v>
      </c>
      <c r="M61" s="132"/>
      <c r="N61" s="67">
        <f t="shared" si="10"/>
        <v>0</v>
      </c>
      <c r="O61" s="67">
        <f t="shared" si="11"/>
        <v>0</v>
      </c>
      <c r="P61" s="4"/>
    </row>
    <row r="62" spans="2:16" ht="12.5">
      <c r="B62" s="9" t="str">
        <f t="shared" si="8"/>
        <v/>
      </c>
      <c r="C62" s="62">
        <f>IF(D11="","-",+C61+1)</f>
        <v>2062</v>
      </c>
      <c r="D62" s="71">
        <f>IF(F61+SUM(E$17:E61)=D$10,F61,D$10-SUM(E$17:E61))</f>
        <v>0</v>
      </c>
      <c r="E62" s="69">
        <f t="shared" si="3"/>
        <v>0</v>
      </c>
      <c r="F62" s="68">
        <f t="shared" si="4"/>
        <v>0</v>
      </c>
      <c r="G62" s="70">
        <f t="shared" si="5"/>
        <v>0</v>
      </c>
      <c r="H62" s="52">
        <f t="shared" si="6"/>
        <v>0</v>
      </c>
      <c r="I62" s="65">
        <f t="shared" si="7"/>
        <v>0</v>
      </c>
      <c r="J62" s="65"/>
      <c r="K62" s="132"/>
      <c r="L62" s="67">
        <f t="shared" si="9"/>
        <v>0</v>
      </c>
      <c r="M62" s="132"/>
      <c r="N62" s="67">
        <f t="shared" si="10"/>
        <v>0</v>
      </c>
      <c r="O62" s="67">
        <f t="shared" si="11"/>
        <v>0</v>
      </c>
      <c r="P62" s="4"/>
    </row>
    <row r="63" spans="2:16" ht="12.5">
      <c r="B63" s="9" t="str">
        <f t="shared" si="8"/>
        <v/>
      </c>
      <c r="C63" s="62">
        <f>IF(D11="","-",+C62+1)</f>
        <v>2063</v>
      </c>
      <c r="D63" s="71">
        <f>IF(F62+SUM(E$17:E62)=D$10,F62,D$10-SUM(E$17:E62))</f>
        <v>0</v>
      </c>
      <c r="E63" s="69">
        <f t="shared" si="3"/>
        <v>0</v>
      </c>
      <c r="F63" s="68">
        <f t="shared" si="4"/>
        <v>0</v>
      </c>
      <c r="G63" s="70">
        <f t="shared" si="5"/>
        <v>0</v>
      </c>
      <c r="H63" s="52">
        <f t="shared" si="6"/>
        <v>0</v>
      </c>
      <c r="I63" s="65">
        <f t="shared" si="7"/>
        <v>0</v>
      </c>
      <c r="J63" s="65"/>
      <c r="K63" s="132"/>
      <c r="L63" s="67">
        <f t="shared" si="9"/>
        <v>0</v>
      </c>
      <c r="M63" s="132"/>
      <c r="N63" s="67">
        <f t="shared" si="10"/>
        <v>0</v>
      </c>
      <c r="O63" s="67">
        <f t="shared" si="11"/>
        <v>0</v>
      </c>
      <c r="P63" s="4"/>
    </row>
    <row r="64" spans="2:16" ht="12.5">
      <c r="B64" s="9" t="str">
        <f t="shared" si="8"/>
        <v/>
      </c>
      <c r="C64" s="62">
        <f>IF(D11="","-",+C63+1)</f>
        <v>2064</v>
      </c>
      <c r="D64" s="71">
        <f>IF(F63+SUM(E$17:E63)=D$10,F63,D$10-SUM(E$17:E63))</f>
        <v>0</v>
      </c>
      <c r="E64" s="69">
        <f t="shared" si="3"/>
        <v>0</v>
      </c>
      <c r="F64" s="68">
        <f t="shared" si="4"/>
        <v>0</v>
      </c>
      <c r="G64" s="70">
        <f t="shared" si="5"/>
        <v>0</v>
      </c>
      <c r="H64" s="52">
        <f t="shared" si="6"/>
        <v>0</v>
      </c>
      <c r="I64" s="65">
        <f t="shared" si="7"/>
        <v>0</v>
      </c>
      <c r="J64" s="65"/>
      <c r="K64" s="132"/>
      <c r="L64" s="67">
        <f t="shared" si="9"/>
        <v>0</v>
      </c>
      <c r="M64" s="132"/>
      <c r="N64" s="67">
        <f t="shared" si="10"/>
        <v>0</v>
      </c>
      <c r="O64" s="67">
        <f t="shared" si="11"/>
        <v>0</v>
      </c>
      <c r="P64" s="4"/>
    </row>
    <row r="65" spans="2:16" ht="12.5">
      <c r="B65" s="9" t="str">
        <f t="shared" si="8"/>
        <v/>
      </c>
      <c r="C65" s="62">
        <f>IF(D11="","-",+C64+1)</f>
        <v>2065</v>
      </c>
      <c r="D65" s="71">
        <f>IF(F64+SUM(E$17:E64)=D$10,F64,D$10-SUM(E$17:E64))</f>
        <v>0</v>
      </c>
      <c r="E65" s="69">
        <f t="shared" si="3"/>
        <v>0</v>
      </c>
      <c r="F65" s="68">
        <f t="shared" si="4"/>
        <v>0</v>
      </c>
      <c r="G65" s="70">
        <f t="shared" si="5"/>
        <v>0</v>
      </c>
      <c r="H65" s="52">
        <f t="shared" si="6"/>
        <v>0</v>
      </c>
      <c r="I65" s="65">
        <f t="shared" si="7"/>
        <v>0</v>
      </c>
      <c r="J65" s="65"/>
      <c r="K65" s="132"/>
      <c r="L65" s="67">
        <f t="shared" si="9"/>
        <v>0</v>
      </c>
      <c r="M65" s="132"/>
      <c r="N65" s="67">
        <f t="shared" si="10"/>
        <v>0</v>
      </c>
      <c r="O65" s="67">
        <f t="shared" si="11"/>
        <v>0</v>
      </c>
      <c r="P65" s="4"/>
    </row>
    <row r="66" spans="2:16" ht="12.5">
      <c r="B66" s="9" t="str">
        <f t="shared" si="8"/>
        <v/>
      </c>
      <c r="C66" s="62">
        <f>IF(D11="","-",+C65+1)</f>
        <v>2066</v>
      </c>
      <c r="D66" s="71">
        <f>IF(F65+SUM(E$17:E65)=D$10,F65,D$10-SUM(E$17:E65))</f>
        <v>0</v>
      </c>
      <c r="E66" s="69">
        <f t="shared" si="3"/>
        <v>0</v>
      </c>
      <c r="F66" s="68">
        <f t="shared" si="4"/>
        <v>0</v>
      </c>
      <c r="G66" s="70">
        <f t="shared" si="5"/>
        <v>0</v>
      </c>
      <c r="H66" s="52">
        <f t="shared" si="6"/>
        <v>0</v>
      </c>
      <c r="I66" s="65">
        <f t="shared" si="7"/>
        <v>0</v>
      </c>
      <c r="J66" s="65"/>
      <c r="K66" s="132"/>
      <c r="L66" s="67">
        <f t="shared" si="9"/>
        <v>0</v>
      </c>
      <c r="M66" s="132"/>
      <c r="N66" s="67">
        <f t="shared" si="10"/>
        <v>0</v>
      </c>
      <c r="O66" s="67">
        <f t="shared" si="11"/>
        <v>0</v>
      </c>
      <c r="P66" s="4"/>
    </row>
    <row r="67" spans="2:16" ht="12.5">
      <c r="B67" s="9" t="str">
        <f t="shared" si="8"/>
        <v/>
      </c>
      <c r="C67" s="62">
        <f>IF(D11="","-",+C66+1)</f>
        <v>2067</v>
      </c>
      <c r="D67" s="71">
        <f>IF(F66+SUM(E$17:E66)=D$10,F66,D$10-SUM(E$17:E66))</f>
        <v>0</v>
      </c>
      <c r="E67" s="69">
        <f t="shared" si="3"/>
        <v>0</v>
      </c>
      <c r="F67" s="68">
        <f t="shared" si="4"/>
        <v>0</v>
      </c>
      <c r="G67" s="70">
        <f t="shared" si="5"/>
        <v>0</v>
      </c>
      <c r="H67" s="52">
        <f t="shared" si="6"/>
        <v>0</v>
      </c>
      <c r="I67" s="65">
        <f t="shared" si="7"/>
        <v>0</v>
      </c>
      <c r="J67" s="65"/>
      <c r="K67" s="132"/>
      <c r="L67" s="67">
        <f t="shared" si="9"/>
        <v>0</v>
      </c>
      <c r="M67" s="132"/>
      <c r="N67" s="67">
        <f t="shared" si="10"/>
        <v>0</v>
      </c>
      <c r="O67" s="67">
        <f t="shared" si="11"/>
        <v>0</v>
      </c>
      <c r="P67" s="4"/>
    </row>
    <row r="68" spans="2:16" ht="12.5">
      <c r="B68" s="9" t="str">
        <f t="shared" si="8"/>
        <v/>
      </c>
      <c r="C68" s="62">
        <f>IF(D11="","-",+C67+1)</f>
        <v>2068</v>
      </c>
      <c r="D68" s="71">
        <f>IF(F67+SUM(E$17:E67)=D$10,F67,D$10-SUM(E$17:E67))</f>
        <v>0</v>
      </c>
      <c r="E68" s="69">
        <f t="shared" si="3"/>
        <v>0</v>
      </c>
      <c r="F68" s="68">
        <f t="shared" si="4"/>
        <v>0</v>
      </c>
      <c r="G68" s="70">
        <f t="shared" si="5"/>
        <v>0</v>
      </c>
      <c r="H68" s="52">
        <f t="shared" si="6"/>
        <v>0</v>
      </c>
      <c r="I68" s="65">
        <f t="shared" si="7"/>
        <v>0</v>
      </c>
      <c r="J68" s="65"/>
      <c r="K68" s="132"/>
      <c r="L68" s="67">
        <f t="shared" si="9"/>
        <v>0</v>
      </c>
      <c r="M68" s="132"/>
      <c r="N68" s="67">
        <f t="shared" si="10"/>
        <v>0</v>
      </c>
      <c r="O68" s="67">
        <f t="shared" si="11"/>
        <v>0</v>
      </c>
      <c r="P68" s="4"/>
    </row>
    <row r="69" spans="2:16" ht="12.5">
      <c r="B69" s="9" t="str">
        <f t="shared" si="8"/>
        <v/>
      </c>
      <c r="C69" s="62">
        <f>IF(D11="","-",+C68+1)</f>
        <v>2069</v>
      </c>
      <c r="D69" s="71">
        <f>IF(F68+SUM(E$17:E68)=D$10,F68,D$10-SUM(E$17:E68))</f>
        <v>0</v>
      </c>
      <c r="E69" s="69">
        <f t="shared" si="3"/>
        <v>0</v>
      </c>
      <c r="F69" s="68">
        <f t="shared" si="4"/>
        <v>0</v>
      </c>
      <c r="G69" s="70">
        <f t="shared" si="5"/>
        <v>0</v>
      </c>
      <c r="H69" s="52">
        <f t="shared" si="6"/>
        <v>0</v>
      </c>
      <c r="I69" s="65">
        <f t="shared" si="7"/>
        <v>0</v>
      </c>
      <c r="J69" s="65"/>
      <c r="K69" s="132"/>
      <c r="L69" s="67">
        <f t="shared" si="9"/>
        <v>0</v>
      </c>
      <c r="M69" s="132"/>
      <c r="N69" s="67">
        <f t="shared" si="10"/>
        <v>0</v>
      </c>
      <c r="O69" s="67">
        <f t="shared" si="11"/>
        <v>0</v>
      </c>
      <c r="P69" s="4"/>
    </row>
    <row r="70" spans="2:16" ht="12.5">
      <c r="B70" s="9" t="str">
        <f t="shared" si="8"/>
        <v/>
      </c>
      <c r="C70" s="62">
        <f>IF(D11="","-",+C69+1)</f>
        <v>2070</v>
      </c>
      <c r="D70" s="71">
        <f>IF(F69+SUM(E$17:E69)=D$10,F69,D$10-SUM(E$17:E69))</f>
        <v>0</v>
      </c>
      <c r="E70" s="69">
        <f t="shared" si="3"/>
        <v>0</v>
      </c>
      <c r="F70" s="68">
        <f t="shared" si="4"/>
        <v>0</v>
      </c>
      <c r="G70" s="70">
        <f t="shared" si="5"/>
        <v>0</v>
      </c>
      <c r="H70" s="52">
        <f t="shared" si="6"/>
        <v>0</v>
      </c>
      <c r="I70" s="65">
        <f t="shared" si="7"/>
        <v>0</v>
      </c>
      <c r="J70" s="65"/>
      <c r="K70" s="132"/>
      <c r="L70" s="67">
        <f t="shared" si="9"/>
        <v>0</v>
      </c>
      <c r="M70" s="132"/>
      <c r="N70" s="67">
        <f t="shared" si="10"/>
        <v>0</v>
      </c>
      <c r="O70" s="67">
        <f t="shared" si="11"/>
        <v>0</v>
      </c>
      <c r="P70" s="4"/>
    </row>
    <row r="71" spans="2:16" ht="12.5">
      <c r="B71" s="9" t="str">
        <f t="shared" si="8"/>
        <v/>
      </c>
      <c r="C71" s="62">
        <f>IF(D11="","-",+C70+1)</f>
        <v>2071</v>
      </c>
      <c r="D71" s="71">
        <f>IF(F70+SUM(E$17:E70)=D$10,F70,D$10-SUM(E$17:E70))</f>
        <v>0</v>
      </c>
      <c r="E71" s="69">
        <f t="shared" si="3"/>
        <v>0</v>
      </c>
      <c r="F71" s="68">
        <f t="shared" si="4"/>
        <v>0</v>
      </c>
      <c r="G71" s="70">
        <f t="shared" si="5"/>
        <v>0</v>
      </c>
      <c r="H71" s="52">
        <f t="shared" si="6"/>
        <v>0</v>
      </c>
      <c r="I71" s="65">
        <f t="shared" si="7"/>
        <v>0</v>
      </c>
      <c r="J71" s="65"/>
      <c r="K71" s="132"/>
      <c r="L71" s="67">
        <f t="shared" si="9"/>
        <v>0</v>
      </c>
      <c r="M71" s="132"/>
      <c r="N71" s="67">
        <f t="shared" si="10"/>
        <v>0</v>
      </c>
      <c r="O71" s="67">
        <f t="shared" si="11"/>
        <v>0</v>
      </c>
      <c r="P71" s="4"/>
    </row>
    <row r="72" spans="2:16" ht="13" thickBot="1">
      <c r="B72" s="9" t="str">
        <f t="shared" si="8"/>
        <v/>
      </c>
      <c r="C72" s="72">
        <f>IF(D11="","-",+C71+1)</f>
        <v>2072</v>
      </c>
      <c r="D72" s="147">
        <f>IF(F71+SUM(E$17:E71)=D$10,F71,D$10-SUM(E$17:E71))</f>
        <v>0</v>
      </c>
      <c r="E72" s="74">
        <f>IF(+I$14&lt;F71,I$14,D72)</f>
        <v>0</v>
      </c>
      <c r="F72" s="73">
        <f>+D72-E72</f>
        <v>0</v>
      </c>
      <c r="G72" s="146">
        <f>(D72+F72)/2*I$12+E72</f>
        <v>0</v>
      </c>
      <c r="H72" s="35">
        <f>+(D72+F72)/2*I$13+E72</f>
        <v>0</v>
      </c>
      <c r="I72" s="75">
        <f>H72-G72</f>
        <v>0</v>
      </c>
      <c r="J72" s="65"/>
      <c r="K72" s="133"/>
      <c r="L72" s="76">
        <f t="shared" si="9"/>
        <v>0</v>
      </c>
      <c r="M72" s="133"/>
      <c r="N72" s="76">
        <f t="shared" si="10"/>
        <v>0</v>
      </c>
      <c r="O72" s="76">
        <f t="shared" si="11"/>
        <v>0</v>
      </c>
      <c r="P72" s="4"/>
    </row>
    <row r="73" spans="2:16" ht="12.5">
      <c r="C73" s="63" t="s">
        <v>77</v>
      </c>
      <c r="D73" s="20"/>
      <c r="E73" s="20">
        <f>SUM(E17:E72)</f>
        <v>0</v>
      </c>
      <c r="F73" s="20"/>
      <c r="G73" s="20">
        <f>SUM(G17:G72)</f>
        <v>0</v>
      </c>
      <c r="H73" s="20">
        <f>SUM(H17:H72)</f>
        <v>0</v>
      </c>
      <c r="I73" s="20">
        <f>SUM(I17:I72)</f>
        <v>0</v>
      </c>
      <c r="J73" s="20"/>
      <c r="K73" s="20"/>
      <c r="L73" s="20"/>
      <c r="M73" s="20"/>
      <c r="N73" s="20"/>
      <c r="O73" s="4"/>
      <c r="P73" s="4"/>
    </row>
    <row r="74" spans="2:16" ht="12.5">
      <c r="D74" s="2"/>
      <c r="E74" s="1"/>
      <c r="F74" s="1"/>
      <c r="G74" s="1"/>
      <c r="H74" s="3"/>
      <c r="I74" s="3"/>
      <c r="J74" s="20"/>
      <c r="K74" s="3"/>
      <c r="L74" s="3"/>
      <c r="M74" s="3"/>
      <c r="N74" s="3"/>
      <c r="O74" s="1"/>
      <c r="P74" s="1"/>
    </row>
    <row r="75" spans="2:16" ht="13">
      <c r="C75" s="77" t="s">
        <v>106</v>
      </c>
      <c r="D75" s="2"/>
      <c r="E75" s="1"/>
      <c r="F75" s="1"/>
      <c r="G75" s="1"/>
      <c r="H75" s="3"/>
      <c r="I75" s="3"/>
      <c r="J75" s="20"/>
      <c r="K75" s="3"/>
      <c r="L75" s="3"/>
      <c r="M75" s="3"/>
      <c r="N75" s="3"/>
      <c r="O75" s="1"/>
      <c r="P75" s="1"/>
    </row>
    <row r="76" spans="2:16" ht="13">
      <c r="C76" s="32" t="s">
        <v>78</v>
      </c>
      <c r="D76" s="2"/>
      <c r="E76" s="1"/>
      <c r="F76" s="1"/>
      <c r="G76" s="1"/>
      <c r="H76" s="3"/>
      <c r="I76" s="3"/>
      <c r="J76" s="20"/>
      <c r="K76" s="3"/>
      <c r="L76" s="3"/>
      <c r="M76" s="3"/>
      <c r="N76" s="3"/>
      <c r="O76" s="4"/>
      <c r="P76" s="4"/>
    </row>
    <row r="77" spans="2:16" ht="13">
      <c r="C77" s="32" t="s">
        <v>79</v>
      </c>
      <c r="D77" s="63"/>
      <c r="E77" s="63"/>
      <c r="F77" s="63"/>
      <c r="G77" s="20"/>
      <c r="H77" s="20"/>
      <c r="I77" s="78"/>
      <c r="J77" s="78"/>
      <c r="K77" s="78"/>
      <c r="L77" s="78"/>
      <c r="M77" s="78"/>
      <c r="N77" s="78"/>
      <c r="O77" s="4"/>
      <c r="P77" s="4"/>
    </row>
    <row r="78" spans="2:16" ht="13">
      <c r="C78" s="32"/>
      <c r="D78" s="63"/>
      <c r="E78" s="63"/>
      <c r="F78" s="63"/>
      <c r="G78" s="20"/>
      <c r="H78" s="20"/>
      <c r="I78" s="78"/>
      <c r="J78" s="78"/>
      <c r="K78" s="78"/>
      <c r="L78" s="78"/>
      <c r="M78" s="78"/>
      <c r="N78" s="78"/>
      <c r="O78" s="4"/>
      <c r="P78" s="1"/>
    </row>
    <row r="79" spans="2:16" ht="12.5">
      <c r="B79" s="1"/>
      <c r="C79" s="10"/>
      <c r="D79" s="2"/>
      <c r="E79" s="1"/>
      <c r="F79" s="18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7.5">
      <c r="B80" s="1"/>
      <c r="C80" s="109"/>
      <c r="D80" s="2"/>
      <c r="E80" s="1"/>
      <c r="F80" s="18"/>
      <c r="G80" s="1"/>
      <c r="H80" s="3"/>
      <c r="I80" s="1"/>
      <c r="J80" s="4"/>
      <c r="K80" s="1"/>
      <c r="L80" s="1"/>
      <c r="M80" s="1"/>
      <c r="N80" s="1"/>
      <c r="P80" s="111" t="s">
        <v>144</v>
      </c>
    </row>
    <row r="81" spans="1:16" ht="12.5">
      <c r="B81" s="1"/>
      <c r="C81" s="10"/>
      <c r="D81" s="2"/>
      <c r="E81" s="1"/>
      <c r="F81" s="18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 ht="12.5">
      <c r="B82" s="1"/>
      <c r="C82" s="10"/>
      <c r="D82" s="2"/>
      <c r="E82" s="1"/>
      <c r="F82" s="18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">
      <c r="A83" s="110" t="s">
        <v>146</v>
      </c>
      <c r="B83" s="1"/>
      <c r="C83" s="10"/>
      <c r="D83" s="2"/>
      <c r="E83" s="1"/>
      <c r="F83" s="15"/>
      <c r="G83" s="15"/>
      <c r="H83" s="1"/>
      <c r="I83" s="3"/>
      <c r="K83" s="7"/>
      <c r="L83" s="19"/>
      <c r="M83" s="19"/>
      <c r="P83" s="19" t="str">
        <f ca="1">P1</f>
        <v>PSO Project nk of 28</v>
      </c>
    </row>
    <row r="84" spans="1:16" ht="17.5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117" t="s">
        <v>151</v>
      </c>
    </row>
    <row r="85" spans="1:16" ht="17.5" thickBot="1">
      <c r="B85" s="5" t="s">
        <v>42</v>
      </c>
      <c r="C85" s="80" t="s">
        <v>91</v>
      </c>
      <c r="D85" s="2"/>
      <c r="E85" s="1"/>
      <c r="F85" s="1"/>
      <c r="G85" s="1"/>
      <c r="H85" s="1"/>
      <c r="I85" s="3"/>
      <c r="J85" s="3"/>
      <c r="K85" s="20"/>
      <c r="L85" s="3"/>
      <c r="M85" s="3"/>
      <c r="N85" s="3"/>
      <c r="O85" s="20"/>
      <c r="P85" s="1"/>
    </row>
    <row r="86" spans="1:16" ht="16" thickBot="1">
      <c r="C86" s="13"/>
      <c r="D86" s="2"/>
      <c r="E86" s="1"/>
      <c r="F86" s="1"/>
      <c r="G86" s="1"/>
      <c r="H86" s="1"/>
      <c r="I86" s="3"/>
      <c r="J86" s="3"/>
      <c r="K86" s="20"/>
      <c r="L86" s="118">
        <f>+J92</f>
        <v>2019</v>
      </c>
      <c r="M86" s="119" t="s">
        <v>8</v>
      </c>
      <c r="N86" s="120" t="s">
        <v>153</v>
      </c>
      <c r="O86" s="121" t="s">
        <v>10</v>
      </c>
      <c r="P86" s="1"/>
    </row>
    <row r="87" spans="1:16" ht="15.5">
      <c r="C87" s="107" t="s">
        <v>44</v>
      </c>
      <c r="D87" s="2"/>
      <c r="E87" s="1"/>
      <c r="F87" s="1"/>
      <c r="G87" s="1"/>
      <c r="H87" s="22"/>
      <c r="I87" s="1" t="s">
        <v>45</v>
      </c>
      <c r="J87" s="1"/>
      <c r="K87" s="122"/>
      <c r="L87" s="123" t="s">
        <v>154</v>
      </c>
      <c r="M87" s="81">
        <f>IF(J92&lt;D11,0,VLOOKUP(J92,C17:O72,9))</f>
        <v>0</v>
      </c>
      <c r="N87" s="81">
        <f>IF(J92&lt;D11,0,VLOOKUP(J92,C17:O72,11))</f>
        <v>0</v>
      </c>
      <c r="O87" s="82">
        <f>+N87-M87</f>
        <v>0</v>
      </c>
      <c r="P87" s="1"/>
    </row>
    <row r="88" spans="1:16" ht="15.5">
      <c r="C88" s="8"/>
      <c r="D88" s="2"/>
      <c r="E88" s="1"/>
      <c r="F88" s="1"/>
      <c r="G88" s="1"/>
      <c r="H88" s="1"/>
      <c r="I88" s="27"/>
      <c r="J88" s="27"/>
      <c r="K88" s="124"/>
      <c r="L88" s="125" t="s">
        <v>155</v>
      </c>
      <c r="M88" s="83">
        <f>IF(J92&lt;D11,0,VLOOKUP(J92,C99:P154,6))</f>
        <v>0</v>
      </c>
      <c r="N88" s="83">
        <f>IF(J92&lt;D11,0,VLOOKUP(J92,C99:P154,7))</f>
        <v>0</v>
      </c>
      <c r="O88" s="84">
        <f>+N88-M88</f>
        <v>0</v>
      </c>
      <c r="P88" s="1"/>
    </row>
    <row r="89" spans="1:16" ht="13.5" thickBot="1">
      <c r="C89" s="32" t="s">
        <v>92</v>
      </c>
      <c r="D89" s="113" t="str">
        <f>+D7</f>
        <v>inset project name here</v>
      </c>
      <c r="E89" s="1"/>
      <c r="F89" s="1"/>
      <c r="G89" s="1"/>
      <c r="H89" s="1"/>
      <c r="I89" s="3"/>
      <c r="J89" s="3"/>
      <c r="K89" s="126"/>
      <c r="L89" s="127" t="s">
        <v>156</v>
      </c>
      <c r="M89" s="86">
        <f>+M88-M87</f>
        <v>0</v>
      </c>
      <c r="N89" s="86">
        <f>+N88-N87</f>
        <v>0</v>
      </c>
      <c r="O89" s="87">
        <f>+O88-O87</f>
        <v>0</v>
      </c>
      <c r="P89" s="1"/>
    </row>
    <row r="90" spans="1:16" ht="13.5" thickBot="1">
      <c r="C90" s="77"/>
      <c r="D90" s="79" t="str">
        <f>D8</f>
        <v>DOES NOT MEET SPP $100,000 MINIMUM INVESTMENT FOR REGIONAL BPU SHARING.</v>
      </c>
      <c r="E90" s="18"/>
      <c r="F90" s="18"/>
      <c r="G90" s="18"/>
      <c r="H90" s="37"/>
      <c r="I90" s="3"/>
      <c r="J90" s="3"/>
      <c r="K90" s="20"/>
      <c r="L90" s="3"/>
      <c r="M90" s="3"/>
      <c r="N90" s="3"/>
      <c r="O90" s="20"/>
      <c r="P90" s="1"/>
    </row>
    <row r="91" spans="1:16" ht="13.5" thickBot="1">
      <c r="A91" s="17"/>
      <c r="C91" s="88" t="s">
        <v>93</v>
      </c>
      <c r="D91" s="105">
        <f>+D9</f>
        <v>0</v>
      </c>
      <c r="E91" s="89"/>
      <c r="F91" s="89"/>
      <c r="G91" s="89"/>
      <c r="H91" s="89"/>
      <c r="I91" s="89"/>
      <c r="J91" s="89"/>
      <c r="K91" s="90"/>
      <c r="P91" s="42"/>
    </row>
    <row r="92" spans="1:16" ht="13">
      <c r="C92" s="145" t="s">
        <v>226</v>
      </c>
      <c r="D92" s="101">
        <f>IF(D11=I10,0,D10)</f>
        <v>0</v>
      </c>
      <c r="E92" s="10" t="s">
        <v>94</v>
      </c>
      <c r="H92" s="44"/>
      <c r="I92" s="44"/>
      <c r="J92" s="45">
        <f>+'PSO.WS.G.BPU.ATRR.True-up'!M16</f>
        <v>2019</v>
      </c>
      <c r="K92" s="41"/>
      <c r="L92" s="20" t="s">
        <v>95</v>
      </c>
      <c r="P92" s="4"/>
    </row>
    <row r="93" spans="1:16" ht="12.5">
      <c r="C93" s="46" t="s">
        <v>53</v>
      </c>
      <c r="D93" s="102">
        <v>2015</v>
      </c>
      <c r="E93" s="46" t="s">
        <v>54</v>
      </c>
      <c r="F93" s="44"/>
      <c r="G93" s="44"/>
      <c r="J93" s="48">
        <f>IF(H87="",0,'PSO.WS.G.BPU.ATRR.True-up'!$F$13)</f>
        <v>0</v>
      </c>
      <c r="K93" s="49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 ht="12.5">
      <c r="C94" s="46" t="s">
        <v>55</v>
      </c>
      <c r="D94" s="101">
        <f>IF(D11=I10,"",D12)</f>
        <v>4</v>
      </c>
      <c r="E94" s="46" t="s">
        <v>56</v>
      </c>
      <c r="F94" s="44"/>
      <c r="G94" s="44"/>
      <c r="J94" s="50">
        <f>'PSO.WS.G.BPU.ATRR.True-up'!$F$81</f>
        <v>0.10311402608063032</v>
      </c>
      <c r="K94" s="51"/>
      <c r="L94" t="s">
        <v>96</v>
      </c>
      <c r="P94" s="4"/>
    </row>
    <row r="95" spans="1:16" ht="12.5">
      <c r="C95" s="46" t="s">
        <v>58</v>
      </c>
      <c r="D95" s="48">
        <f>'PSO.WS.G.BPU.ATRR.True-up'!F$93</f>
        <v>41</v>
      </c>
      <c r="E95" s="46" t="s">
        <v>59</v>
      </c>
      <c r="F95" s="44"/>
      <c r="G95" s="44"/>
      <c r="J95" s="50">
        <f>IF(H87="",J94,'PSO.WS.G.BPU.ATRR.True-up'!$F$80)</f>
        <v>0.10311402608063032</v>
      </c>
      <c r="K95" s="11"/>
      <c r="L95" s="20" t="s">
        <v>60</v>
      </c>
      <c r="M95" s="11"/>
      <c r="N95" s="11"/>
      <c r="O95" s="11"/>
      <c r="P95" s="4"/>
    </row>
    <row r="96" spans="1:16" ht="13" thickBot="1">
      <c r="C96" s="46" t="s">
        <v>61</v>
      </c>
      <c r="D96" s="103" t="str">
        <f>+D14</f>
        <v>No</v>
      </c>
      <c r="E96" s="85" t="s">
        <v>63</v>
      </c>
      <c r="F96" s="91"/>
      <c r="G96" s="91"/>
      <c r="H96" s="92"/>
      <c r="I96" s="92"/>
      <c r="J96" s="35">
        <f>IF(D92=0,0,ROUND(D92/D95,0))</f>
        <v>0</v>
      </c>
      <c r="K96" s="20"/>
      <c r="L96" s="20"/>
      <c r="M96" s="20"/>
      <c r="N96" s="20"/>
      <c r="O96" s="20"/>
      <c r="P96" s="4"/>
    </row>
    <row r="97" spans="1:16" ht="39">
      <c r="A97" s="6"/>
      <c r="B97" s="6"/>
      <c r="C97" s="93" t="s">
        <v>50</v>
      </c>
      <c r="D97" s="94" t="s">
        <v>64</v>
      </c>
      <c r="E97" s="56" t="s">
        <v>65</v>
      </c>
      <c r="F97" s="56" t="s">
        <v>66</v>
      </c>
      <c r="G97" s="54" t="s">
        <v>97</v>
      </c>
      <c r="H97" s="144" t="s">
        <v>286</v>
      </c>
      <c r="I97" s="135" t="s">
        <v>287</v>
      </c>
      <c r="J97" s="93" t="s">
        <v>98</v>
      </c>
      <c r="K97" s="95"/>
      <c r="L97" s="56" t="s">
        <v>102</v>
      </c>
      <c r="M97" s="56" t="s">
        <v>99</v>
      </c>
      <c r="N97" s="56" t="s">
        <v>102</v>
      </c>
      <c r="O97" s="56" t="s">
        <v>99</v>
      </c>
      <c r="P97" s="56" t="s">
        <v>69</v>
      </c>
    </row>
    <row r="98" spans="1:16" ht="13.5" thickBot="1">
      <c r="C98" s="57" t="s">
        <v>70</v>
      </c>
      <c r="D98" s="96" t="s">
        <v>71</v>
      </c>
      <c r="E98" s="57" t="s">
        <v>72</v>
      </c>
      <c r="F98" s="57" t="s">
        <v>71</v>
      </c>
      <c r="G98" s="57" t="s">
        <v>71</v>
      </c>
      <c r="H98" s="128" t="s">
        <v>73</v>
      </c>
      <c r="I98" s="58" t="s">
        <v>74</v>
      </c>
      <c r="J98" s="59" t="s">
        <v>104</v>
      </c>
      <c r="K98" s="60"/>
      <c r="L98" s="61" t="s">
        <v>76</v>
      </c>
      <c r="M98" s="61" t="s">
        <v>76</v>
      </c>
      <c r="N98" s="61" t="s">
        <v>105</v>
      </c>
      <c r="O98" s="61" t="s">
        <v>105</v>
      </c>
      <c r="P98" s="61" t="s">
        <v>105</v>
      </c>
    </row>
    <row r="99" spans="1:16" ht="12.5">
      <c r="C99" s="62">
        <f>IF(D93= "","-",D93)</f>
        <v>2015</v>
      </c>
      <c r="D99" s="63">
        <v>0</v>
      </c>
      <c r="E99" s="70">
        <f>IF(OR(D11=I10,D92&lt;100000),0,J$96/12*(12-D94))</f>
        <v>0</v>
      </c>
      <c r="F99" s="68">
        <f>IF(D93=C99,+D92-E99,+D99-E99)</f>
        <v>0</v>
      </c>
      <c r="G99" s="97">
        <f>+(F99+D99)/2</f>
        <v>0</v>
      </c>
      <c r="H99" s="97">
        <f>+J$94*G99+E99</f>
        <v>0</v>
      </c>
      <c r="I99" s="97">
        <f>+J$95*G99+E99</f>
        <v>0</v>
      </c>
      <c r="J99" s="67">
        <f>+I99-H99</f>
        <v>0</v>
      </c>
      <c r="K99" s="67"/>
      <c r="L99" s="131"/>
      <c r="M99" s="66">
        <f t="shared" ref="M99:M130" si="12">IF(L99&lt;&gt;0,+H99-L99,0)</f>
        <v>0</v>
      </c>
      <c r="N99" s="131"/>
      <c r="O99" s="66">
        <f t="shared" ref="O99:O130" si="13">IF(N99&lt;&gt;0,+I99-N99,0)</f>
        <v>0</v>
      </c>
      <c r="P99" s="66">
        <f t="shared" ref="P99:P130" si="14">+O99-M99</f>
        <v>0</v>
      </c>
    </row>
    <row r="100" spans="1:16" ht="12.5">
      <c r="B100" s="9" t="str">
        <f>IF(D100=F99,"","IU")</f>
        <v/>
      </c>
      <c r="C100" s="62">
        <f>IF(D93="","-",+C99+1)</f>
        <v>2016</v>
      </c>
      <c r="D100" s="63">
        <f>IF(F99+SUM(E$99:E99)=D$92,F99,D$92-SUM(E$99:E99))</f>
        <v>0</v>
      </c>
      <c r="E100" s="69">
        <f>IF(+J$96&lt;F99,J$96,D100)</f>
        <v>0</v>
      </c>
      <c r="F100" s="68">
        <f>+D100-E100</f>
        <v>0</v>
      </c>
      <c r="G100" s="68">
        <f>+(F100+D100)/2</f>
        <v>0</v>
      </c>
      <c r="H100" s="130">
        <f t="shared" ref="H100:H154" si="15">+J$94*G100+E100</f>
        <v>0</v>
      </c>
      <c r="I100" s="139">
        <f t="shared" ref="I100:I154" si="16">+J$95*G100+E100</f>
        <v>0</v>
      </c>
      <c r="J100" s="67">
        <f t="shared" ref="J100:J130" si="17">+I100-H100</f>
        <v>0</v>
      </c>
      <c r="K100" s="67"/>
      <c r="L100" s="132"/>
      <c r="M100" s="67">
        <f t="shared" si="12"/>
        <v>0</v>
      </c>
      <c r="N100" s="132"/>
      <c r="O100" s="67">
        <f t="shared" si="13"/>
        <v>0</v>
      </c>
      <c r="P100" s="67">
        <f t="shared" si="14"/>
        <v>0</v>
      </c>
    </row>
    <row r="101" spans="1:16" ht="12.5">
      <c r="B101" s="9" t="str">
        <f t="shared" ref="B101:B154" si="18">IF(D101=F100,"","IU")</f>
        <v/>
      </c>
      <c r="C101" s="62">
        <f>IF(D93="","-",+C100+1)</f>
        <v>2017</v>
      </c>
      <c r="D101" s="63">
        <f>IF(F100+SUM(E$99:E100)=D$92,F100,D$92-SUM(E$99:E100))</f>
        <v>0</v>
      </c>
      <c r="E101" s="69">
        <f t="shared" ref="E101:E154" si="19">IF(+J$96&lt;F100,J$96,D101)</f>
        <v>0</v>
      </c>
      <c r="F101" s="68">
        <f t="shared" ref="F101:F154" si="20">+D101-E101</f>
        <v>0</v>
      </c>
      <c r="G101" s="68">
        <f t="shared" ref="G101:G154" si="21">+(F101+D101)/2</f>
        <v>0</v>
      </c>
      <c r="H101" s="130">
        <f t="shared" si="15"/>
        <v>0</v>
      </c>
      <c r="I101" s="139">
        <f t="shared" si="16"/>
        <v>0</v>
      </c>
      <c r="J101" s="67">
        <f t="shared" si="17"/>
        <v>0</v>
      </c>
      <c r="K101" s="67"/>
      <c r="L101" s="132"/>
      <c r="M101" s="67">
        <f t="shared" si="12"/>
        <v>0</v>
      </c>
      <c r="N101" s="132"/>
      <c r="O101" s="67">
        <f t="shared" si="13"/>
        <v>0</v>
      </c>
      <c r="P101" s="67">
        <f t="shared" si="14"/>
        <v>0</v>
      </c>
    </row>
    <row r="102" spans="1:16" ht="12.5">
      <c r="B102" s="9" t="str">
        <f t="shared" si="18"/>
        <v/>
      </c>
      <c r="C102" s="62">
        <f>IF(D93="","-",+C101+1)</f>
        <v>2018</v>
      </c>
      <c r="D102" s="63">
        <f>IF(F101+SUM(E$99:E101)=D$92,F101,D$92-SUM(E$99:E101))</f>
        <v>0</v>
      </c>
      <c r="E102" s="69">
        <f t="shared" si="19"/>
        <v>0</v>
      </c>
      <c r="F102" s="68">
        <f t="shared" si="20"/>
        <v>0</v>
      </c>
      <c r="G102" s="68">
        <f t="shared" si="21"/>
        <v>0</v>
      </c>
      <c r="H102" s="130">
        <f t="shared" si="15"/>
        <v>0</v>
      </c>
      <c r="I102" s="139">
        <f t="shared" si="16"/>
        <v>0</v>
      </c>
      <c r="J102" s="67">
        <f t="shared" si="17"/>
        <v>0</v>
      </c>
      <c r="K102" s="67"/>
      <c r="L102" s="132"/>
      <c r="M102" s="67">
        <f t="shared" si="12"/>
        <v>0</v>
      </c>
      <c r="N102" s="132"/>
      <c r="O102" s="67">
        <f t="shared" si="13"/>
        <v>0</v>
      </c>
      <c r="P102" s="67">
        <f t="shared" si="14"/>
        <v>0</v>
      </c>
    </row>
    <row r="103" spans="1:16" ht="12.5">
      <c r="B103" s="9" t="str">
        <f t="shared" si="18"/>
        <v/>
      </c>
      <c r="C103" s="62">
        <f>IF(D93="","-",+C102+1)</f>
        <v>2019</v>
      </c>
      <c r="D103" s="63">
        <f>IF(F102+SUM(E$99:E102)=D$92,F102,D$92-SUM(E$99:E102))</f>
        <v>0</v>
      </c>
      <c r="E103" s="69">
        <f t="shared" si="19"/>
        <v>0</v>
      </c>
      <c r="F103" s="68">
        <f t="shared" si="20"/>
        <v>0</v>
      </c>
      <c r="G103" s="68">
        <f t="shared" si="21"/>
        <v>0</v>
      </c>
      <c r="H103" s="130">
        <f t="shared" si="15"/>
        <v>0</v>
      </c>
      <c r="I103" s="139">
        <f t="shared" si="16"/>
        <v>0</v>
      </c>
      <c r="J103" s="67">
        <f t="shared" si="17"/>
        <v>0</v>
      </c>
      <c r="K103" s="67"/>
      <c r="L103" s="132"/>
      <c r="M103" s="67">
        <f t="shared" si="12"/>
        <v>0</v>
      </c>
      <c r="N103" s="132"/>
      <c r="O103" s="67">
        <f t="shared" si="13"/>
        <v>0</v>
      </c>
      <c r="P103" s="67">
        <f t="shared" si="14"/>
        <v>0</v>
      </c>
    </row>
    <row r="104" spans="1:16" ht="12.5">
      <c r="B104" s="9" t="str">
        <f t="shared" si="18"/>
        <v/>
      </c>
      <c r="C104" s="62">
        <f>IF(D93="","-",+C103+1)</f>
        <v>2020</v>
      </c>
      <c r="D104" s="63">
        <f>IF(F103+SUM(E$99:E103)=D$92,F103,D$92-SUM(E$99:E103))</f>
        <v>0</v>
      </c>
      <c r="E104" s="69">
        <f t="shared" si="19"/>
        <v>0</v>
      </c>
      <c r="F104" s="68">
        <f t="shared" si="20"/>
        <v>0</v>
      </c>
      <c r="G104" s="68">
        <f t="shared" si="21"/>
        <v>0</v>
      </c>
      <c r="H104" s="130">
        <f t="shared" si="15"/>
        <v>0</v>
      </c>
      <c r="I104" s="139">
        <f t="shared" si="16"/>
        <v>0</v>
      </c>
      <c r="J104" s="67">
        <f t="shared" si="17"/>
        <v>0</v>
      </c>
      <c r="K104" s="67"/>
      <c r="L104" s="132"/>
      <c r="M104" s="67">
        <f t="shared" si="12"/>
        <v>0</v>
      </c>
      <c r="N104" s="132"/>
      <c r="O104" s="67">
        <f t="shared" si="13"/>
        <v>0</v>
      </c>
      <c r="P104" s="67">
        <f t="shared" si="14"/>
        <v>0</v>
      </c>
    </row>
    <row r="105" spans="1:16" ht="12.5">
      <c r="B105" s="9" t="str">
        <f t="shared" si="18"/>
        <v/>
      </c>
      <c r="C105" s="62">
        <f>IF(D93="","-",+C104+1)</f>
        <v>2021</v>
      </c>
      <c r="D105" s="63">
        <f>IF(F104+SUM(E$99:E104)=D$92,F104,D$92-SUM(E$99:E104))</f>
        <v>0</v>
      </c>
      <c r="E105" s="69">
        <f t="shared" si="19"/>
        <v>0</v>
      </c>
      <c r="F105" s="68">
        <f t="shared" si="20"/>
        <v>0</v>
      </c>
      <c r="G105" s="68">
        <f t="shared" si="21"/>
        <v>0</v>
      </c>
      <c r="H105" s="130">
        <f t="shared" si="15"/>
        <v>0</v>
      </c>
      <c r="I105" s="139">
        <f t="shared" si="16"/>
        <v>0</v>
      </c>
      <c r="J105" s="67">
        <f t="shared" si="17"/>
        <v>0</v>
      </c>
      <c r="K105" s="67"/>
      <c r="L105" s="132"/>
      <c r="M105" s="67">
        <f t="shared" si="12"/>
        <v>0</v>
      </c>
      <c r="N105" s="132"/>
      <c r="O105" s="67">
        <f t="shared" si="13"/>
        <v>0</v>
      </c>
      <c r="P105" s="67">
        <f t="shared" si="14"/>
        <v>0</v>
      </c>
    </row>
    <row r="106" spans="1:16" ht="12.5">
      <c r="B106" s="9" t="str">
        <f t="shared" si="18"/>
        <v/>
      </c>
      <c r="C106" s="62">
        <f>IF(D93="","-",+C105+1)</f>
        <v>2022</v>
      </c>
      <c r="D106" s="63">
        <f>IF(F105+SUM(E$99:E105)=D$92,F105,D$92-SUM(E$99:E105))</f>
        <v>0</v>
      </c>
      <c r="E106" s="69">
        <f t="shared" si="19"/>
        <v>0</v>
      </c>
      <c r="F106" s="68">
        <f t="shared" si="20"/>
        <v>0</v>
      </c>
      <c r="G106" s="68">
        <f t="shared" si="21"/>
        <v>0</v>
      </c>
      <c r="H106" s="130">
        <f t="shared" si="15"/>
        <v>0</v>
      </c>
      <c r="I106" s="139">
        <f t="shared" si="16"/>
        <v>0</v>
      </c>
      <c r="J106" s="67">
        <f t="shared" si="17"/>
        <v>0</v>
      </c>
      <c r="K106" s="67"/>
      <c r="L106" s="132"/>
      <c r="M106" s="67">
        <f t="shared" si="12"/>
        <v>0</v>
      </c>
      <c r="N106" s="132"/>
      <c r="O106" s="67">
        <f t="shared" si="13"/>
        <v>0</v>
      </c>
      <c r="P106" s="67">
        <f t="shared" si="14"/>
        <v>0</v>
      </c>
    </row>
    <row r="107" spans="1:16" ht="12.5">
      <c r="B107" s="9" t="str">
        <f t="shared" si="18"/>
        <v/>
      </c>
      <c r="C107" s="62">
        <f>IF(D93="","-",+C106+1)</f>
        <v>2023</v>
      </c>
      <c r="D107" s="63">
        <f>IF(F106+SUM(E$99:E106)=D$92,F106,D$92-SUM(E$99:E106))</f>
        <v>0</v>
      </c>
      <c r="E107" s="69">
        <f t="shared" si="19"/>
        <v>0</v>
      </c>
      <c r="F107" s="68">
        <f t="shared" si="20"/>
        <v>0</v>
      </c>
      <c r="G107" s="68">
        <f t="shared" si="21"/>
        <v>0</v>
      </c>
      <c r="H107" s="130">
        <f t="shared" si="15"/>
        <v>0</v>
      </c>
      <c r="I107" s="139">
        <f t="shared" si="16"/>
        <v>0</v>
      </c>
      <c r="J107" s="67">
        <f t="shared" si="17"/>
        <v>0</v>
      </c>
      <c r="K107" s="67"/>
      <c r="L107" s="132"/>
      <c r="M107" s="67">
        <f t="shared" si="12"/>
        <v>0</v>
      </c>
      <c r="N107" s="132"/>
      <c r="O107" s="67">
        <f t="shared" si="13"/>
        <v>0</v>
      </c>
      <c r="P107" s="67">
        <f t="shared" si="14"/>
        <v>0</v>
      </c>
    </row>
    <row r="108" spans="1:16" ht="12.5">
      <c r="B108" s="9" t="str">
        <f t="shared" si="18"/>
        <v/>
      </c>
      <c r="C108" s="62">
        <f>IF(D93="","-",+C107+1)</f>
        <v>2024</v>
      </c>
      <c r="D108" s="63">
        <f>IF(F107+SUM(E$99:E107)=D$92,F107,D$92-SUM(E$99:E107))</f>
        <v>0</v>
      </c>
      <c r="E108" s="69">
        <f t="shared" si="19"/>
        <v>0</v>
      </c>
      <c r="F108" s="68">
        <f t="shared" si="20"/>
        <v>0</v>
      </c>
      <c r="G108" s="68">
        <f t="shared" si="21"/>
        <v>0</v>
      </c>
      <c r="H108" s="130">
        <f t="shared" si="15"/>
        <v>0</v>
      </c>
      <c r="I108" s="139">
        <f t="shared" si="16"/>
        <v>0</v>
      </c>
      <c r="J108" s="67">
        <f t="shared" si="17"/>
        <v>0</v>
      </c>
      <c r="K108" s="67"/>
      <c r="L108" s="132"/>
      <c r="M108" s="67">
        <f t="shared" si="12"/>
        <v>0</v>
      </c>
      <c r="N108" s="132"/>
      <c r="O108" s="67">
        <f t="shared" si="13"/>
        <v>0</v>
      </c>
      <c r="P108" s="67">
        <f t="shared" si="14"/>
        <v>0</v>
      </c>
    </row>
    <row r="109" spans="1:16" ht="12.5">
      <c r="B109" s="9" t="str">
        <f t="shared" si="18"/>
        <v/>
      </c>
      <c r="C109" s="62">
        <f>IF(D93="","-",+C108+1)</f>
        <v>2025</v>
      </c>
      <c r="D109" s="63">
        <f>IF(F108+SUM(E$99:E108)=D$92,F108,D$92-SUM(E$99:E108))</f>
        <v>0</v>
      </c>
      <c r="E109" s="69">
        <f t="shared" si="19"/>
        <v>0</v>
      </c>
      <c r="F109" s="68">
        <f t="shared" si="20"/>
        <v>0</v>
      </c>
      <c r="G109" s="68">
        <f t="shared" si="21"/>
        <v>0</v>
      </c>
      <c r="H109" s="130">
        <f t="shared" si="15"/>
        <v>0</v>
      </c>
      <c r="I109" s="139">
        <f t="shared" si="16"/>
        <v>0</v>
      </c>
      <c r="J109" s="67">
        <f t="shared" si="17"/>
        <v>0</v>
      </c>
      <c r="K109" s="67"/>
      <c r="L109" s="132"/>
      <c r="M109" s="67">
        <f t="shared" si="12"/>
        <v>0</v>
      </c>
      <c r="N109" s="132"/>
      <c r="O109" s="67">
        <f t="shared" si="13"/>
        <v>0</v>
      </c>
      <c r="P109" s="67">
        <f t="shared" si="14"/>
        <v>0</v>
      </c>
    </row>
    <row r="110" spans="1:16" ht="12.5">
      <c r="B110" s="9" t="str">
        <f t="shared" si="18"/>
        <v/>
      </c>
      <c r="C110" s="62">
        <f>IF(D93="","-",+C109+1)</f>
        <v>2026</v>
      </c>
      <c r="D110" s="63">
        <f>IF(F109+SUM(E$99:E109)=D$92,F109,D$92-SUM(E$99:E109))</f>
        <v>0</v>
      </c>
      <c r="E110" s="69">
        <f t="shared" si="19"/>
        <v>0</v>
      </c>
      <c r="F110" s="68">
        <f t="shared" si="20"/>
        <v>0</v>
      </c>
      <c r="G110" s="68">
        <f t="shared" si="21"/>
        <v>0</v>
      </c>
      <c r="H110" s="130">
        <f t="shared" si="15"/>
        <v>0</v>
      </c>
      <c r="I110" s="139">
        <f t="shared" si="16"/>
        <v>0</v>
      </c>
      <c r="J110" s="67">
        <f t="shared" si="17"/>
        <v>0</v>
      </c>
      <c r="K110" s="67"/>
      <c r="L110" s="132"/>
      <c r="M110" s="67">
        <f t="shared" si="12"/>
        <v>0</v>
      </c>
      <c r="N110" s="132"/>
      <c r="O110" s="67">
        <f t="shared" si="13"/>
        <v>0</v>
      </c>
      <c r="P110" s="67">
        <f t="shared" si="14"/>
        <v>0</v>
      </c>
    </row>
    <row r="111" spans="1:16" ht="12.5">
      <c r="B111" s="9" t="str">
        <f t="shared" si="18"/>
        <v/>
      </c>
      <c r="C111" s="62">
        <f>IF(D93="","-",+C110+1)</f>
        <v>2027</v>
      </c>
      <c r="D111" s="63">
        <f>IF(F110+SUM(E$99:E110)=D$92,F110,D$92-SUM(E$99:E110))</f>
        <v>0</v>
      </c>
      <c r="E111" s="69">
        <f t="shared" si="19"/>
        <v>0</v>
      </c>
      <c r="F111" s="68">
        <f t="shared" si="20"/>
        <v>0</v>
      </c>
      <c r="G111" s="68">
        <f t="shared" si="21"/>
        <v>0</v>
      </c>
      <c r="H111" s="130">
        <f t="shared" si="15"/>
        <v>0</v>
      </c>
      <c r="I111" s="139">
        <f t="shared" si="16"/>
        <v>0</v>
      </c>
      <c r="J111" s="67">
        <f t="shared" si="17"/>
        <v>0</v>
      </c>
      <c r="K111" s="67"/>
      <c r="L111" s="132"/>
      <c r="M111" s="67">
        <f t="shared" si="12"/>
        <v>0</v>
      </c>
      <c r="N111" s="132"/>
      <c r="O111" s="67">
        <f t="shared" si="13"/>
        <v>0</v>
      </c>
      <c r="P111" s="67">
        <f t="shared" si="14"/>
        <v>0</v>
      </c>
    </row>
    <row r="112" spans="1:16" ht="12.5">
      <c r="B112" s="9" t="str">
        <f t="shared" si="18"/>
        <v/>
      </c>
      <c r="C112" s="62">
        <f>IF(D93="","-",+C111+1)</f>
        <v>2028</v>
      </c>
      <c r="D112" s="63">
        <f>IF(F111+SUM(E$99:E111)=D$92,F111,D$92-SUM(E$99:E111))</f>
        <v>0</v>
      </c>
      <c r="E112" s="69">
        <f t="shared" si="19"/>
        <v>0</v>
      </c>
      <c r="F112" s="68">
        <f t="shared" si="20"/>
        <v>0</v>
      </c>
      <c r="G112" s="68">
        <f t="shared" si="21"/>
        <v>0</v>
      </c>
      <c r="H112" s="130">
        <f t="shared" si="15"/>
        <v>0</v>
      </c>
      <c r="I112" s="139">
        <f t="shared" si="16"/>
        <v>0</v>
      </c>
      <c r="J112" s="67">
        <f t="shared" si="17"/>
        <v>0</v>
      </c>
      <c r="K112" s="67"/>
      <c r="L112" s="132"/>
      <c r="M112" s="67">
        <f t="shared" si="12"/>
        <v>0</v>
      </c>
      <c r="N112" s="132"/>
      <c r="O112" s="67">
        <f t="shared" si="13"/>
        <v>0</v>
      </c>
      <c r="P112" s="67">
        <f t="shared" si="14"/>
        <v>0</v>
      </c>
    </row>
    <row r="113" spans="2:16" ht="12.5">
      <c r="B113" s="9" t="str">
        <f t="shared" si="18"/>
        <v/>
      </c>
      <c r="C113" s="62">
        <f>IF(D93="","-",+C112+1)</f>
        <v>2029</v>
      </c>
      <c r="D113" s="63">
        <f>IF(F112+SUM(E$99:E112)=D$92,F112,D$92-SUM(E$99:E112))</f>
        <v>0</v>
      </c>
      <c r="E113" s="69">
        <f t="shared" si="19"/>
        <v>0</v>
      </c>
      <c r="F113" s="68">
        <f t="shared" si="20"/>
        <v>0</v>
      </c>
      <c r="G113" s="68">
        <f t="shared" si="21"/>
        <v>0</v>
      </c>
      <c r="H113" s="130">
        <f t="shared" si="15"/>
        <v>0</v>
      </c>
      <c r="I113" s="139">
        <f t="shared" si="16"/>
        <v>0</v>
      </c>
      <c r="J113" s="67">
        <f t="shared" si="17"/>
        <v>0</v>
      </c>
      <c r="K113" s="67"/>
      <c r="L113" s="132"/>
      <c r="M113" s="67">
        <f t="shared" si="12"/>
        <v>0</v>
      </c>
      <c r="N113" s="132"/>
      <c r="O113" s="67">
        <f t="shared" si="13"/>
        <v>0</v>
      </c>
      <c r="P113" s="67">
        <f t="shared" si="14"/>
        <v>0</v>
      </c>
    </row>
    <row r="114" spans="2:16" ht="12.5">
      <c r="B114" s="9" t="str">
        <f t="shared" si="18"/>
        <v/>
      </c>
      <c r="C114" s="62">
        <f>IF(D93="","-",+C113+1)</f>
        <v>2030</v>
      </c>
      <c r="D114" s="63">
        <f>IF(F113+SUM(E$99:E113)=D$92,F113,D$92-SUM(E$99:E113))</f>
        <v>0</v>
      </c>
      <c r="E114" s="69">
        <f t="shared" si="19"/>
        <v>0</v>
      </c>
      <c r="F114" s="68">
        <f t="shared" si="20"/>
        <v>0</v>
      </c>
      <c r="G114" s="68">
        <f t="shared" si="21"/>
        <v>0</v>
      </c>
      <c r="H114" s="130">
        <f t="shared" si="15"/>
        <v>0</v>
      </c>
      <c r="I114" s="139">
        <f t="shared" si="16"/>
        <v>0</v>
      </c>
      <c r="J114" s="67">
        <f t="shared" si="17"/>
        <v>0</v>
      </c>
      <c r="K114" s="67"/>
      <c r="L114" s="132"/>
      <c r="M114" s="67">
        <f t="shared" si="12"/>
        <v>0</v>
      </c>
      <c r="N114" s="132"/>
      <c r="O114" s="67">
        <f t="shared" si="13"/>
        <v>0</v>
      </c>
      <c r="P114" s="67">
        <f t="shared" si="14"/>
        <v>0</v>
      </c>
    </row>
    <row r="115" spans="2:16" ht="12.5">
      <c r="B115" s="9" t="str">
        <f t="shared" si="18"/>
        <v/>
      </c>
      <c r="C115" s="62">
        <f>IF(D93="","-",+C114+1)</f>
        <v>2031</v>
      </c>
      <c r="D115" s="63">
        <f>IF(F114+SUM(E$99:E114)=D$92,F114,D$92-SUM(E$99:E114))</f>
        <v>0</v>
      </c>
      <c r="E115" s="69">
        <f t="shared" si="19"/>
        <v>0</v>
      </c>
      <c r="F115" s="68">
        <f t="shared" si="20"/>
        <v>0</v>
      </c>
      <c r="G115" s="68">
        <f t="shared" si="21"/>
        <v>0</v>
      </c>
      <c r="H115" s="130">
        <f t="shared" si="15"/>
        <v>0</v>
      </c>
      <c r="I115" s="139">
        <f t="shared" si="16"/>
        <v>0</v>
      </c>
      <c r="J115" s="67">
        <f t="shared" si="17"/>
        <v>0</v>
      </c>
      <c r="K115" s="67"/>
      <c r="L115" s="132"/>
      <c r="M115" s="67">
        <f t="shared" si="12"/>
        <v>0</v>
      </c>
      <c r="N115" s="132"/>
      <c r="O115" s="67">
        <f t="shared" si="13"/>
        <v>0</v>
      </c>
      <c r="P115" s="67">
        <f t="shared" si="14"/>
        <v>0</v>
      </c>
    </row>
    <row r="116" spans="2:16" ht="12.5">
      <c r="B116" s="9" t="str">
        <f t="shared" si="18"/>
        <v/>
      </c>
      <c r="C116" s="62">
        <f>IF(D93="","-",+C115+1)</f>
        <v>2032</v>
      </c>
      <c r="D116" s="63">
        <f>IF(F115+SUM(E$99:E115)=D$92,F115,D$92-SUM(E$99:E115))</f>
        <v>0</v>
      </c>
      <c r="E116" s="69">
        <f t="shared" si="19"/>
        <v>0</v>
      </c>
      <c r="F116" s="68">
        <f t="shared" si="20"/>
        <v>0</v>
      </c>
      <c r="G116" s="68">
        <f t="shared" si="21"/>
        <v>0</v>
      </c>
      <c r="H116" s="130">
        <f t="shared" si="15"/>
        <v>0</v>
      </c>
      <c r="I116" s="139">
        <f t="shared" si="16"/>
        <v>0</v>
      </c>
      <c r="J116" s="67">
        <f t="shared" si="17"/>
        <v>0</v>
      </c>
      <c r="K116" s="67"/>
      <c r="L116" s="132"/>
      <c r="M116" s="67">
        <f t="shared" si="12"/>
        <v>0</v>
      </c>
      <c r="N116" s="132"/>
      <c r="O116" s="67">
        <f t="shared" si="13"/>
        <v>0</v>
      </c>
      <c r="P116" s="67">
        <f t="shared" si="14"/>
        <v>0</v>
      </c>
    </row>
    <row r="117" spans="2:16" ht="12.5">
      <c r="B117" s="9" t="str">
        <f t="shared" si="18"/>
        <v/>
      </c>
      <c r="C117" s="62">
        <f>IF(D93="","-",+C116+1)</f>
        <v>2033</v>
      </c>
      <c r="D117" s="63">
        <f>IF(F116+SUM(E$99:E116)=D$92,F116,D$92-SUM(E$99:E116))</f>
        <v>0</v>
      </c>
      <c r="E117" s="69">
        <f t="shared" si="19"/>
        <v>0</v>
      </c>
      <c r="F117" s="68">
        <f t="shared" si="20"/>
        <v>0</v>
      </c>
      <c r="G117" s="68">
        <f t="shared" si="21"/>
        <v>0</v>
      </c>
      <c r="H117" s="130">
        <f t="shared" si="15"/>
        <v>0</v>
      </c>
      <c r="I117" s="139">
        <f t="shared" si="16"/>
        <v>0</v>
      </c>
      <c r="J117" s="67">
        <f t="shared" si="17"/>
        <v>0</v>
      </c>
      <c r="K117" s="67"/>
      <c r="L117" s="132"/>
      <c r="M117" s="67">
        <f t="shared" si="12"/>
        <v>0</v>
      </c>
      <c r="N117" s="132"/>
      <c r="O117" s="67">
        <f t="shared" si="13"/>
        <v>0</v>
      </c>
      <c r="P117" s="67">
        <f t="shared" si="14"/>
        <v>0</v>
      </c>
    </row>
    <row r="118" spans="2:16" ht="12.5">
      <c r="B118" s="9" t="str">
        <f t="shared" si="18"/>
        <v/>
      </c>
      <c r="C118" s="62">
        <f>IF(D93="","-",+C117+1)</f>
        <v>2034</v>
      </c>
      <c r="D118" s="63">
        <f>IF(F117+SUM(E$99:E117)=D$92,F117,D$92-SUM(E$99:E117))</f>
        <v>0</v>
      </c>
      <c r="E118" s="69">
        <f t="shared" si="19"/>
        <v>0</v>
      </c>
      <c r="F118" s="68">
        <f t="shared" si="20"/>
        <v>0</v>
      </c>
      <c r="G118" s="68">
        <f t="shared" si="21"/>
        <v>0</v>
      </c>
      <c r="H118" s="130">
        <f t="shared" si="15"/>
        <v>0</v>
      </c>
      <c r="I118" s="139">
        <f t="shared" si="16"/>
        <v>0</v>
      </c>
      <c r="J118" s="67">
        <f t="shared" si="17"/>
        <v>0</v>
      </c>
      <c r="K118" s="67"/>
      <c r="L118" s="132"/>
      <c r="M118" s="67">
        <f t="shared" si="12"/>
        <v>0</v>
      </c>
      <c r="N118" s="132"/>
      <c r="O118" s="67">
        <f t="shared" si="13"/>
        <v>0</v>
      </c>
      <c r="P118" s="67">
        <f t="shared" si="14"/>
        <v>0</v>
      </c>
    </row>
    <row r="119" spans="2:16" ht="12.5">
      <c r="B119" s="9" t="str">
        <f t="shared" si="18"/>
        <v/>
      </c>
      <c r="C119" s="62">
        <f>IF(D93="","-",+C118+1)</f>
        <v>2035</v>
      </c>
      <c r="D119" s="63">
        <f>IF(F118+SUM(E$99:E118)=D$92,F118,D$92-SUM(E$99:E118))</f>
        <v>0</v>
      </c>
      <c r="E119" s="69">
        <f t="shared" si="19"/>
        <v>0</v>
      </c>
      <c r="F119" s="68">
        <f t="shared" si="20"/>
        <v>0</v>
      </c>
      <c r="G119" s="68">
        <f t="shared" si="21"/>
        <v>0</v>
      </c>
      <c r="H119" s="130">
        <f t="shared" si="15"/>
        <v>0</v>
      </c>
      <c r="I119" s="139">
        <f t="shared" si="16"/>
        <v>0</v>
      </c>
      <c r="J119" s="67">
        <f t="shared" si="17"/>
        <v>0</v>
      </c>
      <c r="K119" s="67"/>
      <c r="L119" s="132"/>
      <c r="M119" s="67">
        <f t="shared" si="12"/>
        <v>0</v>
      </c>
      <c r="N119" s="132"/>
      <c r="O119" s="67">
        <f t="shared" si="13"/>
        <v>0</v>
      </c>
      <c r="P119" s="67">
        <f t="shared" si="14"/>
        <v>0</v>
      </c>
    </row>
    <row r="120" spans="2:16" ht="12.5">
      <c r="B120" s="9" t="str">
        <f t="shared" si="18"/>
        <v/>
      </c>
      <c r="C120" s="62">
        <f>IF(D93="","-",+C119+1)</f>
        <v>2036</v>
      </c>
      <c r="D120" s="63">
        <f>IF(F119+SUM(E$99:E119)=D$92,F119,D$92-SUM(E$99:E119))</f>
        <v>0</v>
      </c>
      <c r="E120" s="69">
        <f t="shared" si="19"/>
        <v>0</v>
      </c>
      <c r="F120" s="68">
        <f t="shared" si="20"/>
        <v>0</v>
      </c>
      <c r="G120" s="68">
        <f t="shared" si="21"/>
        <v>0</v>
      </c>
      <c r="H120" s="130">
        <f t="shared" si="15"/>
        <v>0</v>
      </c>
      <c r="I120" s="139">
        <f t="shared" si="16"/>
        <v>0</v>
      </c>
      <c r="J120" s="67">
        <f t="shared" si="17"/>
        <v>0</v>
      </c>
      <c r="K120" s="67"/>
      <c r="L120" s="132"/>
      <c r="M120" s="67">
        <f t="shared" si="12"/>
        <v>0</v>
      </c>
      <c r="N120" s="132"/>
      <c r="O120" s="67">
        <f t="shared" si="13"/>
        <v>0</v>
      </c>
      <c r="P120" s="67">
        <f t="shared" si="14"/>
        <v>0</v>
      </c>
    </row>
    <row r="121" spans="2:16" ht="12.5">
      <c r="B121" s="9" t="str">
        <f t="shared" si="18"/>
        <v/>
      </c>
      <c r="C121" s="62">
        <f>IF(D93="","-",+C120+1)</f>
        <v>2037</v>
      </c>
      <c r="D121" s="63">
        <f>IF(F120+SUM(E$99:E120)=D$92,F120,D$92-SUM(E$99:E120))</f>
        <v>0</v>
      </c>
      <c r="E121" s="69">
        <f t="shared" si="19"/>
        <v>0</v>
      </c>
      <c r="F121" s="68">
        <f t="shared" si="20"/>
        <v>0</v>
      </c>
      <c r="G121" s="68">
        <f t="shared" si="21"/>
        <v>0</v>
      </c>
      <c r="H121" s="130">
        <f t="shared" si="15"/>
        <v>0</v>
      </c>
      <c r="I121" s="139">
        <f t="shared" si="16"/>
        <v>0</v>
      </c>
      <c r="J121" s="67">
        <f t="shared" si="17"/>
        <v>0</v>
      </c>
      <c r="K121" s="67"/>
      <c r="L121" s="132"/>
      <c r="M121" s="67">
        <f t="shared" si="12"/>
        <v>0</v>
      </c>
      <c r="N121" s="132"/>
      <c r="O121" s="67">
        <f t="shared" si="13"/>
        <v>0</v>
      </c>
      <c r="P121" s="67">
        <f t="shared" si="14"/>
        <v>0</v>
      </c>
    </row>
    <row r="122" spans="2:16" ht="12.5">
      <c r="B122" s="9" t="str">
        <f t="shared" si="18"/>
        <v/>
      </c>
      <c r="C122" s="62">
        <f>IF(D93="","-",+C121+1)</f>
        <v>2038</v>
      </c>
      <c r="D122" s="63">
        <f>IF(F121+SUM(E$99:E121)=D$92,F121,D$92-SUM(E$99:E121))</f>
        <v>0</v>
      </c>
      <c r="E122" s="69">
        <f t="shared" si="19"/>
        <v>0</v>
      </c>
      <c r="F122" s="68">
        <f t="shared" si="20"/>
        <v>0</v>
      </c>
      <c r="G122" s="68">
        <f t="shared" si="21"/>
        <v>0</v>
      </c>
      <c r="H122" s="130">
        <f t="shared" si="15"/>
        <v>0</v>
      </c>
      <c r="I122" s="139">
        <f t="shared" si="16"/>
        <v>0</v>
      </c>
      <c r="J122" s="67">
        <f t="shared" si="17"/>
        <v>0</v>
      </c>
      <c r="K122" s="67"/>
      <c r="L122" s="132"/>
      <c r="M122" s="67">
        <f t="shared" si="12"/>
        <v>0</v>
      </c>
      <c r="N122" s="132"/>
      <c r="O122" s="67">
        <f t="shared" si="13"/>
        <v>0</v>
      </c>
      <c r="P122" s="67">
        <f t="shared" si="14"/>
        <v>0</v>
      </c>
    </row>
    <row r="123" spans="2:16" ht="12.5">
      <c r="B123" s="9" t="str">
        <f t="shared" si="18"/>
        <v/>
      </c>
      <c r="C123" s="62">
        <f>IF(D93="","-",+C122+1)</f>
        <v>2039</v>
      </c>
      <c r="D123" s="63">
        <f>IF(F122+SUM(E$99:E122)=D$92,F122,D$92-SUM(E$99:E122))</f>
        <v>0</v>
      </c>
      <c r="E123" s="69">
        <f t="shared" si="19"/>
        <v>0</v>
      </c>
      <c r="F123" s="68">
        <f t="shared" si="20"/>
        <v>0</v>
      </c>
      <c r="G123" s="68">
        <f t="shared" si="21"/>
        <v>0</v>
      </c>
      <c r="H123" s="130">
        <f t="shared" si="15"/>
        <v>0</v>
      </c>
      <c r="I123" s="139">
        <f t="shared" si="16"/>
        <v>0</v>
      </c>
      <c r="J123" s="67">
        <f t="shared" si="17"/>
        <v>0</v>
      </c>
      <c r="K123" s="67"/>
      <c r="L123" s="132"/>
      <c r="M123" s="67">
        <f t="shared" si="12"/>
        <v>0</v>
      </c>
      <c r="N123" s="132"/>
      <c r="O123" s="67">
        <f t="shared" si="13"/>
        <v>0</v>
      </c>
      <c r="P123" s="67">
        <f t="shared" si="14"/>
        <v>0</v>
      </c>
    </row>
    <row r="124" spans="2:16" ht="12.5">
      <c r="B124" s="9" t="str">
        <f t="shared" si="18"/>
        <v/>
      </c>
      <c r="C124" s="62">
        <f>IF(D93="","-",+C123+1)</f>
        <v>2040</v>
      </c>
      <c r="D124" s="63">
        <f>IF(F123+SUM(E$99:E123)=D$92,F123,D$92-SUM(E$99:E123))</f>
        <v>0</v>
      </c>
      <c r="E124" s="69">
        <f t="shared" si="19"/>
        <v>0</v>
      </c>
      <c r="F124" s="68">
        <f t="shared" si="20"/>
        <v>0</v>
      </c>
      <c r="G124" s="68">
        <f t="shared" si="21"/>
        <v>0</v>
      </c>
      <c r="H124" s="130">
        <f t="shared" si="15"/>
        <v>0</v>
      </c>
      <c r="I124" s="139">
        <f t="shared" si="16"/>
        <v>0</v>
      </c>
      <c r="J124" s="67">
        <f t="shared" si="17"/>
        <v>0</v>
      </c>
      <c r="K124" s="67"/>
      <c r="L124" s="132"/>
      <c r="M124" s="67">
        <f t="shared" si="12"/>
        <v>0</v>
      </c>
      <c r="N124" s="132"/>
      <c r="O124" s="67">
        <f t="shared" si="13"/>
        <v>0</v>
      </c>
      <c r="P124" s="67">
        <f t="shared" si="14"/>
        <v>0</v>
      </c>
    </row>
    <row r="125" spans="2:16" ht="12.5">
      <c r="B125" s="9" t="str">
        <f t="shared" si="18"/>
        <v/>
      </c>
      <c r="C125" s="62">
        <f>IF(D93="","-",+C124+1)</f>
        <v>2041</v>
      </c>
      <c r="D125" s="63">
        <f>IF(F124+SUM(E$99:E124)=D$92,F124,D$92-SUM(E$99:E124))</f>
        <v>0</v>
      </c>
      <c r="E125" s="69">
        <f t="shared" si="19"/>
        <v>0</v>
      </c>
      <c r="F125" s="68">
        <f t="shared" si="20"/>
        <v>0</v>
      </c>
      <c r="G125" s="68">
        <f t="shared" si="21"/>
        <v>0</v>
      </c>
      <c r="H125" s="130">
        <f t="shared" si="15"/>
        <v>0</v>
      </c>
      <c r="I125" s="139">
        <f t="shared" si="16"/>
        <v>0</v>
      </c>
      <c r="J125" s="67">
        <f t="shared" si="17"/>
        <v>0</v>
      </c>
      <c r="K125" s="67"/>
      <c r="L125" s="132"/>
      <c r="M125" s="67">
        <f t="shared" si="12"/>
        <v>0</v>
      </c>
      <c r="N125" s="132"/>
      <c r="O125" s="67">
        <f t="shared" si="13"/>
        <v>0</v>
      </c>
      <c r="P125" s="67">
        <f t="shared" si="14"/>
        <v>0</v>
      </c>
    </row>
    <row r="126" spans="2:16" ht="12.5">
      <c r="B126" s="9" t="str">
        <f t="shared" si="18"/>
        <v/>
      </c>
      <c r="C126" s="62">
        <f>IF(D93="","-",+C125+1)</f>
        <v>2042</v>
      </c>
      <c r="D126" s="63">
        <f>IF(F125+SUM(E$99:E125)=D$92,F125,D$92-SUM(E$99:E125))</f>
        <v>0</v>
      </c>
      <c r="E126" s="69">
        <f t="shared" si="19"/>
        <v>0</v>
      </c>
      <c r="F126" s="68">
        <f t="shared" si="20"/>
        <v>0</v>
      </c>
      <c r="G126" s="68">
        <f t="shared" si="21"/>
        <v>0</v>
      </c>
      <c r="H126" s="130">
        <f t="shared" si="15"/>
        <v>0</v>
      </c>
      <c r="I126" s="139">
        <f t="shared" si="16"/>
        <v>0</v>
      </c>
      <c r="J126" s="67">
        <f t="shared" si="17"/>
        <v>0</v>
      </c>
      <c r="K126" s="67"/>
      <c r="L126" s="132"/>
      <c r="M126" s="67">
        <f t="shared" si="12"/>
        <v>0</v>
      </c>
      <c r="N126" s="132"/>
      <c r="O126" s="67">
        <f t="shared" si="13"/>
        <v>0</v>
      </c>
      <c r="P126" s="67">
        <f t="shared" si="14"/>
        <v>0</v>
      </c>
    </row>
    <row r="127" spans="2:16" ht="12.5">
      <c r="B127" s="9" t="str">
        <f t="shared" si="18"/>
        <v/>
      </c>
      <c r="C127" s="62">
        <f>IF(D93="","-",+C126+1)</f>
        <v>2043</v>
      </c>
      <c r="D127" s="63">
        <f>IF(F126+SUM(E$99:E126)=D$92,F126,D$92-SUM(E$99:E126))</f>
        <v>0</v>
      </c>
      <c r="E127" s="69">
        <f t="shared" si="19"/>
        <v>0</v>
      </c>
      <c r="F127" s="68">
        <f t="shared" si="20"/>
        <v>0</v>
      </c>
      <c r="G127" s="68">
        <f t="shared" si="21"/>
        <v>0</v>
      </c>
      <c r="H127" s="130">
        <f t="shared" si="15"/>
        <v>0</v>
      </c>
      <c r="I127" s="139">
        <f t="shared" si="16"/>
        <v>0</v>
      </c>
      <c r="J127" s="67">
        <f t="shared" si="17"/>
        <v>0</v>
      </c>
      <c r="K127" s="67"/>
      <c r="L127" s="132"/>
      <c r="M127" s="67">
        <f t="shared" si="12"/>
        <v>0</v>
      </c>
      <c r="N127" s="132"/>
      <c r="O127" s="67">
        <f t="shared" si="13"/>
        <v>0</v>
      </c>
      <c r="P127" s="67">
        <f t="shared" si="14"/>
        <v>0</v>
      </c>
    </row>
    <row r="128" spans="2:16" ht="12.5">
      <c r="B128" s="9" t="str">
        <f t="shared" si="18"/>
        <v/>
      </c>
      <c r="C128" s="62">
        <f>IF(D93="","-",+C127+1)</f>
        <v>2044</v>
      </c>
      <c r="D128" s="63">
        <f>IF(F127+SUM(E$99:E127)=D$92,F127,D$92-SUM(E$99:E127))</f>
        <v>0</v>
      </c>
      <c r="E128" s="69">
        <f t="shared" si="19"/>
        <v>0</v>
      </c>
      <c r="F128" s="68">
        <f t="shared" si="20"/>
        <v>0</v>
      </c>
      <c r="G128" s="68">
        <f t="shared" si="21"/>
        <v>0</v>
      </c>
      <c r="H128" s="130">
        <f t="shared" si="15"/>
        <v>0</v>
      </c>
      <c r="I128" s="139">
        <f t="shared" si="16"/>
        <v>0</v>
      </c>
      <c r="J128" s="67">
        <f t="shared" si="17"/>
        <v>0</v>
      </c>
      <c r="K128" s="67"/>
      <c r="L128" s="132"/>
      <c r="M128" s="67">
        <f t="shared" si="12"/>
        <v>0</v>
      </c>
      <c r="N128" s="132"/>
      <c r="O128" s="67">
        <f t="shared" si="13"/>
        <v>0</v>
      </c>
      <c r="P128" s="67">
        <f t="shared" si="14"/>
        <v>0</v>
      </c>
    </row>
    <row r="129" spans="2:16" ht="12.5">
      <c r="B129" s="9" t="str">
        <f t="shared" si="18"/>
        <v/>
      </c>
      <c r="C129" s="62">
        <f>IF(D93="","-",+C128+1)</f>
        <v>2045</v>
      </c>
      <c r="D129" s="63">
        <f>IF(F128+SUM(E$99:E128)=D$92,F128,D$92-SUM(E$99:E128))</f>
        <v>0</v>
      </c>
      <c r="E129" s="69">
        <f t="shared" si="19"/>
        <v>0</v>
      </c>
      <c r="F129" s="68">
        <f t="shared" si="20"/>
        <v>0</v>
      </c>
      <c r="G129" s="68">
        <f t="shared" si="21"/>
        <v>0</v>
      </c>
      <c r="H129" s="130">
        <f t="shared" si="15"/>
        <v>0</v>
      </c>
      <c r="I129" s="139">
        <f t="shared" si="16"/>
        <v>0</v>
      </c>
      <c r="J129" s="67">
        <f t="shared" si="17"/>
        <v>0</v>
      </c>
      <c r="K129" s="67"/>
      <c r="L129" s="132"/>
      <c r="M129" s="67">
        <f t="shared" si="12"/>
        <v>0</v>
      </c>
      <c r="N129" s="132"/>
      <c r="O129" s="67">
        <f t="shared" si="13"/>
        <v>0</v>
      </c>
      <c r="P129" s="67">
        <f t="shared" si="14"/>
        <v>0</v>
      </c>
    </row>
    <row r="130" spans="2:16" ht="12.5">
      <c r="B130" s="9" t="str">
        <f t="shared" si="18"/>
        <v/>
      </c>
      <c r="C130" s="62">
        <f>IF(D93="","-",+C129+1)</f>
        <v>2046</v>
      </c>
      <c r="D130" s="63">
        <f>IF(F129+SUM(E$99:E129)=D$92,F129,D$92-SUM(E$99:E129))</f>
        <v>0</v>
      </c>
      <c r="E130" s="69">
        <f t="shared" si="19"/>
        <v>0</v>
      </c>
      <c r="F130" s="68">
        <f t="shared" si="20"/>
        <v>0</v>
      </c>
      <c r="G130" s="68">
        <f t="shared" si="21"/>
        <v>0</v>
      </c>
      <c r="H130" s="130">
        <f t="shared" si="15"/>
        <v>0</v>
      </c>
      <c r="I130" s="139">
        <f t="shared" si="16"/>
        <v>0</v>
      </c>
      <c r="J130" s="67">
        <f t="shared" si="17"/>
        <v>0</v>
      </c>
      <c r="K130" s="67"/>
      <c r="L130" s="132"/>
      <c r="M130" s="67">
        <f t="shared" si="12"/>
        <v>0</v>
      </c>
      <c r="N130" s="132"/>
      <c r="O130" s="67">
        <f t="shared" si="13"/>
        <v>0</v>
      </c>
      <c r="P130" s="67">
        <f t="shared" si="14"/>
        <v>0</v>
      </c>
    </row>
    <row r="131" spans="2:16" ht="12.5">
      <c r="B131" s="9" t="str">
        <f t="shared" si="18"/>
        <v/>
      </c>
      <c r="C131" s="62">
        <f>IF(D93="","-",+C130+1)</f>
        <v>2047</v>
      </c>
      <c r="D131" s="63">
        <f>IF(F130+SUM(E$99:E130)=D$92,F130,D$92-SUM(E$99:E130))</f>
        <v>0</v>
      </c>
      <c r="E131" s="69">
        <f t="shared" si="19"/>
        <v>0</v>
      </c>
      <c r="F131" s="68">
        <f t="shared" si="20"/>
        <v>0</v>
      </c>
      <c r="G131" s="68">
        <f t="shared" si="21"/>
        <v>0</v>
      </c>
      <c r="H131" s="130">
        <f t="shared" si="15"/>
        <v>0</v>
      </c>
      <c r="I131" s="139">
        <f t="shared" si="16"/>
        <v>0</v>
      </c>
      <c r="J131" s="67">
        <f t="shared" ref="J131:J154" si="22">+I541-H541</f>
        <v>0</v>
      </c>
      <c r="K131" s="67"/>
      <c r="L131" s="132"/>
      <c r="M131" s="67">
        <f t="shared" ref="M131:M154" si="23">IF(L541&lt;&gt;0,+H541-L541,0)</f>
        <v>0</v>
      </c>
      <c r="N131" s="132"/>
      <c r="O131" s="67">
        <f t="shared" ref="O131:O154" si="24">IF(N541&lt;&gt;0,+I541-N541,0)</f>
        <v>0</v>
      </c>
      <c r="P131" s="67">
        <f t="shared" ref="P131:P154" si="25">+O541-M541</f>
        <v>0</v>
      </c>
    </row>
    <row r="132" spans="2:16" ht="12.5">
      <c r="B132" s="9" t="str">
        <f t="shared" si="18"/>
        <v/>
      </c>
      <c r="C132" s="62">
        <f>IF(D93="","-",+C131+1)</f>
        <v>2048</v>
      </c>
      <c r="D132" s="63">
        <f>IF(F131+SUM(E$99:E131)=D$92,F131,D$92-SUM(E$99:E131))</f>
        <v>0</v>
      </c>
      <c r="E132" s="69">
        <f t="shared" si="19"/>
        <v>0</v>
      </c>
      <c r="F132" s="68">
        <f t="shared" si="20"/>
        <v>0</v>
      </c>
      <c r="G132" s="68">
        <f t="shared" si="21"/>
        <v>0</v>
      </c>
      <c r="H132" s="130">
        <f t="shared" si="15"/>
        <v>0</v>
      </c>
      <c r="I132" s="139">
        <f t="shared" si="16"/>
        <v>0</v>
      </c>
      <c r="J132" s="67">
        <f t="shared" si="22"/>
        <v>0</v>
      </c>
      <c r="K132" s="67"/>
      <c r="L132" s="132"/>
      <c r="M132" s="67">
        <f t="shared" si="23"/>
        <v>0</v>
      </c>
      <c r="N132" s="132"/>
      <c r="O132" s="67">
        <f t="shared" si="24"/>
        <v>0</v>
      </c>
      <c r="P132" s="67">
        <f t="shared" si="25"/>
        <v>0</v>
      </c>
    </row>
    <row r="133" spans="2:16" ht="12.5">
      <c r="B133" s="9" t="str">
        <f t="shared" si="18"/>
        <v/>
      </c>
      <c r="C133" s="62">
        <f>IF(D93="","-",+C132+1)</f>
        <v>2049</v>
      </c>
      <c r="D133" s="63">
        <f>IF(F132+SUM(E$99:E132)=D$92,F132,D$92-SUM(E$99:E132))</f>
        <v>0</v>
      </c>
      <c r="E133" s="69">
        <f t="shared" si="19"/>
        <v>0</v>
      </c>
      <c r="F133" s="68">
        <f t="shared" si="20"/>
        <v>0</v>
      </c>
      <c r="G133" s="68">
        <f t="shared" si="21"/>
        <v>0</v>
      </c>
      <c r="H133" s="130">
        <f t="shared" si="15"/>
        <v>0</v>
      </c>
      <c r="I133" s="139">
        <f t="shared" si="16"/>
        <v>0</v>
      </c>
      <c r="J133" s="67">
        <f t="shared" si="22"/>
        <v>0</v>
      </c>
      <c r="K133" s="67"/>
      <c r="L133" s="132"/>
      <c r="M133" s="67">
        <f t="shared" si="23"/>
        <v>0</v>
      </c>
      <c r="N133" s="132"/>
      <c r="O133" s="67">
        <f t="shared" si="24"/>
        <v>0</v>
      </c>
      <c r="P133" s="67">
        <f t="shared" si="25"/>
        <v>0</v>
      </c>
    </row>
    <row r="134" spans="2:16" ht="12.5">
      <c r="B134" s="9" t="str">
        <f t="shared" si="18"/>
        <v/>
      </c>
      <c r="C134" s="62">
        <f>IF(D93="","-",+C133+1)</f>
        <v>2050</v>
      </c>
      <c r="D134" s="63">
        <f>IF(F133+SUM(E$99:E133)=D$92,F133,D$92-SUM(E$99:E133))</f>
        <v>0</v>
      </c>
      <c r="E134" s="69">
        <f t="shared" si="19"/>
        <v>0</v>
      </c>
      <c r="F134" s="68">
        <f t="shared" si="20"/>
        <v>0</v>
      </c>
      <c r="G134" s="68">
        <f t="shared" si="21"/>
        <v>0</v>
      </c>
      <c r="H134" s="130">
        <f t="shared" si="15"/>
        <v>0</v>
      </c>
      <c r="I134" s="139">
        <f t="shared" si="16"/>
        <v>0</v>
      </c>
      <c r="J134" s="67">
        <f t="shared" si="22"/>
        <v>0</v>
      </c>
      <c r="K134" s="67"/>
      <c r="L134" s="132"/>
      <c r="M134" s="67">
        <f t="shared" si="23"/>
        <v>0</v>
      </c>
      <c r="N134" s="132"/>
      <c r="O134" s="67">
        <f t="shared" si="24"/>
        <v>0</v>
      </c>
      <c r="P134" s="67">
        <f t="shared" si="25"/>
        <v>0</v>
      </c>
    </row>
    <row r="135" spans="2:16" ht="12.5">
      <c r="B135" s="9" t="str">
        <f t="shared" si="18"/>
        <v/>
      </c>
      <c r="C135" s="62">
        <f>IF(D93="","-",+C134+1)</f>
        <v>2051</v>
      </c>
      <c r="D135" s="63">
        <f>IF(F134+SUM(E$99:E134)=D$92,F134,D$92-SUM(E$99:E134))</f>
        <v>0</v>
      </c>
      <c r="E135" s="69">
        <f t="shared" si="19"/>
        <v>0</v>
      </c>
      <c r="F135" s="68">
        <f t="shared" si="20"/>
        <v>0</v>
      </c>
      <c r="G135" s="68">
        <f t="shared" si="21"/>
        <v>0</v>
      </c>
      <c r="H135" s="130">
        <f t="shared" si="15"/>
        <v>0</v>
      </c>
      <c r="I135" s="139">
        <f t="shared" si="16"/>
        <v>0</v>
      </c>
      <c r="J135" s="67">
        <f t="shared" si="22"/>
        <v>0</v>
      </c>
      <c r="K135" s="67"/>
      <c r="L135" s="132"/>
      <c r="M135" s="67">
        <f t="shared" si="23"/>
        <v>0</v>
      </c>
      <c r="N135" s="132"/>
      <c r="O135" s="67">
        <f t="shared" si="24"/>
        <v>0</v>
      </c>
      <c r="P135" s="67">
        <f t="shared" si="25"/>
        <v>0</v>
      </c>
    </row>
    <row r="136" spans="2:16" ht="12.5">
      <c r="B136" s="9" t="str">
        <f t="shared" si="18"/>
        <v/>
      </c>
      <c r="C136" s="62">
        <f>IF(D93="","-",+C135+1)</f>
        <v>2052</v>
      </c>
      <c r="D136" s="63">
        <f>IF(F135+SUM(E$99:E135)=D$92,F135,D$92-SUM(E$99:E135))</f>
        <v>0</v>
      </c>
      <c r="E136" s="69">
        <f t="shared" si="19"/>
        <v>0</v>
      </c>
      <c r="F136" s="68">
        <f t="shared" si="20"/>
        <v>0</v>
      </c>
      <c r="G136" s="68">
        <f t="shared" si="21"/>
        <v>0</v>
      </c>
      <c r="H136" s="130">
        <f t="shared" si="15"/>
        <v>0</v>
      </c>
      <c r="I136" s="139">
        <f t="shared" si="16"/>
        <v>0</v>
      </c>
      <c r="J136" s="67">
        <f t="shared" si="22"/>
        <v>0</v>
      </c>
      <c r="K136" s="67"/>
      <c r="L136" s="132"/>
      <c r="M136" s="67">
        <f t="shared" si="23"/>
        <v>0</v>
      </c>
      <c r="N136" s="132"/>
      <c r="O136" s="67">
        <f t="shared" si="24"/>
        <v>0</v>
      </c>
      <c r="P136" s="67">
        <f t="shared" si="25"/>
        <v>0</v>
      </c>
    </row>
    <row r="137" spans="2:16" ht="12.5">
      <c r="B137" s="9" t="str">
        <f t="shared" si="18"/>
        <v/>
      </c>
      <c r="C137" s="62">
        <f>IF(D93="","-",+C136+1)</f>
        <v>2053</v>
      </c>
      <c r="D137" s="63">
        <f>IF(F136+SUM(E$99:E136)=D$92,F136,D$92-SUM(E$99:E136))</f>
        <v>0</v>
      </c>
      <c r="E137" s="69">
        <f t="shared" si="19"/>
        <v>0</v>
      </c>
      <c r="F137" s="68">
        <f t="shared" si="20"/>
        <v>0</v>
      </c>
      <c r="G137" s="68">
        <f t="shared" si="21"/>
        <v>0</v>
      </c>
      <c r="H137" s="130">
        <f t="shared" si="15"/>
        <v>0</v>
      </c>
      <c r="I137" s="139">
        <f t="shared" si="16"/>
        <v>0</v>
      </c>
      <c r="J137" s="67">
        <f t="shared" si="22"/>
        <v>0</v>
      </c>
      <c r="K137" s="67"/>
      <c r="L137" s="132"/>
      <c r="M137" s="67">
        <f t="shared" si="23"/>
        <v>0</v>
      </c>
      <c r="N137" s="132"/>
      <c r="O137" s="67">
        <f t="shared" si="24"/>
        <v>0</v>
      </c>
      <c r="P137" s="67">
        <f t="shared" si="25"/>
        <v>0</v>
      </c>
    </row>
    <row r="138" spans="2:16" ht="12.5">
      <c r="B138" s="9" t="str">
        <f t="shared" si="18"/>
        <v/>
      </c>
      <c r="C138" s="62">
        <f>IF(D93="","-",+C137+1)</f>
        <v>2054</v>
      </c>
      <c r="D138" s="63">
        <f>IF(F137+SUM(E$99:E137)=D$92,F137,D$92-SUM(E$99:E137))</f>
        <v>0</v>
      </c>
      <c r="E138" s="69">
        <f t="shared" si="19"/>
        <v>0</v>
      </c>
      <c r="F138" s="68">
        <f t="shared" si="20"/>
        <v>0</v>
      </c>
      <c r="G138" s="68">
        <f t="shared" si="21"/>
        <v>0</v>
      </c>
      <c r="H138" s="130">
        <f t="shared" si="15"/>
        <v>0</v>
      </c>
      <c r="I138" s="139">
        <f t="shared" si="16"/>
        <v>0</v>
      </c>
      <c r="J138" s="67">
        <f t="shared" si="22"/>
        <v>0</v>
      </c>
      <c r="K138" s="67"/>
      <c r="L138" s="132"/>
      <c r="M138" s="67">
        <f t="shared" si="23"/>
        <v>0</v>
      </c>
      <c r="N138" s="132"/>
      <c r="O138" s="67">
        <f t="shared" si="24"/>
        <v>0</v>
      </c>
      <c r="P138" s="67">
        <f t="shared" si="25"/>
        <v>0</v>
      </c>
    </row>
    <row r="139" spans="2:16" ht="12.5">
      <c r="B139" s="9" t="str">
        <f t="shared" si="18"/>
        <v/>
      </c>
      <c r="C139" s="62">
        <f>IF(D93="","-",+C138+1)</f>
        <v>2055</v>
      </c>
      <c r="D139" s="63">
        <f>IF(F138+SUM(E$99:E138)=D$92,F138,D$92-SUM(E$99:E138))</f>
        <v>0</v>
      </c>
      <c r="E139" s="69">
        <f t="shared" si="19"/>
        <v>0</v>
      </c>
      <c r="F139" s="68">
        <f t="shared" si="20"/>
        <v>0</v>
      </c>
      <c r="G139" s="68">
        <f t="shared" si="21"/>
        <v>0</v>
      </c>
      <c r="H139" s="130">
        <f t="shared" si="15"/>
        <v>0</v>
      </c>
      <c r="I139" s="139">
        <f t="shared" si="16"/>
        <v>0</v>
      </c>
      <c r="J139" s="67">
        <f t="shared" si="22"/>
        <v>0</v>
      </c>
      <c r="K139" s="67"/>
      <c r="L139" s="132"/>
      <c r="M139" s="67">
        <f t="shared" si="23"/>
        <v>0</v>
      </c>
      <c r="N139" s="132"/>
      <c r="O139" s="67">
        <f t="shared" si="24"/>
        <v>0</v>
      </c>
      <c r="P139" s="67">
        <f t="shared" si="25"/>
        <v>0</v>
      </c>
    </row>
    <row r="140" spans="2:16" ht="12.5">
      <c r="B140" s="9" t="str">
        <f t="shared" si="18"/>
        <v/>
      </c>
      <c r="C140" s="62">
        <f>IF(D93="","-",+C139+1)</f>
        <v>2056</v>
      </c>
      <c r="D140" s="63">
        <f>IF(F139+SUM(E$99:E139)=D$92,F139,D$92-SUM(E$99:E139))</f>
        <v>0</v>
      </c>
      <c r="E140" s="69">
        <f t="shared" si="19"/>
        <v>0</v>
      </c>
      <c r="F140" s="68">
        <f t="shared" si="20"/>
        <v>0</v>
      </c>
      <c r="G140" s="68">
        <f t="shared" si="21"/>
        <v>0</v>
      </c>
      <c r="H140" s="130">
        <f t="shared" si="15"/>
        <v>0</v>
      </c>
      <c r="I140" s="139">
        <f t="shared" si="16"/>
        <v>0</v>
      </c>
      <c r="J140" s="67">
        <f t="shared" si="22"/>
        <v>0</v>
      </c>
      <c r="K140" s="67"/>
      <c r="L140" s="132"/>
      <c r="M140" s="67">
        <f t="shared" si="23"/>
        <v>0</v>
      </c>
      <c r="N140" s="132"/>
      <c r="O140" s="67">
        <f t="shared" si="24"/>
        <v>0</v>
      </c>
      <c r="P140" s="67">
        <f t="shared" si="25"/>
        <v>0</v>
      </c>
    </row>
    <row r="141" spans="2:16" ht="12.5">
      <c r="B141" s="9" t="str">
        <f t="shared" si="18"/>
        <v/>
      </c>
      <c r="C141" s="62">
        <f>IF(D93="","-",+C140+1)</f>
        <v>2057</v>
      </c>
      <c r="D141" s="63">
        <f>IF(F140+SUM(E$99:E140)=D$92,F140,D$92-SUM(E$99:E140))</f>
        <v>0</v>
      </c>
      <c r="E141" s="69">
        <f t="shared" si="19"/>
        <v>0</v>
      </c>
      <c r="F141" s="68">
        <f t="shared" si="20"/>
        <v>0</v>
      </c>
      <c r="G141" s="68">
        <f t="shared" si="21"/>
        <v>0</v>
      </c>
      <c r="H141" s="130">
        <f t="shared" si="15"/>
        <v>0</v>
      </c>
      <c r="I141" s="139">
        <f t="shared" si="16"/>
        <v>0</v>
      </c>
      <c r="J141" s="67">
        <f t="shared" si="22"/>
        <v>0</v>
      </c>
      <c r="K141" s="67"/>
      <c r="L141" s="132"/>
      <c r="M141" s="67">
        <f t="shared" si="23"/>
        <v>0</v>
      </c>
      <c r="N141" s="132"/>
      <c r="O141" s="67">
        <f t="shared" si="24"/>
        <v>0</v>
      </c>
      <c r="P141" s="67">
        <f t="shared" si="25"/>
        <v>0</v>
      </c>
    </row>
    <row r="142" spans="2:16" ht="12.5">
      <c r="B142" s="9" t="str">
        <f t="shared" si="18"/>
        <v/>
      </c>
      <c r="C142" s="62">
        <f>IF(D93="","-",+C141+1)</f>
        <v>2058</v>
      </c>
      <c r="D142" s="63">
        <f>IF(F141+SUM(E$99:E141)=D$92,F141,D$92-SUM(E$99:E141))</f>
        <v>0</v>
      </c>
      <c r="E142" s="69">
        <f t="shared" si="19"/>
        <v>0</v>
      </c>
      <c r="F142" s="68">
        <f t="shared" si="20"/>
        <v>0</v>
      </c>
      <c r="G142" s="68">
        <f t="shared" si="21"/>
        <v>0</v>
      </c>
      <c r="H142" s="130">
        <f t="shared" si="15"/>
        <v>0</v>
      </c>
      <c r="I142" s="139">
        <f t="shared" si="16"/>
        <v>0</v>
      </c>
      <c r="J142" s="67">
        <f t="shared" si="22"/>
        <v>0</v>
      </c>
      <c r="K142" s="67"/>
      <c r="L142" s="132"/>
      <c r="M142" s="67">
        <f t="shared" si="23"/>
        <v>0</v>
      </c>
      <c r="N142" s="132"/>
      <c r="O142" s="67">
        <f t="shared" si="24"/>
        <v>0</v>
      </c>
      <c r="P142" s="67">
        <f t="shared" si="25"/>
        <v>0</v>
      </c>
    </row>
    <row r="143" spans="2:16" ht="12.5">
      <c r="B143" s="9" t="str">
        <f t="shared" si="18"/>
        <v/>
      </c>
      <c r="C143" s="62">
        <f>IF(D93="","-",+C142+1)</f>
        <v>2059</v>
      </c>
      <c r="D143" s="63">
        <f>IF(F142+SUM(E$99:E142)=D$92,F142,D$92-SUM(E$99:E142))</f>
        <v>0</v>
      </c>
      <c r="E143" s="69">
        <f t="shared" si="19"/>
        <v>0</v>
      </c>
      <c r="F143" s="68">
        <f t="shared" si="20"/>
        <v>0</v>
      </c>
      <c r="G143" s="68">
        <f t="shared" si="21"/>
        <v>0</v>
      </c>
      <c r="H143" s="130">
        <f t="shared" si="15"/>
        <v>0</v>
      </c>
      <c r="I143" s="139">
        <f t="shared" si="16"/>
        <v>0</v>
      </c>
      <c r="J143" s="67">
        <f t="shared" si="22"/>
        <v>0</v>
      </c>
      <c r="K143" s="67"/>
      <c r="L143" s="132"/>
      <c r="M143" s="67">
        <f t="shared" si="23"/>
        <v>0</v>
      </c>
      <c r="N143" s="132"/>
      <c r="O143" s="67">
        <f t="shared" si="24"/>
        <v>0</v>
      </c>
      <c r="P143" s="67">
        <f t="shared" si="25"/>
        <v>0</v>
      </c>
    </row>
    <row r="144" spans="2:16" ht="12.5">
      <c r="B144" s="9" t="str">
        <f t="shared" si="18"/>
        <v/>
      </c>
      <c r="C144" s="62">
        <f>IF(D93="","-",+C143+1)</f>
        <v>2060</v>
      </c>
      <c r="D144" s="63">
        <f>IF(F143+SUM(E$99:E143)=D$92,F143,D$92-SUM(E$99:E143))</f>
        <v>0</v>
      </c>
      <c r="E144" s="69">
        <f t="shared" si="19"/>
        <v>0</v>
      </c>
      <c r="F144" s="68">
        <f t="shared" si="20"/>
        <v>0</v>
      </c>
      <c r="G144" s="68">
        <f t="shared" si="21"/>
        <v>0</v>
      </c>
      <c r="H144" s="130">
        <f t="shared" si="15"/>
        <v>0</v>
      </c>
      <c r="I144" s="139">
        <f t="shared" si="16"/>
        <v>0</v>
      </c>
      <c r="J144" s="67">
        <f t="shared" si="22"/>
        <v>0</v>
      </c>
      <c r="K144" s="67"/>
      <c r="L144" s="132"/>
      <c r="M144" s="67">
        <f t="shared" si="23"/>
        <v>0</v>
      </c>
      <c r="N144" s="132"/>
      <c r="O144" s="67">
        <f t="shared" si="24"/>
        <v>0</v>
      </c>
      <c r="P144" s="67">
        <f t="shared" si="25"/>
        <v>0</v>
      </c>
    </row>
    <row r="145" spans="2:16" ht="12.5">
      <c r="B145" s="9" t="str">
        <f t="shared" si="18"/>
        <v/>
      </c>
      <c r="C145" s="62">
        <f>IF(D93="","-",+C144+1)</f>
        <v>2061</v>
      </c>
      <c r="D145" s="63">
        <f>IF(F144+SUM(E$99:E144)=D$92,F144,D$92-SUM(E$99:E144))</f>
        <v>0</v>
      </c>
      <c r="E145" s="69">
        <f t="shared" si="19"/>
        <v>0</v>
      </c>
      <c r="F145" s="68">
        <f t="shared" si="20"/>
        <v>0</v>
      </c>
      <c r="G145" s="68">
        <f t="shared" si="21"/>
        <v>0</v>
      </c>
      <c r="H145" s="130">
        <f t="shared" si="15"/>
        <v>0</v>
      </c>
      <c r="I145" s="139">
        <f t="shared" si="16"/>
        <v>0</v>
      </c>
      <c r="J145" s="67">
        <f t="shared" si="22"/>
        <v>0</v>
      </c>
      <c r="K145" s="67"/>
      <c r="L145" s="132"/>
      <c r="M145" s="67">
        <f t="shared" si="23"/>
        <v>0</v>
      </c>
      <c r="N145" s="132"/>
      <c r="O145" s="67">
        <f t="shared" si="24"/>
        <v>0</v>
      </c>
      <c r="P145" s="67">
        <f t="shared" si="25"/>
        <v>0</v>
      </c>
    </row>
    <row r="146" spans="2:16" ht="12.5">
      <c r="B146" s="9" t="str">
        <f t="shared" si="18"/>
        <v/>
      </c>
      <c r="C146" s="62">
        <f>IF(D93="","-",+C145+1)</f>
        <v>2062</v>
      </c>
      <c r="D146" s="63">
        <f>IF(F145+SUM(E$99:E145)=D$92,F145,D$92-SUM(E$99:E145))</f>
        <v>0</v>
      </c>
      <c r="E146" s="69">
        <f t="shared" si="19"/>
        <v>0</v>
      </c>
      <c r="F146" s="68">
        <f t="shared" si="20"/>
        <v>0</v>
      </c>
      <c r="G146" s="68">
        <f t="shared" si="21"/>
        <v>0</v>
      </c>
      <c r="H146" s="130">
        <f t="shared" si="15"/>
        <v>0</v>
      </c>
      <c r="I146" s="139">
        <f t="shared" si="16"/>
        <v>0</v>
      </c>
      <c r="J146" s="67">
        <f t="shared" si="22"/>
        <v>0</v>
      </c>
      <c r="K146" s="67"/>
      <c r="L146" s="132"/>
      <c r="M146" s="67">
        <f t="shared" si="23"/>
        <v>0</v>
      </c>
      <c r="N146" s="132"/>
      <c r="O146" s="67">
        <f t="shared" si="24"/>
        <v>0</v>
      </c>
      <c r="P146" s="67">
        <f t="shared" si="25"/>
        <v>0</v>
      </c>
    </row>
    <row r="147" spans="2:16" ht="12.5">
      <c r="B147" s="9" t="str">
        <f t="shared" si="18"/>
        <v/>
      </c>
      <c r="C147" s="62">
        <f>IF(D93="","-",+C146+1)</f>
        <v>2063</v>
      </c>
      <c r="D147" s="63">
        <f>IF(F146+SUM(E$99:E146)=D$92,F146,D$92-SUM(E$99:E146))</f>
        <v>0</v>
      </c>
      <c r="E147" s="69">
        <f t="shared" si="19"/>
        <v>0</v>
      </c>
      <c r="F147" s="68">
        <f t="shared" si="20"/>
        <v>0</v>
      </c>
      <c r="G147" s="68">
        <f t="shared" si="21"/>
        <v>0</v>
      </c>
      <c r="H147" s="130">
        <f t="shared" si="15"/>
        <v>0</v>
      </c>
      <c r="I147" s="139">
        <f t="shared" si="16"/>
        <v>0</v>
      </c>
      <c r="J147" s="67">
        <f t="shared" si="22"/>
        <v>0</v>
      </c>
      <c r="K147" s="67"/>
      <c r="L147" s="132"/>
      <c r="M147" s="67">
        <f t="shared" si="23"/>
        <v>0</v>
      </c>
      <c r="N147" s="132"/>
      <c r="O147" s="67">
        <f t="shared" si="24"/>
        <v>0</v>
      </c>
      <c r="P147" s="67">
        <f t="shared" si="25"/>
        <v>0</v>
      </c>
    </row>
    <row r="148" spans="2:16" ht="12.5">
      <c r="B148" s="9" t="str">
        <f t="shared" si="18"/>
        <v/>
      </c>
      <c r="C148" s="62">
        <f>IF(D93="","-",+C147+1)</f>
        <v>2064</v>
      </c>
      <c r="D148" s="63">
        <f>IF(F147+SUM(E$99:E147)=D$92,F147,D$92-SUM(E$99:E147))</f>
        <v>0</v>
      </c>
      <c r="E148" s="69">
        <f t="shared" si="19"/>
        <v>0</v>
      </c>
      <c r="F148" s="68">
        <f t="shared" si="20"/>
        <v>0</v>
      </c>
      <c r="G148" s="68">
        <f t="shared" si="21"/>
        <v>0</v>
      </c>
      <c r="H148" s="130">
        <f t="shared" si="15"/>
        <v>0</v>
      </c>
      <c r="I148" s="139">
        <f t="shared" si="16"/>
        <v>0</v>
      </c>
      <c r="J148" s="67">
        <f t="shared" si="22"/>
        <v>0</v>
      </c>
      <c r="K148" s="67"/>
      <c r="L148" s="132"/>
      <c r="M148" s="67">
        <f t="shared" si="23"/>
        <v>0</v>
      </c>
      <c r="N148" s="132"/>
      <c r="O148" s="67">
        <f t="shared" si="24"/>
        <v>0</v>
      </c>
      <c r="P148" s="67">
        <f t="shared" si="25"/>
        <v>0</v>
      </c>
    </row>
    <row r="149" spans="2:16" ht="12.5">
      <c r="B149" s="9" t="str">
        <f t="shared" si="18"/>
        <v/>
      </c>
      <c r="C149" s="62">
        <f>IF(D93="","-",+C148+1)</f>
        <v>2065</v>
      </c>
      <c r="D149" s="63">
        <f>IF(F148+SUM(E$99:E148)=D$92,F148,D$92-SUM(E$99:E148))</f>
        <v>0</v>
      </c>
      <c r="E149" s="69">
        <f t="shared" si="19"/>
        <v>0</v>
      </c>
      <c r="F149" s="68">
        <f t="shared" si="20"/>
        <v>0</v>
      </c>
      <c r="G149" s="68">
        <f t="shared" si="21"/>
        <v>0</v>
      </c>
      <c r="H149" s="130">
        <f t="shared" si="15"/>
        <v>0</v>
      </c>
      <c r="I149" s="139">
        <f t="shared" si="16"/>
        <v>0</v>
      </c>
      <c r="J149" s="67">
        <f t="shared" si="22"/>
        <v>0</v>
      </c>
      <c r="K149" s="67"/>
      <c r="L149" s="132"/>
      <c r="M149" s="67">
        <f t="shared" si="23"/>
        <v>0</v>
      </c>
      <c r="N149" s="132"/>
      <c r="O149" s="67">
        <f t="shared" si="24"/>
        <v>0</v>
      </c>
      <c r="P149" s="67">
        <f t="shared" si="25"/>
        <v>0</v>
      </c>
    </row>
    <row r="150" spans="2:16" ht="12.5">
      <c r="B150" s="9" t="str">
        <f t="shared" si="18"/>
        <v/>
      </c>
      <c r="C150" s="62">
        <f>IF(D93="","-",+C149+1)</f>
        <v>2066</v>
      </c>
      <c r="D150" s="63">
        <f>IF(F149+SUM(E$99:E149)=D$92,F149,D$92-SUM(E$99:E149))</f>
        <v>0</v>
      </c>
      <c r="E150" s="69">
        <f t="shared" si="19"/>
        <v>0</v>
      </c>
      <c r="F150" s="68">
        <f t="shared" si="20"/>
        <v>0</v>
      </c>
      <c r="G150" s="68">
        <f t="shared" si="21"/>
        <v>0</v>
      </c>
      <c r="H150" s="130">
        <f t="shared" si="15"/>
        <v>0</v>
      </c>
      <c r="I150" s="139">
        <f t="shared" si="16"/>
        <v>0</v>
      </c>
      <c r="J150" s="67">
        <f t="shared" si="22"/>
        <v>0</v>
      </c>
      <c r="K150" s="67"/>
      <c r="L150" s="132"/>
      <c r="M150" s="67">
        <f t="shared" si="23"/>
        <v>0</v>
      </c>
      <c r="N150" s="132"/>
      <c r="O150" s="67">
        <f t="shared" si="24"/>
        <v>0</v>
      </c>
      <c r="P150" s="67">
        <f t="shared" si="25"/>
        <v>0</v>
      </c>
    </row>
    <row r="151" spans="2:16" ht="12.5">
      <c r="B151" s="9" t="str">
        <f t="shared" si="18"/>
        <v/>
      </c>
      <c r="C151" s="62">
        <f>IF(D93="","-",+C150+1)</f>
        <v>2067</v>
      </c>
      <c r="D151" s="63">
        <f>IF(F150+SUM(E$99:E150)=D$92,F150,D$92-SUM(E$99:E150))</f>
        <v>0</v>
      </c>
      <c r="E151" s="69">
        <f t="shared" si="19"/>
        <v>0</v>
      </c>
      <c r="F151" s="68">
        <f t="shared" si="20"/>
        <v>0</v>
      </c>
      <c r="G151" s="68">
        <f t="shared" si="21"/>
        <v>0</v>
      </c>
      <c r="H151" s="130">
        <f t="shared" si="15"/>
        <v>0</v>
      </c>
      <c r="I151" s="139">
        <f t="shared" si="16"/>
        <v>0</v>
      </c>
      <c r="J151" s="67">
        <f t="shared" si="22"/>
        <v>0</v>
      </c>
      <c r="K151" s="67"/>
      <c r="L151" s="132"/>
      <c r="M151" s="67">
        <f t="shared" si="23"/>
        <v>0</v>
      </c>
      <c r="N151" s="132"/>
      <c r="O151" s="67">
        <f t="shared" si="24"/>
        <v>0</v>
      </c>
      <c r="P151" s="67">
        <f t="shared" si="25"/>
        <v>0</v>
      </c>
    </row>
    <row r="152" spans="2:16" ht="12.5">
      <c r="B152" s="9" t="str">
        <f t="shared" si="18"/>
        <v/>
      </c>
      <c r="C152" s="62">
        <f>IF(D93="","-",+C151+1)</f>
        <v>2068</v>
      </c>
      <c r="D152" s="63">
        <f>IF(F151+SUM(E$99:E151)=D$92,F151,D$92-SUM(E$99:E151))</f>
        <v>0</v>
      </c>
      <c r="E152" s="69">
        <f t="shared" si="19"/>
        <v>0</v>
      </c>
      <c r="F152" s="68">
        <f t="shared" si="20"/>
        <v>0</v>
      </c>
      <c r="G152" s="68">
        <f t="shared" si="21"/>
        <v>0</v>
      </c>
      <c r="H152" s="130">
        <f t="shared" si="15"/>
        <v>0</v>
      </c>
      <c r="I152" s="139">
        <f t="shared" si="16"/>
        <v>0</v>
      </c>
      <c r="J152" s="67">
        <f t="shared" si="22"/>
        <v>0</v>
      </c>
      <c r="K152" s="67"/>
      <c r="L152" s="132"/>
      <c r="M152" s="67">
        <f t="shared" si="23"/>
        <v>0</v>
      </c>
      <c r="N152" s="132"/>
      <c r="O152" s="67">
        <f t="shared" si="24"/>
        <v>0</v>
      </c>
      <c r="P152" s="67">
        <f t="shared" si="25"/>
        <v>0</v>
      </c>
    </row>
    <row r="153" spans="2:16" ht="12.5">
      <c r="B153" s="9" t="str">
        <f t="shared" si="18"/>
        <v/>
      </c>
      <c r="C153" s="62">
        <f>IF(D93="","-",+C152+1)</f>
        <v>2069</v>
      </c>
      <c r="D153" s="63">
        <f>IF(F152+SUM(E$99:E152)=D$92,F152,D$92-SUM(E$99:E152))</f>
        <v>0</v>
      </c>
      <c r="E153" s="69">
        <f t="shared" si="19"/>
        <v>0</v>
      </c>
      <c r="F153" s="68">
        <f t="shared" si="20"/>
        <v>0</v>
      </c>
      <c r="G153" s="68">
        <f t="shared" si="21"/>
        <v>0</v>
      </c>
      <c r="H153" s="130">
        <f t="shared" si="15"/>
        <v>0</v>
      </c>
      <c r="I153" s="139">
        <f t="shared" si="16"/>
        <v>0</v>
      </c>
      <c r="J153" s="67">
        <f t="shared" si="22"/>
        <v>0</v>
      </c>
      <c r="K153" s="67"/>
      <c r="L153" s="132"/>
      <c r="M153" s="67">
        <f t="shared" si="23"/>
        <v>0</v>
      </c>
      <c r="N153" s="132"/>
      <c r="O153" s="67">
        <f t="shared" si="24"/>
        <v>0</v>
      </c>
      <c r="P153" s="67">
        <f t="shared" si="25"/>
        <v>0</v>
      </c>
    </row>
    <row r="154" spans="2:16" ht="13" thickBot="1">
      <c r="B154" s="9" t="str">
        <f t="shared" si="18"/>
        <v/>
      </c>
      <c r="C154" s="72">
        <f>IF(D93="","-",+C153+1)</f>
        <v>2070</v>
      </c>
      <c r="D154" s="98">
        <f>IF(F153+SUM(E$99:E153)=D$92,F153,D$92-SUM(E$99:E153))</f>
        <v>0</v>
      </c>
      <c r="E154" s="74">
        <f t="shared" si="19"/>
        <v>0</v>
      </c>
      <c r="F154" s="73">
        <f t="shared" si="20"/>
        <v>0</v>
      </c>
      <c r="G154" s="73">
        <f t="shared" si="21"/>
        <v>0</v>
      </c>
      <c r="H154" s="140">
        <f t="shared" si="15"/>
        <v>0</v>
      </c>
      <c r="I154" s="141">
        <f t="shared" si="16"/>
        <v>0</v>
      </c>
      <c r="J154" s="76">
        <f t="shared" si="22"/>
        <v>0</v>
      </c>
      <c r="K154" s="67"/>
      <c r="L154" s="133"/>
      <c r="M154" s="76">
        <f t="shared" si="23"/>
        <v>0</v>
      </c>
      <c r="N154" s="133"/>
      <c r="O154" s="76">
        <f t="shared" si="24"/>
        <v>0</v>
      </c>
      <c r="P154" s="76">
        <f t="shared" si="25"/>
        <v>0</v>
      </c>
    </row>
    <row r="155" spans="2:16" ht="12.5">
      <c r="C155" s="63" t="s">
        <v>77</v>
      </c>
      <c r="D155" s="20"/>
      <c r="E155" s="20">
        <f>SUM(E99:E154)</f>
        <v>0</v>
      </c>
      <c r="F155" s="20"/>
      <c r="G155" s="20"/>
      <c r="H155" s="20">
        <f>SUM(H99:H154)</f>
        <v>0</v>
      </c>
      <c r="I155" s="20">
        <f>SUM(I99:I154)</f>
        <v>0</v>
      </c>
      <c r="J155" s="20">
        <f>SUM(J99:J154)</f>
        <v>0</v>
      </c>
      <c r="K155" s="20"/>
      <c r="L155" s="20"/>
      <c r="M155" s="20"/>
      <c r="N155" s="20"/>
      <c r="O155" s="20"/>
      <c r="P155" s="1"/>
    </row>
    <row r="156" spans="2:16" ht="12.5">
      <c r="C156" t="s">
        <v>100</v>
      </c>
      <c r="D156" s="2"/>
      <c r="E156" s="1"/>
      <c r="F156" s="1"/>
      <c r="G156" s="1"/>
      <c r="H156" s="1"/>
      <c r="I156" s="3"/>
      <c r="J156" s="3"/>
      <c r="K156" s="20"/>
      <c r="L156" s="3"/>
      <c r="M156" s="3"/>
      <c r="N156" s="3"/>
      <c r="O156" s="3"/>
      <c r="P156" s="1"/>
    </row>
    <row r="157" spans="2:16" ht="12.5">
      <c r="C157" s="99"/>
      <c r="D157" s="2"/>
      <c r="E157" s="1"/>
      <c r="F157" s="1"/>
      <c r="G157" s="1"/>
      <c r="H157" s="1"/>
      <c r="I157" s="3"/>
      <c r="J157" s="3"/>
      <c r="K157" s="20"/>
      <c r="L157" s="3"/>
      <c r="M157" s="3"/>
      <c r="N157" s="3"/>
      <c r="O157" s="3"/>
      <c r="P157" s="1"/>
    </row>
    <row r="158" spans="2:16" ht="13">
      <c r="C158" s="115" t="s">
        <v>149</v>
      </c>
      <c r="D158" s="2"/>
      <c r="E158" s="1"/>
      <c r="F158" s="1"/>
      <c r="G158" s="1"/>
      <c r="H158" s="1"/>
      <c r="I158" s="3"/>
      <c r="J158" s="3"/>
      <c r="K158" s="20"/>
      <c r="L158" s="3"/>
      <c r="M158" s="3"/>
      <c r="N158" s="3"/>
      <c r="O158" s="3"/>
      <c r="P158" s="1"/>
    </row>
    <row r="159" spans="2:16" ht="13">
      <c r="C159" s="32" t="s">
        <v>78</v>
      </c>
      <c r="D159" s="63"/>
      <c r="E159" s="63"/>
      <c r="F159" s="63"/>
      <c r="G159" s="63"/>
      <c r="H159" s="20"/>
      <c r="I159" s="20"/>
      <c r="J159" s="78"/>
      <c r="K159" s="78"/>
      <c r="L159" s="78"/>
      <c r="M159" s="78"/>
      <c r="N159" s="78"/>
      <c r="O159" s="78"/>
      <c r="P159" s="1"/>
    </row>
    <row r="160" spans="2:16" ht="13">
      <c r="C160" s="100" t="s">
        <v>79</v>
      </c>
      <c r="D160" s="63"/>
      <c r="E160" s="63"/>
      <c r="F160" s="63"/>
      <c r="G160" s="63"/>
      <c r="H160" s="20"/>
      <c r="I160" s="20"/>
      <c r="J160" s="78"/>
      <c r="K160" s="78"/>
      <c r="L160" s="78"/>
      <c r="M160" s="78"/>
      <c r="N160" s="78"/>
      <c r="O160" s="78"/>
      <c r="P160" s="1"/>
    </row>
    <row r="161" spans="3:16" ht="13">
      <c r="C161" s="100"/>
      <c r="D161" s="63"/>
      <c r="E161" s="63"/>
      <c r="F161" s="63"/>
      <c r="G161" s="63"/>
      <c r="H161" s="20"/>
      <c r="I161" s="20"/>
      <c r="J161" s="78"/>
      <c r="K161" s="78"/>
      <c r="L161" s="78"/>
      <c r="M161" s="78"/>
      <c r="N161" s="78"/>
      <c r="O161" s="78"/>
      <c r="P161" s="1"/>
    </row>
    <row r="162" spans="3:16" ht="17.5">
      <c r="C162" s="100"/>
      <c r="D162" s="63"/>
      <c r="E162" s="63"/>
      <c r="F162" s="63"/>
      <c r="G162" s="63"/>
      <c r="H162" s="20"/>
      <c r="I162" s="20"/>
      <c r="J162" s="78"/>
      <c r="K162" s="78"/>
      <c r="L162" s="78"/>
      <c r="M162" s="78"/>
      <c r="N162" s="78"/>
      <c r="P162" s="112" t="s">
        <v>145</v>
      </c>
    </row>
  </sheetData>
  <phoneticPr fontId="0" type="noConversion"/>
  <conditionalFormatting sqref="C17:C72">
    <cfRule type="cellIs" dxfId="1" priority="1" stopIfTrue="1" operator="equal">
      <formula>$I$10</formula>
    </cfRule>
  </conditionalFormatting>
  <conditionalFormatting sqref="C99:C154">
    <cfRule type="cellIs" dxfId="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P162"/>
  <sheetViews>
    <sheetView view="pageBreakPreview" zoomScale="80" zoomScaleNormal="100" zoomScaleSheetLayoutView="80" workbookViewId="0">
      <selection activeCell="E9" sqref="E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179687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1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 t="str">
        <f>"For Calendar Year "&amp;V1-1&amp;" and Projected Year "&amp;V1</f>
        <v xml:space="preserve">For Calendar Year -1 and Projected Year </v>
      </c>
      <c r="I3" s="241"/>
      <c r="J3" s="347"/>
      <c r="K3" s="241"/>
      <c r="L3" s="241"/>
      <c r="M3" s="241"/>
      <c r="N3" s="241"/>
      <c r="O3" s="232" t="str">
        <f>RIGHT(N3,3)</f>
        <v/>
      </c>
      <c r="P3" s="41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92514.814817027102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92514.814817027102</v>
      </c>
      <c r="O6" s="232"/>
      <c r="P6" s="232"/>
    </row>
    <row r="7" spans="1:16" ht="13.5" thickBot="1">
      <c r="C7" s="431" t="s">
        <v>46</v>
      </c>
      <c r="D7" s="432" t="s">
        <v>209</v>
      </c>
      <c r="E7" s="331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49</v>
      </c>
      <c r="E9" s="577" t="s">
        <v>355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f>893858</f>
        <v>893858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2009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IF(D10=0,0,ROUND(D10/D13,0))</f>
        <v>20787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C17" s="472">
        <f>IF(D11= "","-",D11)</f>
        <v>2009</v>
      </c>
      <c r="D17" s="473">
        <v>579098</v>
      </c>
      <c r="E17" s="474">
        <v>5463</v>
      </c>
      <c r="F17" s="473">
        <v>573635</v>
      </c>
      <c r="G17" s="474">
        <v>56729</v>
      </c>
      <c r="H17" s="474">
        <v>56729</v>
      </c>
      <c r="I17" s="475">
        <f t="shared" ref="I17:I48" si="0">H17-G17</f>
        <v>0</v>
      </c>
      <c r="J17" s="475"/>
      <c r="K17" s="476">
        <v>56729</v>
      </c>
      <c r="L17" s="477">
        <f t="shared" ref="L17:L48" si="1">IF(K17&lt;&gt;0,+G17-K17,0)</f>
        <v>0</v>
      </c>
      <c r="M17" s="476">
        <v>56729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2010</v>
      </c>
      <c r="D18" s="479">
        <v>888395</v>
      </c>
      <c r="E18" s="480">
        <v>15962</v>
      </c>
      <c r="F18" s="479">
        <v>872433</v>
      </c>
      <c r="G18" s="480">
        <v>141851</v>
      </c>
      <c r="H18" s="481">
        <v>141851</v>
      </c>
      <c r="I18" s="475">
        <f t="shared" si="0"/>
        <v>0</v>
      </c>
      <c r="J18" s="475"/>
      <c r="K18" s="476">
        <f t="shared" ref="K18:K23" si="4">G18</f>
        <v>141851</v>
      </c>
      <c r="L18" s="478">
        <f t="shared" si="1"/>
        <v>0</v>
      </c>
      <c r="M18" s="476">
        <f t="shared" ref="M18:M23" si="5">H18</f>
        <v>141851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/>
      </c>
      <c r="C19" s="472">
        <f>IF(D11="","-",+C18+1)</f>
        <v>2011</v>
      </c>
      <c r="D19" s="479">
        <v>872433</v>
      </c>
      <c r="E19" s="480">
        <v>17527</v>
      </c>
      <c r="F19" s="479">
        <v>854906</v>
      </c>
      <c r="G19" s="480">
        <v>151356.84230707804</v>
      </c>
      <c r="H19" s="481">
        <v>151356.84230707804</v>
      </c>
      <c r="I19" s="475">
        <f t="shared" si="0"/>
        <v>0</v>
      </c>
      <c r="J19" s="475"/>
      <c r="K19" s="476">
        <f t="shared" si="4"/>
        <v>151356.84230707804</v>
      </c>
      <c r="L19" s="478">
        <f t="shared" si="1"/>
        <v>0</v>
      </c>
      <c r="M19" s="476">
        <f t="shared" si="5"/>
        <v>151356.84230707804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6">IF(D20=F19,"","IU")</f>
        <v/>
      </c>
      <c r="C20" s="482">
        <f>IF(D11="","-",+C19+1)</f>
        <v>2012</v>
      </c>
      <c r="D20" s="479">
        <v>854906</v>
      </c>
      <c r="E20" s="480">
        <v>17190</v>
      </c>
      <c r="F20" s="479">
        <v>837716</v>
      </c>
      <c r="G20" s="480">
        <v>133805.70830730975</v>
      </c>
      <c r="H20" s="481">
        <v>133805.70830730975</v>
      </c>
      <c r="I20" s="475">
        <f t="shared" si="0"/>
        <v>0</v>
      </c>
      <c r="J20" s="475"/>
      <c r="K20" s="476">
        <f t="shared" si="4"/>
        <v>133805.70830730975</v>
      </c>
      <c r="L20" s="478">
        <f t="shared" si="1"/>
        <v>0</v>
      </c>
      <c r="M20" s="476">
        <f t="shared" si="5"/>
        <v>133805.70830730975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6"/>
        <v/>
      </c>
      <c r="C21" s="482">
        <f>IF(D12="","-",+C20+1)</f>
        <v>2013</v>
      </c>
      <c r="D21" s="479">
        <v>837716</v>
      </c>
      <c r="E21" s="480">
        <v>17190</v>
      </c>
      <c r="F21" s="479">
        <v>820526</v>
      </c>
      <c r="G21" s="480">
        <v>134366.65985215519</v>
      </c>
      <c r="H21" s="481">
        <v>134366.65985215519</v>
      </c>
      <c r="I21" s="475">
        <v>0</v>
      </c>
      <c r="J21" s="475"/>
      <c r="K21" s="476">
        <f t="shared" si="4"/>
        <v>134366.65985215519</v>
      </c>
      <c r="L21" s="478">
        <f t="shared" ref="L21:L26" si="7">IF(K21&lt;&gt;0,+G21-K21,0)</f>
        <v>0</v>
      </c>
      <c r="M21" s="476">
        <f t="shared" si="5"/>
        <v>134366.65985215519</v>
      </c>
      <c r="N21" s="478">
        <f t="shared" ref="N21:N26" si="8">IF(M21&lt;&gt;0,+H21-M21,0)</f>
        <v>0</v>
      </c>
      <c r="O21" s="478">
        <f t="shared" ref="O21:O26" si="9">+N21-L21</f>
        <v>0</v>
      </c>
      <c r="P21" s="242"/>
    </row>
    <row r="22" spans="2:16" ht="12.5">
      <c r="B22" s="160" t="str">
        <f t="shared" si="6"/>
        <v/>
      </c>
      <c r="C22" s="472">
        <f>IF(D11="","-",+C21+1)</f>
        <v>2014</v>
      </c>
      <c r="D22" s="479">
        <v>820526</v>
      </c>
      <c r="E22" s="480">
        <v>17190</v>
      </c>
      <c r="F22" s="479">
        <v>803336</v>
      </c>
      <c r="G22" s="480">
        <v>127776.24380165605</v>
      </c>
      <c r="H22" s="481">
        <v>127776.24380165605</v>
      </c>
      <c r="I22" s="475">
        <v>0</v>
      </c>
      <c r="J22" s="475"/>
      <c r="K22" s="476">
        <f t="shared" si="4"/>
        <v>127776.24380165605</v>
      </c>
      <c r="L22" s="478">
        <f t="shared" si="7"/>
        <v>0</v>
      </c>
      <c r="M22" s="476">
        <f t="shared" si="5"/>
        <v>127776.24380165605</v>
      </c>
      <c r="N22" s="478">
        <f t="shared" si="8"/>
        <v>0</v>
      </c>
      <c r="O22" s="478">
        <f t="shared" si="9"/>
        <v>0</v>
      </c>
      <c r="P22" s="242"/>
    </row>
    <row r="23" spans="2:16" ht="12.5">
      <c r="B23" s="160" t="str">
        <f t="shared" si="6"/>
        <v/>
      </c>
      <c r="C23" s="472">
        <f>IF(D11="","-",+C22+1)</f>
        <v>2015</v>
      </c>
      <c r="D23" s="479">
        <v>803336</v>
      </c>
      <c r="E23" s="480">
        <v>17190</v>
      </c>
      <c r="F23" s="479">
        <v>786146</v>
      </c>
      <c r="G23" s="480">
        <v>125577.25148028173</v>
      </c>
      <c r="H23" s="481">
        <v>125577.25148028173</v>
      </c>
      <c r="I23" s="475">
        <v>0</v>
      </c>
      <c r="J23" s="475"/>
      <c r="K23" s="476">
        <f t="shared" si="4"/>
        <v>125577.25148028173</v>
      </c>
      <c r="L23" s="478">
        <f t="shared" si="7"/>
        <v>0</v>
      </c>
      <c r="M23" s="476">
        <f t="shared" si="5"/>
        <v>125577.25148028173</v>
      </c>
      <c r="N23" s="478">
        <f t="shared" si="8"/>
        <v>0</v>
      </c>
      <c r="O23" s="478">
        <f t="shared" si="9"/>
        <v>0</v>
      </c>
      <c r="P23" s="242"/>
    </row>
    <row r="24" spans="2:16" ht="12.5">
      <c r="B24" s="160" t="str">
        <f t="shared" si="6"/>
        <v/>
      </c>
      <c r="C24" s="472">
        <f>IF(D11="","-",+C23+1)</f>
        <v>2016</v>
      </c>
      <c r="D24" s="479">
        <v>786146</v>
      </c>
      <c r="E24" s="480">
        <v>17190</v>
      </c>
      <c r="F24" s="479">
        <v>768956</v>
      </c>
      <c r="G24" s="480">
        <v>118045.98754263212</v>
      </c>
      <c r="H24" s="481">
        <v>118045.98754263212</v>
      </c>
      <c r="I24" s="475">
        <f t="shared" si="0"/>
        <v>0</v>
      </c>
      <c r="J24" s="475"/>
      <c r="K24" s="476">
        <f>G24</f>
        <v>118045.98754263212</v>
      </c>
      <c r="L24" s="478">
        <f t="shared" si="7"/>
        <v>0</v>
      </c>
      <c r="M24" s="476">
        <f>H24</f>
        <v>118045.98754263212</v>
      </c>
      <c r="N24" s="478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6"/>
        <v/>
      </c>
      <c r="C25" s="472">
        <f>IF(D11="","-",+C24+1)</f>
        <v>2017</v>
      </c>
      <c r="D25" s="479">
        <v>768956</v>
      </c>
      <c r="E25" s="480">
        <v>19432</v>
      </c>
      <c r="F25" s="479">
        <v>749524</v>
      </c>
      <c r="G25" s="480">
        <v>114816.91495996526</v>
      </c>
      <c r="H25" s="481">
        <v>114816.91495996526</v>
      </c>
      <c r="I25" s="475">
        <f t="shared" si="0"/>
        <v>0</v>
      </c>
      <c r="J25" s="475"/>
      <c r="K25" s="476">
        <f>G25</f>
        <v>114816.91495996526</v>
      </c>
      <c r="L25" s="478">
        <f t="shared" si="7"/>
        <v>0</v>
      </c>
      <c r="M25" s="476">
        <f>H25</f>
        <v>114816.91495996526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6"/>
        <v/>
      </c>
      <c r="C26" s="472">
        <f>IF(D11="","-",+C25+1)</f>
        <v>2018</v>
      </c>
      <c r="D26" s="479">
        <v>749524</v>
      </c>
      <c r="E26" s="480">
        <v>19864</v>
      </c>
      <c r="F26" s="479">
        <v>729660</v>
      </c>
      <c r="G26" s="480">
        <v>108436.75447594153</v>
      </c>
      <c r="H26" s="481">
        <v>108436.75447594153</v>
      </c>
      <c r="I26" s="475">
        <f t="shared" si="0"/>
        <v>0</v>
      </c>
      <c r="J26" s="475"/>
      <c r="K26" s="476">
        <f>G26</f>
        <v>108436.75447594153</v>
      </c>
      <c r="L26" s="478">
        <f t="shared" si="7"/>
        <v>0</v>
      </c>
      <c r="M26" s="476">
        <f>H26</f>
        <v>108436.75447594153</v>
      </c>
      <c r="N26" s="478">
        <f t="shared" si="8"/>
        <v>0</v>
      </c>
      <c r="O26" s="478">
        <f t="shared" si="9"/>
        <v>0</v>
      </c>
      <c r="P26" s="242"/>
    </row>
    <row r="27" spans="2:16" ht="12.5">
      <c r="B27" s="160" t="str">
        <f t="shared" si="6"/>
        <v/>
      </c>
      <c r="C27" s="472">
        <f>IF(D11="","-",+C26+1)</f>
        <v>2019</v>
      </c>
      <c r="D27" s="479">
        <v>729660</v>
      </c>
      <c r="E27" s="480">
        <v>22346</v>
      </c>
      <c r="F27" s="479">
        <v>707314</v>
      </c>
      <c r="G27" s="480">
        <v>102569.83805108386</v>
      </c>
      <c r="H27" s="481">
        <v>102569.83805108386</v>
      </c>
      <c r="I27" s="475">
        <f t="shared" si="0"/>
        <v>0</v>
      </c>
      <c r="J27" s="475"/>
      <c r="K27" s="476">
        <f>G27</f>
        <v>102569.83805108386</v>
      </c>
      <c r="L27" s="478">
        <f t="shared" ref="L27" si="10">IF(K27&lt;&gt;0,+G27-K27,0)</f>
        <v>0</v>
      </c>
      <c r="M27" s="476">
        <f>H27</f>
        <v>102569.83805108386</v>
      </c>
      <c r="N27" s="478">
        <f t="shared" ref="N27" si="11">IF(M27&lt;&gt;0,+H27-M27,0)</f>
        <v>0</v>
      </c>
      <c r="O27" s="478">
        <f t="shared" ref="O27" si="12">+N27-L27</f>
        <v>0</v>
      </c>
      <c r="P27" s="242"/>
    </row>
    <row r="28" spans="2:16" ht="12.5">
      <c r="B28" s="160" t="str">
        <f t="shared" si="6"/>
        <v>IU</v>
      </c>
      <c r="C28" s="472">
        <f>IF(D11="","-",+C27+1)</f>
        <v>2020</v>
      </c>
      <c r="D28" s="479">
        <v>709796</v>
      </c>
      <c r="E28" s="480">
        <v>21282</v>
      </c>
      <c r="F28" s="479">
        <v>688514</v>
      </c>
      <c r="G28" s="480">
        <v>96794.079800478314</v>
      </c>
      <c r="H28" s="481">
        <v>96794.079800478314</v>
      </c>
      <c r="I28" s="475">
        <f t="shared" si="0"/>
        <v>0</v>
      </c>
      <c r="J28" s="475"/>
      <c r="K28" s="476">
        <f>G28</f>
        <v>96794.079800478314</v>
      </c>
      <c r="L28" s="478">
        <f t="shared" ref="L28" si="13">IF(K28&lt;&gt;0,+G28-K28,0)</f>
        <v>0</v>
      </c>
      <c r="M28" s="476">
        <f>H28</f>
        <v>96794.079800478314</v>
      </c>
      <c r="N28" s="478">
        <f t="shared" si="2"/>
        <v>0</v>
      </c>
      <c r="O28" s="478">
        <f t="shared" si="3"/>
        <v>0</v>
      </c>
      <c r="P28" s="242"/>
    </row>
    <row r="29" spans="2:16" ht="12.5">
      <c r="B29" s="160" t="str">
        <f t="shared" si="6"/>
        <v>IU</v>
      </c>
      <c r="C29" s="472">
        <f>IF(D11="","-",+C28+1)</f>
        <v>2021</v>
      </c>
      <c r="D29" s="483">
        <f>IF(F28+SUM(E$17:E28)=D$10,F28,D$10-SUM(E$17:E28))</f>
        <v>686032</v>
      </c>
      <c r="E29" s="484">
        <f>IF(+I14&lt;F28,I14,D29)</f>
        <v>20787</v>
      </c>
      <c r="F29" s="485">
        <f t="shared" ref="F29:F48" si="14">+D29-E29</f>
        <v>665245</v>
      </c>
      <c r="G29" s="486">
        <f t="shared" ref="G29:G72" si="15">+I$12*F29+E29</f>
        <v>92514.814817027102</v>
      </c>
      <c r="H29" s="455">
        <f t="shared" ref="H29:H72" si="16">+I$13*F29+E29</f>
        <v>92514.814817027102</v>
      </c>
      <c r="I29" s="475">
        <f t="shared" si="0"/>
        <v>0</v>
      </c>
      <c r="J29" s="475"/>
      <c r="K29" s="487"/>
      <c r="L29" s="478">
        <f t="shared" si="1"/>
        <v>0</v>
      </c>
      <c r="M29" s="487"/>
      <c r="N29" s="478">
        <f t="shared" si="2"/>
        <v>0</v>
      </c>
      <c r="O29" s="478">
        <f t="shared" si="3"/>
        <v>0</v>
      </c>
      <c r="P29" s="242"/>
    </row>
    <row r="30" spans="2:16" ht="12.5">
      <c r="B30" s="160" t="str">
        <f t="shared" si="6"/>
        <v/>
      </c>
      <c r="C30" s="472">
        <f>IF(D11="","-",+C29+1)</f>
        <v>2022</v>
      </c>
      <c r="D30" s="483">
        <f>IF(F29+SUM(E$17:E29)=D$10,F29,D$10-SUM(E$17:E29))</f>
        <v>665245</v>
      </c>
      <c r="E30" s="484">
        <f>IF(+I14&lt;F29,I14,D30)</f>
        <v>20787</v>
      </c>
      <c r="F30" s="485">
        <f t="shared" si="14"/>
        <v>644458</v>
      </c>
      <c r="G30" s="486">
        <f t="shared" si="15"/>
        <v>90273.526139018941</v>
      </c>
      <c r="H30" s="455">
        <f t="shared" si="16"/>
        <v>90273.526139018941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2"/>
    </row>
    <row r="31" spans="2:16" ht="12.5">
      <c r="B31" s="160" t="str">
        <f t="shared" si="6"/>
        <v/>
      </c>
      <c r="C31" s="472">
        <f>IF(D11="","-",+C30+1)</f>
        <v>2023</v>
      </c>
      <c r="D31" s="483">
        <f>IF(F30+SUM(E$17:E30)=D$10,F30,D$10-SUM(E$17:E30))</f>
        <v>644458</v>
      </c>
      <c r="E31" s="484">
        <f>IF(+I14&lt;F30,I14,D31)</f>
        <v>20787</v>
      </c>
      <c r="F31" s="485">
        <f t="shared" si="14"/>
        <v>623671</v>
      </c>
      <c r="G31" s="486">
        <f t="shared" si="15"/>
        <v>88032.237461010765</v>
      </c>
      <c r="H31" s="455">
        <f t="shared" si="16"/>
        <v>88032.237461010765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6"/>
        <v/>
      </c>
      <c r="C32" s="472">
        <f>IF(D11="","-",+C31+1)</f>
        <v>2024</v>
      </c>
      <c r="D32" s="483">
        <f>IF(F31+SUM(E$17:E31)=D$10,F31,D$10-SUM(E$17:E31))</f>
        <v>623671</v>
      </c>
      <c r="E32" s="484">
        <f>IF(+I14&lt;F31,I14,D32)</f>
        <v>20787</v>
      </c>
      <c r="F32" s="485">
        <f t="shared" si="14"/>
        <v>602884</v>
      </c>
      <c r="G32" s="486">
        <f t="shared" si="15"/>
        <v>85790.948783002605</v>
      </c>
      <c r="H32" s="455">
        <f t="shared" si="16"/>
        <v>85790.948783002605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6"/>
        <v/>
      </c>
      <c r="C33" s="472">
        <f>IF(D11="","-",+C32+1)</f>
        <v>2025</v>
      </c>
      <c r="D33" s="483">
        <f>IF(F32+SUM(E$17:E32)=D$10,F32,D$10-SUM(E$17:E32))</f>
        <v>602884</v>
      </c>
      <c r="E33" s="484">
        <f>IF(+I14&lt;F32,I14,D33)</f>
        <v>20787</v>
      </c>
      <c r="F33" s="485">
        <f t="shared" si="14"/>
        <v>582097</v>
      </c>
      <c r="G33" s="486">
        <f t="shared" si="15"/>
        <v>83549.660104994429</v>
      </c>
      <c r="H33" s="455">
        <f t="shared" si="16"/>
        <v>83549.660104994429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6"/>
        <v/>
      </c>
      <c r="C34" s="472">
        <f>IF(D11="","-",+C33+1)</f>
        <v>2026</v>
      </c>
      <c r="D34" s="483">
        <f>IF(F33+SUM(E$17:E33)=D$10,F33,D$10-SUM(E$17:E33))</f>
        <v>582097</v>
      </c>
      <c r="E34" s="484">
        <f>IF(+I14&lt;F33,I14,D34)</f>
        <v>20787</v>
      </c>
      <c r="F34" s="485">
        <f t="shared" si="14"/>
        <v>561310</v>
      </c>
      <c r="G34" s="486">
        <f t="shared" si="15"/>
        <v>81308.371426986268</v>
      </c>
      <c r="H34" s="455">
        <f t="shared" si="16"/>
        <v>81308.371426986268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6"/>
        <v/>
      </c>
      <c r="C35" s="472">
        <f>IF(D11="","-",+C34+1)</f>
        <v>2027</v>
      </c>
      <c r="D35" s="483">
        <f>IF(F34+SUM(E$17:E34)=D$10,F34,D$10-SUM(E$17:E34))</f>
        <v>561310</v>
      </c>
      <c r="E35" s="484">
        <f>IF(+I14&lt;F34,I14,D35)</f>
        <v>20787</v>
      </c>
      <c r="F35" s="485">
        <f t="shared" si="14"/>
        <v>540523</v>
      </c>
      <c r="G35" s="486">
        <f t="shared" si="15"/>
        <v>79067.082748978108</v>
      </c>
      <c r="H35" s="455">
        <f t="shared" si="16"/>
        <v>79067.082748978108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6"/>
        <v/>
      </c>
      <c r="C36" s="472">
        <f>IF(D11="","-",+C35+1)</f>
        <v>2028</v>
      </c>
      <c r="D36" s="483">
        <f>IF(F35+SUM(E$17:E35)=D$10,F35,D$10-SUM(E$17:E35))</f>
        <v>540523</v>
      </c>
      <c r="E36" s="484">
        <f>IF(+I14&lt;F35,I14,D36)</f>
        <v>20787</v>
      </c>
      <c r="F36" s="485">
        <f t="shared" si="14"/>
        <v>519736</v>
      </c>
      <c r="G36" s="486">
        <f t="shared" si="15"/>
        <v>76825.794070969947</v>
      </c>
      <c r="H36" s="455">
        <f t="shared" si="16"/>
        <v>76825.794070969947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6"/>
        <v/>
      </c>
      <c r="C37" s="472">
        <f>IF(D11="","-",+C36+1)</f>
        <v>2029</v>
      </c>
      <c r="D37" s="483">
        <f>IF(F36+SUM(E$17:E36)=D$10,F36,D$10-SUM(E$17:E36))</f>
        <v>519736</v>
      </c>
      <c r="E37" s="484">
        <f>IF(+I14&lt;F36,I14,D37)</f>
        <v>20787</v>
      </c>
      <c r="F37" s="485">
        <f t="shared" si="14"/>
        <v>498949</v>
      </c>
      <c r="G37" s="486">
        <f t="shared" si="15"/>
        <v>74584.505392961772</v>
      </c>
      <c r="H37" s="455">
        <f t="shared" si="16"/>
        <v>74584.505392961772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6"/>
        <v/>
      </c>
      <c r="C38" s="472">
        <f>IF(D11="","-",+C37+1)</f>
        <v>2030</v>
      </c>
      <c r="D38" s="483">
        <f>IF(F37+SUM(E$17:E37)=D$10,F37,D$10-SUM(E$17:E37))</f>
        <v>498949</v>
      </c>
      <c r="E38" s="484">
        <f>IF(+I14&lt;F37,I14,D38)</f>
        <v>20787</v>
      </c>
      <c r="F38" s="485">
        <f t="shared" si="14"/>
        <v>478162</v>
      </c>
      <c r="G38" s="486">
        <f t="shared" si="15"/>
        <v>72343.216714953611</v>
      </c>
      <c r="H38" s="455">
        <f t="shared" si="16"/>
        <v>72343.216714953611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6"/>
        <v/>
      </c>
      <c r="C39" s="472">
        <f>IF(D11="","-",+C38+1)</f>
        <v>2031</v>
      </c>
      <c r="D39" s="483">
        <f>IF(F38+SUM(E$17:E38)=D$10,F38,D$10-SUM(E$17:E38))</f>
        <v>478162</v>
      </c>
      <c r="E39" s="484">
        <f>IF(+I14&lt;F38,I14,D39)</f>
        <v>20787</v>
      </c>
      <c r="F39" s="485">
        <f t="shared" si="14"/>
        <v>457375</v>
      </c>
      <c r="G39" s="486">
        <f t="shared" si="15"/>
        <v>70101.928036945435</v>
      </c>
      <c r="H39" s="455">
        <f t="shared" si="16"/>
        <v>70101.928036945435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6"/>
        <v/>
      </c>
      <c r="C40" s="472">
        <f>IF(D11="","-",+C39+1)</f>
        <v>2032</v>
      </c>
      <c r="D40" s="483">
        <f>IF(F39+SUM(E$17:E39)=D$10,F39,D$10-SUM(E$17:E39))</f>
        <v>457375</v>
      </c>
      <c r="E40" s="484">
        <f>IF(+I14&lt;F39,I14,D40)</f>
        <v>20787</v>
      </c>
      <c r="F40" s="485">
        <f t="shared" si="14"/>
        <v>436588</v>
      </c>
      <c r="G40" s="486">
        <f t="shared" si="15"/>
        <v>67860.639358937275</v>
      </c>
      <c r="H40" s="455">
        <f t="shared" si="16"/>
        <v>67860.639358937275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6"/>
        <v/>
      </c>
      <c r="C41" s="472">
        <f>IF(D11="","-",+C40+1)</f>
        <v>2033</v>
      </c>
      <c r="D41" s="483">
        <f>IF(F40+SUM(E$17:E40)=D$10,F40,D$10-SUM(E$17:E40))</f>
        <v>436588</v>
      </c>
      <c r="E41" s="484">
        <f>IF(+I14&lt;F40,I14,D41)</f>
        <v>20787</v>
      </c>
      <c r="F41" s="485">
        <f t="shared" si="14"/>
        <v>415801</v>
      </c>
      <c r="G41" s="486">
        <f t="shared" si="15"/>
        <v>65619.350680929114</v>
      </c>
      <c r="H41" s="455">
        <f t="shared" si="16"/>
        <v>65619.350680929114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6"/>
        <v/>
      </c>
      <c r="C42" s="472">
        <f>IF(D11="","-",+C41+1)</f>
        <v>2034</v>
      </c>
      <c r="D42" s="483">
        <f>IF(F41+SUM(E$17:E41)=D$10,F41,D$10-SUM(E$17:E41))</f>
        <v>415801</v>
      </c>
      <c r="E42" s="484">
        <f>IF(+I14&lt;F41,I14,D42)</f>
        <v>20787</v>
      </c>
      <c r="F42" s="485">
        <f t="shared" si="14"/>
        <v>395014</v>
      </c>
      <c r="G42" s="486">
        <f t="shared" si="15"/>
        <v>63378.062002920946</v>
      </c>
      <c r="H42" s="455">
        <f t="shared" si="16"/>
        <v>63378.062002920946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6"/>
        <v/>
      </c>
      <c r="C43" s="472">
        <f>IF(D11="","-",+C42+1)</f>
        <v>2035</v>
      </c>
      <c r="D43" s="483">
        <f>IF(F42+SUM(E$17:E42)=D$10,F42,D$10-SUM(E$17:E42))</f>
        <v>395014</v>
      </c>
      <c r="E43" s="484">
        <f>IF(+I14&lt;F42,I14,D43)</f>
        <v>20787</v>
      </c>
      <c r="F43" s="485">
        <f t="shared" si="14"/>
        <v>374227</v>
      </c>
      <c r="G43" s="486">
        <f t="shared" si="15"/>
        <v>61136.773324912778</v>
      </c>
      <c r="H43" s="455">
        <f t="shared" si="16"/>
        <v>61136.773324912778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6"/>
        <v/>
      </c>
      <c r="C44" s="472">
        <f>IF(D11="","-",+C43+1)</f>
        <v>2036</v>
      </c>
      <c r="D44" s="483">
        <f>IF(F43+SUM(E$17:E43)=D$10,F43,D$10-SUM(E$17:E43))</f>
        <v>374227</v>
      </c>
      <c r="E44" s="484">
        <f>IF(+I14&lt;F43,I14,D44)</f>
        <v>20787</v>
      </c>
      <c r="F44" s="485">
        <f t="shared" si="14"/>
        <v>353440</v>
      </c>
      <c r="G44" s="486">
        <f t="shared" si="15"/>
        <v>58895.48464690461</v>
      </c>
      <c r="H44" s="455">
        <f t="shared" si="16"/>
        <v>58895.48464690461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6"/>
        <v/>
      </c>
      <c r="C45" s="472">
        <f>IF(D11="","-",+C44+1)</f>
        <v>2037</v>
      </c>
      <c r="D45" s="483">
        <f>IF(F44+SUM(E$17:E44)=D$10,F44,D$10-SUM(E$17:E44))</f>
        <v>353440</v>
      </c>
      <c r="E45" s="484">
        <f>IF(+I14&lt;F44,I14,D45)</f>
        <v>20787</v>
      </c>
      <c r="F45" s="485">
        <f t="shared" si="14"/>
        <v>332653</v>
      </c>
      <c r="G45" s="486">
        <f t="shared" si="15"/>
        <v>56654.195968896449</v>
      </c>
      <c r="H45" s="455">
        <f t="shared" si="16"/>
        <v>56654.195968896449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6"/>
        <v/>
      </c>
      <c r="C46" s="472">
        <f>IF(D11="","-",+C45+1)</f>
        <v>2038</v>
      </c>
      <c r="D46" s="483">
        <f>IF(F45+SUM(E$17:E45)=D$10,F45,D$10-SUM(E$17:E45))</f>
        <v>332653</v>
      </c>
      <c r="E46" s="484">
        <f>IF(+I14&lt;F45,I14,D46)</f>
        <v>20787</v>
      </c>
      <c r="F46" s="485">
        <f t="shared" si="14"/>
        <v>311866</v>
      </c>
      <c r="G46" s="486">
        <f t="shared" si="15"/>
        <v>54412.907290888281</v>
      </c>
      <c r="H46" s="455">
        <f t="shared" si="16"/>
        <v>54412.907290888281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6"/>
        <v/>
      </c>
      <c r="C47" s="472">
        <f>IF(D11="","-",+C46+1)</f>
        <v>2039</v>
      </c>
      <c r="D47" s="483">
        <f>IF(F46+SUM(E$17:E46)=D$10,F46,D$10-SUM(E$17:E46))</f>
        <v>311866</v>
      </c>
      <c r="E47" s="484">
        <f>IF(+I14&lt;F46,I14,D47)</f>
        <v>20787</v>
      </c>
      <c r="F47" s="485">
        <f t="shared" si="14"/>
        <v>291079</v>
      </c>
      <c r="G47" s="486">
        <f t="shared" si="15"/>
        <v>52171.618612880113</v>
      </c>
      <c r="H47" s="455">
        <f t="shared" si="16"/>
        <v>52171.618612880113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6"/>
        <v/>
      </c>
      <c r="C48" s="472">
        <f>IF(D11="","-",+C47+1)</f>
        <v>2040</v>
      </c>
      <c r="D48" s="483">
        <f>IF(F47+SUM(E$17:E47)=D$10,F47,D$10-SUM(E$17:E47))</f>
        <v>291079</v>
      </c>
      <c r="E48" s="484">
        <f>IF(+I14&lt;F47,I14,D48)</f>
        <v>20787</v>
      </c>
      <c r="F48" s="485">
        <f t="shared" si="14"/>
        <v>270292</v>
      </c>
      <c r="G48" s="486">
        <f t="shared" si="15"/>
        <v>49930.329934871945</v>
      </c>
      <c r="H48" s="455">
        <f t="shared" si="16"/>
        <v>49930.329934871945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6"/>
        <v/>
      </c>
      <c r="C49" s="472">
        <f>IF(D11="","-",+C48+1)</f>
        <v>2041</v>
      </c>
      <c r="D49" s="483">
        <f>IF(F48+SUM(E$17:E48)=D$10,F48,D$10-SUM(E$17:E48))</f>
        <v>270292</v>
      </c>
      <c r="E49" s="484">
        <f>IF(+I14&lt;F48,I14,D49)</f>
        <v>20787</v>
      </c>
      <c r="F49" s="485">
        <f t="shared" ref="F49:F72" si="17">+D49-E49</f>
        <v>249505</v>
      </c>
      <c r="G49" s="486">
        <f t="shared" si="15"/>
        <v>47689.041256863784</v>
      </c>
      <c r="H49" s="455">
        <f t="shared" si="16"/>
        <v>47689.041256863784</v>
      </c>
      <c r="I49" s="475">
        <f t="shared" ref="I49:I72" si="18">H49-G49</f>
        <v>0</v>
      </c>
      <c r="J49" s="475"/>
      <c r="K49" s="487"/>
      <c r="L49" s="478">
        <f t="shared" ref="L49:L72" si="19">IF(K49&lt;&gt;0,+G49-K49,0)</f>
        <v>0</v>
      </c>
      <c r="M49" s="487"/>
      <c r="N49" s="478">
        <f t="shared" ref="N49:N72" si="20">IF(M49&lt;&gt;0,+H49-M49,0)</f>
        <v>0</v>
      </c>
      <c r="O49" s="478">
        <f t="shared" ref="O49:O72" si="21">+N49-L49</f>
        <v>0</v>
      </c>
      <c r="P49" s="242"/>
    </row>
    <row r="50" spans="2:16" ht="12.5">
      <c r="B50" s="160" t="str">
        <f t="shared" si="6"/>
        <v/>
      </c>
      <c r="C50" s="472">
        <f>IF(D11="","-",+C49+1)</f>
        <v>2042</v>
      </c>
      <c r="D50" s="483">
        <f>IF(F49+SUM(E$17:E49)=D$10,F49,D$10-SUM(E$17:E49))</f>
        <v>249505</v>
      </c>
      <c r="E50" s="484">
        <f>IF(+I14&lt;F49,I14,D50)</f>
        <v>20787</v>
      </c>
      <c r="F50" s="485">
        <f t="shared" si="17"/>
        <v>228718</v>
      </c>
      <c r="G50" s="486">
        <f t="shared" si="15"/>
        <v>45447.752578855616</v>
      </c>
      <c r="H50" s="455">
        <f t="shared" si="16"/>
        <v>45447.752578855616</v>
      </c>
      <c r="I50" s="475">
        <f t="shared" si="18"/>
        <v>0</v>
      </c>
      <c r="J50" s="475"/>
      <c r="K50" s="487"/>
      <c r="L50" s="478">
        <f t="shared" si="19"/>
        <v>0</v>
      </c>
      <c r="M50" s="487"/>
      <c r="N50" s="478">
        <f t="shared" si="20"/>
        <v>0</v>
      </c>
      <c r="O50" s="478">
        <f t="shared" si="21"/>
        <v>0</v>
      </c>
      <c r="P50" s="242"/>
    </row>
    <row r="51" spans="2:16" ht="12.5">
      <c r="B51" s="160" t="str">
        <f t="shared" si="6"/>
        <v/>
      </c>
      <c r="C51" s="472">
        <f>IF(D11="","-",+C50+1)</f>
        <v>2043</v>
      </c>
      <c r="D51" s="483">
        <f>IF(F50+SUM(E$17:E50)=D$10,F50,D$10-SUM(E$17:E50))</f>
        <v>228718</v>
      </c>
      <c r="E51" s="484">
        <f>IF(+I14&lt;F50,I14,D51)</f>
        <v>20787</v>
      </c>
      <c r="F51" s="485">
        <f t="shared" si="17"/>
        <v>207931</v>
      </c>
      <c r="G51" s="486">
        <f t="shared" si="15"/>
        <v>43206.463900847448</v>
      </c>
      <c r="H51" s="455">
        <f t="shared" si="16"/>
        <v>43206.463900847448</v>
      </c>
      <c r="I51" s="475">
        <f t="shared" si="18"/>
        <v>0</v>
      </c>
      <c r="J51" s="475"/>
      <c r="K51" s="487"/>
      <c r="L51" s="478">
        <f t="shared" si="19"/>
        <v>0</v>
      </c>
      <c r="M51" s="487"/>
      <c r="N51" s="478">
        <f t="shared" si="20"/>
        <v>0</v>
      </c>
      <c r="O51" s="478">
        <f t="shared" si="21"/>
        <v>0</v>
      </c>
      <c r="P51" s="242"/>
    </row>
    <row r="52" spans="2:16" ht="12.5">
      <c r="B52" s="160" t="str">
        <f t="shared" si="6"/>
        <v/>
      </c>
      <c r="C52" s="472">
        <f>IF(D11="","-",+C51+1)</f>
        <v>2044</v>
      </c>
      <c r="D52" s="483">
        <f>IF(F51+SUM(E$17:E51)=D$10,F51,D$10-SUM(E$17:E51))</f>
        <v>207931</v>
      </c>
      <c r="E52" s="484">
        <f>IF(+I14&lt;F51,I14,D52)</f>
        <v>20787</v>
      </c>
      <c r="F52" s="485">
        <f t="shared" si="17"/>
        <v>187144</v>
      </c>
      <c r="G52" s="486">
        <f t="shared" si="15"/>
        <v>40965.175222839287</v>
      </c>
      <c r="H52" s="455">
        <f t="shared" si="16"/>
        <v>40965.175222839287</v>
      </c>
      <c r="I52" s="475">
        <f t="shared" si="18"/>
        <v>0</v>
      </c>
      <c r="J52" s="475"/>
      <c r="K52" s="487"/>
      <c r="L52" s="478">
        <f t="shared" si="19"/>
        <v>0</v>
      </c>
      <c r="M52" s="487"/>
      <c r="N52" s="478">
        <f t="shared" si="20"/>
        <v>0</v>
      </c>
      <c r="O52" s="478">
        <f t="shared" si="21"/>
        <v>0</v>
      </c>
      <c r="P52" s="242"/>
    </row>
    <row r="53" spans="2:16" ht="12.5">
      <c r="B53" s="160" t="str">
        <f t="shared" si="6"/>
        <v/>
      </c>
      <c r="C53" s="472">
        <f>IF(D11="","-",+C52+1)</f>
        <v>2045</v>
      </c>
      <c r="D53" s="483">
        <f>IF(F52+SUM(E$17:E52)=D$10,F52,D$10-SUM(E$17:E52))</f>
        <v>187144</v>
      </c>
      <c r="E53" s="484">
        <f>IF(+I14&lt;F52,I14,D53)</f>
        <v>20787</v>
      </c>
      <c r="F53" s="485">
        <f t="shared" si="17"/>
        <v>166357</v>
      </c>
      <c r="G53" s="486">
        <f t="shared" si="15"/>
        <v>38723.886544831119</v>
      </c>
      <c r="H53" s="455">
        <f t="shared" si="16"/>
        <v>38723.886544831119</v>
      </c>
      <c r="I53" s="475">
        <f t="shared" si="18"/>
        <v>0</v>
      </c>
      <c r="J53" s="475"/>
      <c r="K53" s="487"/>
      <c r="L53" s="478">
        <f t="shared" si="19"/>
        <v>0</v>
      </c>
      <c r="M53" s="487"/>
      <c r="N53" s="478">
        <f t="shared" si="20"/>
        <v>0</v>
      </c>
      <c r="O53" s="478">
        <f t="shared" si="21"/>
        <v>0</v>
      </c>
      <c r="P53" s="242"/>
    </row>
    <row r="54" spans="2:16" ht="12.5">
      <c r="B54" s="160" t="str">
        <f t="shared" si="6"/>
        <v/>
      </c>
      <c r="C54" s="472">
        <f>IF(D11="","-",+C53+1)</f>
        <v>2046</v>
      </c>
      <c r="D54" s="483">
        <f>IF(F53+SUM(E$17:E53)=D$10,F53,D$10-SUM(E$17:E53))</f>
        <v>166357</v>
      </c>
      <c r="E54" s="484">
        <f>IF(+I14&lt;F53,I14,D54)</f>
        <v>20787</v>
      </c>
      <c r="F54" s="485">
        <f t="shared" si="17"/>
        <v>145570</v>
      </c>
      <c r="G54" s="486">
        <f t="shared" si="15"/>
        <v>36482.597866822951</v>
      </c>
      <c r="H54" s="455">
        <f t="shared" si="16"/>
        <v>36482.597866822951</v>
      </c>
      <c r="I54" s="475">
        <f t="shared" si="18"/>
        <v>0</v>
      </c>
      <c r="J54" s="475"/>
      <c r="K54" s="487"/>
      <c r="L54" s="478">
        <f t="shared" si="19"/>
        <v>0</v>
      </c>
      <c r="M54" s="487"/>
      <c r="N54" s="478">
        <f t="shared" si="20"/>
        <v>0</v>
      </c>
      <c r="O54" s="478">
        <f t="shared" si="21"/>
        <v>0</v>
      </c>
      <c r="P54" s="242"/>
    </row>
    <row r="55" spans="2:16" ht="12.5">
      <c r="B55" s="160" t="str">
        <f t="shared" si="6"/>
        <v/>
      </c>
      <c r="C55" s="472">
        <f>IF(D11="","-",+C54+1)</f>
        <v>2047</v>
      </c>
      <c r="D55" s="483">
        <f>IF(F54+SUM(E$17:E54)=D$10,F54,D$10-SUM(E$17:E54))</f>
        <v>145570</v>
      </c>
      <c r="E55" s="484">
        <f>IF(+I14&lt;F54,I14,D55)</f>
        <v>20787</v>
      </c>
      <c r="F55" s="485">
        <f t="shared" si="17"/>
        <v>124783</v>
      </c>
      <c r="G55" s="486">
        <f t="shared" si="15"/>
        <v>34241.30918881479</v>
      </c>
      <c r="H55" s="455">
        <f t="shared" si="16"/>
        <v>34241.30918881479</v>
      </c>
      <c r="I55" s="475">
        <f t="shared" si="18"/>
        <v>0</v>
      </c>
      <c r="J55" s="475"/>
      <c r="K55" s="487"/>
      <c r="L55" s="478">
        <f t="shared" si="19"/>
        <v>0</v>
      </c>
      <c r="M55" s="487"/>
      <c r="N55" s="478">
        <f t="shared" si="20"/>
        <v>0</v>
      </c>
      <c r="O55" s="478">
        <f t="shared" si="21"/>
        <v>0</v>
      </c>
      <c r="P55" s="242"/>
    </row>
    <row r="56" spans="2:16" ht="12.5">
      <c r="B56" s="160" t="str">
        <f t="shared" si="6"/>
        <v/>
      </c>
      <c r="C56" s="472">
        <f>IF(D11="","-",+C55+1)</f>
        <v>2048</v>
      </c>
      <c r="D56" s="483">
        <f>IF(F55+SUM(E$17:E55)=D$10,F55,D$10-SUM(E$17:E55))</f>
        <v>124783</v>
      </c>
      <c r="E56" s="484">
        <f>IF(+I14&lt;F55,I14,D56)</f>
        <v>20787</v>
      </c>
      <c r="F56" s="485">
        <f t="shared" si="17"/>
        <v>103996</v>
      </c>
      <c r="G56" s="486">
        <f t="shared" si="15"/>
        <v>32000.020510806622</v>
      </c>
      <c r="H56" s="455">
        <f t="shared" si="16"/>
        <v>32000.020510806622</v>
      </c>
      <c r="I56" s="475">
        <f t="shared" si="18"/>
        <v>0</v>
      </c>
      <c r="J56" s="475"/>
      <c r="K56" s="487"/>
      <c r="L56" s="478">
        <f t="shared" si="19"/>
        <v>0</v>
      </c>
      <c r="M56" s="487"/>
      <c r="N56" s="478">
        <f t="shared" si="20"/>
        <v>0</v>
      </c>
      <c r="O56" s="478">
        <f t="shared" si="21"/>
        <v>0</v>
      </c>
      <c r="P56" s="242"/>
    </row>
    <row r="57" spans="2:16" ht="12.5">
      <c r="B57" s="160" t="str">
        <f t="shared" si="6"/>
        <v/>
      </c>
      <c r="C57" s="472">
        <f>IF(D11="","-",+C56+1)</f>
        <v>2049</v>
      </c>
      <c r="D57" s="483">
        <f>IF(F56+SUM(E$17:E56)=D$10,F56,D$10-SUM(E$17:E56))</f>
        <v>103996</v>
      </c>
      <c r="E57" s="484">
        <f>IF(+I14&lt;F56,I14,D57)</f>
        <v>20787</v>
      </c>
      <c r="F57" s="485">
        <f t="shared" si="17"/>
        <v>83209</v>
      </c>
      <c r="G57" s="486">
        <f t="shared" si="15"/>
        <v>29758.731832798454</v>
      </c>
      <c r="H57" s="455">
        <f t="shared" si="16"/>
        <v>29758.731832798454</v>
      </c>
      <c r="I57" s="475">
        <f t="shared" si="18"/>
        <v>0</v>
      </c>
      <c r="J57" s="475"/>
      <c r="K57" s="487"/>
      <c r="L57" s="478">
        <f t="shared" si="19"/>
        <v>0</v>
      </c>
      <c r="M57" s="487"/>
      <c r="N57" s="478">
        <f t="shared" si="20"/>
        <v>0</v>
      </c>
      <c r="O57" s="478">
        <f t="shared" si="21"/>
        <v>0</v>
      </c>
      <c r="P57" s="242"/>
    </row>
    <row r="58" spans="2:16" ht="12.5">
      <c r="B58" s="160" t="str">
        <f t="shared" si="6"/>
        <v/>
      </c>
      <c r="C58" s="472">
        <f>IF(D11="","-",+C57+1)</f>
        <v>2050</v>
      </c>
      <c r="D58" s="483">
        <f>IF(F57+SUM(E$17:E57)=D$10,F57,D$10-SUM(E$17:E57))</f>
        <v>83209</v>
      </c>
      <c r="E58" s="484">
        <f>IF(+I14&lt;F57,I14,D58)</f>
        <v>20787</v>
      </c>
      <c r="F58" s="485">
        <f t="shared" si="17"/>
        <v>62422</v>
      </c>
      <c r="G58" s="486">
        <f t="shared" si="15"/>
        <v>27517.44315479029</v>
      </c>
      <c r="H58" s="455">
        <f t="shared" si="16"/>
        <v>27517.44315479029</v>
      </c>
      <c r="I58" s="475">
        <f t="shared" si="18"/>
        <v>0</v>
      </c>
      <c r="J58" s="475"/>
      <c r="K58" s="487"/>
      <c r="L58" s="478">
        <f t="shared" si="19"/>
        <v>0</v>
      </c>
      <c r="M58" s="487"/>
      <c r="N58" s="478">
        <f t="shared" si="20"/>
        <v>0</v>
      </c>
      <c r="O58" s="478">
        <f t="shared" si="21"/>
        <v>0</v>
      </c>
      <c r="P58" s="242"/>
    </row>
    <row r="59" spans="2:16" ht="12.5">
      <c r="B59" s="160" t="str">
        <f t="shared" si="6"/>
        <v/>
      </c>
      <c r="C59" s="472">
        <f>IF(D11="","-",+C58+1)</f>
        <v>2051</v>
      </c>
      <c r="D59" s="483">
        <f>IF(F58+SUM(E$17:E58)=D$10,F58,D$10-SUM(E$17:E58))</f>
        <v>62422</v>
      </c>
      <c r="E59" s="484">
        <f>IF(+I14&lt;F58,I14,D59)</f>
        <v>20787</v>
      </c>
      <c r="F59" s="485">
        <f t="shared" si="17"/>
        <v>41635</v>
      </c>
      <c r="G59" s="486">
        <f t="shared" si="15"/>
        <v>25276.154476782125</v>
      </c>
      <c r="H59" s="455">
        <f t="shared" si="16"/>
        <v>25276.154476782125</v>
      </c>
      <c r="I59" s="475">
        <f t="shared" si="18"/>
        <v>0</v>
      </c>
      <c r="J59" s="475"/>
      <c r="K59" s="487"/>
      <c r="L59" s="478">
        <f t="shared" si="19"/>
        <v>0</v>
      </c>
      <c r="M59" s="487"/>
      <c r="N59" s="478">
        <f t="shared" si="20"/>
        <v>0</v>
      </c>
      <c r="O59" s="478">
        <f t="shared" si="21"/>
        <v>0</v>
      </c>
      <c r="P59" s="242"/>
    </row>
    <row r="60" spans="2:16" ht="12.5">
      <c r="B60" s="160" t="str">
        <f t="shared" si="6"/>
        <v/>
      </c>
      <c r="C60" s="472">
        <f>IF(D11="","-",+C59+1)</f>
        <v>2052</v>
      </c>
      <c r="D60" s="483">
        <f>IF(F59+SUM(E$17:E59)=D$10,F59,D$10-SUM(E$17:E59))</f>
        <v>41635</v>
      </c>
      <c r="E60" s="484">
        <f>IF(+I14&lt;F59,I14,D60)</f>
        <v>20787</v>
      </c>
      <c r="F60" s="485">
        <f t="shared" si="17"/>
        <v>20848</v>
      </c>
      <c r="G60" s="486">
        <f t="shared" si="15"/>
        <v>23034.865798773957</v>
      </c>
      <c r="H60" s="455">
        <f t="shared" si="16"/>
        <v>23034.865798773957</v>
      </c>
      <c r="I60" s="475">
        <f t="shared" si="18"/>
        <v>0</v>
      </c>
      <c r="J60" s="475"/>
      <c r="K60" s="487"/>
      <c r="L60" s="478">
        <f t="shared" si="19"/>
        <v>0</v>
      </c>
      <c r="M60" s="487"/>
      <c r="N60" s="478">
        <f t="shared" si="20"/>
        <v>0</v>
      </c>
      <c r="O60" s="478">
        <f t="shared" si="21"/>
        <v>0</v>
      </c>
      <c r="P60" s="242"/>
    </row>
    <row r="61" spans="2:16" ht="12.5">
      <c r="B61" s="160" t="str">
        <f t="shared" si="6"/>
        <v/>
      </c>
      <c r="C61" s="472">
        <f>IF(D11="","-",+C60+1)</f>
        <v>2053</v>
      </c>
      <c r="D61" s="483">
        <f>IF(F60+SUM(E$17:E60)=D$10,F60,D$10-SUM(E$17:E60))</f>
        <v>20848</v>
      </c>
      <c r="E61" s="484">
        <f>IF(+I14&lt;F60,I14,D61)</f>
        <v>20787</v>
      </c>
      <c r="F61" s="485">
        <f t="shared" si="17"/>
        <v>61</v>
      </c>
      <c r="G61" s="488">
        <f t="shared" si="15"/>
        <v>20793.577120765793</v>
      </c>
      <c r="H61" s="455">
        <f t="shared" si="16"/>
        <v>20793.577120765793</v>
      </c>
      <c r="I61" s="475">
        <f t="shared" si="18"/>
        <v>0</v>
      </c>
      <c r="J61" s="475"/>
      <c r="K61" s="487"/>
      <c r="L61" s="478">
        <f t="shared" si="19"/>
        <v>0</v>
      </c>
      <c r="M61" s="487"/>
      <c r="N61" s="478">
        <f t="shared" si="20"/>
        <v>0</v>
      </c>
      <c r="O61" s="478">
        <f t="shared" si="21"/>
        <v>0</v>
      </c>
      <c r="P61" s="242"/>
    </row>
    <row r="62" spans="2:16" ht="12.5">
      <c r="B62" s="160" t="str">
        <f t="shared" si="6"/>
        <v/>
      </c>
      <c r="C62" s="472">
        <f>IF(D11="","-",+C61+1)</f>
        <v>2054</v>
      </c>
      <c r="D62" s="483">
        <f>IF(F61+SUM(E$17:E61)=D$10,F61,D$10-SUM(E$17:E61))</f>
        <v>61</v>
      </c>
      <c r="E62" s="484">
        <f>IF(+I14&lt;F61,I14,D62)</f>
        <v>61</v>
      </c>
      <c r="F62" s="485">
        <f t="shared" si="17"/>
        <v>0</v>
      </c>
      <c r="G62" s="488">
        <f t="shared" si="15"/>
        <v>61</v>
      </c>
      <c r="H62" s="455">
        <f t="shared" si="16"/>
        <v>61</v>
      </c>
      <c r="I62" s="475">
        <f t="shared" si="18"/>
        <v>0</v>
      </c>
      <c r="J62" s="475"/>
      <c r="K62" s="487"/>
      <c r="L62" s="478">
        <f t="shared" si="19"/>
        <v>0</v>
      </c>
      <c r="M62" s="487"/>
      <c r="N62" s="478">
        <f t="shared" si="20"/>
        <v>0</v>
      </c>
      <c r="O62" s="478">
        <f t="shared" si="21"/>
        <v>0</v>
      </c>
      <c r="P62" s="242"/>
    </row>
    <row r="63" spans="2:16" ht="12.5">
      <c r="B63" s="160" t="str">
        <f t="shared" si="6"/>
        <v/>
      </c>
      <c r="C63" s="472">
        <f>IF(D11="","-",+C62+1)</f>
        <v>2055</v>
      </c>
      <c r="D63" s="483">
        <f>IF(F62+SUM(E$17:E62)=D$10,F62,D$10-SUM(E$17:E62))</f>
        <v>0</v>
      </c>
      <c r="E63" s="484">
        <f>IF(+I14&lt;F62,I14,D63)</f>
        <v>0</v>
      </c>
      <c r="F63" s="485">
        <f t="shared" si="17"/>
        <v>0</v>
      </c>
      <c r="G63" s="488">
        <f t="shared" si="15"/>
        <v>0</v>
      </c>
      <c r="H63" s="455">
        <f t="shared" si="16"/>
        <v>0</v>
      </c>
      <c r="I63" s="475">
        <f t="shared" si="18"/>
        <v>0</v>
      </c>
      <c r="J63" s="475"/>
      <c r="K63" s="487"/>
      <c r="L63" s="478">
        <f t="shared" si="19"/>
        <v>0</v>
      </c>
      <c r="M63" s="487"/>
      <c r="N63" s="478">
        <f t="shared" si="20"/>
        <v>0</v>
      </c>
      <c r="O63" s="478">
        <f t="shared" si="21"/>
        <v>0</v>
      </c>
      <c r="P63" s="242"/>
    </row>
    <row r="64" spans="2:16" ht="12.5">
      <c r="B64" s="160" t="str">
        <f t="shared" si="6"/>
        <v/>
      </c>
      <c r="C64" s="472">
        <f>IF(D11="","-",+C63+1)</f>
        <v>2056</v>
      </c>
      <c r="D64" s="483">
        <f>IF(F63+SUM(E$17:E63)=D$10,F63,D$10-SUM(E$17:E63))</f>
        <v>0</v>
      </c>
      <c r="E64" s="484">
        <f>IF(+I14&lt;F63,I14,D64)</f>
        <v>0</v>
      </c>
      <c r="F64" s="485">
        <f t="shared" si="17"/>
        <v>0</v>
      </c>
      <c r="G64" s="488">
        <f t="shared" si="15"/>
        <v>0</v>
      </c>
      <c r="H64" s="455">
        <f t="shared" si="16"/>
        <v>0</v>
      </c>
      <c r="I64" s="475">
        <f t="shared" si="18"/>
        <v>0</v>
      </c>
      <c r="J64" s="475"/>
      <c r="K64" s="487"/>
      <c r="L64" s="478">
        <f t="shared" si="19"/>
        <v>0</v>
      </c>
      <c r="M64" s="487"/>
      <c r="N64" s="478">
        <f t="shared" si="20"/>
        <v>0</v>
      </c>
      <c r="O64" s="478">
        <f t="shared" si="21"/>
        <v>0</v>
      </c>
      <c r="P64" s="242"/>
    </row>
    <row r="65" spans="1:16" ht="12.5">
      <c r="B65" s="160" t="str">
        <f t="shared" si="6"/>
        <v/>
      </c>
      <c r="C65" s="472">
        <f>IF(D11="","-",+C64+1)</f>
        <v>2057</v>
      </c>
      <c r="D65" s="483">
        <f>IF(F64+SUM(E$17:E64)=D$10,F64,D$10-SUM(E$17:E64))</f>
        <v>0</v>
      </c>
      <c r="E65" s="484">
        <f>IF(+I14&lt;F64,I14,D65)</f>
        <v>0</v>
      </c>
      <c r="F65" s="485">
        <f t="shared" si="17"/>
        <v>0</v>
      </c>
      <c r="G65" s="488">
        <f t="shared" si="15"/>
        <v>0</v>
      </c>
      <c r="H65" s="455">
        <f t="shared" si="16"/>
        <v>0</v>
      </c>
      <c r="I65" s="475">
        <f t="shared" si="18"/>
        <v>0</v>
      </c>
      <c r="J65" s="475"/>
      <c r="K65" s="487"/>
      <c r="L65" s="478">
        <f t="shared" si="19"/>
        <v>0</v>
      </c>
      <c r="M65" s="487"/>
      <c r="N65" s="478">
        <f t="shared" si="20"/>
        <v>0</v>
      </c>
      <c r="O65" s="478">
        <f t="shared" si="21"/>
        <v>0</v>
      </c>
      <c r="P65" s="242"/>
    </row>
    <row r="66" spans="1:16" ht="12.5">
      <c r="B66" s="160" t="str">
        <f t="shared" si="6"/>
        <v/>
      </c>
      <c r="C66" s="472">
        <f>IF(D11="","-",+C65+1)</f>
        <v>2058</v>
      </c>
      <c r="D66" s="483">
        <f>IF(F65+SUM(E$17:E65)=D$10,F65,D$10-SUM(E$17:E65))</f>
        <v>0</v>
      </c>
      <c r="E66" s="484">
        <f>IF(+I14&lt;F65,I14,D66)</f>
        <v>0</v>
      </c>
      <c r="F66" s="485">
        <f t="shared" si="17"/>
        <v>0</v>
      </c>
      <c r="G66" s="488">
        <f t="shared" si="15"/>
        <v>0</v>
      </c>
      <c r="H66" s="455">
        <f t="shared" si="16"/>
        <v>0</v>
      </c>
      <c r="I66" s="475">
        <f t="shared" si="18"/>
        <v>0</v>
      </c>
      <c r="J66" s="475"/>
      <c r="K66" s="487"/>
      <c r="L66" s="478">
        <f t="shared" si="19"/>
        <v>0</v>
      </c>
      <c r="M66" s="487"/>
      <c r="N66" s="478">
        <f t="shared" si="20"/>
        <v>0</v>
      </c>
      <c r="O66" s="478">
        <f t="shared" si="21"/>
        <v>0</v>
      </c>
      <c r="P66" s="242"/>
    </row>
    <row r="67" spans="1:16" ht="12.5">
      <c r="B67" s="160" t="str">
        <f t="shared" si="6"/>
        <v/>
      </c>
      <c r="C67" s="472">
        <f>IF(D11="","-",+C66+1)</f>
        <v>2059</v>
      </c>
      <c r="D67" s="483">
        <f>IF(F66+SUM(E$17:E66)=D$10,F66,D$10-SUM(E$17:E66))</f>
        <v>0</v>
      </c>
      <c r="E67" s="484">
        <f>IF(+I14&lt;F66,I14,D67)</f>
        <v>0</v>
      </c>
      <c r="F67" s="485">
        <f t="shared" si="17"/>
        <v>0</v>
      </c>
      <c r="G67" s="488">
        <f t="shared" si="15"/>
        <v>0</v>
      </c>
      <c r="H67" s="455">
        <f t="shared" si="16"/>
        <v>0</v>
      </c>
      <c r="I67" s="475">
        <f t="shared" si="18"/>
        <v>0</v>
      </c>
      <c r="J67" s="475"/>
      <c r="K67" s="487"/>
      <c r="L67" s="478">
        <f t="shared" si="19"/>
        <v>0</v>
      </c>
      <c r="M67" s="487"/>
      <c r="N67" s="478">
        <f t="shared" si="20"/>
        <v>0</v>
      </c>
      <c r="O67" s="478">
        <f t="shared" si="21"/>
        <v>0</v>
      </c>
      <c r="P67" s="242"/>
    </row>
    <row r="68" spans="1:16" ht="12.5">
      <c r="B68" s="160" t="str">
        <f t="shared" si="6"/>
        <v/>
      </c>
      <c r="C68" s="472">
        <f>IF(D11="","-",+C67+1)</f>
        <v>2060</v>
      </c>
      <c r="D68" s="483">
        <f>IF(F67+SUM(E$17:E67)=D$10,F67,D$10-SUM(E$17:E67))</f>
        <v>0</v>
      </c>
      <c r="E68" s="484">
        <f>IF(+I14&lt;F67,I14,D68)</f>
        <v>0</v>
      </c>
      <c r="F68" s="485">
        <f t="shared" si="17"/>
        <v>0</v>
      </c>
      <c r="G68" s="488">
        <f t="shared" si="15"/>
        <v>0</v>
      </c>
      <c r="H68" s="455">
        <f t="shared" si="16"/>
        <v>0</v>
      </c>
      <c r="I68" s="475">
        <f t="shared" si="18"/>
        <v>0</v>
      </c>
      <c r="J68" s="475"/>
      <c r="K68" s="487"/>
      <c r="L68" s="478">
        <f t="shared" si="19"/>
        <v>0</v>
      </c>
      <c r="M68" s="487"/>
      <c r="N68" s="478">
        <f t="shared" si="20"/>
        <v>0</v>
      </c>
      <c r="O68" s="478">
        <f t="shared" si="21"/>
        <v>0</v>
      </c>
      <c r="P68" s="242"/>
    </row>
    <row r="69" spans="1:16" ht="12.5">
      <c r="B69" s="160" t="str">
        <f t="shared" si="6"/>
        <v/>
      </c>
      <c r="C69" s="472">
        <f>IF(D11="","-",+C68+1)</f>
        <v>2061</v>
      </c>
      <c r="D69" s="483">
        <f>IF(F68+SUM(E$17:E68)=D$10,F68,D$10-SUM(E$17:E68))</f>
        <v>0</v>
      </c>
      <c r="E69" s="484">
        <f>IF(+I14&lt;F68,I14,D69)</f>
        <v>0</v>
      </c>
      <c r="F69" s="485">
        <f t="shared" si="17"/>
        <v>0</v>
      </c>
      <c r="G69" s="488">
        <f t="shared" si="15"/>
        <v>0</v>
      </c>
      <c r="H69" s="455">
        <f t="shared" si="16"/>
        <v>0</v>
      </c>
      <c r="I69" s="475">
        <f t="shared" si="18"/>
        <v>0</v>
      </c>
      <c r="J69" s="475"/>
      <c r="K69" s="487"/>
      <c r="L69" s="478">
        <f t="shared" si="19"/>
        <v>0</v>
      </c>
      <c r="M69" s="487"/>
      <c r="N69" s="478">
        <f t="shared" si="20"/>
        <v>0</v>
      </c>
      <c r="O69" s="478">
        <f t="shared" si="21"/>
        <v>0</v>
      </c>
      <c r="P69" s="242"/>
    </row>
    <row r="70" spans="1:16" ht="12.5">
      <c r="B70" s="160" t="str">
        <f t="shared" si="6"/>
        <v/>
      </c>
      <c r="C70" s="472">
        <f>IF(D11="","-",+C69+1)</f>
        <v>2062</v>
      </c>
      <c r="D70" s="483">
        <f>IF(F69+SUM(E$17:E69)=D$10,F69,D$10-SUM(E$17:E69))</f>
        <v>0</v>
      </c>
      <c r="E70" s="484">
        <f>IF(+I14&lt;F69,I14,D70)</f>
        <v>0</v>
      </c>
      <c r="F70" s="485">
        <f t="shared" si="17"/>
        <v>0</v>
      </c>
      <c r="G70" s="488">
        <f t="shared" si="15"/>
        <v>0</v>
      </c>
      <c r="H70" s="455">
        <f t="shared" si="16"/>
        <v>0</v>
      </c>
      <c r="I70" s="475">
        <f t="shared" si="18"/>
        <v>0</v>
      </c>
      <c r="J70" s="475"/>
      <c r="K70" s="487"/>
      <c r="L70" s="478">
        <f t="shared" si="19"/>
        <v>0</v>
      </c>
      <c r="M70" s="487"/>
      <c r="N70" s="478">
        <f t="shared" si="20"/>
        <v>0</v>
      </c>
      <c r="O70" s="478">
        <f t="shared" si="21"/>
        <v>0</v>
      </c>
      <c r="P70" s="242"/>
    </row>
    <row r="71" spans="1:16" ht="12.5">
      <c r="B71" s="160" t="str">
        <f t="shared" si="6"/>
        <v/>
      </c>
      <c r="C71" s="472">
        <f>IF(D11="","-",+C70+1)</f>
        <v>2063</v>
      </c>
      <c r="D71" s="483">
        <f>IF(F70+SUM(E$17:E70)=D$10,F70,D$10-SUM(E$17:E70))</f>
        <v>0</v>
      </c>
      <c r="E71" s="484">
        <f>IF(+I14&lt;F70,I14,D71)</f>
        <v>0</v>
      </c>
      <c r="F71" s="485">
        <f t="shared" si="17"/>
        <v>0</v>
      </c>
      <c r="G71" s="488">
        <f t="shared" si="15"/>
        <v>0</v>
      </c>
      <c r="H71" s="455">
        <f t="shared" si="16"/>
        <v>0</v>
      </c>
      <c r="I71" s="475">
        <f t="shared" si="18"/>
        <v>0</v>
      </c>
      <c r="J71" s="475"/>
      <c r="K71" s="487"/>
      <c r="L71" s="478">
        <f t="shared" si="19"/>
        <v>0</v>
      </c>
      <c r="M71" s="487"/>
      <c r="N71" s="478">
        <f t="shared" si="20"/>
        <v>0</v>
      </c>
      <c r="O71" s="478">
        <f t="shared" si="21"/>
        <v>0</v>
      </c>
      <c r="P71" s="242"/>
    </row>
    <row r="72" spans="1:16" ht="13" thickBot="1">
      <c r="B72" s="160" t="str">
        <f t="shared" si="6"/>
        <v/>
      </c>
      <c r="C72" s="489">
        <f>IF(D11="","-",+C71+1)</f>
        <v>2064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7"/>
        <v>0</v>
      </c>
      <c r="G72" s="492">
        <f t="shared" si="15"/>
        <v>0</v>
      </c>
      <c r="H72" s="435">
        <f t="shared" si="16"/>
        <v>0</v>
      </c>
      <c r="I72" s="493">
        <f t="shared" si="18"/>
        <v>0</v>
      </c>
      <c r="J72" s="475"/>
      <c r="K72" s="494"/>
      <c r="L72" s="495">
        <f t="shared" si="19"/>
        <v>0</v>
      </c>
      <c r="M72" s="494"/>
      <c r="N72" s="495">
        <f t="shared" si="20"/>
        <v>0</v>
      </c>
      <c r="O72" s="495">
        <f t="shared" si="21"/>
        <v>0</v>
      </c>
      <c r="P72" s="242"/>
    </row>
    <row r="73" spans="1:16" ht="12.5">
      <c r="C73" s="346" t="s">
        <v>77</v>
      </c>
      <c r="D73" s="347"/>
      <c r="E73" s="347">
        <f>SUM(E17:E72)</f>
        <v>893858</v>
      </c>
      <c r="F73" s="347"/>
      <c r="G73" s="347">
        <f>SUM(G17:G72)</f>
        <v>3281775.7475521648</v>
      </c>
      <c r="H73" s="347">
        <f>SUM(H17:H72)</f>
        <v>3281775.7475521648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1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1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1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1:16" ht="17.5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497"/>
      <c r="P77" s="242"/>
    </row>
    <row r="78" spans="1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1:16" ht="15.5">
      <c r="A79" s="498"/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</row>
    <row r="80" spans="1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499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1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102569.83805108386</v>
      </c>
      <c r="N87" s="508">
        <f>IF(J92&lt;D11,0,VLOOKUP(J92,C17:O72,11))</f>
        <v>102569.83805108386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95202.564794457576</v>
      </c>
      <c r="N88" s="512">
        <f>IF(J92&lt;D11,0,VLOOKUP(J92,C99:P154,7))</f>
        <v>95202.564794457576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Riverside-Glenpool (81-523) Reconductor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-7367.2732566262857</v>
      </c>
      <c r="N89" s="517">
        <f>+N88-N87</f>
        <v>-7367.2732566262857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TP2006087</v>
      </c>
      <c r="E91" s="522"/>
      <c r="F91" s="522"/>
      <c r="G91" s="522"/>
      <c r="H91" s="522"/>
      <c r="I91" s="522"/>
      <c r="J91" s="523"/>
      <c r="K91" s="524"/>
      <c r="P91" s="445"/>
    </row>
    <row r="92" spans="1:16" ht="13">
      <c r="C92" s="446" t="s">
        <v>226</v>
      </c>
      <c r="D92" s="447">
        <v>893858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2009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21801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2009</v>
      </c>
      <c r="D99" s="473">
        <v>0</v>
      </c>
      <c r="E99" s="480">
        <v>7981</v>
      </c>
      <c r="F99" s="479">
        <v>885877</v>
      </c>
      <c r="G99" s="537">
        <v>442938.5</v>
      </c>
      <c r="H99" s="538">
        <v>72742</v>
      </c>
      <c r="I99" s="539">
        <v>72742</v>
      </c>
      <c r="J99" s="478">
        <f t="shared" ref="J99:J130" si="22">+I99-H99</f>
        <v>0</v>
      </c>
      <c r="K99" s="478"/>
      <c r="L99" s="476">
        <f t="shared" ref="L99:L104" si="23">H99</f>
        <v>72742</v>
      </c>
      <c r="M99" s="477">
        <f t="shared" ref="M99:M130" si="24">IF(L99&lt;&gt;0,+H99-L99,0)</f>
        <v>0</v>
      </c>
      <c r="N99" s="476">
        <f t="shared" ref="N99:N104" si="25">I99</f>
        <v>72742</v>
      </c>
      <c r="O99" s="477">
        <f t="shared" ref="O99:O130" si="26">IF(N99&lt;&gt;0,+I99-N99,0)</f>
        <v>0</v>
      </c>
      <c r="P99" s="477">
        <f t="shared" ref="P99:P130" si="27">+O99-M99</f>
        <v>0</v>
      </c>
    </row>
    <row r="100" spans="1:16" ht="12.5">
      <c r="B100" s="160" t="str">
        <f>IF(D100=F99,"","IU")</f>
        <v/>
      </c>
      <c r="C100" s="472">
        <f>IF(D93="","-",+C99+1)</f>
        <v>2010</v>
      </c>
      <c r="D100" s="473">
        <v>885877</v>
      </c>
      <c r="E100" s="480">
        <v>17527</v>
      </c>
      <c r="F100" s="479">
        <v>868350</v>
      </c>
      <c r="G100" s="479">
        <v>877113.5</v>
      </c>
      <c r="H100" s="538">
        <v>158580.20000000001</v>
      </c>
      <c r="I100" s="539">
        <v>158580.20000000001</v>
      </c>
      <c r="J100" s="478">
        <f t="shared" si="22"/>
        <v>0</v>
      </c>
      <c r="K100" s="478"/>
      <c r="L100" s="476">
        <f t="shared" si="23"/>
        <v>158580.20000000001</v>
      </c>
      <c r="M100" s="478">
        <f t="shared" si="24"/>
        <v>0</v>
      </c>
      <c r="N100" s="476">
        <f t="shared" si="25"/>
        <v>158580.20000000001</v>
      </c>
      <c r="O100" s="478">
        <f t="shared" si="26"/>
        <v>0</v>
      </c>
      <c r="P100" s="478">
        <f t="shared" si="27"/>
        <v>0</v>
      </c>
    </row>
    <row r="101" spans="1:16" ht="12.5">
      <c r="B101" s="160" t="str">
        <f t="shared" ref="B101:B154" si="28">IF(D101=F100,"","IU")</f>
        <v/>
      </c>
      <c r="C101" s="482">
        <f>IF(D93="","-",+C100+1)</f>
        <v>2011</v>
      </c>
      <c r="D101" s="473">
        <v>868350</v>
      </c>
      <c r="E101" s="480">
        <v>17190</v>
      </c>
      <c r="F101" s="479">
        <v>851160</v>
      </c>
      <c r="G101" s="479">
        <v>859755</v>
      </c>
      <c r="H101" s="480">
        <v>137395.30233025842</v>
      </c>
      <c r="I101" s="481">
        <v>137395.30233025842</v>
      </c>
      <c r="J101" s="478">
        <f t="shared" si="22"/>
        <v>0</v>
      </c>
      <c r="K101" s="478"/>
      <c r="L101" s="540">
        <f t="shared" si="23"/>
        <v>137395.30233025842</v>
      </c>
      <c r="M101" s="541">
        <f t="shared" si="24"/>
        <v>0</v>
      </c>
      <c r="N101" s="540">
        <f t="shared" si="25"/>
        <v>137395.30233025842</v>
      </c>
      <c r="O101" s="478">
        <f t="shared" si="26"/>
        <v>0</v>
      </c>
      <c r="P101" s="478">
        <f t="shared" si="27"/>
        <v>0</v>
      </c>
    </row>
    <row r="102" spans="1:16" ht="12.5">
      <c r="B102" s="160" t="str">
        <f t="shared" si="28"/>
        <v/>
      </c>
      <c r="C102" s="482">
        <f>IF(D93="","-",+C101+1)</f>
        <v>2012</v>
      </c>
      <c r="D102" s="473">
        <v>851160</v>
      </c>
      <c r="E102" s="480">
        <v>17190</v>
      </c>
      <c r="F102" s="479">
        <v>833970</v>
      </c>
      <c r="G102" s="479">
        <v>842565</v>
      </c>
      <c r="H102" s="480">
        <v>138397.59402070014</v>
      </c>
      <c r="I102" s="481">
        <v>138397.59402070014</v>
      </c>
      <c r="J102" s="478">
        <v>0</v>
      </c>
      <c r="K102" s="478"/>
      <c r="L102" s="540">
        <f t="shared" si="23"/>
        <v>138397.59402070014</v>
      </c>
      <c r="M102" s="541">
        <f t="shared" ref="M102:M107" si="29">IF(L102&lt;&gt;0,+H102-L102,0)</f>
        <v>0</v>
      </c>
      <c r="N102" s="540">
        <f t="shared" si="25"/>
        <v>138397.59402070014</v>
      </c>
      <c r="O102" s="478">
        <f t="shared" ref="O102:O107" si="30">IF(N102&lt;&gt;0,+I102-N102,0)</f>
        <v>0</v>
      </c>
      <c r="P102" s="478">
        <f t="shared" ref="P102:P107" si="31">+O102-M102</f>
        <v>0</v>
      </c>
    </row>
    <row r="103" spans="1:16" ht="12.5">
      <c r="B103" s="160" t="str">
        <f t="shared" si="28"/>
        <v/>
      </c>
      <c r="C103" s="472">
        <f>IF(D93="","-",+C102+1)</f>
        <v>2013</v>
      </c>
      <c r="D103" s="473">
        <v>833970</v>
      </c>
      <c r="E103" s="480">
        <v>17190</v>
      </c>
      <c r="F103" s="479">
        <v>816780</v>
      </c>
      <c r="G103" s="479">
        <v>825375</v>
      </c>
      <c r="H103" s="480">
        <v>135994.14234787846</v>
      </c>
      <c r="I103" s="481">
        <v>135994.14234787846</v>
      </c>
      <c r="J103" s="478">
        <v>0</v>
      </c>
      <c r="K103" s="478"/>
      <c r="L103" s="540">
        <f t="shared" si="23"/>
        <v>135994.14234787846</v>
      </c>
      <c r="M103" s="541">
        <f t="shared" si="29"/>
        <v>0</v>
      </c>
      <c r="N103" s="540">
        <f t="shared" si="25"/>
        <v>135994.14234787846</v>
      </c>
      <c r="O103" s="478">
        <f t="shared" si="30"/>
        <v>0</v>
      </c>
      <c r="P103" s="478">
        <f t="shared" si="31"/>
        <v>0</v>
      </c>
    </row>
    <row r="104" spans="1:16" ht="12.5">
      <c r="B104" s="160" t="str">
        <f t="shared" si="28"/>
        <v/>
      </c>
      <c r="C104" s="472">
        <f>IF(D93="","-",+C103+1)</f>
        <v>2014</v>
      </c>
      <c r="D104" s="473">
        <v>816780</v>
      </c>
      <c r="E104" s="480">
        <v>17190</v>
      </c>
      <c r="F104" s="479">
        <v>799590</v>
      </c>
      <c r="G104" s="479">
        <v>808185</v>
      </c>
      <c r="H104" s="480">
        <v>130817.50733584017</v>
      </c>
      <c r="I104" s="481">
        <v>130817.50733584017</v>
      </c>
      <c r="J104" s="478">
        <v>0</v>
      </c>
      <c r="K104" s="478"/>
      <c r="L104" s="540">
        <f t="shared" si="23"/>
        <v>130817.50733584017</v>
      </c>
      <c r="M104" s="541">
        <f t="shared" si="29"/>
        <v>0</v>
      </c>
      <c r="N104" s="540">
        <f t="shared" si="25"/>
        <v>130817.50733584017</v>
      </c>
      <c r="O104" s="478">
        <f t="shared" si="30"/>
        <v>0</v>
      </c>
      <c r="P104" s="478">
        <f t="shared" si="31"/>
        <v>0</v>
      </c>
    </row>
    <row r="105" spans="1:16" ht="12.5">
      <c r="B105" s="160" t="str">
        <f t="shared" si="28"/>
        <v/>
      </c>
      <c r="C105" s="472">
        <f>IF(D93="","-",+C104+1)</f>
        <v>2015</v>
      </c>
      <c r="D105" s="473">
        <v>799590</v>
      </c>
      <c r="E105" s="480">
        <v>17190</v>
      </c>
      <c r="F105" s="479">
        <v>782400</v>
      </c>
      <c r="G105" s="479">
        <v>790995</v>
      </c>
      <c r="H105" s="480">
        <v>125114.9078367878</v>
      </c>
      <c r="I105" s="481">
        <v>125114.9078367878</v>
      </c>
      <c r="J105" s="478">
        <f t="shared" si="22"/>
        <v>0</v>
      </c>
      <c r="K105" s="478"/>
      <c r="L105" s="540">
        <f>H105</f>
        <v>125114.9078367878</v>
      </c>
      <c r="M105" s="541">
        <f t="shared" si="29"/>
        <v>0</v>
      </c>
      <c r="N105" s="540">
        <f>I105</f>
        <v>125114.9078367878</v>
      </c>
      <c r="O105" s="478">
        <f t="shared" si="30"/>
        <v>0</v>
      </c>
      <c r="P105" s="478">
        <f t="shared" si="31"/>
        <v>0</v>
      </c>
    </row>
    <row r="106" spans="1:16" ht="12.5">
      <c r="B106" s="160" t="str">
        <f t="shared" si="28"/>
        <v/>
      </c>
      <c r="C106" s="472">
        <f>IF(D93="","-",+C105+1)</f>
        <v>2016</v>
      </c>
      <c r="D106" s="473">
        <v>782400</v>
      </c>
      <c r="E106" s="480">
        <v>19432</v>
      </c>
      <c r="F106" s="479">
        <v>762968</v>
      </c>
      <c r="G106" s="479">
        <v>772684</v>
      </c>
      <c r="H106" s="480">
        <v>119043.13650322839</v>
      </c>
      <c r="I106" s="481">
        <v>119043.13650322839</v>
      </c>
      <c r="J106" s="478">
        <f t="shared" si="22"/>
        <v>0</v>
      </c>
      <c r="K106" s="478"/>
      <c r="L106" s="540">
        <f>H106</f>
        <v>119043.13650322839</v>
      </c>
      <c r="M106" s="541">
        <f t="shared" si="29"/>
        <v>0</v>
      </c>
      <c r="N106" s="540">
        <f>I106</f>
        <v>119043.13650322839</v>
      </c>
      <c r="O106" s="478">
        <f t="shared" si="30"/>
        <v>0</v>
      </c>
      <c r="P106" s="478">
        <f t="shared" si="31"/>
        <v>0</v>
      </c>
    </row>
    <row r="107" spans="1:16" ht="12.5">
      <c r="B107" s="160" t="str">
        <f t="shared" si="28"/>
        <v/>
      </c>
      <c r="C107" s="472">
        <f>IF(D93="","-",+C106+1)</f>
        <v>2017</v>
      </c>
      <c r="D107" s="473">
        <v>762968</v>
      </c>
      <c r="E107" s="480">
        <v>19432</v>
      </c>
      <c r="F107" s="479">
        <v>743536</v>
      </c>
      <c r="G107" s="479">
        <v>753252</v>
      </c>
      <c r="H107" s="480">
        <v>114983.91552559278</v>
      </c>
      <c r="I107" s="481">
        <v>114983.91552559278</v>
      </c>
      <c r="J107" s="478">
        <f t="shared" si="22"/>
        <v>0</v>
      </c>
      <c r="K107" s="478"/>
      <c r="L107" s="540">
        <f>H107</f>
        <v>114983.91552559278</v>
      </c>
      <c r="M107" s="541">
        <f t="shared" si="29"/>
        <v>0</v>
      </c>
      <c r="N107" s="540">
        <f>I107</f>
        <v>114983.91552559278</v>
      </c>
      <c r="O107" s="478">
        <f t="shared" si="30"/>
        <v>0</v>
      </c>
      <c r="P107" s="478">
        <f t="shared" si="31"/>
        <v>0</v>
      </c>
    </row>
    <row r="108" spans="1:16" ht="12.5">
      <c r="B108" s="160" t="str">
        <f t="shared" si="28"/>
        <v/>
      </c>
      <c r="C108" s="472">
        <f>IF(D93="","-",+C107+1)</f>
        <v>2018</v>
      </c>
      <c r="D108" s="473">
        <v>743536</v>
      </c>
      <c r="E108" s="480">
        <v>20787</v>
      </c>
      <c r="F108" s="479">
        <v>722749</v>
      </c>
      <c r="G108" s="479">
        <v>733142.5</v>
      </c>
      <c r="H108" s="480">
        <v>96106.810302403712</v>
      </c>
      <c r="I108" s="481">
        <v>96106.810302403712</v>
      </c>
      <c r="J108" s="478">
        <f t="shared" si="22"/>
        <v>0</v>
      </c>
      <c r="K108" s="478"/>
      <c r="L108" s="540">
        <f>H108</f>
        <v>96106.810302403712</v>
      </c>
      <c r="M108" s="541">
        <f t="shared" ref="M108" si="32">IF(L108&lt;&gt;0,+H108-L108,0)</f>
        <v>0</v>
      </c>
      <c r="N108" s="540">
        <f>I108</f>
        <v>96106.810302403712</v>
      </c>
      <c r="O108" s="478">
        <f t="shared" ref="O108" si="33">IF(N108&lt;&gt;0,+I108-N108,0)</f>
        <v>0</v>
      </c>
      <c r="P108" s="478">
        <f t="shared" ref="P108" si="34">+O108-M108</f>
        <v>0</v>
      </c>
    </row>
    <row r="109" spans="1:16" ht="12.5">
      <c r="B109" s="160" t="str">
        <f t="shared" si="28"/>
        <v/>
      </c>
      <c r="C109" s="472">
        <f>IF(D93="","-",+C108+1)</f>
        <v>2019</v>
      </c>
      <c r="D109" s="346">
        <f>IF(F108+SUM(E$99:E108)=D$92,F108,D$92-SUM(E$99:E108))</f>
        <v>722749</v>
      </c>
      <c r="E109" s="486">
        <f>IF(+J96&lt;F108,J96,D109)</f>
        <v>21801</v>
      </c>
      <c r="F109" s="485">
        <f t="shared" ref="F109:F130" si="35">+D109-E109</f>
        <v>700948</v>
      </c>
      <c r="G109" s="485">
        <f t="shared" ref="G109:G130" si="36">+(F109+D109)/2</f>
        <v>711848.5</v>
      </c>
      <c r="H109" s="488">
        <f t="shared" ref="H109:H131" si="37">+J$94*G109+E109</f>
        <v>95202.564794457576</v>
      </c>
      <c r="I109" s="542">
        <f t="shared" ref="I109:I131" si="38">+J$95*G109+E109</f>
        <v>95202.564794457576</v>
      </c>
      <c r="J109" s="478">
        <f t="shared" si="22"/>
        <v>0</v>
      </c>
      <c r="K109" s="478"/>
      <c r="L109" s="487"/>
      <c r="M109" s="478">
        <f t="shared" si="24"/>
        <v>0</v>
      </c>
      <c r="N109" s="487"/>
      <c r="O109" s="478">
        <f t="shared" si="26"/>
        <v>0</v>
      </c>
      <c r="P109" s="478">
        <f t="shared" si="27"/>
        <v>0</v>
      </c>
    </row>
    <row r="110" spans="1:16" ht="12.5">
      <c r="B110" s="160" t="str">
        <f t="shared" si="28"/>
        <v/>
      </c>
      <c r="C110" s="472">
        <f>IF(D93="","-",+C109+1)</f>
        <v>2020</v>
      </c>
      <c r="D110" s="346">
        <f>IF(F109+SUM(E$99:E109)=D$92,F109,D$92-SUM(E$99:E109))</f>
        <v>700948</v>
      </c>
      <c r="E110" s="486">
        <f>IF(+J96&lt;F109,J96,D110)</f>
        <v>21801</v>
      </c>
      <c r="F110" s="485">
        <f t="shared" si="35"/>
        <v>679147</v>
      </c>
      <c r="G110" s="485">
        <f t="shared" si="36"/>
        <v>690047.5</v>
      </c>
      <c r="H110" s="488">
        <f t="shared" si="37"/>
        <v>92954.575911873748</v>
      </c>
      <c r="I110" s="542">
        <f t="shared" si="38"/>
        <v>92954.575911873748</v>
      </c>
      <c r="J110" s="478">
        <f t="shared" si="22"/>
        <v>0</v>
      </c>
      <c r="K110" s="478"/>
      <c r="L110" s="487"/>
      <c r="M110" s="478">
        <f t="shared" si="24"/>
        <v>0</v>
      </c>
      <c r="N110" s="487"/>
      <c r="O110" s="478">
        <f t="shared" si="26"/>
        <v>0</v>
      </c>
      <c r="P110" s="478">
        <f t="shared" si="27"/>
        <v>0</v>
      </c>
    </row>
    <row r="111" spans="1:16" ht="12.5">
      <c r="B111" s="160" t="str">
        <f t="shared" si="28"/>
        <v/>
      </c>
      <c r="C111" s="472">
        <f>IF(D93="","-",+C110+1)</f>
        <v>2021</v>
      </c>
      <c r="D111" s="346">
        <f>IF(F110+SUM(E$99:E110)=D$92,F110,D$92-SUM(E$99:E110))</f>
        <v>679147</v>
      </c>
      <c r="E111" s="486">
        <f>IF(+J96&lt;F110,J96,D111)</f>
        <v>21801</v>
      </c>
      <c r="F111" s="485">
        <f t="shared" si="35"/>
        <v>657346</v>
      </c>
      <c r="G111" s="485">
        <f t="shared" si="36"/>
        <v>668246.5</v>
      </c>
      <c r="H111" s="488">
        <f t="shared" si="37"/>
        <v>90706.587029289934</v>
      </c>
      <c r="I111" s="542">
        <f t="shared" si="38"/>
        <v>90706.587029289934</v>
      </c>
      <c r="J111" s="478">
        <f t="shared" si="22"/>
        <v>0</v>
      </c>
      <c r="K111" s="478"/>
      <c r="L111" s="487"/>
      <c r="M111" s="478">
        <f t="shared" si="24"/>
        <v>0</v>
      </c>
      <c r="N111" s="487"/>
      <c r="O111" s="478">
        <f t="shared" si="26"/>
        <v>0</v>
      </c>
      <c r="P111" s="478">
        <f t="shared" si="27"/>
        <v>0</v>
      </c>
    </row>
    <row r="112" spans="1:16" ht="12.5">
      <c r="B112" s="160" t="str">
        <f t="shared" si="28"/>
        <v/>
      </c>
      <c r="C112" s="472">
        <f>IF(D93="","-",+C111+1)</f>
        <v>2022</v>
      </c>
      <c r="D112" s="346">
        <f>IF(F111+SUM(E$99:E111)=D$92,F111,D$92-SUM(E$99:E111))</f>
        <v>657346</v>
      </c>
      <c r="E112" s="486">
        <f>IF(+J96&lt;F111,J96,D112)</f>
        <v>21801</v>
      </c>
      <c r="F112" s="485">
        <f t="shared" si="35"/>
        <v>635545</v>
      </c>
      <c r="G112" s="485">
        <f t="shared" si="36"/>
        <v>646445.5</v>
      </c>
      <c r="H112" s="488">
        <f t="shared" si="37"/>
        <v>88458.598146706106</v>
      </c>
      <c r="I112" s="542">
        <f t="shared" si="38"/>
        <v>88458.598146706106</v>
      </c>
      <c r="J112" s="478">
        <f t="shared" si="22"/>
        <v>0</v>
      </c>
      <c r="K112" s="478"/>
      <c r="L112" s="487"/>
      <c r="M112" s="478">
        <f t="shared" si="24"/>
        <v>0</v>
      </c>
      <c r="N112" s="487"/>
      <c r="O112" s="478">
        <f t="shared" si="26"/>
        <v>0</v>
      </c>
      <c r="P112" s="478">
        <f t="shared" si="27"/>
        <v>0</v>
      </c>
    </row>
    <row r="113" spans="2:16" ht="12.5">
      <c r="B113" s="160" t="str">
        <f t="shared" si="28"/>
        <v/>
      </c>
      <c r="C113" s="472">
        <f>IF(D93="","-",+C112+1)</f>
        <v>2023</v>
      </c>
      <c r="D113" s="346">
        <f>IF(F112+SUM(E$99:E112)=D$92,F112,D$92-SUM(E$99:E112))</f>
        <v>635545</v>
      </c>
      <c r="E113" s="486">
        <f>IF(+J96&lt;F112,J96,D113)</f>
        <v>21801</v>
      </c>
      <c r="F113" s="485">
        <f t="shared" si="35"/>
        <v>613744</v>
      </c>
      <c r="G113" s="485">
        <f t="shared" si="36"/>
        <v>624644.5</v>
      </c>
      <c r="H113" s="488">
        <f t="shared" si="37"/>
        <v>86210.609264122293</v>
      </c>
      <c r="I113" s="542">
        <f t="shared" si="38"/>
        <v>86210.609264122293</v>
      </c>
      <c r="J113" s="478">
        <f t="shared" si="22"/>
        <v>0</v>
      </c>
      <c r="K113" s="478"/>
      <c r="L113" s="487"/>
      <c r="M113" s="478">
        <f t="shared" si="24"/>
        <v>0</v>
      </c>
      <c r="N113" s="487"/>
      <c r="O113" s="478">
        <f t="shared" si="26"/>
        <v>0</v>
      </c>
      <c r="P113" s="478">
        <f t="shared" si="27"/>
        <v>0</v>
      </c>
    </row>
    <row r="114" spans="2:16" ht="12.5">
      <c r="B114" s="160" t="str">
        <f t="shared" si="28"/>
        <v/>
      </c>
      <c r="C114" s="472">
        <f>IF(D93="","-",+C113+1)</f>
        <v>2024</v>
      </c>
      <c r="D114" s="346">
        <f>IF(F113+SUM(E$99:E113)=D$92,F113,D$92-SUM(E$99:E113))</f>
        <v>613744</v>
      </c>
      <c r="E114" s="486">
        <f>IF(+J96&lt;F113,J96,D114)</f>
        <v>21801</v>
      </c>
      <c r="F114" s="485">
        <f t="shared" si="35"/>
        <v>591943</v>
      </c>
      <c r="G114" s="485">
        <f t="shared" si="36"/>
        <v>602843.5</v>
      </c>
      <c r="H114" s="488">
        <f t="shared" si="37"/>
        <v>83962.620381538465</v>
      </c>
      <c r="I114" s="542">
        <f t="shared" si="38"/>
        <v>83962.620381538465</v>
      </c>
      <c r="J114" s="478">
        <f t="shared" si="22"/>
        <v>0</v>
      </c>
      <c r="K114" s="478"/>
      <c r="L114" s="487"/>
      <c r="M114" s="478">
        <f t="shared" si="24"/>
        <v>0</v>
      </c>
      <c r="N114" s="487"/>
      <c r="O114" s="478">
        <f t="shared" si="26"/>
        <v>0</v>
      </c>
      <c r="P114" s="478">
        <f t="shared" si="27"/>
        <v>0</v>
      </c>
    </row>
    <row r="115" spans="2:16" ht="12.5">
      <c r="B115" s="160" t="str">
        <f t="shared" si="28"/>
        <v/>
      </c>
      <c r="C115" s="472">
        <f>IF(D93="","-",+C114+1)</f>
        <v>2025</v>
      </c>
      <c r="D115" s="346">
        <f>IF(F114+SUM(E$99:E114)=D$92,F114,D$92-SUM(E$99:E114))</f>
        <v>591943</v>
      </c>
      <c r="E115" s="486">
        <f>IF(+J96&lt;F114,J96,D115)</f>
        <v>21801</v>
      </c>
      <c r="F115" s="485">
        <f t="shared" si="35"/>
        <v>570142</v>
      </c>
      <c r="G115" s="485">
        <f t="shared" si="36"/>
        <v>581042.5</v>
      </c>
      <c r="H115" s="488">
        <f t="shared" si="37"/>
        <v>81714.631498954637</v>
      </c>
      <c r="I115" s="542">
        <f t="shared" si="38"/>
        <v>81714.631498954637</v>
      </c>
      <c r="J115" s="478">
        <f t="shared" si="22"/>
        <v>0</v>
      </c>
      <c r="K115" s="478"/>
      <c r="L115" s="487"/>
      <c r="M115" s="478">
        <f t="shared" si="24"/>
        <v>0</v>
      </c>
      <c r="N115" s="487"/>
      <c r="O115" s="478">
        <f t="shared" si="26"/>
        <v>0</v>
      </c>
      <c r="P115" s="478">
        <f t="shared" si="27"/>
        <v>0</v>
      </c>
    </row>
    <row r="116" spans="2:16" ht="12.5">
      <c r="B116" s="160" t="str">
        <f t="shared" si="28"/>
        <v/>
      </c>
      <c r="C116" s="472">
        <f>IF(D93="","-",+C115+1)</f>
        <v>2026</v>
      </c>
      <c r="D116" s="346">
        <f>IF(F115+SUM(E$99:E115)=D$92,F115,D$92-SUM(E$99:E115))</f>
        <v>570142</v>
      </c>
      <c r="E116" s="486">
        <f>IF(+J96&lt;F115,J96,D116)</f>
        <v>21801</v>
      </c>
      <c r="F116" s="485">
        <f t="shared" si="35"/>
        <v>548341</v>
      </c>
      <c r="G116" s="485">
        <f t="shared" si="36"/>
        <v>559241.5</v>
      </c>
      <c r="H116" s="488">
        <f t="shared" si="37"/>
        <v>79466.642616370824</v>
      </c>
      <c r="I116" s="542">
        <f t="shared" si="38"/>
        <v>79466.642616370824</v>
      </c>
      <c r="J116" s="478">
        <f t="shared" si="22"/>
        <v>0</v>
      </c>
      <c r="K116" s="478"/>
      <c r="L116" s="487"/>
      <c r="M116" s="478">
        <f t="shared" si="24"/>
        <v>0</v>
      </c>
      <c r="N116" s="487"/>
      <c r="O116" s="478">
        <f t="shared" si="26"/>
        <v>0</v>
      </c>
      <c r="P116" s="478">
        <f t="shared" si="27"/>
        <v>0</v>
      </c>
    </row>
    <row r="117" spans="2:16" ht="12.5">
      <c r="B117" s="160" t="str">
        <f t="shared" si="28"/>
        <v/>
      </c>
      <c r="C117" s="472">
        <f>IF(D93="","-",+C116+1)</f>
        <v>2027</v>
      </c>
      <c r="D117" s="346">
        <f>IF(F116+SUM(E$99:E116)=D$92,F116,D$92-SUM(E$99:E116))</f>
        <v>548341</v>
      </c>
      <c r="E117" s="486">
        <f>IF(+J96&lt;F116,J96,D117)</f>
        <v>21801</v>
      </c>
      <c r="F117" s="485">
        <f t="shared" si="35"/>
        <v>526540</v>
      </c>
      <c r="G117" s="485">
        <f t="shared" si="36"/>
        <v>537440.5</v>
      </c>
      <c r="H117" s="488">
        <f t="shared" si="37"/>
        <v>77218.653733786996</v>
      </c>
      <c r="I117" s="542">
        <f t="shared" si="38"/>
        <v>77218.653733786996</v>
      </c>
      <c r="J117" s="478">
        <f t="shared" si="22"/>
        <v>0</v>
      </c>
      <c r="K117" s="478"/>
      <c r="L117" s="487"/>
      <c r="M117" s="478">
        <f t="shared" si="24"/>
        <v>0</v>
      </c>
      <c r="N117" s="487"/>
      <c r="O117" s="478">
        <f t="shared" si="26"/>
        <v>0</v>
      </c>
      <c r="P117" s="478">
        <f t="shared" si="27"/>
        <v>0</v>
      </c>
    </row>
    <row r="118" spans="2:16" ht="12.5">
      <c r="B118" s="160" t="str">
        <f t="shared" si="28"/>
        <v/>
      </c>
      <c r="C118" s="472">
        <f>IF(D93="","-",+C117+1)</f>
        <v>2028</v>
      </c>
      <c r="D118" s="346">
        <f>IF(F117+SUM(E$99:E117)=D$92,F117,D$92-SUM(E$99:E117))</f>
        <v>526540</v>
      </c>
      <c r="E118" s="486">
        <f>IF(+J96&lt;F117,J96,D118)</f>
        <v>21801</v>
      </c>
      <c r="F118" s="485">
        <f t="shared" si="35"/>
        <v>504739</v>
      </c>
      <c r="G118" s="485">
        <f t="shared" si="36"/>
        <v>515639.5</v>
      </c>
      <c r="H118" s="488">
        <f t="shared" si="37"/>
        <v>74970.664851203182</v>
      </c>
      <c r="I118" s="542">
        <f t="shared" si="38"/>
        <v>74970.664851203182</v>
      </c>
      <c r="J118" s="478">
        <f t="shared" si="22"/>
        <v>0</v>
      </c>
      <c r="K118" s="478"/>
      <c r="L118" s="487"/>
      <c r="M118" s="478">
        <f t="shared" si="24"/>
        <v>0</v>
      </c>
      <c r="N118" s="487"/>
      <c r="O118" s="478">
        <f t="shared" si="26"/>
        <v>0</v>
      </c>
      <c r="P118" s="478">
        <f t="shared" si="27"/>
        <v>0</v>
      </c>
    </row>
    <row r="119" spans="2:16" ht="12.5">
      <c r="B119" s="160" t="str">
        <f t="shared" si="28"/>
        <v/>
      </c>
      <c r="C119" s="472">
        <f>IF(D93="","-",+C118+1)</f>
        <v>2029</v>
      </c>
      <c r="D119" s="346">
        <f>IF(F118+SUM(E$99:E118)=D$92,F118,D$92-SUM(E$99:E118))</f>
        <v>504739</v>
      </c>
      <c r="E119" s="486">
        <f>IF(+J96&lt;F118,J96,D119)</f>
        <v>21801</v>
      </c>
      <c r="F119" s="485">
        <f t="shared" si="35"/>
        <v>482938</v>
      </c>
      <c r="G119" s="485">
        <f t="shared" si="36"/>
        <v>493838.5</v>
      </c>
      <c r="H119" s="488">
        <f t="shared" si="37"/>
        <v>72722.675968619355</v>
      </c>
      <c r="I119" s="542">
        <f t="shared" si="38"/>
        <v>72722.675968619355</v>
      </c>
      <c r="J119" s="478">
        <f t="shared" si="22"/>
        <v>0</v>
      </c>
      <c r="K119" s="478"/>
      <c r="L119" s="487"/>
      <c r="M119" s="478">
        <f t="shared" si="24"/>
        <v>0</v>
      </c>
      <c r="N119" s="487"/>
      <c r="O119" s="478">
        <f t="shared" si="26"/>
        <v>0</v>
      </c>
      <c r="P119" s="478">
        <f t="shared" si="27"/>
        <v>0</v>
      </c>
    </row>
    <row r="120" spans="2:16" ht="12.5">
      <c r="B120" s="160" t="str">
        <f t="shared" si="28"/>
        <v/>
      </c>
      <c r="C120" s="472">
        <f>IF(D93="","-",+C119+1)</f>
        <v>2030</v>
      </c>
      <c r="D120" s="346">
        <f>IF(F119+SUM(E$99:E119)=D$92,F119,D$92-SUM(E$99:E119))</f>
        <v>482938</v>
      </c>
      <c r="E120" s="486">
        <f>IF(+J96&lt;F119,J96,D120)</f>
        <v>21801</v>
      </c>
      <c r="F120" s="485">
        <f t="shared" si="35"/>
        <v>461137</v>
      </c>
      <c r="G120" s="485">
        <f t="shared" si="36"/>
        <v>472037.5</v>
      </c>
      <c r="H120" s="488">
        <f t="shared" si="37"/>
        <v>70474.687086035527</v>
      </c>
      <c r="I120" s="542">
        <f t="shared" si="38"/>
        <v>70474.687086035527</v>
      </c>
      <c r="J120" s="478">
        <f t="shared" si="22"/>
        <v>0</v>
      </c>
      <c r="K120" s="478"/>
      <c r="L120" s="487"/>
      <c r="M120" s="478">
        <f t="shared" si="24"/>
        <v>0</v>
      </c>
      <c r="N120" s="487"/>
      <c r="O120" s="478">
        <f t="shared" si="26"/>
        <v>0</v>
      </c>
      <c r="P120" s="478">
        <f t="shared" si="27"/>
        <v>0</v>
      </c>
    </row>
    <row r="121" spans="2:16" ht="12.5">
      <c r="B121" s="160" t="str">
        <f t="shared" si="28"/>
        <v/>
      </c>
      <c r="C121" s="472">
        <f>IF(D93="","-",+C120+1)</f>
        <v>2031</v>
      </c>
      <c r="D121" s="346">
        <f>IF(F120+SUM(E$99:E120)=D$92,F120,D$92-SUM(E$99:E120))</f>
        <v>461137</v>
      </c>
      <c r="E121" s="486">
        <f>IF(+J96&lt;F120,J96,D121)</f>
        <v>21801</v>
      </c>
      <c r="F121" s="485">
        <f t="shared" si="35"/>
        <v>439336</v>
      </c>
      <c r="G121" s="485">
        <f t="shared" si="36"/>
        <v>450236.5</v>
      </c>
      <c r="H121" s="488">
        <f t="shared" si="37"/>
        <v>68226.698203451713</v>
      </c>
      <c r="I121" s="542">
        <f t="shared" si="38"/>
        <v>68226.698203451713</v>
      </c>
      <c r="J121" s="478">
        <f t="shared" si="22"/>
        <v>0</v>
      </c>
      <c r="K121" s="478"/>
      <c r="L121" s="487"/>
      <c r="M121" s="478">
        <f t="shared" si="24"/>
        <v>0</v>
      </c>
      <c r="N121" s="487"/>
      <c r="O121" s="478">
        <f t="shared" si="26"/>
        <v>0</v>
      </c>
      <c r="P121" s="478">
        <f t="shared" si="27"/>
        <v>0</v>
      </c>
    </row>
    <row r="122" spans="2:16" ht="12.5">
      <c r="B122" s="160" t="str">
        <f t="shared" si="28"/>
        <v/>
      </c>
      <c r="C122" s="472">
        <f>IF(D93="","-",+C121+1)</f>
        <v>2032</v>
      </c>
      <c r="D122" s="346">
        <f>IF(F121+SUM(E$99:E121)=D$92,F121,D$92-SUM(E$99:E121))</f>
        <v>439336</v>
      </c>
      <c r="E122" s="486">
        <f>IF(+J96&lt;F121,J96,D122)</f>
        <v>21801</v>
      </c>
      <c r="F122" s="485">
        <f t="shared" si="35"/>
        <v>417535</v>
      </c>
      <c r="G122" s="485">
        <f t="shared" si="36"/>
        <v>428435.5</v>
      </c>
      <c r="H122" s="488">
        <f t="shared" si="37"/>
        <v>65978.7093208679</v>
      </c>
      <c r="I122" s="542">
        <f t="shared" si="38"/>
        <v>65978.7093208679</v>
      </c>
      <c r="J122" s="478">
        <f t="shared" si="22"/>
        <v>0</v>
      </c>
      <c r="K122" s="478"/>
      <c r="L122" s="487"/>
      <c r="M122" s="478">
        <f t="shared" si="24"/>
        <v>0</v>
      </c>
      <c r="N122" s="487"/>
      <c r="O122" s="478">
        <f t="shared" si="26"/>
        <v>0</v>
      </c>
      <c r="P122" s="478">
        <f t="shared" si="27"/>
        <v>0</v>
      </c>
    </row>
    <row r="123" spans="2:16" ht="12.5">
      <c r="B123" s="160" t="str">
        <f t="shared" si="28"/>
        <v/>
      </c>
      <c r="C123" s="472">
        <f>IF(D93="","-",+C122+1)</f>
        <v>2033</v>
      </c>
      <c r="D123" s="346">
        <f>IF(F122+SUM(E$99:E122)=D$92,F122,D$92-SUM(E$99:E122))</f>
        <v>417535</v>
      </c>
      <c r="E123" s="486">
        <f>IF(+J96&lt;F122,J96,D123)</f>
        <v>21801</v>
      </c>
      <c r="F123" s="485">
        <f t="shared" si="35"/>
        <v>395734</v>
      </c>
      <c r="G123" s="485">
        <f t="shared" si="36"/>
        <v>406634.5</v>
      </c>
      <c r="H123" s="488">
        <f t="shared" si="37"/>
        <v>63730.720438284072</v>
      </c>
      <c r="I123" s="542">
        <f t="shared" si="38"/>
        <v>63730.720438284072</v>
      </c>
      <c r="J123" s="478">
        <f t="shared" si="22"/>
        <v>0</v>
      </c>
      <c r="K123" s="478"/>
      <c r="L123" s="487"/>
      <c r="M123" s="478">
        <f t="shared" si="24"/>
        <v>0</v>
      </c>
      <c r="N123" s="487"/>
      <c r="O123" s="478">
        <f t="shared" si="26"/>
        <v>0</v>
      </c>
      <c r="P123" s="478">
        <f t="shared" si="27"/>
        <v>0</v>
      </c>
    </row>
    <row r="124" spans="2:16" ht="12.5">
      <c r="B124" s="160" t="str">
        <f t="shared" si="28"/>
        <v/>
      </c>
      <c r="C124" s="472">
        <f>IF(D93="","-",+C123+1)</f>
        <v>2034</v>
      </c>
      <c r="D124" s="346">
        <f>IF(F123+SUM(E$99:E123)=D$92,F123,D$92-SUM(E$99:E123))</f>
        <v>395734</v>
      </c>
      <c r="E124" s="486">
        <f>IF(+J96&lt;F123,J96,D124)</f>
        <v>21801</v>
      </c>
      <c r="F124" s="485">
        <f t="shared" si="35"/>
        <v>373933</v>
      </c>
      <c r="G124" s="485">
        <f t="shared" si="36"/>
        <v>384833.5</v>
      </c>
      <c r="H124" s="488">
        <f t="shared" si="37"/>
        <v>61482.731555700251</v>
      </c>
      <c r="I124" s="542">
        <f t="shared" si="38"/>
        <v>61482.731555700251</v>
      </c>
      <c r="J124" s="478">
        <f t="shared" si="22"/>
        <v>0</v>
      </c>
      <c r="K124" s="478"/>
      <c r="L124" s="487"/>
      <c r="M124" s="478">
        <f t="shared" si="24"/>
        <v>0</v>
      </c>
      <c r="N124" s="487"/>
      <c r="O124" s="478">
        <f t="shared" si="26"/>
        <v>0</v>
      </c>
      <c r="P124" s="478">
        <f t="shared" si="27"/>
        <v>0</v>
      </c>
    </row>
    <row r="125" spans="2:16" ht="12.5">
      <c r="B125" s="160" t="str">
        <f t="shared" si="28"/>
        <v/>
      </c>
      <c r="C125" s="472">
        <f>IF(D93="","-",+C124+1)</f>
        <v>2035</v>
      </c>
      <c r="D125" s="346">
        <f>IF(F124+SUM(E$99:E124)=D$92,F124,D$92-SUM(E$99:E124))</f>
        <v>373933</v>
      </c>
      <c r="E125" s="486">
        <f>IF(+J96&lt;F124,J96,D125)</f>
        <v>21801</v>
      </c>
      <c r="F125" s="485">
        <f t="shared" si="35"/>
        <v>352132</v>
      </c>
      <c r="G125" s="485">
        <f t="shared" si="36"/>
        <v>363032.5</v>
      </c>
      <c r="H125" s="488">
        <f t="shared" si="37"/>
        <v>59234.742673116423</v>
      </c>
      <c r="I125" s="542">
        <f t="shared" si="38"/>
        <v>59234.742673116423</v>
      </c>
      <c r="J125" s="478">
        <f t="shared" si="22"/>
        <v>0</v>
      </c>
      <c r="K125" s="478"/>
      <c r="L125" s="487"/>
      <c r="M125" s="478">
        <f t="shared" si="24"/>
        <v>0</v>
      </c>
      <c r="N125" s="487"/>
      <c r="O125" s="478">
        <f t="shared" si="26"/>
        <v>0</v>
      </c>
      <c r="P125" s="478">
        <f t="shared" si="27"/>
        <v>0</v>
      </c>
    </row>
    <row r="126" spans="2:16" ht="12.5">
      <c r="B126" s="160" t="str">
        <f t="shared" si="28"/>
        <v/>
      </c>
      <c r="C126" s="472">
        <f>IF(D93="","-",+C125+1)</f>
        <v>2036</v>
      </c>
      <c r="D126" s="346">
        <f>IF(F125+SUM(E$99:E125)=D$92,F125,D$92-SUM(E$99:E125))</f>
        <v>352132</v>
      </c>
      <c r="E126" s="486">
        <f>IF(+J96&lt;F125,J96,D126)</f>
        <v>21801</v>
      </c>
      <c r="F126" s="485">
        <f t="shared" si="35"/>
        <v>330331</v>
      </c>
      <c r="G126" s="485">
        <f t="shared" si="36"/>
        <v>341231.5</v>
      </c>
      <c r="H126" s="488">
        <f t="shared" si="37"/>
        <v>56986.753790532603</v>
      </c>
      <c r="I126" s="542">
        <f t="shared" si="38"/>
        <v>56986.753790532603</v>
      </c>
      <c r="J126" s="478">
        <f t="shared" si="22"/>
        <v>0</v>
      </c>
      <c r="K126" s="478"/>
      <c r="L126" s="487"/>
      <c r="M126" s="478">
        <f t="shared" si="24"/>
        <v>0</v>
      </c>
      <c r="N126" s="487"/>
      <c r="O126" s="478">
        <f t="shared" si="26"/>
        <v>0</v>
      </c>
      <c r="P126" s="478">
        <f t="shared" si="27"/>
        <v>0</v>
      </c>
    </row>
    <row r="127" spans="2:16" ht="12.5">
      <c r="B127" s="160" t="str">
        <f t="shared" si="28"/>
        <v/>
      </c>
      <c r="C127" s="472">
        <f>IF(D93="","-",+C126+1)</f>
        <v>2037</v>
      </c>
      <c r="D127" s="346">
        <f>IF(F126+SUM(E$99:E126)=D$92,F126,D$92-SUM(E$99:E126))</f>
        <v>330331</v>
      </c>
      <c r="E127" s="486">
        <f>IF(+J96&lt;F126,J96,D127)</f>
        <v>21801</v>
      </c>
      <c r="F127" s="485">
        <f t="shared" si="35"/>
        <v>308530</v>
      </c>
      <c r="G127" s="485">
        <f t="shared" si="36"/>
        <v>319430.5</v>
      </c>
      <c r="H127" s="488">
        <f t="shared" si="37"/>
        <v>54738.764907948782</v>
      </c>
      <c r="I127" s="542">
        <f t="shared" si="38"/>
        <v>54738.764907948782</v>
      </c>
      <c r="J127" s="478">
        <f t="shared" si="22"/>
        <v>0</v>
      </c>
      <c r="K127" s="478"/>
      <c r="L127" s="487"/>
      <c r="M127" s="478">
        <f t="shared" si="24"/>
        <v>0</v>
      </c>
      <c r="N127" s="487"/>
      <c r="O127" s="478">
        <f t="shared" si="26"/>
        <v>0</v>
      </c>
      <c r="P127" s="478">
        <f t="shared" si="27"/>
        <v>0</v>
      </c>
    </row>
    <row r="128" spans="2:16" ht="12.5">
      <c r="B128" s="160" t="str">
        <f t="shared" si="28"/>
        <v/>
      </c>
      <c r="C128" s="472">
        <f>IF(D93="","-",+C127+1)</f>
        <v>2038</v>
      </c>
      <c r="D128" s="346">
        <f>IF(F127+SUM(E$99:E127)=D$92,F127,D$92-SUM(E$99:E127))</f>
        <v>308530</v>
      </c>
      <c r="E128" s="486">
        <f>IF(+J96&lt;F127,J96,D128)</f>
        <v>21801</v>
      </c>
      <c r="F128" s="485">
        <f t="shared" si="35"/>
        <v>286729</v>
      </c>
      <c r="G128" s="485">
        <f t="shared" si="36"/>
        <v>297629.5</v>
      </c>
      <c r="H128" s="488">
        <f t="shared" si="37"/>
        <v>52490.776025364961</v>
      </c>
      <c r="I128" s="542">
        <f t="shared" si="38"/>
        <v>52490.776025364961</v>
      </c>
      <c r="J128" s="478">
        <f t="shared" si="22"/>
        <v>0</v>
      </c>
      <c r="K128" s="478"/>
      <c r="L128" s="487"/>
      <c r="M128" s="478">
        <f t="shared" si="24"/>
        <v>0</v>
      </c>
      <c r="N128" s="487"/>
      <c r="O128" s="478">
        <f t="shared" si="26"/>
        <v>0</v>
      </c>
      <c r="P128" s="478">
        <f t="shared" si="27"/>
        <v>0</v>
      </c>
    </row>
    <row r="129" spans="2:16" ht="12.5">
      <c r="B129" s="160" t="str">
        <f t="shared" si="28"/>
        <v/>
      </c>
      <c r="C129" s="472">
        <f>IF(D93="","-",+C128+1)</f>
        <v>2039</v>
      </c>
      <c r="D129" s="346">
        <f>IF(F128+SUM(E$99:E128)=D$92,F128,D$92-SUM(E$99:E128))</f>
        <v>286729</v>
      </c>
      <c r="E129" s="486">
        <f>IF(+J96&lt;F128,J96,D129)</f>
        <v>21801</v>
      </c>
      <c r="F129" s="485">
        <f t="shared" si="35"/>
        <v>264928</v>
      </c>
      <c r="G129" s="485">
        <f t="shared" si="36"/>
        <v>275828.5</v>
      </c>
      <c r="H129" s="488">
        <f t="shared" si="37"/>
        <v>50242.787142781141</v>
      </c>
      <c r="I129" s="542">
        <f t="shared" si="38"/>
        <v>50242.787142781141</v>
      </c>
      <c r="J129" s="478">
        <f t="shared" si="22"/>
        <v>0</v>
      </c>
      <c r="K129" s="478"/>
      <c r="L129" s="487"/>
      <c r="M129" s="478">
        <f t="shared" si="24"/>
        <v>0</v>
      </c>
      <c r="N129" s="487"/>
      <c r="O129" s="478">
        <f t="shared" si="26"/>
        <v>0</v>
      </c>
      <c r="P129" s="478">
        <f t="shared" si="27"/>
        <v>0</v>
      </c>
    </row>
    <row r="130" spans="2:16" ht="12.5">
      <c r="B130" s="160" t="str">
        <f t="shared" si="28"/>
        <v/>
      </c>
      <c r="C130" s="472">
        <f>IF(D93="","-",+C129+1)</f>
        <v>2040</v>
      </c>
      <c r="D130" s="346">
        <f>IF(F129+SUM(E$99:E129)=D$92,F129,D$92-SUM(E$99:E129))</f>
        <v>264928</v>
      </c>
      <c r="E130" s="486">
        <f>IF(+J96&lt;F129,J96,D130)</f>
        <v>21801</v>
      </c>
      <c r="F130" s="485">
        <f t="shared" si="35"/>
        <v>243127</v>
      </c>
      <c r="G130" s="485">
        <f t="shared" si="36"/>
        <v>254027.5</v>
      </c>
      <c r="H130" s="488">
        <f t="shared" si="37"/>
        <v>47994.79826019732</v>
      </c>
      <c r="I130" s="542">
        <f t="shared" si="38"/>
        <v>47994.79826019732</v>
      </c>
      <c r="J130" s="478">
        <f t="shared" si="22"/>
        <v>0</v>
      </c>
      <c r="K130" s="478"/>
      <c r="L130" s="487"/>
      <c r="M130" s="478">
        <f t="shared" si="24"/>
        <v>0</v>
      </c>
      <c r="N130" s="487"/>
      <c r="O130" s="478">
        <f t="shared" si="26"/>
        <v>0</v>
      </c>
      <c r="P130" s="478">
        <f t="shared" si="27"/>
        <v>0</v>
      </c>
    </row>
    <row r="131" spans="2:16" ht="12.5">
      <c r="B131" s="160" t="str">
        <f t="shared" si="28"/>
        <v/>
      </c>
      <c r="C131" s="472">
        <f>IF(D93="","-",+C130+1)</f>
        <v>2041</v>
      </c>
      <c r="D131" s="346">
        <f>IF(F130+SUM(E$99:E130)=D$92,F130,D$92-SUM(E$99:E130))</f>
        <v>243127</v>
      </c>
      <c r="E131" s="486">
        <f>IF(+J96&lt;F130,J96,D131)</f>
        <v>21801</v>
      </c>
      <c r="F131" s="485">
        <f t="shared" ref="F131:F154" si="39">+D131-E131</f>
        <v>221326</v>
      </c>
      <c r="G131" s="485">
        <f t="shared" ref="G131:G154" si="40">+(F131+D131)/2</f>
        <v>232226.5</v>
      </c>
      <c r="H131" s="488">
        <f t="shared" si="37"/>
        <v>45746.809377613492</v>
      </c>
      <c r="I131" s="542">
        <f t="shared" si="38"/>
        <v>45746.809377613492</v>
      </c>
      <c r="J131" s="478">
        <f t="shared" ref="J131:J154" si="41">+I131-H131</f>
        <v>0</v>
      </c>
      <c r="K131" s="478"/>
      <c r="L131" s="487"/>
      <c r="M131" s="478">
        <f t="shared" ref="M131:M154" si="42">IF(L131&lt;&gt;0,+H131-L131,0)</f>
        <v>0</v>
      </c>
      <c r="N131" s="487"/>
      <c r="O131" s="478">
        <f t="shared" ref="O131:O154" si="43">IF(N131&lt;&gt;0,+I131-N131,0)</f>
        <v>0</v>
      </c>
      <c r="P131" s="478">
        <f t="shared" ref="P131:P154" si="44">+O131-M131</f>
        <v>0</v>
      </c>
    </row>
    <row r="132" spans="2:16" ht="12.5">
      <c r="B132" s="160" t="str">
        <f t="shared" si="28"/>
        <v/>
      </c>
      <c r="C132" s="472">
        <f>IF(D93="","-",+C131+1)</f>
        <v>2042</v>
      </c>
      <c r="D132" s="346">
        <f>IF(F131+SUM(E$99:E131)=D$92,F131,D$92-SUM(E$99:E131))</f>
        <v>221326</v>
      </c>
      <c r="E132" s="486">
        <f>IF(+J96&lt;F131,J96,D132)</f>
        <v>21801</v>
      </c>
      <c r="F132" s="485">
        <f t="shared" si="39"/>
        <v>199525</v>
      </c>
      <c r="G132" s="485">
        <f t="shared" si="40"/>
        <v>210425.5</v>
      </c>
      <c r="H132" s="488">
        <f t="shared" ref="H132:H154" si="45">+J$94*G132+E132</f>
        <v>43498.820495029679</v>
      </c>
      <c r="I132" s="542">
        <f t="shared" ref="I132:I154" si="46">+J$95*G132+E132</f>
        <v>43498.820495029679</v>
      </c>
      <c r="J132" s="478">
        <f t="shared" si="41"/>
        <v>0</v>
      </c>
      <c r="K132" s="478"/>
      <c r="L132" s="487"/>
      <c r="M132" s="478">
        <f t="shared" si="42"/>
        <v>0</v>
      </c>
      <c r="N132" s="487"/>
      <c r="O132" s="478">
        <f t="shared" si="43"/>
        <v>0</v>
      </c>
      <c r="P132" s="478">
        <f t="shared" si="44"/>
        <v>0</v>
      </c>
    </row>
    <row r="133" spans="2:16" ht="12.5">
      <c r="B133" s="160" t="str">
        <f t="shared" si="28"/>
        <v/>
      </c>
      <c r="C133" s="472">
        <f>IF(D93="","-",+C132+1)</f>
        <v>2043</v>
      </c>
      <c r="D133" s="346">
        <f>IF(F132+SUM(E$99:E132)=D$92,F132,D$92-SUM(E$99:E132))</f>
        <v>199525</v>
      </c>
      <c r="E133" s="486">
        <f>IF(+J96&lt;F132,J96,D133)</f>
        <v>21801</v>
      </c>
      <c r="F133" s="485">
        <f t="shared" si="39"/>
        <v>177724</v>
      </c>
      <c r="G133" s="485">
        <f t="shared" si="40"/>
        <v>188624.5</v>
      </c>
      <c r="H133" s="488">
        <f t="shared" si="45"/>
        <v>41250.831612445851</v>
      </c>
      <c r="I133" s="542">
        <f t="shared" si="46"/>
        <v>41250.831612445851</v>
      </c>
      <c r="J133" s="478">
        <f t="shared" si="41"/>
        <v>0</v>
      </c>
      <c r="K133" s="478"/>
      <c r="L133" s="487"/>
      <c r="M133" s="478">
        <f t="shared" si="42"/>
        <v>0</v>
      </c>
      <c r="N133" s="487"/>
      <c r="O133" s="478">
        <f t="shared" si="43"/>
        <v>0</v>
      </c>
      <c r="P133" s="478">
        <f t="shared" si="44"/>
        <v>0</v>
      </c>
    </row>
    <row r="134" spans="2:16" ht="12.5">
      <c r="B134" s="160" t="str">
        <f t="shared" si="28"/>
        <v/>
      </c>
      <c r="C134" s="472">
        <f>IF(D93="","-",+C133+1)</f>
        <v>2044</v>
      </c>
      <c r="D134" s="346">
        <f>IF(F133+SUM(E$99:E133)=D$92,F133,D$92-SUM(E$99:E133))</f>
        <v>177724</v>
      </c>
      <c r="E134" s="486">
        <f>IF(+J96&lt;F133,J96,D134)</f>
        <v>21801</v>
      </c>
      <c r="F134" s="485">
        <f t="shared" si="39"/>
        <v>155923</v>
      </c>
      <c r="G134" s="485">
        <f t="shared" si="40"/>
        <v>166823.5</v>
      </c>
      <c r="H134" s="488">
        <f t="shared" si="45"/>
        <v>39002.842729862037</v>
      </c>
      <c r="I134" s="542">
        <f t="shared" si="46"/>
        <v>39002.842729862037</v>
      </c>
      <c r="J134" s="478">
        <f t="shared" si="41"/>
        <v>0</v>
      </c>
      <c r="K134" s="478"/>
      <c r="L134" s="487"/>
      <c r="M134" s="478">
        <f t="shared" si="42"/>
        <v>0</v>
      </c>
      <c r="N134" s="487"/>
      <c r="O134" s="478">
        <f t="shared" si="43"/>
        <v>0</v>
      </c>
      <c r="P134" s="478">
        <f t="shared" si="44"/>
        <v>0</v>
      </c>
    </row>
    <row r="135" spans="2:16" ht="12.5">
      <c r="B135" s="160" t="str">
        <f t="shared" si="28"/>
        <v/>
      </c>
      <c r="C135" s="472">
        <f>IF(D93="","-",+C134+1)</f>
        <v>2045</v>
      </c>
      <c r="D135" s="346">
        <f>IF(F134+SUM(E$99:E134)=D$92,F134,D$92-SUM(E$99:E134))</f>
        <v>155923</v>
      </c>
      <c r="E135" s="486">
        <f>IF(+J96&lt;F134,J96,D135)</f>
        <v>21801</v>
      </c>
      <c r="F135" s="485">
        <f t="shared" si="39"/>
        <v>134122</v>
      </c>
      <c r="G135" s="485">
        <f t="shared" si="40"/>
        <v>145022.5</v>
      </c>
      <c r="H135" s="488">
        <f t="shared" si="45"/>
        <v>36754.853847278209</v>
      </c>
      <c r="I135" s="542">
        <f t="shared" si="46"/>
        <v>36754.853847278209</v>
      </c>
      <c r="J135" s="478">
        <f t="shared" si="41"/>
        <v>0</v>
      </c>
      <c r="K135" s="478"/>
      <c r="L135" s="487"/>
      <c r="M135" s="478">
        <f t="shared" si="42"/>
        <v>0</v>
      </c>
      <c r="N135" s="487"/>
      <c r="O135" s="478">
        <f t="shared" si="43"/>
        <v>0</v>
      </c>
      <c r="P135" s="478">
        <f t="shared" si="44"/>
        <v>0</v>
      </c>
    </row>
    <row r="136" spans="2:16" ht="12.5">
      <c r="B136" s="160" t="str">
        <f t="shared" si="28"/>
        <v/>
      </c>
      <c r="C136" s="472">
        <f>IF(D93="","-",+C135+1)</f>
        <v>2046</v>
      </c>
      <c r="D136" s="346">
        <f>IF(F135+SUM(E$99:E135)=D$92,F135,D$92-SUM(E$99:E135))</f>
        <v>134122</v>
      </c>
      <c r="E136" s="486">
        <f>IF(+J96&lt;F135,J96,D136)</f>
        <v>21801</v>
      </c>
      <c r="F136" s="485">
        <f t="shared" si="39"/>
        <v>112321</v>
      </c>
      <c r="G136" s="485">
        <f t="shared" si="40"/>
        <v>123221.5</v>
      </c>
      <c r="H136" s="488">
        <f t="shared" si="45"/>
        <v>34506.864964694389</v>
      </c>
      <c r="I136" s="542">
        <f t="shared" si="46"/>
        <v>34506.864964694389</v>
      </c>
      <c r="J136" s="478">
        <f t="shared" si="41"/>
        <v>0</v>
      </c>
      <c r="K136" s="478"/>
      <c r="L136" s="487"/>
      <c r="M136" s="478">
        <f t="shared" si="42"/>
        <v>0</v>
      </c>
      <c r="N136" s="487"/>
      <c r="O136" s="478">
        <f t="shared" si="43"/>
        <v>0</v>
      </c>
      <c r="P136" s="478">
        <f t="shared" si="44"/>
        <v>0</v>
      </c>
    </row>
    <row r="137" spans="2:16" ht="12.5">
      <c r="B137" s="160" t="str">
        <f t="shared" si="28"/>
        <v/>
      </c>
      <c r="C137" s="472">
        <f>IF(D93="","-",+C136+1)</f>
        <v>2047</v>
      </c>
      <c r="D137" s="346">
        <f>IF(F136+SUM(E$99:E136)=D$92,F136,D$92-SUM(E$99:E136))</f>
        <v>112321</v>
      </c>
      <c r="E137" s="486">
        <f>IF(+J96&lt;F136,J96,D137)</f>
        <v>21801</v>
      </c>
      <c r="F137" s="485">
        <f t="shared" si="39"/>
        <v>90520</v>
      </c>
      <c r="G137" s="485">
        <f t="shared" si="40"/>
        <v>101420.5</v>
      </c>
      <c r="H137" s="488">
        <f t="shared" si="45"/>
        <v>32258.876082110568</v>
      </c>
      <c r="I137" s="542">
        <f t="shared" si="46"/>
        <v>32258.876082110568</v>
      </c>
      <c r="J137" s="478">
        <f t="shared" si="41"/>
        <v>0</v>
      </c>
      <c r="K137" s="478"/>
      <c r="L137" s="487"/>
      <c r="M137" s="478">
        <f t="shared" si="42"/>
        <v>0</v>
      </c>
      <c r="N137" s="487"/>
      <c r="O137" s="478">
        <f t="shared" si="43"/>
        <v>0</v>
      </c>
      <c r="P137" s="478">
        <f t="shared" si="44"/>
        <v>0</v>
      </c>
    </row>
    <row r="138" spans="2:16" ht="12.5">
      <c r="B138" s="160" t="str">
        <f t="shared" si="28"/>
        <v/>
      </c>
      <c r="C138" s="472">
        <f>IF(D93="","-",+C137+1)</f>
        <v>2048</v>
      </c>
      <c r="D138" s="346">
        <f>IF(F137+SUM(E$99:E137)=D$92,F137,D$92-SUM(E$99:E137))</f>
        <v>90520</v>
      </c>
      <c r="E138" s="486">
        <f>IF(+J96&lt;F137,J96,D138)</f>
        <v>21801</v>
      </c>
      <c r="F138" s="485">
        <f t="shared" si="39"/>
        <v>68719</v>
      </c>
      <c r="G138" s="485">
        <f t="shared" si="40"/>
        <v>79619.5</v>
      </c>
      <c r="H138" s="488">
        <f t="shared" si="45"/>
        <v>30010.887199526747</v>
      </c>
      <c r="I138" s="542">
        <f t="shared" si="46"/>
        <v>30010.887199526747</v>
      </c>
      <c r="J138" s="478">
        <f t="shared" si="41"/>
        <v>0</v>
      </c>
      <c r="K138" s="478"/>
      <c r="L138" s="487"/>
      <c r="M138" s="478">
        <f t="shared" si="42"/>
        <v>0</v>
      </c>
      <c r="N138" s="487"/>
      <c r="O138" s="478">
        <f t="shared" si="43"/>
        <v>0</v>
      </c>
      <c r="P138" s="478">
        <f t="shared" si="44"/>
        <v>0</v>
      </c>
    </row>
    <row r="139" spans="2:16" ht="12.5">
      <c r="B139" s="160" t="str">
        <f t="shared" si="28"/>
        <v/>
      </c>
      <c r="C139" s="472">
        <f>IF(D93="","-",+C138+1)</f>
        <v>2049</v>
      </c>
      <c r="D139" s="346">
        <f>IF(F138+SUM(E$99:E138)=D$92,F138,D$92-SUM(E$99:E138))</f>
        <v>68719</v>
      </c>
      <c r="E139" s="486">
        <f>IF(+J96&lt;F138,J96,D139)</f>
        <v>21801</v>
      </c>
      <c r="F139" s="485">
        <f t="shared" si="39"/>
        <v>46918</v>
      </c>
      <c r="G139" s="485">
        <f t="shared" si="40"/>
        <v>57818.5</v>
      </c>
      <c r="H139" s="488">
        <f t="shared" si="45"/>
        <v>27762.898316942923</v>
      </c>
      <c r="I139" s="542">
        <f t="shared" si="46"/>
        <v>27762.898316942923</v>
      </c>
      <c r="J139" s="478">
        <f t="shared" si="41"/>
        <v>0</v>
      </c>
      <c r="K139" s="478"/>
      <c r="L139" s="487"/>
      <c r="M139" s="478">
        <f t="shared" si="42"/>
        <v>0</v>
      </c>
      <c r="N139" s="487"/>
      <c r="O139" s="478">
        <f t="shared" si="43"/>
        <v>0</v>
      </c>
      <c r="P139" s="478">
        <f t="shared" si="44"/>
        <v>0</v>
      </c>
    </row>
    <row r="140" spans="2:16" ht="12.5">
      <c r="B140" s="160" t="str">
        <f t="shared" si="28"/>
        <v/>
      </c>
      <c r="C140" s="472">
        <f>IF(D93="","-",+C139+1)</f>
        <v>2050</v>
      </c>
      <c r="D140" s="346">
        <f>IF(F139+SUM(E$99:E139)=D$92,F139,D$92-SUM(E$99:E139))</f>
        <v>46918</v>
      </c>
      <c r="E140" s="486">
        <f>IF(+J96&lt;F139,J96,D140)</f>
        <v>21801</v>
      </c>
      <c r="F140" s="485">
        <f t="shared" si="39"/>
        <v>25117</v>
      </c>
      <c r="G140" s="485">
        <f t="shared" si="40"/>
        <v>36017.5</v>
      </c>
      <c r="H140" s="488">
        <f t="shared" si="45"/>
        <v>25514.909434359102</v>
      </c>
      <c r="I140" s="542">
        <f t="shared" si="46"/>
        <v>25514.909434359102</v>
      </c>
      <c r="J140" s="478">
        <f t="shared" si="41"/>
        <v>0</v>
      </c>
      <c r="K140" s="478"/>
      <c r="L140" s="487"/>
      <c r="M140" s="478">
        <f t="shared" si="42"/>
        <v>0</v>
      </c>
      <c r="N140" s="487"/>
      <c r="O140" s="478">
        <f t="shared" si="43"/>
        <v>0</v>
      </c>
      <c r="P140" s="478">
        <f t="shared" si="44"/>
        <v>0</v>
      </c>
    </row>
    <row r="141" spans="2:16" ht="12.5">
      <c r="B141" s="160" t="str">
        <f t="shared" si="28"/>
        <v/>
      </c>
      <c r="C141" s="472">
        <f>IF(D93="","-",+C140+1)</f>
        <v>2051</v>
      </c>
      <c r="D141" s="346">
        <f>IF(F140+SUM(E$99:E140)=D$92,F140,D$92-SUM(E$99:E140))</f>
        <v>25117</v>
      </c>
      <c r="E141" s="486">
        <f>IF(+J96&lt;F140,J96,D141)</f>
        <v>21801</v>
      </c>
      <c r="F141" s="485">
        <f t="shared" si="39"/>
        <v>3316</v>
      </c>
      <c r="G141" s="485">
        <f t="shared" si="40"/>
        <v>14216.5</v>
      </c>
      <c r="H141" s="488">
        <f t="shared" si="45"/>
        <v>23266.920551775282</v>
      </c>
      <c r="I141" s="542">
        <f t="shared" si="46"/>
        <v>23266.920551775282</v>
      </c>
      <c r="J141" s="478">
        <f t="shared" si="41"/>
        <v>0</v>
      </c>
      <c r="K141" s="478"/>
      <c r="L141" s="487"/>
      <c r="M141" s="478">
        <f t="shared" si="42"/>
        <v>0</v>
      </c>
      <c r="N141" s="487"/>
      <c r="O141" s="478">
        <f t="shared" si="43"/>
        <v>0</v>
      </c>
      <c r="P141" s="478">
        <f t="shared" si="44"/>
        <v>0</v>
      </c>
    </row>
    <row r="142" spans="2:16" ht="12.5">
      <c r="B142" s="160" t="str">
        <f t="shared" si="28"/>
        <v/>
      </c>
      <c r="C142" s="472">
        <f>IF(D93="","-",+C141+1)</f>
        <v>2052</v>
      </c>
      <c r="D142" s="346">
        <f>IF(F141+SUM(E$99:E141)=D$92,F141,D$92-SUM(E$99:E141))</f>
        <v>3316</v>
      </c>
      <c r="E142" s="486">
        <f>IF(+J96&lt;F141,J96,D142)</f>
        <v>3316</v>
      </c>
      <c r="F142" s="485">
        <f t="shared" si="39"/>
        <v>0</v>
      </c>
      <c r="G142" s="485">
        <f t="shared" si="40"/>
        <v>1658</v>
      </c>
      <c r="H142" s="488">
        <f t="shared" si="45"/>
        <v>3486.9630552416852</v>
      </c>
      <c r="I142" s="542">
        <f t="shared" si="46"/>
        <v>3486.9630552416852</v>
      </c>
      <c r="J142" s="478">
        <f t="shared" si="41"/>
        <v>0</v>
      </c>
      <c r="K142" s="478"/>
      <c r="L142" s="487"/>
      <c r="M142" s="478">
        <f t="shared" si="42"/>
        <v>0</v>
      </c>
      <c r="N142" s="487"/>
      <c r="O142" s="478">
        <f t="shared" si="43"/>
        <v>0</v>
      </c>
      <c r="P142" s="478">
        <f t="shared" si="44"/>
        <v>0</v>
      </c>
    </row>
    <row r="143" spans="2:16" ht="12.5">
      <c r="B143" s="160" t="str">
        <f t="shared" si="28"/>
        <v/>
      </c>
      <c r="C143" s="472">
        <f>IF(D93="","-",+C142+1)</f>
        <v>2053</v>
      </c>
      <c r="D143" s="346">
        <f>IF(F142+SUM(E$99:E142)=D$92,F142,D$92-SUM(E$99:E142))</f>
        <v>0</v>
      </c>
      <c r="E143" s="486">
        <f>IF(+J96&lt;F142,J96,D143)</f>
        <v>0</v>
      </c>
      <c r="F143" s="485">
        <f t="shared" si="39"/>
        <v>0</v>
      </c>
      <c r="G143" s="485">
        <f t="shared" si="40"/>
        <v>0</v>
      </c>
      <c r="H143" s="488">
        <f t="shared" si="45"/>
        <v>0</v>
      </c>
      <c r="I143" s="542">
        <f t="shared" si="46"/>
        <v>0</v>
      </c>
      <c r="J143" s="478">
        <f t="shared" si="41"/>
        <v>0</v>
      </c>
      <c r="K143" s="478"/>
      <c r="L143" s="487"/>
      <c r="M143" s="478">
        <f t="shared" si="42"/>
        <v>0</v>
      </c>
      <c r="N143" s="487"/>
      <c r="O143" s="478">
        <f t="shared" si="43"/>
        <v>0</v>
      </c>
      <c r="P143" s="478">
        <f t="shared" si="44"/>
        <v>0</v>
      </c>
    </row>
    <row r="144" spans="2:16" ht="12.5">
      <c r="B144" s="160" t="str">
        <f t="shared" si="28"/>
        <v/>
      </c>
      <c r="C144" s="472">
        <f>IF(D93="","-",+C143+1)</f>
        <v>2054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39"/>
        <v>0</v>
      </c>
      <c r="G144" s="485">
        <f t="shared" si="40"/>
        <v>0</v>
      </c>
      <c r="H144" s="488">
        <f t="shared" si="45"/>
        <v>0</v>
      </c>
      <c r="I144" s="542">
        <f t="shared" si="46"/>
        <v>0</v>
      </c>
      <c r="J144" s="478">
        <f t="shared" si="41"/>
        <v>0</v>
      </c>
      <c r="K144" s="478"/>
      <c r="L144" s="487"/>
      <c r="M144" s="478">
        <f t="shared" si="42"/>
        <v>0</v>
      </c>
      <c r="N144" s="487"/>
      <c r="O144" s="478">
        <f t="shared" si="43"/>
        <v>0</v>
      </c>
      <c r="P144" s="478">
        <f t="shared" si="44"/>
        <v>0</v>
      </c>
    </row>
    <row r="145" spans="2:16" ht="12.5">
      <c r="B145" s="160" t="str">
        <f t="shared" si="28"/>
        <v/>
      </c>
      <c r="C145" s="472">
        <f>IF(D93="","-",+C144+1)</f>
        <v>2055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39"/>
        <v>0</v>
      </c>
      <c r="G145" s="485">
        <f t="shared" si="40"/>
        <v>0</v>
      </c>
      <c r="H145" s="488">
        <f t="shared" si="45"/>
        <v>0</v>
      </c>
      <c r="I145" s="542">
        <f t="shared" si="46"/>
        <v>0</v>
      </c>
      <c r="J145" s="478">
        <f t="shared" si="41"/>
        <v>0</v>
      </c>
      <c r="K145" s="478"/>
      <c r="L145" s="487"/>
      <c r="M145" s="478">
        <f t="shared" si="42"/>
        <v>0</v>
      </c>
      <c r="N145" s="487"/>
      <c r="O145" s="478">
        <f t="shared" si="43"/>
        <v>0</v>
      </c>
      <c r="P145" s="478">
        <f t="shared" si="44"/>
        <v>0</v>
      </c>
    </row>
    <row r="146" spans="2:16" ht="12.5">
      <c r="B146" s="160" t="str">
        <f t="shared" si="28"/>
        <v/>
      </c>
      <c r="C146" s="472">
        <f>IF(D93="","-",+C145+1)</f>
        <v>2056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39"/>
        <v>0</v>
      </c>
      <c r="G146" s="485">
        <f t="shared" si="40"/>
        <v>0</v>
      </c>
      <c r="H146" s="488">
        <f t="shared" si="45"/>
        <v>0</v>
      </c>
      <c r="I146" s="542">
        <f t="shared" si="46"/>
        <v>0</v>
      </c>
      <c r="J146" s="478">
        <f t="shared" si="41"/>
        <v>0</v>
      </c>
      <c r="K146" s="478"/>
      <c r="L146" s="487"/>
      <c r="M146" s="478">
        <f t="shared" si="42"/>
        <v>0</v>
      </c>
      <c r="N146" s="487"/>
      <c r="O146" s="478">
        <f t="shared" si="43"/>
        <v>0</v>
      </c>
      <c r="P146" s="478">
        <f t="shared" si="44"/>
        <v>0</v>
      </c>
    </row>
    <row r="147" spans="2:16" ht="12.5">
      <c r="B147" s="160" t="str">
        <f t="shared" si="28"/>
        <v/>
      </c>
      <c r="C147" s="472">
        <f>IF(D93="","-",+C146+1)</f>
        <v>2057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39"/>
        <v>0</v>
      </c>
      <c r="G147" s="485">
        <f t="shared" si="40"/>
        <v>0</v>
      </c>
      <c r="H147" s="488">
        <f t="shared" si="45"/>
        <v>0</v>
      </c>
      <c r="I147" s="542">
        <f t="shared" si="46"/>
        <v>0</v>
      </c>
      <c r="J147" s="478">
        <f t="shared" si="41"/>
        <v>0</v>
      </c>
      <c r="K147" s="478"/>
      <c r="L147" s="487"/>
      <c r="M147" s="478">
        <f t="shared" si="42"/>
        <v>0</v>
      </c>
      <c r="N147" s="487"/>
      <c r="O147" s="478">
        <f t="shared" si="43"/>
        <v>0</v>
      </c>
      <c r="P147" s="478">
        <f t="shared" si="44"/>
        <v>0</v>
      </c>
    </row>
    <row r="148" spans="2:16" ht="12.5">
      <c r="B148" s="160" t="str">
        <f t="shared" si="28"/>
        <v/>
      </c>
      <c r="C148" s="472">
        <f>IF(D93="","-",+C147+1)</f>
        <v>2058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39"/>
        <v>0</v>
      </c>
      <c r="G148" s="485">
        <f t="shared" si="40"/>
        <v>0</v>
      </c>
      <c r="H148" s="488">
        <f t="shared" si="45"/>
        <v>0</v>
      </c>
      <c r="I148" s="542">
        <f t="shared" si="46"/>
        <v>0</v>
      </c>
      <c r="J148" s="478">
        <f t="shared" si="41"/>
        <v>0</v>
      </c>
      <c r="K148" s="478"/>
      <c r="L148" s="487"/>
      <c r="M148" s="478">
        <f t="shared" si="42"/>
        <v>0</v>
      </c>
      <c r="N148" s="487"/>
      <c r="O148" s="478">
        <f t="shared" si="43"/>
        <v>0</v>
      </c>
      <c r="P148" s="478">
        <f t="shared" si="44"/>
        <v>0</v>
      </c>
    </row>
    <row r="149" spans="2:16" ht="12.5">
      <c r="B149" s="160" t="str">
        <f t="shared" si="28"/>
        <v/>
      </c>
      <c r="C149" s="472">
        <f>IF(D93="","-",+C148+1)</f>
        <v>2059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39"/>
        <v>0</v>
      </c>
      <c r="G149" s="485">
        <f t="shared" si="40"/>
        <v>0</v>
      </c>
      <c r="H149" s="488">
        <f t="shared" si="45"/>
        <v>0</v>
      </c>
      <c r="I149" s="542">
        <f t="shared" si="46"/>
        <v>0</v>
      </c>
      <c r="J149" s="478">
        <f t="shared" si="41"/>
        <v>0</v>
      </c>
      <c r="K149" s="478"/>
      <c r="L149" s="487"/>
      <c r="M149" s="478">
        <f t="shared" si="42"/>
        <v>0</v>
      </c>
      <c r="N149" s="487"/>
      <c r="O149" s="478">
        <f t="shared" si="43"/>
        <v>0</v>
      </c>
      <c r="P149" s="478">
        <f t="shared" si="44"/>
        <v>0</v>
      </c>
    </row>
    <row r="150" spans="2:16" ht="12.5">
      <c r="B150" s="160" t="str">
        <f t="shared" si="28"/>
        <v/>
      </c>
      <c r="C150" s="472">
        <f>IF(D93="","-",+C149+1)</f>
        <v>2060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39"/>
        <v>0</v>
      </c>
      <c r="G150" s="485">
        <f t="shared" si="40"/>
        <v>0</v>
      </c>
      <c r="H150" s="488">
        <f t="shared" si="45"/>
        <v>0</v>
      </c>
      <c r="I150" s="542">
        <f t="shared" si="46"/>
        <v>0</v>
      </c>
      <c r="J150" s="478">
        <f t="shared" si="41"/>
        <v>0</v>
      </c>
      <c r="K150" s="478"/>
      <c r="L150" s="487"/>
      <c r="M150" s="478">
        <f t="shared" si="42"/>
        <v>0</v>
      </c>
      <c r="N150" s="487"/>
      <c r="O150" s="478">
        <f t="shared" si="43"/>
        <v>0</v>
      </c>
      <c r="P150" s="478">
        <f t="shared" si="44"/>
        <v>0</v>
      </c>
    </row>
    <row r="151" spans="2:16" ht="12.5">
      <c r="B151" s="160" t="str">
        <f t="shared" si="28"/>
        <v/>
      </c>
      <c r="C151" s="472">
        <f>IF(D93="","-",+C150+1)</f>
        <v>2061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39"/>
        <v>0</v>
      </c>
      <c r="G151" s="485">
        <f t="shared" si="40"/>
        <v>0</v>
      </c>
      <c r="H151" s="488">
        <f t="shared" si="45"/>
        <v>0</v>
      </c>
      <c r="I151" s="542">
        <f t="shared" si="46"/>
        <v>0</v>
      </c>
      <c r="J151" s="478">
        <f t="shared" si="41"/>
        <v>0</v>
      </c>
      <c r="K151" s="478"/>
      <c r="L151" s="487"/>
      <c r="M151" s="478">
        <f t="shared" si="42"/>
        <v>0</v>
      </c>
      <c r="N151" s="487"/>
      <c r="O151" s="478">
        <f t="shared" si="43"/>
        <v>0</v>
      </c>
      <c r="P151" s="478">
        <f t="shared" si="44"/>
        <v>0</v>
      </c>
    </row>
    <row r="152" spans="2:16" ht="12.5">
      <c r="B152" s="160" t="str">
        <f t="shared" si="28"/>
        <v/>
      </c>
      <c r="C152" s="472">
        <f>IF(D93="","-",+C151+1)</f>
        <v>2062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39"/>
        <v>0</v>
      </c>
      <c r="G152" s="485">
        <f t="shared" si="40"/>
        <v>0</v>
      </c>
      <c r="H152" s="488">
        <f t="shared" si="45"/>
        <v>0</v>
      </c>
      <c r="I152" s="542">
        <f t="shared" si="46"/>
        <v>0</v>
      </c>
      <c r="J152" s="478">
        <f t="shared" si="41"/>
        <v>0</v>
      </c>
      <c r="K152" s="478"/>
      <c r="L152" s="487"/>
      <c r="M152" s="478">
        <f t="shared" si="42"/>
        <v>0</v>
      </c>
      <c r="N152" s="487"/>
      <c r="O152" s="478">
        <f t="shared" si="43"/>
        <v>0</v>
      </c>
      <c r="P152" s="478">
        <f t="shared" si="44"/>
        <v>0</v>
      </c>
    </row>
    <row r="153" spans="2:16" ht="12.5">
      <c r="B153" s="160" t="str">
        <f t="shared" si="28"/>
        <v/>
      </c>
      <c r="C153" s="472">
        <f>IF(D93="","-",+C152+1)</f>
        <v>2063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39"/>
        <v>0</v>
      </c>
      <c r="G153" s="485">
        <f t="shared" si="40"/>
        <v>0</v>
      </c>
      <c r="H153" s="488">
        <f t="shared" si="45"/>
        <v>0</v>
      </c>
      <c r="I153" s="542">
        <f t="shared" si="46"/>
        <v>0</v>
      </c>
      <c r="J153" s="478">
        <f t="shared" si="41"/>
        <v>0</v>
      </c>
      <c r="K153" s="478"/>
      <c r="L153" s="487"/>
      <c r="M153" s="478">
        <f t="shared" si="42"/>
        <v>0</v>
      </c>
      <c r="N153" s="487"/>
      <c r="O153" s="478">
        <f t="shared" si="43"/>
        <v>0</v>
      </c>
      <c r="P153" s="478">
        <f t="shared" si="44"/>
        <v>0</v>
      </c>
    </row>
    <row r="154" spans="2:16" ht="13" thickBot="1">
      <c r="B154" s="160" t="str">
        <f t="shared" si="28"/>
        <v/>
      </c>
      <c r="C154" s="489">
        <f>IF(D93="","-",+C153+1)</f>
        <v>2064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39"/>
        <v>0</v>
      </c>
      <c r="G154" s="490">
        <f t="shared" si="40"/>
        <v>0</v>
      </c>
      <c r="H154" s="492">
        <f t="shared" si="45"/>
        <v>0</v>
      </c>
      <c r="I154" s="545">
        <f t="shared" si="46"/>
        <v>0</v>
      </c>
      <c r="J154" s="495">
        <f t="shared" si="41"/>
        <v>0</v>
      </c>
      <c r="K154" s="478"/>
      <c r="L154" s="494"/>
      <c r="M154" s="495">
        <f t="shared" si="42"/>
        <v>0</v>
      </c>
      <c r="N154" s="494"/>
      <c r="O154" s="495">
        <f t="shared" si="43"/>
        <v>0</v>
      </c>
      <c r="P154" s="495">
        <f t="shared" si="44"/>
        <v>0</v>
      </c>
    </row>
    <row r="155" spans="2:16" ht="12.5">
      <c r="C155" s="346" t="s">
        <v>77</v>
      </c>
      <c r="D155" s="347"/>
      <c r="E155" s="347">
        <f>SUM(E99:E154)</f>
        <v>893858</v>
      </c>
      <c r="F155" s="347"/>
      <c r="G155" s="347"/>
      <c r="H155" s="347">
        <f>SUM(H99:H154)</f>
        <v>3187408.9874707744</v>
      </c>
      <c r="I155" s="347">
        <f>SUM(I99:I154)</f>
        <v>3187408.9874707744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 t="s">
        <v>100</v>
      </c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2.5"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96" t="s">
        <v>107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78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 t="s">
        <v>79</v>
      </c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48" t="s">
        <v>145</v>
      </c>
    </row>
  </sheetData>
  <phoneticPr fontId="0" type="noConversion"/>
  <conditionalFormatting sqref="C17:C72">
    <cfRule type="cellIs" dxfId="60" priority="1" stopIfTrue="1" operator="equal">
      <formula>$I$10</formula>
    </cfRule>
  </conditionalFormatting>
  <conditionalFormatting sqref="C99:C154">
    <cfRule type="cellIs" dxfId="59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0"/>
  <dimension ref="A1:P162"/>
  <sheetViews>
    <sheetView view="pageBreakPreview" topLeftCell="B1" zoomScale="75" zoomScaleNormal="100" workbookViewId="0">
      <selection activeCell="E9" sqref="E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2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 t="str">
        <f>"For Calendar Year "&amp;V1-1&amp;" and Projected Year "&amp;V1</f>
        <v xml:space="preserve">For Calendar Year -1 and Projected Year </v>
      </c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480370.47549623175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480370.47549623175</v>
      </c>
      <c r="O6" s="232"/>
      <c r="P6" s="232"/>
    </row>
    <row r="7" spans="1:16" ht="13.5" thickBot="1">
      <c r="C7" s="431" t="s">
        <v>46</v>
      </c>
      <c r="D7" s="432" t="s">
        <v>210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80</v>
      </c>
      <c r="E9" s="577" t="s">
        <v>354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4688896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2009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109044.09302325582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C17" s="472">
        <f>IF(D11= "","-",D11)</f>
        <v>2009</v>
      </c>
      <c r="D17" s="473">
        <v>6704177</v>
      </c>
      <c r="E17" s="474">
        <v>73788</v>
      </c>
      <c r="F17" s="473">
        <v>6630389</v>
      </c>
      <c r="G17" s="474">
        <v>750999</v>
      </c>
      <c r="H17" s="474">
        <v>750999</v>
      </c>
      <c r="I17" s="475">
        <f t="shared" ref="I17:I48" si="0">H17-G17</f>
        <v>0</v>
      </c>
      <c r="J17" s="475"/>
      <c r="K17" s="476">
        <v>750999</v>
      </c>
      <c r="L17" s="477">
        <f t="shared" ref="L17:L48" si="1">IF(K17&lt;&gt;0,+G17-K17,0)</f>
        <v>0</v>
      </c>
      <c r="M17" s="476">
        <v>750999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2010</v>
      </c>
      <c r="D18" s="479">
        <v>4651603</v>
      </c>
      <c r="E18" s="480">
        <v>84382</v>
      </c>
      <c r="F18" s="479">
        <v>4567221</v>
      </c>
      <c r="G18" s="480">
        <v>743416</v>
      </c>
      <c r="H18" s="481">
        <v>743416</v>
      </c>
      <c r="I18" s="475">
        <f t="shared" si="0"/>
        <v>0</v>
      </c>
      <c r="J18" s="475"/>
      <c r="K18" s="476">
        <f t="shared" ref="K18:K23" si="4">G18</f>
        <v>743416</v>
      </c>
      <c r="L18" s="550">
        <f t="shared" si="1"/>
        <v>0</v>
      </c>
      <c r="M18" s="476">
        <f t="shared" ref="M18:M23" si="5">H18</f>
        <v>743416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2011</v>
      </c>
      <c r="D19" s="479">
        <v>4530726</v>
      </c>
      <c r="E19" s="480">
        <v>91939.137254901958</v>
      </c>
      <c r="F19" s="479">
        <v>4438786.8627450978</v>
      </c>
      <c r="G19" s="480">
        <v>786801.66702531651</v>
      </c>
      <c r="H19" s="481">
        <v>786801.66702531651</v>
      </c>
      <c r="I19" s="475">
        <f t="shared" si="0"/>
        <v>0</v>
      </c>
      <c r="J19" s="475"/>
      <c r="K19" s="476">
        <f t="shared" si="4"/>
        <v>786801.66702531651</v>
      </c>
      <c r="L19" s="550">
        <f t="shared" si="1"/>
        <v>0</v>
      </c>
      <c r="M19" s="476">
        <f t="shared" si="5"/>
        <v>786801.66702531651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6">IF(D20=F19,"","IU")</f>
        <v/>
      </c>
      <c r="C20" s="472">
        <f>IF(D11="","-",+C19+1)</f>
        <v>2012</v>
      </c>
      <c r="D20" s="479">
        <v>4438786.8627450978</v>
      </c>
      <c r="E20" s="480">
        <v>90171.076923076922</v>
      </c>
      <c r="F20" s="479">
        <v>4348615.7858220208</v>
      </c>
      <c r="G20" s="480">
        <v>695527.67751323315</v>
      </c>
      <c r="H20" s="481">
        <v>695527.67751323315</v>
      </c>
      <c r="I20" s="475">
        <f t="shared" si="0"/>
        <v>0</v>
      </c>
      <c r="J20" s="475"/>
      <c r="K20" s="476">
        <f t="shared" si="4"/>
        <v>695527.67751323315</v>
      </c>
      <c r="L20" s="550">
        <f t="shared" si="1"/>
        <v>0</v>
      </c>
      <c r="M20" s="476">
        <f t="shared" si="5"/>
        <v>695527.67751323315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6"/>
        <v/>
      </c>
      <c r="C21" s="472">
        <f>IF(D12="","-",+C20+1)</f>
        <v>2013</v>
      </c>
      <c r="D21" s="479">
        <v>4348615.7858220208</v>
      </c>
      <c r="E21" s="480">
        <v>90171.076923076922</v>
      </c>
      <c r="F21" s="479">
        <v>4258444.7088989438</v>
      </c>
      <c r="G21" s="480">
        <v>698305.7699783385</v>
      </c>
      <c r="H21" s="481">
        <v>698305.7699783385</v>
      </c>
      <c r="I21" s="475">
        <v>0</v>
      </c>
      <c r="J21" s="475"/>
      <c r="K21" s="476">
        <f t="shared" si="4"/>
        <v>698305.7699783385</v>
      </c>
      <c r="L21" s="550">
        <f t="shared" ref="L21:L26" si="7">IF(K21&lt;&gt;0,+G21-K21,0)</f>
        <v>0</v>
      </c>
      <c r="M21" s="476">
        <f t="shared" si="5"/>
        <v>698305.7699783385</v>
      </c>
      <c r="N21" s="478">
        <f t="shared" ref="N21:N26" si="8">IF(M21&lt;&gt;0,+H21-M21,0)</f>
        <v>0</v>
      </c>
      <c r="O21" s="478">
        <f t="shared" ref="O21:O26" si="9">+N21-L21</f>
        <v>0</v>
      </c>
      <c r="P21" s="242"/>
    </row>
    <row r="22" spans="2:16" ht="12.5">
      <c r="B22" s="160" t="str">
        <f t="shared" si="6"/>
        <v/>
      </c>
      <c r="C22" s="472">
        <f>IF(D11="","-",+C21+1)</f>
        <v>2014</v>
      </c>
      <c r="D22" s="479">
        <v>4258444.7088989438</v>
      </c>
      <c r="E22" s="480">
        <v>90171.076923076922</v>
      </c>
      <c r="F22" s="479">
        <v>4168273.6319758669</v>
      </c>
      <c r="G22" s="480">
        <v>663970.48849892756</v>
      </c>
      <c r="H22" s="481">
        <v>663970.48849892756</v>
      </c>
      <c r="I22" s="475">
        <v>0</v>
      </c>
      <c r="J22" s="475"/>
      <c r="K22" s="476">
        <f t="shared" si="4"/>
        <v>663970.48849892756</v>
      </c>
      <c r="L22" s="550">
        <f t="shared" si="7"/>
        <v>0</v>
      </c>
      <c r="M22" s="476">
        <f t="shared" si="5"/>
        <v>663970.48849892756</v>
      </c>
      <c r="N22" s="478">
        <f t="shared" si="8"/>
        <v>0</v>
      </c>
      <c r="O22" s="478">
        <f t="shared" si="9"/>
        <v>0</v>
      </c>
      <c r="P22" s="242"/>
    </row>
    <row r="23" spans="2:16" ht="12.5">
      <c r="B23" s="160" t="str">
        <f t="shared" si="6"/>
        <v/>
      </c>
      <c r="C23" s="472">
        <f>IF(D11="","-",+C22+1)</f>
        <v>2015</v>
      </c>
      <c r="D23" s="479">
        <v>4168273.6319758669</v>
      </c>
      <c r="E23" s="480">
        <v>90171.076923076922</v>
      </c>
      <c r="F23" s="479">
        <v>4078102.5550527899</v>
      </c>
      <c r="G23" s="480">
        <v>652425.83265151177</v>
      </c>
      <c r="H23" s="481">
        <v>652425.83265151177</v>
      </c>
      <c r="I23" s="475">
        <v>0</v>
      </c>
      <c r="J23" s="475"/>
      <c r="K23" s="476">
        <f t="shared" si="4"/>
        <v>652425.83265151177</v>
      </c>
      <c r="L23" s="550">
        <f t="shared" si="7"/>
        <v>0</v>
      </c>
      <c r="M23" s="476">
        <f t="shared" si="5"/>
        <v>652425.83265151177</v>
      </c>
      <c r="N23" s="478">
        <f t="shared" si="8"/>
        <v>0</v>
      </c>
      <c r="O23" s="478">
        <f t="shared" si="9"/>
        <v>0</v>
      </c>
      <c r="P23" s="242"/>
    </row>
    <row r="24" spans="2:16" ht="12.5">
      <c r="B24" s="160" t="str">
        <f t="shared" si="6"/>
        <v/>
      </c>
      <c r="C24" s="472">
        <f>IF(D11="","-",+C23+1)</f>
        <v>2016</v>
      </c>
      <c r="D24" s="479">
        <v>4078102.5550527899</v>
      </c>
      <c r="E24" s="480">
        <v>90171.076923076922</v>
      </c>
      <c r="F24" s="479">
        <v>3987931.4781297129</v>
      </c>
      <c r="G24" s="480">
        <v>613226.71011811122</v>
      </c>
      <c r="H24" s="481">
        <v>613226.71011811122</v>
      </c>
      <c r="I24" s="475">
        <f t="shared" si="0"/>
        <v>0</v>
      </c>
      <c r="J24" s="475"/>
      <c r="K24" s="476">
        <f>G24</f>
        <v>613226.71011811122</v>
      </c>
      <c r="L24" s="550">
        <f t="shared" si="7"/>
        <v>0</v>
      </c>
      <c r="M24" s="476">
        <f>H24</f>
        <v>613226.71011811122</v>
      </c>
      <c r="N24" s="478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6"/>
        <v/>
      </c>
      <c r="C25" s="472">
        <f>IF(D11="","-",+C24+1)</f>
        <v>2017</v>
      </c>
      <c r="D25" s="479">
        <v>3987931.4781297129</v>
      </c>
      <c r="E25" s="480">
        <v>101932.52173913043</v>
      </c>
      <c r="F25" s="479">
        <v>3885998.9563905825</v>
      </c>
      <c r="G25" s="480">
        <v>596467.29312714399</v>
      </c>
      <c r="H25" s="481">
        <v>596467.29312714399</v>
      </c>
      <c r="I25" s="475">
        <f t="shared" si="0"/>
        <v>0</v>
      </c>
      <c r="J25" s="551"/>
      <c r="K25" s="476">
        <f>G25</f>
        <v>596467.29312714399</v>
      </c>
      <c r="L25" s="550">
        <f t="shared" si="7"/>
        <v>0</v>
      </c>
      <c r="M25" s="476">
        <f>H25</f>
        <v>596467.29312714399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6"/>
        <v/>
      </c>
      <c r="C26" s="472">
        <f>IF(D11="","-",+C25+1)</f>
        <v>2018</v>
      </c>
      <c r="D26" s="479">
        <v>3885998.9563905825</v>
      </c>
      <c r="E26" s="480">
        <v>104197.68888888889</v>
      </c>
      <c r="F26" s="479">
        <v>3781801.2675016937</v>
      </c>
      <c r="G26" s="480">
        <v>563341.50507496181</v>
      </c>
      <c r="H26" s="481">
        <v>563341.50507496181</v>
      </c>
      <c r="I26" s="475">
        <f t="shared" si="0"/>
        <v>0</v>
      </c>
      <c r="J26" s="551"/>
      <c r="K26" s="476">
        <f>G26</f>
        <v>563341.50507496181</v>
      </c>
      <c r="L26" s="550">
        <f t="shared" si="7"/>
        <v>0</v>
      </c>
      <c r="M26" s="476">
        <f>H26</f>
        <v>563341.50507496181</v>
      </c>
      <c r="N26" s="478">
        <f t="shared" si="8"/>
        <v>0</v>
      </c>
      <c r="O26" s="478">
        <f t="shared" si="9"/>
        <v>0</v>
      </c>
      <c r="P26" s="242"/>
    </row>
    <row r="27" spans="2:16" ht="12.5">
      <c r="B27" s="160" t="str">
        <f t="shared" si="6"/>
        <v/>
      </c>
      <c r="C27" s="472">
        <f>IF(D11="","-",+C26+1)</f>
        <v>2019</v>
      </c>
      <c r="D27" s="479">
        <v>3781801.2675016937</v>
      </c>
      <c r="E27" s="480">
        <v>117222.39999999999</v>
      </c>
      <c r="F27" s="479">
        <v>3664578.8675016938</v>
      </c>
      <c r="G27" s="480">
        <v>532941.26061774243</v>
      </c>
      <c r="H27" s="481">
        <v>532941.26061774243</v>
      </c>
      <c r="I27" s="475">
        <f t="shared" si="0"/>
        <v>0</v>
      </c>
      <c r="J27" s="552"/>
      <c r="K27" s="476">
        <f>G27</f>
        <v>532941.26061774243</v>
      </c>
      <c r="L27" s="550">
        <f t="shared" ref="L27" si="10">IF(K27&lt;&gt;0,+G27-K27,0)</f>
        <v>0</v>
      </c>
      <c r="M27" s="476">
        <f>H27</f>
        <v>532941.26061774243</v>
      </c>
      <c r="N27" s="478">
        <f t="shared" ref="N27" si="11">IF(M27&lt;&gt;0,+H27-M27,0)</f>
        <v>0</v>
      </c>
      <c r="O27" s="478">
        <f t="shared" ref="O27" si="12">+N27-L27</f>
        <v>0</v>
      </c>
      <c r="P27" s="242"/>
    </row>
    <row r="28" spans="2:16" ht="12.5">
      <c r="B28" s="160" t="str">
        <f t="shared" si="6"/>
        <v>IU</v>
      </c>
      <c r="C28" s="472">
        <f>IF(D11="","-",+C27+1)</f>
        <v>2020</v>
      </c>
      <c r="D28" s="479">
        <v>3677603.5786128049</v>
      </c>
      <c r="E28" s="480">
        <v>111640.38095238095</v>
      </c>
      <c r="F28" s="479">
        <v>3565963.1976604238</v>
      </c>
      <c r="G28" s="480">
        <v>502810.28780425031</v>
      </c>
      <c r="H28" s="481">
        <v>502810.28780425031</v>
      </c>
      <c r="I28" s="475">
        <f t="shared" si="0"/>
        <v>0</v>
      </c>
      <c r="J28" s="475"/>
      <c r="K28" s="476">
        <f>G28</f>
        <v>502810.28780425031</v>
      </c>
      <c r="L28" s="550">
        <f t="shared" ref="L28" si="13">IF(K28&lt;&gt;0,+G28-K28,0)</f>
        <v>0</v>
      </c>
      <c r="M28" s="476">
        <f>H28</f>
        <v>502810.28780425031</v>
      </c>
      <c r="N28" s="478">
        <f t="shared" si="2"/>
        <v>0</v>
      </c>
      <c r="O28" s="478">
        <f t="shared" si="3"/>
        <v>0</v>
      </c>
      <c r="P28" s="242"/>
    </row>
    <row r="29" spans="2:16" ht="12.5">
      <c r="B29" s="160" t="str">
        <f t="shared" si="6"/>
        <v>IU</v>
      </c>
      <c r="C29" s="472">
        <f>IF(D11="","-",+C28+1)</f>
        <v>2021</v>
      </c>
      <c r="D29" s="485">
        <f>IF(F28+SUM(E$17:E28)=D$10,F28,D$10-SUM(E$17:E28))</f>
        <v>3552938.4865493132</v>
      </c>
      <c r="E29" s="484">
        <f>IF(+I14&lt;F28,I14,D29)</f>
        <v>109044.09302325582</v>
      </c>
      <c r="F29" s="485">
        <f t="shared" ref="F29:F48" si="14">+D29-E29</f>
        <v>3443894.3935260572</v>
      </c>
      <c r="G29" s="486">
        <f t="shared" ref="G29:G72" si="15">+I$12*F29+E29</f>
        <v>480370.47549623175</v>
      </c>
      <c r="H29" s="455">
        <f t="shared" ref="H29:H72" si="16">+I$13*F29+E29</f>
        <v>480370.47549623175</v>
      </c>
      <c r="I29" s="475">
        <f t="shared" si="0"/>
        <v>0</v>
      </c>
      <c r="J29" s="475"/>
      <c r="K29" s="487"/>
      <c r="L29" s="478">
        <f t="shared" si="1"/>
        <v>0</v>
      </c>
      <c r="M29" s="487"/>
      <c r="N29" s="478">
        <f t="shared" si="2"/>
        <v>0</v>
      </c>
      <c r="O29" s="478">
        <f t="shared" si="3"/>
        <v>0</v>
      </c>
      <c r="P29" s="242"/>
    </row>
    <row r="30" spans="2:16" ht="12.5">
      <c r="B30" s="160" t="str">
        <f t="shared" si="6"/>
        <v/>
      </c>
      <c r="C30" s="472">
        <f>IF(D11="","-",+C29+1)</f>
        <v>2022</v>
      </c>
      <c r="D30" s="485">
        <f>IF(F29+SUM(E$17:E29)=D$10,F29,D$10-SUM(E$17:E29))</f>
        <v>3443894.3935260572</v>
      </c>
      <c r="E30" s="484">
        <f>IF(+I14&lt;F29,I14,D30)</f>
        <v>109044.09302325582</v>
      </c>
      <c r="F30" s="485">
        <f t="shared" si="14"/>
        <v>3334850.3005028013</v>
      </c>
      <c r="G30" s="486">
        <f t="shared" si="15"/>
        <v>468613.16125672183</v>
      </c>
      <c r="H30" s="455">
        <f t="shared" si="16"/>
        <v>468613.16125672183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2"/>
    </row>
    <row r="31" spans="2:16" ht="12.5">
      <c r="B31" s="160" t="str">
        <f t="shared" si="6"/>
        <v/>
      </c>
      <c r="C31" s="472">
        <f>IF(D11="","-",+C30+1)</f>
        <v>2023</v>
      </c>
      <c r="D31" s="485">
        <f>IF(F30+SUM(E$17:E30)=D$10,F30,D$10-SUM(E$17:E30))</f>
        <v>3334850.3005028013</v>
      </c>
      <c r="E31" s="484">
        <f>IF(+I14&lt;F30,I14,D31)</f>
        <v>109044.09302325582</v>
      </c>
      <c r="F31" s="485">
        <f t="shared" si="14"/>
        <v>3225806.2074795454</v>
      </c>
      <c r="G31" s="486">
        <f t="shared" si="15"/>
        <v>456855.8470172119</v>
      </c>
      <c r="H31" s="455">
        <f t="shared" si="16"/>
        <v>456855.8470172119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6"/>
        <v/>
      </c>
      <c r="C32" s="472">
        <f>IF(D11="","-",+C31+1)</f>
        <v>2024</v>
      </c>
      <c r="D32" s="485">
        <f>IF(F31+SUM(E$17:E31)=D$10,F31,D$10-SUM(E$17:E31))</f>
        <v>3225806.2074795454</v>
      </c>
      <c r="E32" s="484">
        <f>IF(+I14&lt;F31,I14,D32)</f>
        <v>109044.09302325582</v>
      </c>
      <c r="F32" s="485">
        <f t="shared" si="14"/>
        <v>3116762.1144562894</v>
      </c>
      <c r="G32" s="486">
        <f t="shared" si="15"/>
        <v>445098.53277770203</v>
      </c>
      <c r="H32" s="455">
        <f t="shared" si="16"/>
        <v>445098.53277770203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6"/>
        <v/>
      </c>
      <c r="C33" s="472">
        <f>IF(D11="","-",+C32+1)</f>
        <v>2025</v>
      </c>
      <c r="D33" s="485">
        <f>IF(F32+SUM(E$17:E32)=D$10,F32,D$10-SUM(E$17:E32))</f>
        <v>3116762.1144562894</v>
      </c>
      <c r="E33" s="484">
        <f>IF(+I14&lt;F32,I14,D33)</f>
        <v>109044.09302325582</v>
      </c>
      <c r="F33" s="485">
        <f t="shared" si="14"/>
        <v>3007718.0214330335</v>
      </c>
      <c r="G33" s="486">
        <f t="shared" si="15"/>
        <v>433341.2185381921</v>
      </c>
      <c r="H33" s="455">
        <f t="shared" si="16"/>
        <v>433341.2185381921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6"/>
        <v/>
      </c>
      <c r="C34" s="472">
        <f>IF(D11="","-",+C33+1)</f>
        <v>2026</v>
      </c>
      <c r="D34" s="485">
        <f>IF(F33+SUM(E$17:E33)=D$10,F33,D$10-SUM(E$17:E33))</f>
        <v>3007718.0214330335</v>
      </c>
      <c r="E34" s="484">
        <f>IF(+I14&lt;F33,I14,D34)</f>
        <v>109044.09302325582</v>
      </c>
      <c r="F34" s="485">
        <f t="shared" si="14"/>
        <v>2898673.9284097776</v>
      </c>
      <c r="G34" s="486">
        <f t="shared" si="15"/>
        <v>421583.90429868217</v>
      </c>
      <c r="H34" s="455">
        <f t="shared" si="16"/>
        <v>421583.90429868217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6"/>
        <v/>
      </c>
      <c r="C35" s="472">
        <f>IF(D11="","-",+C34+1)</f>
        <v>2027</v>
      </c>
      <c r="D35" s="485">
        <f>IF(F34+SUM(E$17:E34)=D$10,F34,D$10-SUM(E$17:E34))</f>
        <v>2898673.9284097776</v>
      </c>
      <c r="E35" s="484">
        <f>IF(+I14&lt;F34,I14,D35)</f>
        <v>109044.09302325582</v>
      </c>
      <c r="F35" s="485">
        <f t="shared" si="14"/>
        <v>2789629.8353865216</v>
      </c>
      <c r="G35" s="486">
        <f t="shared" si="15"/>
        <v>409826.59005917225</v>
      </c>
      <c r="H35" s="455">
        <f t="shared" si="16"/>
        <v>409826.59005917225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6"/>
        <v/>
      </c>
      <c r="C36" s="472">
        <f>IF(D11="","-",+C35+1)</f>
        <v>2028</v>
      </c>
      <c r="D36" s="485">
        <f>IF(F35+SUM(E$17:E35)=D$10,F35,D$10-SUM(E$17:E35))</f>
        <v>2789629.8353865216</v>
      </c>
      <c r="E36" s="484">
        <f>IF(+I14&lt;F35,I14,D36)</f>
        <v>109044.09302325582</v>
      </c>
      <c r="F36" s="485">
        <f t="shared" si="14"/>
        <v>2680585.7423632657</v>
      </c>
      <c r="G36" s="486">
        <f t="shared" si="15"/>
        <v>398069.27581966232</v>
      </c>
      <c r="H36" s="455">
        <f t="shared" si="16"/>
        <v>398069.27581966232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6"/>
        <v/>
      </c>
      <c r="C37" s="472">
        <f>IF(D11="","-",+C36+1)</f>
        <v>2029</v>
      </c>
      <c r="D37" s="485">
        <f>IF(F36+SUM(E$17:E36)=D$10,F36,D$10-SUM(E$17:E36))</f>
        <v>2680585.7423632657</v>
      </c>
      <c r="E37" s="484">
        <f>IF(+I14&lt;F36,I14,D37)</f>
        <v>109044.09302325582</v>
      </c>
      <c r="F37" s="485">
        <f t="shared" si="14"/>
        <v>2571541.6493400098</v>
      </c>
      <c r="G37" s="486">
        <f t="shared" si="15"/>
        <v>386311.96158015239</v>
      </c>
      <c r="H37" s="455">
        <f t="shared" si="16"/>
        <v>386311.96158015239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6"/>
        <v/>
      </c>
      <c r="C38" s="472">
        <f>IF(D11="","-",+C37+1)</f>
        <v>2030</v>
      </c>
      <c r="D38" s="485">
        <f>IF(F37+SUM(E$17:E37)=D$10,F37,D$10-SUM(E$17:E37))</f>
        <v>2571541.6493400098</v>
      </c>
      <c r="E38" s="484">
        <f>IF(+I14&lt;F37,I14,D38)</f>
        <v>109044.09302325582</v>
      </c>
      <c r="F38" s="485">
        <f t="shared" si="14"/>
        <v>2462497.5563167538</v>
      </c>
      <c r="G38" s="486">
        <f t="shared" si="15"/>
        <v>374554.64734064246</v>
      </c>
      <c r="H38" s="455">
        <f t="shared" si="16"/>
        <v>374554.64734064246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6"/>
        <v/>
      </c>
      <c r="C39" s="472">
        <f>IF(D11="","-",+C38+1)</f>
        <v>2031</v>
      </c>
      <c r="D39" s="485">
        <f>IF(F38+SUM(E$17:E38)=D$10,F38,D$10-SUM(E$17:E38))</f>
        <v>2462497.5563167538</v>
      </c>
      <c r="E39" s="484">
        <f>IF(+I14&lt;F38,I14,D39)</f>
        <v>109044.09302325582</v>
      </c>
      <c r="F39" s="485">
        <f t="shared" si="14"/>
        <v>2353453.4632934979</v>
      </c>
      <c r="G39" s="486">
        <f t="shared" si="15"/>
        <v>362797.33310113254</v>
      </c>
      <c r="H39" s="455">
        <f t="shared" si="16"/>
        <v>362797.33310113254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6"/>
        <v/>
      </c>
      <c r="C40" s="472">
        <f>IF(D11="","-",+C39+1)</f>
        <v>2032</v>
      </c>
      <c r="D40" s="485">
        <f>IF(F39+SUM(E$17:E39)=D$10,F39,D$10-SUM(E$17:E39))</f>
        <v>2353453.4632934979</v>
      </c>
      <c r="E40" s="484">
        <f>IF(+I14&lt;F39,I14,D40)</f>
        <v>109044.09302325582</v>
      </c>
      <c r="F40" s="485">
        <f t="shared" si="14"/>
        <v>2244409.370270242</v>
      </c>
      <c r="G40" s="486">
        <f t="shared" si="15"/>
        <v>351040.01886162267</v>
      </c>
      <c r="H40" s="455">
        <f t="shared" si="16"/>
        <v>351040.01886162267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6"/>
        <v/>
      </c>
      <c r="C41" s="472">
        <f>IF(D11="","-",+C40+1)</f>
        <v>2033</v>
      </c>
      <c r="D41" s="485">
        <f>IF(F40+SUM(E$17:E40)=D$10,F40,D$10-SUM(E$17:E40))</f>
        <v>2244409.370270242</v>
      </c>
      <c r="E41" s="484">
        <f>IF(+I14&lt;F40,I14,D41)</f>
        <v>109044.09302325582</v>
      </c>
      <c r="F41" s="485">
        <f t="shared" si="14"/>
        <v>2135365.2772469861</v>
      </c>
      <c r="G41" s="486">
        <f t="shared" si="15"/>
        <v>339282.70462211268</v>
      </c>
      <c r="H41" s="455">
        <f t="shared" si="16"/>
        <v>339282.70462211268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6"/>
        <v/>
      </c>
      <c r="C42" s="472">
        <f>IF(D11="","-",+C41+1)</f>
        <v>2034</v>
      </c>
      <c r="D42" s="485">
        <f>IF(F41+SUM(E$17:E41)=D$10,F41,D$10-SUM(E$17:E41))</f>
        <v>2135365.2772469861</v>
      </c>
      <c r="E42" s="484">
        <f>IF(+I14&lt;F41,I14,D42)</f>
        <v>109044.09302325582</v>
      </c>
      <c r="F42" s="485">
        <f t="shared" si="14"/>
        <v>2026321.1842237301</v>
      </c>
      <c r="G42" s="486">
        <f t="shared" si="15"/>
        <v>327525.39038260281</v>
      </c>
      <c r="H42" s="455">
        <f t="shared" si="16"/>
        <v>327525.39038260281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6"/>
        <v/>
      </c>
      <c r="C43" s="472">
        <f>IF(D11="","-",+C42+1)</f>
        <v>2035</v>
      </c>
      <c r="D43" s="485">
        <f>IF(F42+SUM(E$17:E42)=D$10,F42,D$10-SUM(E$17:E42))</f>
        <v>2026321.1842237301</v>
      </c>
      <c r="E43" s="484">
        <f>IF(+I14&lt;F42,I14,D43)</f>
        <v>109044.09302325582</v>
      </c>
      <c r="F43" s="485">
        <f t="shared" si="14"/>
        <v>1917277.0912004742</v>
      </c>
      <c r="G43" s="486">
        <f t="shared" si="15"/>
        <v>315768.07614309283</v>
      </c>
      <c r="H43" s="455">
        <f t="shared" si="16"/>
        <v>315768.07614309283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6"/>
        <v/>
      </c>
      <c r="C44" s="472">
        <f>IF(D11="","-",+C43+1)</f>
        <v>2036</v>
      </c>
      <c r="D44" s="485">
        <f>IF(F43+SUM(E$17:E43)=D$10,F43,D$10-SUM(E$17:E43))</f>
        <v>1917277.0912004742</v>
      </c>
      <c r="E44" s="484">
        <f>IF(+I14&lt;F43,I14,D44)</f>
        <v>109044.09302325582</v>
      </c>
      <c r="F44" s="485">
        <f t="shared" si="14"/>
        <v>1808232.9981772183</v>
      </c>
      <c r="G44" s="486">
        <f t="shared" si="15"/>
        <v>304010.76190358296</v>
      </c>
      <c r="H44" s="455">
        <f t="shared" si="16"/>
        <v>304010.76190358296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6"/>
        <v/>
      </c>
      <c r="C45" s="472">
        <f>IF(D11="","-",+C44+1)</f>
        <v>2037</v>
      </c>
      <c r="D45" s="485">
        <f>IF(F44+SUM(E$17:E44)=D$10,F44,D$10-SUM(E$17:E44))</f>
        <v>1808232.9981772183</v>
      </c>
      <c r="E45" s="484">
        <f>IF(+I14&lt;F44,I14,D45)</f>
        <v>109044.09302325582</v>
      </c>
      <c r="F45" s="485">
        <f t="shared" si="14"/>
        <v>1699188.9051539623</v>
      </c>
      <c r="G45" s="486">
        <f t="shared" si="15"/>
        <v>292253.44766407297</v>
      </c>
      <c r="H45" s="455">
        <f t="shared" si="16"/>
        <v>292253.44766407297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6"/>
        <v/>
      </c>
      <c r="C46" s="472">
        <f>IF(D11="","-",+C45+1)</f>
        <v>2038</v>
      </c>
      <c r="D46" s="485">
        <f>IF(F45+SUM(E$17:E45)=D$10,F45,D$10-SUM(E$17:E45))</f>
        <v>1699188.9051539623</v>
      </c>
      <c r="E46" s="484">
        <f>IF(+I14&lt;F45,I14,D46)</f>
        <v>109044.09302325582</v>
      </c>
      <c r="F46" s="485">
        <f t="shared" si="14"/>
        <v>1590144.8121307064</v>
      </c>
      <c r="G46" s="486">
        <f t="shared" si="15"/>
        <v>280496.1334245631</v>
      </c>
      <c r="H46" s="455">
        <f t="shared" si="16"/>
        <v>280496.1334245631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6"/>
        <v/>
      </c>
      <c r="C47" s="472">
        <f>IF(D11="","-",+C46+1)</f>
        <v>2039</v>
      </c>
      <c r="D47" s="485">
        <f>IF(F46+SUM(E$17:E46)=D$10,F46,D$10-SUM(E$17:E46))</f>
        <v>1590144.8121307064</v>
      </c>
      <c r="E47" s="484">
        <f>IF(+I14&lt;F46,I14,D47)</f>
        <v>109044.09302325582</v>
      </c>
      <c r="F47" s="485">
        <f t="shared" si="14"/>
        <v>1481100.7191074505</v>
      </c>
      <c r="G47" s="486">
        <f t="shared" si="15"/>
        <v>268738.81918505317</v>
      </c>
      <c r="H47" s="455">
        <f t="shared" si="16"/>
        <v>268738.81918505317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6"/>
        <v/>
      </c>
      <c r="C48" s="472">
        <f>IF(D11="","-",+C47+1)</f>
        <v>2040</v>
      </c>
      <c r="D48" s="485">
        <f>IF(F47+SUM(E$17:E47)=D$10,F47,D$10-SUM(E$17:E47))</f>
        <v>1481100.7191074505</v>
      </c>
      <c r="E48" s="484">
        <f>IF(+I14&lt;F47,I14,D48)</f>
        <v>109044.09302325582</v>
      </c>
      <c r="F48" s="485">
        <f t="shared" si="14"/>
        <v>1372056.6260841945</v>
      </c>
      <c r="G48" s="486">
        <f t="shared" si="15"/>
        <v>256981.50494554325</v>
      </c>
      <c r="H48" s="455">
        <f t="shared" si="16"/>
        <v>256981.50494554325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6"/>
        <v/>
      </c>
      <c r="C49" s="472">
        <f>IF(D11="","-",+C48+1)</f>
        <v>2041</v>
      </c>
      <c r="D49" s="485">
        <f>IF(F48+SUM(E$17:E48)=D$10,F48,D$10-SUM(E$17:E48))</f>
        <v>1372056.6260841945</v>
      </c>
      <c r="E49" s="484">
        <f>IF(+I14&lt;F48,I14,D49)</f>
        <v>109044.09302325582</v>
      </c>
      <c r="F49" s="485">
        <f t="shared" ref="F49:F72" si="17">+D49-E49</f>
        <v>1263012.5330609386</v>
      </c>
      <c r="G49" s="486">
        <f t="shared" si="15"/>
        <v>245224.19070603332</v>
      </c>
      <c r="H49" s="455">
        <f t="shared" si="16"/>
        <v>245224.19070603332</v>
      </c>
      <c r="I49" s="475">
        <f t="shared" ref="I49:I72" si="18">H49-G49</f>
        <v>0</v>
      </c>
      <c r="J49" s="475"/>
      <c r="K49" s="487"/>
      <c r="L49" s="478">
        <f t="shared" ref="L49:L72" si="19">IF(K49&lt;&gt;0,+G49-K49,0)</f>
        <v>0</v>
      </c>
      <c r="M49" s="487"/>
      <c r="N49" s="478">
        <f t="shared" ref="N49:N72" si="20">IF(M49&lt;&gt;0,+H49-M49,0)</f>
        <v>0</v>
      </c>
      <c r="O49" s="478">
        <f t="shared" ref="O49:O72" si="21">+N49-L49</f>
        <v>0</v>
      </c>
      <c r="P49" s="242"/>
    </row>
    <row r="50" spans="2:16" ht="12.5">
      <c r="B50" s="160" t="str">
        <f t="shared" si="6"/>
        <v/>
      </c>
      <c r="C50" s="472">
        <f>IF(D11="","-",+C49+1)</f>
        <v>2042</v>
      </c>
      <c r="D50" s="485">
        <f>IF(F49+SUM(E$17:E49)=D$10,F49,D$10-SUM(E$17:E49))</f>
        <v>1263012.5330609386</v>
      </c>
      <c r="E50" s="484">
        <f>IF(+I14&lt;F49,I14,D50)</f>
        <v>109044.09302325582</v>
      </c>
      <c r="F50" s="485">
        <f t="shared" si="17"/>
        <v>1153968.4400376827</v>
      </c>
      <c r="G50" s="486">
        <f t="shared" si="15"/>
        <v>233466.87646652339</v>
      </c>
      <c r="H50" s="455">
        <f t="shared" si="16"/>
        <v>233466.87646652339</v>
      </c>
      <c r="I50" s="475">
        <f t="shared" si="18"/>
        <v>0</v>
      </c>
      <c r="J50" s="475"/>
      <c r="K50" s="487"/>
      <c r="L50" s="478">
        <f t="shared" si="19"/>
        <v>0</v>
      </c>
      <c r="M50" s="487"/>
      <c r="N50" s="478">
        <f t="shared" si="20"/>
        <v>0</v>
      </c>
      <c r="O50" s="478">
        <f t="shared" si="21"/>
        <v>0</v>
      </c>
      <c r="P50" s="242"/>
    </row>
    <row r="51" spans="2:16" ht="12.5">
      <c r="B51" s="160" t="str">
        <f t="shared" si="6"/>
        <v/>
      </c>
      <c r="C51" s="472">
        <f>IF(D11="","-",+C50+1)</f>
        <v>2043</v>
      </c>
      <c r="D51" s="485">
        <f>IF(F50+SUM(E$17:E50)=D$10,F50,D$10-SUM(E$17:E50))</f>
        <v>1153968.4400376827</v>
      </c>
      <c r="E51" s="484">
        <f>IF(+I14&lt;F50,I14,D51)</f>
        <v>109044.09302325582</v>
      </c>
      <c r="F51" s="485">
        <f t="shared" si="17"/>
        <v>1044924.3470144268</v>
      </c>
      <c r="G51" s="486">
        <f t="shared" si="15"/>
        <v>221709.56222701349</v>
      </c>
      <c r="H51" s="455">
        <f t="shared" si="16"/>
        <v>221709.56222701349</v>
      </c>
      <c r="I51" s="475">
        <f t="shared" si="18"/>
        <v>0</v>
      </c>
      <c r="J51" s="475"/>
      <c r="K51" s="487"/>
      <c r="L51" s="478">
        <f t="shared" si="19"/>
        <v>0</v>
      </c>
      <c r="M51" s="487"/>
      <c r="N51" s="478">
        <f t="shared" si="20"/>
        <v>0</v>
      </c>
      <c r="O51" s="478">
        <f t="shared" si="21"/>
        <v>0</v>
      </c>
      <c r="P51" s="242"/>
    </row>
    <row r="52" spans="2:16" ht="12.5">
      <c r="B52" s="160" t="str">
        <f t="shared" si="6"/>
        <v/>
      </c>
      <c r="C52" s="472">
        <f>IF(D11="","-",+C51+1)</f>
        <v>2044</v>
      </c>
      <c r="D52" s="485">
        <f>IF(F51+SUM(E$17:E51)=D$10,F51,D$10-SUM(E$17:E51))</f>
        <v>1044924.3470144268</v>
      </c>
      <c r="E52" s="484">
        <f>IF(+I14&lt;F51,I14,D52)</f>
        <v>109044.09302325582</v>
      </c>
      <c r="F52" s="485">
        <f t="shared" si="17"/>
        <v>935880.25399117102</v>
      </c>
      <c r="G52" s="486">
        <f t="shared" si="15"/>
        <v>209952.24798750359</v>
      </c>
      <c r="H52" s="455">
        <f t="shared" si="16"/>
        <v>209952.24798750359</v>
      </c>
      <c r="I52" s="475">
        <f t="shared" si="18"/>
        <v>0</v>
      </c>
      <c r="J52" s="475"/>
      <c r="K52" s="487"/>
      <c r="L52" s="478">
        <f t="shared" si="19"/>
        <v>0</v>
      </c>
      <c r="M52" s="487"/>
      <c r="N52" s="478">
        <f t="shared" si="20"/>
        <v>0</v>
      </c>
      <c r="O52" s="478">
        <f t="shared" si="21"/>
        <v>0</v>
      </c>
      <c r="P52" s="242"/>
    </row>
    <row r="53" spans="2:16" ht="12.5">
      <c r="B53" s="160" t="str">
        <f t="shared" si="6"/>
        <v/>
      </c>
      <c r="C53" s="472">
        <f>IF(D11="","-",+C52+1)</f>
        <v>2045</v>
      </c>
      <c r="D53" s="485">
        <f>IF(F52+SUM(E$17:E52)=D$10,F52,D$10-SUM(E$17:E52))</f>
        <v>935880.25399117102</v>
      </c>
      <c r="E53" s="484">
        <f>IF(+I14&lt;F52,I14,D53)</f>
        <v>109044.09302325582</v>
      </c>
      <c r="F53" s="485">
        <f t="shared" si="17"/>
        <v>826836.1609679152</v>
      </c>
      <c r="G53" s="486">
        <f t="shared" si="15"/>
        <v>198194.93374799367</v>
      </c>
      <c r="H53" s="455">
        <f t="shared" si="16"/>
        <v>198194.93374799367</v>
      </c>
      <c r="I53" s="475">
        <f t="shared" si="18"/>
        <v>0</v>
      </c>
      <c r="J53" s="475"/>
      <c r="K53" s="487"/>
      <c r="L53" s="478">
        <f t="shared" si="19"/>
        <v>0</v>
      </c>
      <c r="M53" s="487"/>
      <c r="N53" s="478">
        <f t="shared" si="20"/>
        <v>0</v>
      </c>
      <c r="O53" s="478">
        <f t="shared" si="21"/>
        <v>0</v>
      </c>
      <c r="P53" s="242"/>
    </row>
    <row r="54" spans="2:16" ht="12.5">
      <c r="B54" s="160" t="str">
        <f t="shared" si="6"/>
        <v/>
      </c>
      <c r="C54" s="472">
        <f>IF(D11="","-",+C53+1)</f>
        <v>2046</v>
      </c>
      <c r="D54" s="485">
        <f>IF(F53+SUM(E$17:E53)=D$10,F53,D$10-SUM(E$17:E53))</f>
        <v>826836.1609679152</v>
      </c>
      <c r="E54" s="484">
        <f>IF(+I14&lt;F53,I14,D54)</f>
        <v>109044.09302325582</v>
      </c>
      <c r="F54" s="485">
        <f t="shared" si="17"/>
        <v>717792.06794465939</v>
      </c>
      <c r="G54" s="486">
        <f t="shared" si="15"/>
        <v>186437.61950848374</v>
      </c>
      <c r="H54" s="455">
        <f t="shared" si="16"/>
        <v>186437.61950848374</v>
      </c>
      <c r="I54" s="475">
        <f t="shared" si="18"/>
        <v>0</v>
      </c>
      <c r="J54" s="475"/>
      <c r="K54" s="487"/>
      <c r="L54" s="478">
        <f t="shared" si="19"/>
        <v>0</v>
      </c>
      <c r="M54" s="487"/>
      <c r="N54" s="478">
        <f t="shared" si="20"/>
        <v>0</v>
      </c>
      <c r="O54" s="478">
        <f t="shared" si="21"/>
        <v>0</v>
      </c>
      <c r="P54" s="242"/>
    </row>
    <row r="55" spans="2:16" ht="12.5">
      <c r="B55" s="160" t="str">
        <f t="shared" si="6"/>
        <v/>
      </c>
      <c r="C55" s="472">
        <f>IF(D11="","-",+C54+1)</f>
        <v>2047</v>
      </c>
      <c r="D55" s="485">
        <f>IF(F54+SUM(E$17:E54)=D$10,F54,D$10-SUM(E$17:E54))</f>
        <v>717792.06794465939</v>
      </c>
      <c r="E55" s="484">
        <f>IF(+I14&lt;F54,I14,D55)</f>
        <v>109044.09302325582</v>
      </c>
      <c r="F55" s="485">
        <f t="shared" si="17"/>
        <v>608747.97492140357</v>
      </c>
      <c r="G55" s="486">
        <f t="shared" si="15"/>
        <v>174680.30526897387</v>
      </c>
      <c r="H55" s="455">
        <f t="shared" si="16"/>
        <v>174680.30526897387</v>
      </c>
      <c r="I55" s="475">
        <f t="shared" si="18"/>
        <v>0</v>
      </c>
      <c r="J55" s="475"/>
      <c r="K55" s="487"/>
      <c r="L55" s="478">
        <f t="shared" si="19"/>
        <v>0</v>
      </c>
      <c r="M55" s="487"/>
      <c r="N55" s="478">
        <f t="shared" si="20"/>
        <v>0</v>
      </c>
      <c r="O55" s="478">
        <f t="shared" si="21"/>
        <v>0</v>
      </c>
      <c r="P55" s="242"/>
    </row>
    <row r="56" spans="2:16" ht="12.5">
      <c r="B56" s="160" t="str">
        <f t="shared" si="6"/>
        <v/>
      </c>
      <c r="C56" s="472">
        <f>IF(D11="","-",+C55+1)</f>
        <v>2048</v>
      </c>
      <c r="D56" s="485">
        <f>IF(F55+SUM(E$17:E55)=D$10,F55,D$10-SUM(E$17:E55))</f>
        <v>608747.97492140357</v>
      </c>
      <c r="E56" s="484">
        <f>IF(+I14&lt;F55,I14,D56)</f>
        <v>109044.09302325582</v>
      </c>
      <c r="F56" s="485">
        <f t="shared" si="17"/>
        <v>499703.88189814775</v>
      </c>
      <c r="G56" s="486">
        <f t="shared" si="15"/>
        <v>162922.99102946394</v>
      </c>
      <c r="H56" s="455">
        <f t="shared" si="16"/>
        <v>162922.99102946394</v>
      </c>
      <c r="I56" s="475">
        <f t="shared" si="18"/>
        <v>0</v>
      </c>
      <c r="J56" s="475"/>
      <c r="K56" s="487"/>
      <c r="L56" s="478">
        <f t="shared" si="19"/>
        <v>0</v>
      </c>
      <c r="M56" s="487"/>
      <c r="N56" s="478">
        <f t="shared" si="20"/>
        <v>0</v>
      </c>
      <c r="O56" s="478">
        <f t="shared" si="21"/>
        <v>0</v>
      </c>
      <c r="P56" s="242"/>
    </row>
    <row r="57" spans="2:16" ht="12.5">
      <c r="B57" s="160" t="str">
        <f t="shared" si="6"/>
        <v/>
      </c>
      <c r="C57" s="472">
        <f>IF(D11="","-",+C56+1)</f>
        <v>2049</v>
      </c>
      <c r="D57" s="485">
        <f>IF(F56+SUM(E$17:E56)=D$10,F56,D$10-SUM(E$17:E56))</f>
        <v>499703.88189814775</v>
      </c>
      <c r="E57" s="484">
        <f>IF(+I14&lt;F56,I14,D57)</f>
        <v>109044.09302325582</v>
      </c>
      <c r="F57" s="485">
        <f t="shared" si="17"/>
        <v>390659.78887489194</v>
      </c>
      <c r="G57" s="486">
        <f t="shared" si="15"/>
        <v>151165.67678995401</v>
      </c>
      <c r="H57" s="455">
        <f t="shared" si="16"/>
        <v>151165.67678995401</v>
      </c>
      <c r="I57" s="475">
        <f t="shared" si="18"/>
        <v>0</v>
      </c>
      <c r="J57" s="475"/>
      <c r="K57" s="487"/>
      <c r="L57" s="478">
        <f t="shared" si="19"/>
        <v>0</v>
      </c>
      <c r="M57" s="487"/>
      <c r="N57" s="478">
        <f t="shared" si="20"/>
        <v>0</v>
      </c>
      <c r="O57" s="478">
        <f t="shared" si="21"/>
        <v>0</v>
      </c>
      <c r="P57" s="242"/>
    </row>
    <row r="58" spans="2:16" ht="12.5">
      <c r="B58" s="160" t="str">
        <f t="shared" si="6"/>
        <v/>
      </c>
      <c r="C58" s="472">
        <f>IF(D11="","-",+C57+1)</f>
        <v>2050</v>
      </c>
      <c r="D58" s="485">
        <f>IF(F57+SUM(E$17:E57)=D$10,F57,D$10-SUM(E$17:E57))</f>
        <v>390659.78887489194</v>
      </c>
      <c r="E58" s="484">
        <f>IF(+I14&lt;F57,I14,D58)</f>
        <v>109044.09302325582</v>
      </c>
      <c r="F58" s="485">
        <f t="shared" si="17"/>
        <v>281615.69585163612</v>
      </c>
      <c r="G58" s="486">
        <f t="shared" si="15"/>
        <v>139408.36255044412</v>
      </c>
      <c r="H58" s="455">
        <f t="shared" si="16"/>
        <v>139408.36255044412</v>
      </c>
      <c r="I58" s="475">
        <f t="shared" si="18"/>
        <v>0</v>
      </c>
      <c r="J58" s="475"/>
      <c r="K58" s="487"/>
      <c r="L58" s="478">
        <f t="shared" si="19"/>
        <v>0</v>
      </c>
      <c r="M58" s="487"/>
      <c r="N58" s="478">
        <f t="shared" si="20"/>
        <v>0</v>
      </c>
      <c r="O58" s="478">
        <f t="shared" si="21"/>
        <v>0</v>
      </c>
      <c r="P58" s="242"/>
    </row>
    <row r="59" spans="2:16" ht="12.5">
      <c r="B59" s="160" t="str">
        <f t="shared" si="6"/>
        <v/>
      </c>
      <c r="C59" s="472">
        <f>IF(D11="","-",+C58+1)</f>
        <v>2051</v>
      </c>
      <c r="D59" s="485">
        <f>IF(F58+SUM(E$17:E58)=D$10,F58,D$10-SUM(E$17:E58))</f>
        <v>281615.69585163612</v>
      </c>
      <c r="E59" s="484">
        <f>IF(+I14&lt;F58,I14,D59)</f>
        <v>109044.09302325582</v>
      </c>
      <c r="F59" s="485">
        <f t="shared" si="17"/>
        <v>172571.6028283803</v>
      </c>
      <c r="G59" s="486">
        <f t="shared" si="15"/>
        <v>127651.04831093422</v>
      </c>
      <c r="H59" s="455">
        <f t="shared" si="16"/>
        <v>127651.04831093422</v>
      </c>
      <c r="I59" s="475">
        <f t="shared" si="18"/>
        <v>0</v>
      </c>
      <c r="J59" s="475"/>
      <c r="K59" s="487"/>
      <c r="L59" s="478">
        <f t="shared" si="19"/>
        <v>0</v>
      </c>
      <c r="M59" s="487"/>
      <c r="N59" s="478">
        <f t="shared" si="20"/>
        <v>0</v>
      </c>
      <c r="O59" s="478">
        <f t="shared" si="21"/>
        <v>0</v>
      </c>
      <c r="P59" s="242"/>
    </row>
    <row r="60" spans="2:16" ht="12.5">
      <c r="B60" s="160" t="str">
        <f t="shared" si="6"/>
        <v/>
      </c>
      <c r="C60" s="472">
        <f>IF(D11="","-",+C59+1)</f>
        <v>2052</v>
      </c>
      <c r="D60" s="485">
        <f>IF(F59+SUM(E$17:E59)=D$10,F59,D$10-SUM(E$17:E59))</f>
        <v>172571.6028283803</v>
      </c>
      <c r="E60" s="484">
        <f>IF(+I14&lt;F59,I14,D60)</f>
        <v>109044.09302325582</v>
      </c>
      <c r="F60" s="485">
        <f t="shared" si="17"/>
        <v>63527.509805124486</v>
      </c>
      <c r="G60" s="486">
        <f t="shared" si="15"/>
        <v>115893.7340714243</v>
      </c>
      <c r="H60" s="455">
        <f t="shared" si="16"/>
        <v>115893.7340714243</v>
      </c>
      <c r="I60" s="475">
        <f t="shared" si="18"/>
        <v>0</v>
      </c>
      <c r="J60" s="475"/>
      <c r="K60" s="487"/>
      <c r="L60" s="478">
        <f t="shared" si="19"/>
        <v>0</v>
      </c>
      <c r="M60" s="487"/>
      <c r="N60" s="478">
        <f t="shared" si="20"/>
        <v>0</v>
      </c>
      <c r="O60" s="478">
        <f t="shared" si="21"/>
        <v>0</v>
      </c>
      <c r="P60" s="242"/>
    </row>
    <row r="61" spans="2:16" ht="12.5">
      <c r="B61" s="160" t="str">
        <f t="shared" si="6"/>
        <v/>
      </c>
      <c r="C61" s="472">
        <f>IF(D11="","-",+C60+1)</f>
        <v>2053</v>
      </c>
      <c r="D61" s="485">
        <f>IF(F60+SUM(E$17:E60)=D$10,F60,D$10-SUM(E$17:E60))</f>
        <v>63527.509805124486</v>
      </c>
      <c r="E61" s="484">
        <f>IF(+I14&lt;F60,I14,D61)</f>
        <v>63527.509805124486</v>
      </c>
      <c r="F61" s="485">
        <f t="shared" si="17"/>
        <v>0</v>
      </c>
      <c r="G61" s="488">
        <f t="shared" si="15"/>
        <v>63527.509805124486</v>
      </c>
      <c r="H61" s="455">
        <f t="shared" si="16"/>
        <v>63527.509805124486</v>
      </c>
      <c r="I61" s="475">
        <f t="shared" si="18"/>
        <v>0</v>
      </c>
      <c r="J61" s="475"/>
      <c r="K61" s="487"/>
      <c r="L61" s="478">
        <f t="shared" si="19"/>
        <v>0</v>
      </c>
      <c r="M61" s="487"/>
      <c r="N61" s="478">
        <f t="shared" si="20"/>
        <v>0</v>
      </c>
      <c r="O61" s="478">
        <f t="shared" si="21"/>
        <v>0</v>
      </c>
      <c r="P61" s="242"/>
    </row>
    <row r="62" spans="2:16" ht="12.5">
      <c r="B62" s="160" t="str">
        <f t="shared" si="6"/>
        <v/>
      </c>
      <c r="C62" s="472">
        <f>IF(D11="","-",+C61+1)</f>
        <v>2054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17"/>
        <v>0</v>
      </c>
      <c r="G62" s="488">
        <f t="shared" si="15"/>
        <v>0</v>
      </c>
      <c r="H62" s="455">
        <f t="shared" si="16"/>
        <v>0</v>
      </c>
      <c r="I62" s="475">
        <f t="shared" si="18"/>
        <v>0</v>
      </c>
      <c r="J62" s="475"/>
      <c r="K62" s="487"/>
      <c r="L62" s="478">
        <f t="shared" si="19"/>
        <v>0</v>
      </c>
      <c r="M62" s="487"/>
      <c r="N62" s="478">
        <f t="shared" si="20"/>
        <v>0</v>
      </c>
      <c r="O62" s="478">
        <f t="shared" si="21"/>
        <v>0</v>
      </c>
      <c r="P62" s="242"/>
    </row>
    <row r="63" spans="2:16" ht="12.5">
      <c r="B63" s="160" t="str">
        <f t="shared" si="6"/>
        <v/>
      </c>
      <c r="C63" s="472">
        <f>IF(D11="","-",+C62+1)</f>
        <v>2055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7"/>
        <v>0</v>
      </c>
      <c r="G63" s="488">
        <f t="shared" si="15"/>
        <v>0</v>
      </c>
      <c r="H63" s="455">
        <f t="shared" si="16"/>
        <v>0</v>
      </c>
      <c r="I63" s="475">
        <f t="shared" si="18"/>
        <v>0</v>
      </c>
      <c r="J63" s="475"/>
      <c r="K63" s="487"/>
      <c r="L63" s="478">
        <f t="shared" si="19"/>
        <v>0</v>
      </c>
      <c r="M63" s="487"/>
      <c r="N63" s="478">
        <f t="shared" si="20"/>
        <v>0</v>
      </c>
      <c r="O63" s="478">
        <f t="shared" si="21"/>
        <v>0</v>
      </c>
      <c r="P63" s="242"/>
    </row>
    <row r="64" spans="2:16" ht="12.5">
      <c r="B64" s="160" t="str">
        <f t="shared" si="6"/>
        <v/>
      </c>
      <c r="C64" s="472">
        <f>IF(D11="","-",+C63+1)</f>
        <v>2056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7"/>
        <v>0</v>
      </c>
      <c r="G64" s="488">
        <f t="shared" si="15"/>
        <v>0</v>
      </c>
      <c r="H64" s="455">
        <f t="shared" si="16"/>
        <v>0</v>
      </c>
      <c r="I64" s="475">
        <f t="shared" si="18"/>
        <v>0</v>
      </c>
      <c r="J64" s="475"/>
      <c r="K64" s="487"/>
      <c r="L64" s="478">
        <f t="shared" si="19"/>
        <v>0</v>
      </c>
      <c r="M64" s="487"/>
      <c r="N64" s="478">
        <f t="shared" si="20"/>
        <v>0</v>
      </c>
      <c r="O64" s="478">
        <f t="shared" si="21"/>
        <v>0</v>
      </c>
      <c r="P64" s="242"/>
    </row>
    <row r="65" spans="2:16" ht="12.5">
      <c r="B65" s="160" t="str">
        <f t="shared" si="6"/>
        <v/>
      </c>
      <c r="C65" s="472">
        <f>IF(D11="","-",+C64+1)</f>
        <v>2057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7"/>
        <v>0</v>
      </c>
      <c r="G65" s="488">
        <f t="shared" si="15"/>
        <v>0</v>
      </c>
      <c r="H65" s="455">
        <f t="shared" si="16"/>
        <v>0</v>
      </c>
      <c r="I65" s="475">
        <f t="shared" si="18"/>
        <v>0</v>
      </c>
      <c r="J65" s="475"/>
      <c r="K65" s="487"/>
      <c r="L65" s="478">
        <f t="shared" si="19"/>
        <v>0</v>
      </c>
      <c r="M65" s="487"/>
      <c r="N65" s="478">
        <f t="shared" si="20"/>
        <v>0</v>
      </c>
      <c r="O65" s="478">
        <f t="shared" si="21"/>
        <v>0</v>
      </c>
      <c r="P65" s="242"/>
    </row>
    <row r="66" spans="2:16" ht="12.5">
      <c r="B66" s="160" t="str">
        <f t="shared" si="6"/>
        <v/>
      </c>
      <c r="C66" s="472">
        <f>IF(D11="","-",+C65+1)</f>
        <v>2058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7"/>
        <v>0</v>
      </c>
      <c r="G66" s="488">
        <f t="shared" si="15"/>
        <v>0</v>
      </c>
      <c r="H66" s="455">
        <f t="shared" si="16"/>
        <v>0</v>
      </c>
      <c r="I66" s="475">
        <f t="shared" si="18"/>
        <v>0</v>
      </c>
      <c r="J66" s="475"/>
      <c r="K66" s="487"/>
      <c r="L66" s="478">
        <f t="shared" si="19"/>
        <v>0</v>
      </c>
      <c r="M66" s="487"/>
      <c r="N66" s="478">
        <f t="shared" si="20"/>
        <v>0</v>
      </c>
      <c r="O66" s="478">
        <f t="shared" si="21"/>
        <v>0</v>
      </c>
      <c r="P66" s="242"/>
    </row>
    <row r="67" spans="2:16" ht="12.5">
      <c r="B67" s="160" t="str">
        <f t="shared" si="6"/>
        <v/>
      </c>
      <c r="C67" s="472">
        <f>IF(D11="","-",+C66+1)</f>
        <v>2059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7"/>
        <v>0</v>
      </c>
      <c r="G67" s="488">
        <f t="shared" si="15"/>
        <v>0</v>
      </c>
      <c r="H67" s="455">
        <f t="shared" si="16"/>
        <v>0</v>
      </c>
      <c r="I67" s="475">
        <f t="shared" si="18"/>
        <v>0</v>
      </c>
      <c r="J67" s="475"/>
      <c r="K67" s="487"/>
      <c r="L67" s="478">
        <f t="shared" si="19"/>
        <v>0</v>
      </c>
      <c r="M67" s="487"/>
      <c r="N67" s="478">
        <f t="shared" si="20"/>
        <v>0</v>
      </c>
      <c r="O67" s="478">
        <f t="shared" si="21"/>
        <v>0</v>
      </c>
      <c r="P67" s="242"/>
    </row>
    <row r="68" spans="2:16" ht="12.5">
      <c r="B68" s="160" t="str">
        <f t="shared" si="6"/>
        <v/>
      </c>
      <c r="C68" s="472">
        <f>IF(D11="","-",+C67+1)</f>
        <v>2060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7"/>
        <v>0</v>
      </c>
      <c r="G68" s="488">
        <f t="shared" si="15"/>
        <v>0</v>
      </c>
      <c r="H68" s="455">
        <f t="shared" si="16"/>
        <v>0</v>
      </c>
      <c r="I68" s="475">
        <f t="shared" si="18"/>
        <v>0</v>
      </c>
      <c r="J68" s="475"/>
      <c r="K68" s="487"/>
      <c r="L68" s="478">
        <f t="shared" si="19"/>
        <v>0</v>
      </c>
      <c r="M68" s="487"/>
      <c r="N68" s="478">
        <f t="shared" si="20"/>
        <v>0</v>
      </c>
      <c r="O68" s="478">
        <f t="shared" si="21"/>
        <v>0</v>
      </c>
      <c r="P68" s="242"/>
    </row>
    <row r="69" spans="2:16" ht="12.5">
      <c r="B69" s="160" t="str">
        <f t="shared" si="6"/>
        <v/>
      </c>
      <c r="C69" s="472">
        <f>IF(D11="","-",+C68+1)</f>
        <v>2061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7"/>
        <v>0</v>
      </c>
      <c r="G69" s="488">
        <f t="shared" si="15"/>
        <v>0</v>
      </c>
      <c r="H69" s="455">
        <f t="shared" si="16"/>
        <v>0</v>
      </c>
      <c r="I69" s="475">
        <f t="shared" si="18"/>
        <v>0</v>
      </c>
      <c r="J69" s="475"/>
      <c r="K69" s="487"/>
      <c r="L69" s="478">
        <f t="shared" si="19"/>
        <v>0</v>
      </c>
      <c r="M69" s="487"/>
      <c r="N69" s="478">
        <f t="shared" si="20"/>
        <v>0</v>
      </c>
      <c r="O69" s="478">
        <f t="shared" si="21"/>
        <v>0</v>
      </c>
      <c r="P69" s="242"/>
    </row>
    <row r="70" spans="2:16" ht="12.5">
      <c r="B70" s="160" t="str">
        <f t="shared" si="6"/>
        <v/>
      </c>
      <c r="C70" s="472">
        <f>IF(D11="","-",+C69+1)</f>
        <v>2062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7"/>
        <v>0</v>
      </c>
      <c r="G70" s="488">
        <f t="shared" si="15"/>
        <v>0</v>
      </c>
      <c r="H70" s="455">
        <f t="shared" si="16"/>
        <v>0</v>
      </c>
      <c r="I70" s="475">
        <f t="shared" si="18"/>
        <v>0</v>
      </c>
      <c r="J70" s="475"/>
      <c r="K70" s="487"/>
      <c r="L70" s="478">
        <f t="shared" si="19"/>
        <v>0</v>
      </c>
      <c r="M70" s="487"/>
      <c r="N70" s="478">
        <f t="shared" si="20"/>
        <v>0</v>
      </c>
      <c r="O70" s="478">
        <f t="shared" si="21"/>
        <v>0</v>
      </c>
      <c r="P70" s="242"/>
    </row>
    <row r="71" spans="2:16" ht="12.5">
      <c r="B71" s="160" t="str">
        <f t="shared" si="6"/>
        <v/>
      </c>
      <c r="C71" s="472">
        <f>IF(D11="","-",+C70+1)</f>
        <v>2063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7"/>
        <v>0</v>
      </c>
      <c r="G71" s="488">
        <f t="shared" si="15"/>
        <v>0</v>
      </c>
      <c r="H71" s="455">
        <f t="shared" si="16"/>
        <v>0</v>
      </c>
      <c r="I71" s="475">
        <f t="shared" si="18"/>
        <v>0</v>
      </c>
      <c r="J71" s="475"/>
      <c r="K71" s="487"/>
      <c r="L71" s="478">
        <f t="shared" si="19"/>
        <v>0</v>
      </c>
      <c r="M71" s="487"/>
      <c r="N71" s="478">
        <f t="shared" si="20"/>
        <v>0</v>
      </c>
      <c r="O71" s="478">
        <f t="shared" si="21"/>
        <v>0</v>
      </c>
      <c r="P71" s="242"/>
    </row>
    <row r="72" spans="2:16" ht="13" thickBot="1">
      <c r="B72" s="160" t="str">
        <f t="shared" si="6"/>
        <v/>
      </c>
      <c r="C72" s="489">
        <f>IF(D11="","-",+C71+1)</f>
        <v>2064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7"/>
        <v>0</v>
      </c>
      <c r="G72" s="492">
        <f t="shared" si="15"/>
        <v>0</v>
      </c>
      <c r="H72" s="435">
        <f t="shared" si="16"/>
        <v>0</v>
      </c>
      <c r="I72" s="493">
        <f t="shared" si="18"/>
        <v>0</v>
      </c>
      <c r="J72" s="475"/>
      <c r="K72" s="494"/>
      <c r="L72" s="495">
        <f t="shared" si="19"/>
        <v>0</v>
      </c>
      <c r="M72" s="494"/>
      <c r="N72" s="495">
        <f t="shared" si="20"/>
        <v>0</v>
      </c>
      <c r="O72" s="495">
        <f t="shared" si="21"/>
        <v>0</v>
      </c>
      <c r="P72" s="242"/>
    </row>
    <row r="73" spans="2:16" ht="12.5">
      <c r="C73" s="346" t="s">
        <v>77</v>
      </c>
      <c r="D73" s="347"/>
      <c r="E73" s="347">
        <f>SUM(E17:E72)</f>
        <v>4688895.9999999991</v>
      </c>
      <c r="F73" s="347"/>
      <c r="G73" s="347">
        <f>SUM(G17:G72)</f>
        <v>17403988.355297159</v>
      </c>
      <c r="H73" s="347">
        <f>SUM(H17:H72)</f>
        <v>17403988.355297159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2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532941.26061774243</v>
      </c>
      <c r="N87" s="508">
        <f>IF(J92&lt;D11,0,VLOOKUP(J92,C17:O72,11))</f>
        <v>532941.26061774243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498647.07790793071</v>
      </c>
      <c r="N88" s="512">
        <f>IF(J92&lt;D11,0,VLOOKUP(J92,C99:P154,7))</f>
        <v>498647.07790793071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Craig Jct. to Broken Bow Dam 138 Rebuild (7.7mi)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-34294.182709811721</v>
      </c>
      <c r="N89" s="517">
        <f>+N88-N87</f>
        <v>-34294.182709811721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TP2007059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4688896.139999995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2009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5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114363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2009</v>
      </c>
      <c r="D99" s="473">
        <v>0</v>
      </c>
      <c r="E99" s="480">
        <v>49223</v>
      </c>
      <c r="F99" s="479">
        <v>4676168</v>
      </c>
      <c r="G99" s="537">
        <v>2338084</v>
      </c>
      <c r="H99" s="538">
        <v>391070</v>
      </c>
      <c r="I99" s="539">
        <v>391070</v>
      </c>
      <c r="J99" s="478">
        <f t="shared" ref="J99:J130" si="22">+I99-H99</f>
        <v>0</v>
      </c>
      <c r="K99" s="478"/>
      <c r="L99" s="476">
        <f t="shared" ref="L99:L104" si="23">H99</f>
        <v>391070</v>
      </c>
      <c r="M99" s="477">
        <f t="shared" ref="M99:M130" si="24">IF(L99&lt;&gt;0,+H99-L99,0)</f>
        <v>0</v>
      </c>
      <c r="N99" s="476">
        <f t="shared" ref="N99:N104" si="25">I99</f>
        <v>391070</v>
      </c>
      <c r="O99" s="477">
        <f t="shared" ref="O99:O130" si="26">IF(N99&lt;&gt;0,+I99-N99,0)</f>
        <v>0</v>
      </c>
      <c r="P99" s="477">
        <f t="shared" ref="P99:P130" si="27">+O99-M99</f>
        <v>0</v>
      </c>
    </row>
    <row r="100" spans="1:16" ht="12.5">
      <c r="B100" s="160" t="str">
        <f>IF(D100=F99,"","IU")</f>
        <v>IU</v>
      </c>
      <c r="C100" s="472">
        <f>IF(D93="","-",+C99+1)</f>
        <v>2010</v>
      </c>
      <c r="D100" s="473">
        <v>4639673.1399999997</v>
      </c>
      <c r="E100" s="480">
        <v>91939</v>
      </c>
      <c r="F100" s="479">
        <v>4547734.1399999997</v>
      </c>
      <c r="G100" s="479">
        <v>4593703.6399999997</v>
      </c>
      <c r="H100" s="480">
        <v>830676.46951907186</v>
      </c>
      <c r="I100" s="481">
        <v>830676.46951907186</v>
      </c>
      <c r="J100" s="478">
        <f t="shared" si="22"/>
        <v>0</v>
      </c>
      <c r="K100" s="478"/>
      <c r="L100" s="540">
        <f t="shared" si="23"/>
        <v>830676.46951907186</v>
      </c>
      <c r="M100" s="541">
        <f t="shared" si="24"/>
        <v>0</v>
      </c>
      <c r="N100" s="540">
        <f t="shared" si="25"/>
        <v>830676.46951907186</v>
      </c>
      <c r="O100" s="478">
        <f t="shared" si="26"/>
        <v>0</v>
      </c>
      <c r="P100" s="478">
        <f t="shared" si="27"/>
        <v>0</v>
      </c>
    </row>
    <row r="101" spans="1:16" ht="12.5">
      <c r="B101" s="160" t="str">
        <f t="shared" ref="B101:B154" si="28">IF(D101=F100,"","IU")</f>
        <v/>
      </c>
      <c r="C101" s="482">
        <f>IF(D93="","-",+C100+1)</f>
        <v>2011</v>
      </c>
      <c r="D101" s="473">
        <v>4547734.1399999997</v>
      </c>
      <c r="E101" s="480">
        <v>90171</v>
      </c>
      <c r="F101" s="479">
        <v>4457563.1399999997</v>
      </c>
      <c r="G101" s="479">
        <v>4502648.6399999997</v>
      </c>
      <c r="H101" s="480">
        <v>719701.78616364778</v>
      </c>
      <c r="I101" s="481">
        <v>719701.78616364778</v>
      </c>
      <c r="J101" s="478">
        <f t="shared" si="22"/>
        <v>0</v>
      </c>
      <c r="K101" s="478"/>
      <c r="L101" s="540">
        <f t="shared" si="23"/>
        <v>719701.78616364778</v>
      </c>
      <c r="M101" s="541">
        <f t="shared" si="24"/>
        <v>0</v>
      </c>
      <c r="N101" s="540">
        <f t="shared" si="25"/>
        <v>719701.78616364778</v>
      </c>
      <c r="O101" s="478">
        <f t="shared" si="26"/>
        <v>0</v>
      </c>
      <c r="P101" s="478">
        <f t="shared" si="27"/>
        <v>0</v>
      </c>
    </row>
    <row r="102" spans="1:16" ht="12.5">
      <c r="B102" s="160" t="str">
        <f t="shared" si="28"/>
        <v/>
      </c>
      <c r="C102" s="472">
        <f>IF(D93="","-",+C101+1)</f>
        <v>2012</v>
      </c>
      <c r="D102" s="473">
        <v>4457563.1399999997</v>
      </c>
      <c r="E102" s="480">
        <v>90171</v>
      </c>
      <c r="F102" s="479">
        <v>4367392.1399999997</v>
      </c>
      <c r="G102" s="479">
        <v>4412477.6399999997</v>
      </c>
      <c r="H102" s="480">
        <v>724930.09682284109</v>
      </c>
      <c r="I102" s="481">
        <v>724930.09682284109</v>
      </c>
      <c r="J102" s="478">
        <v>0</v>
      </c>
      <c r="K102" s="478"/>
      <c r="L102" s="540">
        <f t="shared" si="23"/>
        <v>724930.09682284109</v>
      </c>
      <c r="M102" s="541">
        <f t="shared" ref="M102:M107" si="29">IF(L102&lt;&gt;0,+H102-L102,0)</f>
        <v>0</v>
      </c>
      <c r="N102" s="540">
        <f t="shared" si="25"/>
        <v>724930.09682284109</v>
      </c>
      <c r="O102" s="478">
        <f>IF(N102&lt;&gt;0,+I102-N102,0)</f>
        <v>0</v>
      </c>
      <c r="P102" s="478">
        <f>+O102-M102</f>
        <v>0</v>
      </c>
    </row>
    <row r="103" spans="1:16" ht="12.5">
      <c r="B103" s="160" t="str">
        <f t="shared" si="28"/>
        <v/>
      </c>
      <c r="C103" s="472">
        <f>IF(D93="","-",+C102+1)</f>
        <v>2013</v>
      </c>
      <c r="D103" s="473">
        <v>4367392.1399999997</v>
      </c>
      <c r="E103" s="480">
        <v>90171</v>
      </c>
      <c r="F103" s="479">
        <v>4277221.1399999997</v>
      </c>
      <c r="G103" s="479">
        <v>4322306.6399999997</v>
      </c>
      <c r="H103" s="480">
        <v>712322.06264393788</v>
      </c>
      <c r="I103" s="481">
        <v>712322.06264393788</v>
      </c>
      <c r="J103" s="478">
        <v>0</v>
      </c>
      <c r="K103" s="478"/>
      <c r="L103" s="540">
        <f t="shared" si="23"/>
        <v>712322.06264393788</v>
      </c>
      <c r="M103" s="541">
        <f t="shared" si="29"/>
        <v>0</v>
      </c>
      <c r="N103" s="540">
        <f t="shared" si="25"/>
        <v>712322.06264393788</v>
      </c>
      <c r="O103" s="478">
        <f>IF(N103&lt;&gt;0,+I103-N103,0)</f>
        <v>0</v>
      </c>
      <c r="P103" s="478">
        <f>+O103-M103</f>
        <v>0</v>
      </c>
    </row>
    <row r="104" spans="1:16" ht="12.5">
      <c r="B104" s="160" t="str">
        <f t="shared" si="28"/>
        <v/>
      </c>
      <c r="C104" s="472">
        <f>IF(D93="","-",+C103+1)</f>
        <v>2014</v>
      </c>
      <c r="D104" s="473">
        <v>4277221.1399999997</v>
      </c>
      <c r="E104" s="480">
        <v>90171</v>
      </c>
      <c r="F104" s="479">
        <v>4187050.1399999997</v>
      </c>
      <c r="G104" s="479">
        <v>4232135.6399999997</v>
      </c>
      <c r="H104" s="480">
        <v>685191.9710405051</v>
      </c>
      <c r="I104" s="481">
        <v>685191.9710405051</v>
      </c>
      <c r="J104" s="478">
        <v>0</v>
      </c>
      <c r="K104" s="478"/>
      <c r="L104" s="540">
        <f t="shared" si="23"/>
        <v>685191.9710405051</v>
      </c>
      <c r="M104" s="541">
        <f t="shared" si="29"/>
        <v>0</v>
      </c>
      <c r="N104" s="540">
        <f t="shared" si="25"/>
        <v>685191.9710405051</v>
      </c>
      <c r="O104" s="478">
        <f>IF(N104&lt;&gt;0,+I104-N104,0)</f>
        <v>0</v>
      </c>
      <c r="P104" s="478">
        <f>+O104-M104</f>
        <v>0</v>
      </c>
    </row>
    <row r="105" spans="1:16" ht="12.5">
      <c r="B105" s="160" t="str">
        <f t="shared" si="28"/>
        <v/>
      </c>
      <c r="C105" s="472">
        <f>IF(D93="","-",+C104+1)</f>
        <v>2015</v>
      </c>
      <c r="D105" s="473">
        <v>4187050.1399999997</v>
      </c>
      <c r="E105" s="480">
        <v>90171</v>
      </c>
      <c r="F105" s="479">
        <v>4096879.1399999997</v>
      </c>
      <c r="G105" s="479">
        <v>4141964.6399999997</v>
      </c>
      <c r="H105" s="480">
        <v>655308.7720911433</v>
      </c>
      <c r="I105" s="481">
        <v>655308.7720911433</v>
      </c>
      <c r="J105" s="478">
        <f t="shared" si="22"/>
        <v>0</v>
      </c>
      <c r="K105" s="478"/>
      <c r="L105" s="540">
        <f>H105</f>
        <v>655308.7720911433</v>
      </c>
      <c r="M105" s="541">
        <f t="shared" si="29"/>
        <v>0</v>
      </c>
      <c r="N105" s="540">
        <f>I105</f>
        <v>655308.7720911433</v>
      </c>
      <c r="O105" s="478">
        <f t="shared" si="26"/>
        <v>0</v>
      </c>
      <c r="P105" s="478">
        <f t="shared" si="27"/>
        <v>0</v>
      </c>
    </row>
    <row r="106" spans="1:16" ht="12.5">
      <c r="B106" s="160" t="str">
        <f t="shared" si="28"/>
        <v/>
      </c>
      <c r="C106" s="472">
        <f>IF(D93="","-",+C105+1)</f>
        <v>2016</v>
      </c>
      <c r="D106" s="473">
        <v>4096879.1399999997</v>
      </c>
      <c r="E106" s="480">
        <v>101933</v>
      </c>
      <c r="F106" s="479">
        <v>3994946.1399999997</v>
      </c>
      <c r="G106" s="479">
        <v>4045912.6399999997</v>
      </c>
      <c r="H106" s="480">
        <v>623514.8578657991</v>
      </c>
      <c r="I106" s="481">
        <v>623514.8578657991</v>
      </c>
      <c r="J106" s="478">
        <f t="shared" si="22"/>
        <v>0</v>
      </c>
      <c r="K106" s="478"/>
      <c r="L106" s="540">
        <f>H106</f>
        <v>623514.8578657991</v>
      </c>
      <c r="M106" s="541">
        <f t="shared" si="29"/>
        <v>0</v>
      </c>
      <c r="N106" s="540">
        <f>I106</f>
        <v>623514.8578657991</v>
      </c>
      <c r="O106" s="478">
        <f>IF(N106&lt;&gt;0,+I106-N106,0)</f>
        <v>0</v>
      </c>
      <c r="P106" s="478">
        <f>+O106-M106</f>
        <v>0</v>
      </c>
    </row>
    <row r="107" spans="1:16" ht="12.5">
      <c r="B107" s="160" t="str">
        <f t="shared" si="28"/>
        <v/>
      </c>
      <c r="C107" s="472">
        <f>IF(D93="","-",+C106+1)</f>
        <v>2017</v>
      </c>
      <c r="D107" s="473">
        <v>3994946.1399999997</v>
      </c>
      <c r="E107" s="480">
        <v>101933</v>
      </c>
      <c r="F107" s="479">
        <v>3893013.1399999997</v>
      </c>
      <c r="G107" s="479">
        <v>3943979.6399999997</v>
      </c>
      <c r="H107" s="480">
        <v>602236.76208219538</v>
      </c>
      <c r="I107" s="481">
        <v>602236.76208219538</v>
      </c>
      <c r="J107" s="478">
        <f t="shared" si="22"/>
        <v>0</v>
      </c>
      <c r="K107" s="478"/>
      <c r="L107" s="540">
        <f>H107</f>
        <v>602236.76208219538</v>
      </c>
      <c r="M107" s="541">
        <f t="shared" si="29"/>
        <v>0</v>
      </c>
      <c r="N107" s="540">
        <f>I107</f>
        <v>602236.76208219538</v>
      </c>
      <c r="O107" s="478">
        <f>IF(N107&lt;&gt;0,+I107-N107,0)</f>
        <v>0</v>
      </c>
      <c r="P107" s="478">
        <f>+O107-M107</f>
        <v>0</v>
      </c>
    </row>
    <row r="108" spans="1:16" ht="12.5">
      <c r="B108" s="160" t="str">
        <f t="shared" si="28"/>
        <v/>
      </c>
      <c r="C108" s="472">
        <f>IF(D93="","-",+C107+1)</f>
        <v>2018</v>
      </c>
      <c r="D108" s="473">
        <v>3893013.1399999997</v>
      </c>
      <c r="E108" s="480">
        <v>109044</v>
      </c>
      <c r="F108" s="479">
        <v>3783969.1399999997</v>
      </c>
      <c r="G108" s="479">
        <v>3838491.1399999997</v>
      </c>
      <c r="H108" s="480">
        <v>503393.56302800257</v>
      </c>
      <c r="I108" s="481">
        <v>503393.56302800257</v>
      </c>
      <c r="J108" s="478">
        <f t="shared" si="22"/>
        <v>0</v>
      </c>
      <c r="K108" s="478"/>
      <c r="L108" s="540">
        <f>H108</f>
        <v>503393.56302800257</v>
      </c>
      <c r="M108" s="541">
        <f t="shared" ref="M108" si="30">IF(L108&lt;&gt;0,+H108-L108,0)</f>
        <v>0</v>
      </c>
      <c r="N108" s="540">
        <f>I108</f>
        <v>503393.56302800257</v>
      </c>
      <c r="O108" s="478">
        <f>IF(N108&lt;&gt;0,+I108-N108,0)</f>
        <v>0</v>
      </c>
      <c r="P108" s="478">
        <f>+O108-M108</f>
        <v>0</v>
      </c>
    </row>
    <row r="109" spans="1:16" ht="12.5">
      <c r="B109" s="160" t="str">
        <f t="shared" si="28"/>
        <v/>
      </c>
      <c r="C109" s="472">
        <f>IF(D93="","-",+C108+1)</f>
        <v>2019</v>
      </c>
      <c r="D109" s="346">
        <f>IF(F108+SUM(E$99:E108)=D$92,F108,D$92-SUM(E$99:E108))</f>
        <v>3783969.1399999997</v>
      </c>
      <c r="E109" s="486">
        <f>IF(+J96&lt;F108,J96,D109)</f>
        <v>114363</v>
      </c>
      <c r="F109" s="485">
        <f t="shared" ref="F109:F130" si="31">+D109-E109</f>
        <v>3669606.1399999997</v>
      </c>
      <c r="G109" s="485">
        <f t="shared" ref="G109:G130" si="32">+(F109+D109)/2</f>
        <v>3726787.6399999997</v>
      </c>
      <c r="H109" s="488">
        <f t="shared" ref="H109:H154" si="33">+J$94*G109+E109</f>
        <v>498647.07790793071</v>
      </c>
      <c r="I109" s="542">
        <f t="shared" ref="I109:I154" si="34">+J$95*G109+E109</f>
        <v>498647.07790793071</v>
      </c>
      <c r="J109" s="478">
        <f t="shared" si="22"/>
        <v>0</v>
      </c>
      <c r="K109" s="478"/>
      <c r="L109" s="487"/>
      <c r="M109" s="478">
        <f t="shared" si="24"/>
        <v>0</v>
      </c>
      <c r="N109" s="487"/>
      <c r="O109" s="478">
        <f t="shared" si="26"/>
        <v>0</v>
      </c>
      <c r="P109" s="478">
        <f t="shared" si="27"/>
        <v>0</v>
      </c>
    </row>
    <row r="110" spans="1:16" ht="12.5">
      <c r="B110" s="160" t="str">
        <f t="shared" si="28"/>
        <v/>
      </c>
      <c r="C110" s="472">
        <f>IF(D93="","-",+C109+1)</f>
        <v>2020</v>
      </c>
      <c r="D110" s="346">
        <f>IF(F109+SUM(E$99:E109)=D$92,F109,D$92-SUM(E$99:E109))</f>
        <v>3669606.1399999997</v>
      </c>
      <c r="E110" s="486">
        <f>IF(+J96&lt;F109,J96,D110)</f>
        <v>114363</v>
      </c>
      <c r="F110" s="485">
        <f t="shared" si="31"/>
        <v>3555243.1399999997</v>
      </c>
      <c r="G110" s="485">
        <f t="shared" si="32"/>
        <v>3612424.6399999997</v>
      </c>
      <c r="H110" s="488">
        <f t="shared" si="33"/>
        <v>486854.64854327159</v>
      </c>
      <c r="I110" s="542">
        <f t="shared" si="34"/>
        <v>486854.64854327159</v>
      </c>
      <c r="J110" s="478">
        <f t="shared" si="22"/>
        <v>0</v>
      </c>
      <c r="K110" s="478"/>
      <c r="L110" s="487"/>
      <c r="M110" s="478">
        <f t="shared" si="24"/>
        <v>0</v>
      </c>
      <c r="N110" s="487"/>
      <c r="O110" s="478">
        <f t="shared" si="26"/>
        <v>0</v>
      </c>
      <c r="P110" s="478">
        <f t="shared" si="27"/>
        <v>0</v>
      </c>
    </row>
    <row r="111" spans="1:16" ht="12.5">
      <c r="B111" s="160" t="str">
        <f t="shared" si="28"/>
        <v/>
      </c>
      <c r="C111" s="472">
        <f>IF(D93="","-",+C110+1)</f>
        <v>2021</v>
      </c>
      <c r="D111" s="346">
        <f>IF(F110+SUM(E$99:E110)=D$92,F110,D$92-SUM(E$99:E110))</f>
        <v>3555243.1399999997</v>
      </c>
      <c r="E111" s="486">
        <f>IF(+J96&lt;F110,J96,D111)</f>
        <v>114363</v>
      </c>
      <c r="F111" s="485">
        <f t="shared" si="31"/>
        <v>3440880.1399999997</v>
      </c>
      <c r="G111" s="485">
        <f t="shared" si="32"/>
        <v>3498061.6399999997</v>
      </c>
      <c r="H111" s="488">
        <f t="shared" si="33"/>
        <v>475062.21917861246</v>
      </c>
      <c r="I111" s="542">
        <f t="shared" si="34"/>
        <v>475062.21917861246</v>
      </c>
      <c r="J111" s="478">
        <f t="shared" si="22"/>
        <v>0</v>
      </c>
      <c r="K111" s="478"/>
      <c r="L111" s="487"/>
      <c r="M111" s="478">
        <f t="shared" si="24"/>
        <v>0</v>
      </c>
      <c r="N111" s="487"/>
      <c r="O111" s="478">
        <f t="shared" si="26"/>
        <v>0</v>
      </c>
      <c r="P111" s="478">
        <f t="shared" si="27"/>
        <v>0</v>
      </c>
    </row>
    <row r="112" spans="1:16" ht="12.5">
      <c r="B112" s="160" t="str">
        <f t="shared" si="28"/>
        <v/>
      </c>
      <c r="C112" s="472">
        <f>IF(D93="","-",+C111+1)</f>
        <v>2022</v>
      </c>
      <c r="D112" s="346">
        <f>IF(F111+SUM(E$99:E111)=D$92,F111,D$92-SUM(E$99:E111))</f>
        <v>3440880.1399999997</v>
      </c>
      <c r="E112" s="486">
        <f>IF(+J96&lt;F111,J96,D112)</f>
        <v>114363</v>
      </c>
      <c r="F112" s="485">
        <f t="shared" si="31"/>
        <v>3326517.1399999997</v>
      </c>
      <c r="G112" s="485">
        <f t="shared" si="32"/>
        <v>3383698.6399999997</v>
      </c>
      <c r="H112" s="488">
        <f t="shared" si="33"/>
        <v>463269.78981395334</v>
      </c>
      <c r="I112" s="542">
        <f t="shared" si="34"/>
        <v>463269.78981395334</v>
      </c>
      <c r="J112" s="478">
        <f t="shared" si="22"/>
        <v>0</v>
      </c>
      <c r="K112" s="478"/>
      <c r="L112" s="487"/>
      <c r="M112" s="478">
        <f t="shared" si="24"/>
        <v>0</v>
      </c>
      <c r="N112" s="487"/>
      <c r="O112" s="478">
        <f t="shared" si="26"/>
        <v>0</v>
      </c>
      <c r="P112" s="478">
        <f t="shared" si="27"/>
        <v>0</v>
      </c>
    </row>
    <row r="113" spans="2:16" ht="12.5">
      <c r="B113" s="160" t="str">
        <f t="shared" si="28"/>
        <v/>
      </c>
      <c r="C113" s="472">
        <f>IF(D93="","-",+C112+1)</f>
        <v>2023</v>
      </c>
      <c r="D113" s="346">
        <f>IF(F112+SUM(E$99:E112)=D$92,F112,D$92-SUM(E$99:E112))</f>
        <v>3326517.1399999997</v>
      </c>
      <c r="E113" s="486">
        <f>IF(+J96&lt;F112,J96,D113)</f>
        <v>114363</v>
      </c>
      <c r="F113" s="485">
        <f t="shared" si="31"/>
        <v>3212154.1399999997</v>
      </c>
      <c r="G113" s="485">
        <f t="shared" si="32"/>
        <v>3269335.6399999997</v>
      </c>
      <c r="H113" s="488">
        <f t="shared" si="33"/>
        <v>451477.36044929421</v>
      </c>
      <c r="I113" s="542">
        <f t="shared" si="34"/>
        <v>451477.36044929421</v>
      </c>
      <c r="J113" s="478">
        <f t="shared" si="22"/>
        <v>0</v>
      </c>
      <c r="K113" s="478"/>
      <c r="L113" s="487"/>
      <c r="M113" s="478">
        <f t="shared" si="24"/>
        <v>0</v>
      </c>
      <c r="N113" s="487"/>
      <c r="O113" s="478">
        <f t="shared" si="26"/>
        <v>0</v>
      </c>
      <c r="P113" s="478">
        <f t="shared" si="27"/>
        <v>0</v>
      </c>
    </row>
    <row r="114" spans="2:16" ht="12.5">
      <c r="B114" s="160" t="str">
        <f t="shared" si="28"/>
        <v/>
      </c>
      <c r="C114" s="472">
        <f>IF(D93="","-",+C113+1)</f>
        <v>2024</v>
      </c>
      <c r="D114" s="346">
        <f>IF(F113+SUM(E$99:E113)=D$92,F113,D$92-SUM(E$99:E113))</f>
        <v>3212154.1399999997</v>
      </c>
      <c r="E114" s="486">
        <f>IF(+J96&lt;F113,J96,D114)</f>
        <v>114363</v>
      </c>
      <c r="F114" s="485">
        <f t="shared" si="31"/>
        <v>3097791.1399999997</v>
      </c>
      <c r="G114" s="485">
        <f t="shared" si="32"/>
        <v>3154972.6399999997</v>
      </c>
      <c r="H114" s="488">
        <f t="shared" si="33"/>
        <v>439684.93108463509</v>
      </c>
      <c r="I114" s="542">
        <f t="shared" si="34"/>
        <v>439684.93108463509</v>
      </c>
      <c r="J114" s="478">
        <f t="shared" si="22"/>
        <v>0</v>
      </c>
      <c r="K114" s="478"/>
      <c r="L114" s="487"/>
      <c r="M114" s="478">
        <f t="shared" si="24"/>
        <v>0</v>
      </c>
      <c r="N114" s="487"/>
      <c r="O114" s="478">
        <f t="shared" si="26"/>
        <v>0</v>
      </c>
      <c r="P114" s="478">
        <f t="shared" si="27"/>
        <v>0</v>
      </c>
    </row>
    <row r="115" spans="2:16" ht="12.5">
      <c r="B115" s="160" t="str">
        <f t="shared" si="28"/>
        <v/>
      </c>
      <c r="C115" s="472">
        <f>IF(D93="","-",+C114+1)</f>
        <v>2025</v>
      </c>
      <c r="D115" s="346">
        <f>IF(F114+SUM(E$99:E114)=D$92,F114,D$92-SUM(E$99:E114))</f>
        <v>3097791.1399999997</v>
      </c>
      <c r="E115" s="486">
        <f>IF(+J96&lt;F114,J96,D115)</f>
        <v>114363</v>
      </c>
      <c r="F115" s="485">
        <f t="shared" si="31"/>
        <v>2983428.1399999997</v>
      </c>
      <c r="G115" s="485">
        <f t="shared" si="32"/>
        <v>3040609.6399999997</v>
      </c>
      <c r="H115" s="488">
        <f t="shared" si="33"/>
        <v>427892.50171997596</v>
      </c>
      <c r="I115" s="542">
        <f t="shared" si="34"/>
        <v>427892.50171997596</v>
      </c>
      <c r="J115" s="478">
        <f t="shared" si="22"/>
        <v>0</v>
      </c>
      <c r="K115" s="478"/>
      <c r="L115" s="487"/>
      <c r="M115" s="478">
        <f t="shared" si="24"/>
        <v>0</v>
      </c>
      <c r="N115" s="487"/>
      <c r="O115" s="478">
        <f t="shared" si="26"/>
        <v>0</v>
      </c>
      <c r="P115" s="478">
        <f t="shared" si="27"/>
        <v>0</v>
      </c>
    </row>
    <row r="116" spans="2:16" ht="12.5">
      <c r="B116" s="160" t="str">
        <f t="shared" si="28"/>
        <v/>
      </c>
      <c r="C116" s="472">
        <f>IF(D93="","-",+C115+1)</f>
        <v>2026</v>
      </c>
      <c r="D116" s="346">
        <f>IF(F115+SUM(E$99:E115)=D$92,F115,D$92-SUM(E$99:E115))</f>
        <v>2983428.1399999997</v>
      </c>
      <c r="E116" s="486">
        <f>IF(+J96&lt;F115,J96,D116)</f>
        <v>114363</v>
      </c>
      <c r="F116" s="485">
        <f t="shared" si="31"/>
        <v>2869065.1399999997</v>
      </c>
      <c r="G116" s="485">
        <f t="shared" si="32"/>
        <v>2926246.6399999997</v>
      </c>
      <c r="H116" s="488">
        <f t="shared" si="33"/>
        <v>416100.07235531684</v>
      </c>
      <c r="I116" s="542">
        <f t="shared" si="34"/>
        <v>416100.07235531684</v>
      </c>
      <c r="J116" s="478">
        <f t="shared" si="22"/>
        <v>0</v>
      </c>
      <c r="K116" s="478"/>
      <c r="L116" s="487"/>
      <c r="M116" s="478">
        <f t="shared" si="24"/>
        <v>0</v>
      </c>
      <c r="N116" s="487"/>
      <c r="O116" s="478">
        <f t="shared" si="26"/>
        <v>0</v>
      </c>
      <c r="P116" s="478">
        <f t="shared" si="27"/>
        <v>0</v>
      </c>
    </row>
    <row r="117" spans="2:16" ht="12.5">
      <c r="B117" s="160" t="str">
        <f t="shared" si="28"/>
        <v/>
      </c>
      <c r="C117" s="472">
        <f>IF(D93="","-",+C116+1)</f>
        <v>2027</v>
      </c>
      <c r="D117" s="346">
        <f>IF(F116+SUM(E$99:E116)=D$92,F116,D$92-SUM(E$99:E116))</f>
        <v>2869065.1399999997</v>
      </c>
      <c r="E117" s="486">
        <f>IF(+J96&lt;F116,J96,D117)</f>
        <v>114363</v>
      </c>
      <c r="F117" s="485">
        <f t="shared" si="31"/>
        <v>2754702.1399999997</v>
      </c>
      <c r="G117" s="485">
        <f t="shared" si="32"/>
        <v>2811883.6399999997</v>
      </c>
      <c r="H117" s="488">
        <f t="shared" si="33"/>
        <v>404307.64299065771</v>
      </c>
      <c r="I117" s="542">
        <f t="shared" si="34"/>
        <v>404307.64299065771</v>
      </c>
      <c r="J117" s="478">
        <f t="shared" si="22"/>
        <v>0</v>
      </c>
      <c r="K117" s="478"/>
      <c r="L117" s="487"/>
      <c r="M117" s="478">
        <f t="shared" si="24"/>
        <v>0</v>
      </c>
      <c r="N117" s="487"/>
      <c r="O117" s="478">
        <f t="shared" si="26"/>
        <v>0</v>
      </c>
      <c r="P117" s="478">
        <f t="shared" si="27"/>
        <v>0</v>
      </c>
    </row>
    <row r="118" spans="2:16" ht="12.5">
      <c r="B118" s="160" t="str">
        <f t="shared" si="28"/>
        <v/>
      </c>
      <c r="C118" s="472">
        <f>IF(D93="","-",+C117+1)</f>
        <v>2028</v>
      </c>
      <c r="D118" s="346">
        <f>IF(F117+SUM(E$99:E117)=D$92,F117,D$92-SUM(E$99:E117))</f>
        <v>2754702.1399999997</v>
      </c>
      <c r="E118" s="486">
        <f>IF(+J96&lt;F117,J96,D118)</f>
        <v>114363</v>
      </c>
      <c r="F118" s="485">
        <f t="shared" si="31"/>
        <v>2640339.1399999997</v>
      </c>
      <c r="G118" s="485">
        <f t="shared" si="32"/>
        <v>2697520.6399999997</v>
      </c>
      <c r="H118" s="488">
        <f t="shared" si="33"/>
        <v>392515.21362599853</v>
      </c>
      <c r="I118" s="542">
        <f t="shared" si="34"/>
        <v>392515.21362599853</v>
      </c>
      <c r="J118" s="478">
        <f t="shared" si="22"/>
        <v>0</v>
      </c>
      <c r="K118" s="478"/>
      <c r="L118" s="487"/>
      <c r="M118" s="478">
        <f t="shared" si="24"/>
        <v>0</v>
      </c>
      <c r="N118" s="487"/>
      <c r="O118" s="478">
        <f t="shared" si="26"/>
        <v>0</v>
      </c>
      <c r="P118" s="478">
        <f t="shared" si="27"/>
        <v>0</v>
      </c>
    </row>
    <row r="119" spans="2:16" ht="12.5">
      <c r="B119" s="160" t="str">
        <f t="shared" si="28"/>
        <v/>
      </c>
      <c r="C119" s="472">
        <f>IF(D93="","-",+C118+1)</f>
        <v>2029</v>
      </c>
      <c r="D119" s="346">
        <f>IF(F118+SUM(E$99:E118)=D$92,F118,D$92-SUM(E$99:E118))</f>
        <v>2640339.1399999997</v>
      </c>
      <c r="E119" s="486">
        <f>IF(+J96&lt;F118,J96,D119)</f>
        <v>114363</v>
      </c>
      <c r="F119" s="485">
        <f t="shared" si="31"/>
        <v>2525976.1399999997</v>
      </c>
      <c r="G119" s="485">
        <f t="shared" si="32"/>
        <v>2583157.6399999997</v>
      </c>
      <c r="H119" s="488">
        <f t="shared" si="33"/>
        <v>380722.7842613394</v>
      </c>
      <c r="I119" s="542">
        <f t="shared" si="34"/>
        <v>380722.7842613394</v>
      </c>
      <c r="J119" s="478">
        <f t="shared" si="22"/>
        <v>0</v>
      </c>
      <c r="K119" s="478"/>
      <c r="L119" s="487"/>
      <c r="M119" s="478">
        <f t="shared" si="24"/>
        <v>0</v>
      </c>
      <c r="N119" s="487"/>
      <c r="O119" s="478">
        <f t="shared" si="26"/>
        <v>0</v>
      </c>
      <c r="P119" s="478">
        <f t="shared" si="27"/>
        <v>0</v>
      </c>
    </row>
    <row r="120" spans="2:16" ht="12.5">
      <c r="B120" s="160" t="str">
        <f t="shared" si="28"/>
        <v/>
      </c>
      <c r="C120" s="472">
        <f>IF(D93="","-",+C119+1)</f>
        <v>2030</v>
      </c>
      <c r="D120" s="346">
        <f>IF(F119+SUM(E$99:E119)=D$92,F119,D$92-SUM(E$99:E119))</f>
        <v>2525976.1399999997</v>
      </c>
      <c r="E120" s="486">
        <f>IF(+J96&lt;F119,J96,D120)</f>
        <v>114363</v>
      </c>
      <c r="F120" s="485">
        <f t="shared" si="31"/>
        <v>2411613.1399999997</v>
      </c>
      <c r="G120" s="485">
        <f t="shared" si="32"/>
        <v>2468794.6399999997</v>
      </c>
      <c r="H120" s="488">
        <f t="shared" si="33"/>
        <v>368930.35489668034</v>
      </c>
      <c r="I120" s="542">
        <f t="shared" si="34"/>
        <v>368930.35489668034</v>
      </c>
      <c r="J120" s="478">
        <f t="shared" si="22"/>
        <v>0</v>
      </c>
      <c r="K120" s="478"/>
      <c r="L120" s="487"/>
      <c r="M120" s="478">
        <f t="shared" si="24"/>
        <v>0</v>
      </c>
      <c r="N120" s="487"/>
      <c r="O120" s="478">
        <f t="shared" si="26"/>
        <v>0</v>
      </c>
      <c r="P120" s="478">
        <f t="shared" si="27"/>
        <v>0</v>
      </c>
    </row>
    <row r="121" spans="2:16" ht="12.5">
      <c r="B121" s="160" t="str">
        <f t="shared" si="28"/>
        <v/>
      </c>
      <c r="C121" s="472">
        <f>IF(D93="","-",+C120+1)</f>
        <v>2031</v>
      </c>
      <c r="D121" s="346">
        <f>IF(F120+SUM(E$99:E120)=D$92,F120,D$92-SUM(E$99:E120))</f>
        <v>2411613.1399999997</v>
      </c>
      <c r="E121" s="486">
        <f>IF(+J96&lt;F120,J96,D121)</f>
        <v>114363</v>
      </c>
      <c r="F121" s="485">
        <f t="shared" si="31"/>
        <v>2297250.1399999997</v>
      </c>
      <c r="G121" s="485">
        <f t="shared" si="32"/>
        <v>2354431.6399999997</v>
      </c>
      <c r="H121" s="488">
        <f t="shared" si="33"/>
        <v>357137.92553202121</v>
      </c>
      <c r="I121" s="542">
        <f t="shared" si="34"/>
        <v>357137.92553202121</v>
      </c>
      <c r="J121" s="478">
        <f t="shared" si="22"/>
        <v>0</v>
      </c>
      <c r="K121" s="478"/>
      <c r="L121" s="487"/>
      <c r="M121" s="478">
        <f t="shared" si="24"/>
        <v>0</v>
      </c>
      <c r="N121" s="487"/>
      <c r="O121" s="478">
        <f t="shared" si="26"/>
        <v>0</v>
      </c>
      <c r="P121" s="478">
        <f t="shared" si="27"/>
        <v>0</v>
      </c>
    </row>
    <row r="122" spans="2:16" ht="12.5">
      <c r="B122" s="160" t="str">
        <f t="shared" si="28"/>
        <v/>
      </c>
      <c r="C122" s="472">
        <f>IF(D93="","-",+C121+1)</f>
        <v>2032</v>
      </c>
      <c r="D122" s="346">
        <f>IF(F121+SUM(E$99:E121)=D$92,F121,D$92-SUM(E$99:E121))</f>
        <v>2297250.1399999997</v>
      </c>
      <c r="E122" s="486">
        <f>IF(+J96&lt;F121,J96,D122)</f>
        <v>114363</v>
      </c>
      <c r="F122" s="485">
        <f t="shared" si="31"/>
        <v>2182887.1399999997</v>
      </c>
      <c r="G122" s="485">
        <f t="shared" si="32"/>
        <v>2240068.6399999997</v>
      </c>
      <c r="H122" s="488">
        <f t="shared" si="33"/>
        <v>345345.49616736209</v>
      </c>
      <c r="I122" s="542">
        <f t="shared" si="34"/>
        <v>345345.49616736209</v>
      </c>
      <c r="J122" s="478">
        <f t="shared" si="22"/>
        <v>0</v>
      </c>
      <c r="K122" s="478"/>
      <c r="L122" s="487"/>
      <c r="M122" s="478">
        <f t="shared" si="24"/>
        <v>0</v>
      </c>
      <c r="N122" s="487"/>
      <c r="O122" s="478">
        <f t="shared" si="26"/>
        <v>0</v>
      </c>
      <c r="P122" s="478">
        <f t="shared" si="27"/>
        <v>0</v>
      </c>
    </row>
    <row r="123" spans="2:16" ht="12.5">
      <c r="B123" s="160" t="str">
        <f t="shared" si="28"/>
        <v/>
      </c>
      <c r="C123" s="472">
        <f>IF(D93="","-",+C122+1)</f>
        <v>2033</v>
      </c>
      <c r="D123" s="346">
        <f>IF(F122+SUM(E$99:E122)=D$92,F122,D$92-SUM(E$99:E122))</f>
        <v>2182887.1399999997</v>
      </c>
      <c r="E123" s="486">
        <f>IF(+J96&lt;F122,J96,D123)</f>
        <v>114363</v>
      </c>
      <c r="F123" s="485">
        <f t="shared" si="31"/>
        <v>2068524.1399999997</v>
      </c>
      <c r="G123" s="485">
        <f t="shared" si="32"/>
        <v>2125705.6399999997</v>
      </c>
      <c r="H123" s="488">
        <f t="shared" si="33"/>
        <v>333553.06680270296</v>
      </c>
      <c r="I123" s="542">
        <f t="shared" si="34"/>
        <v>333553.06680270296</v>
      </c>
      <c r="J123" s="478">
        <f t="shared" si="22"/>
        <v>0</v>
      </c>
      <c r="K123" s="478"/>
      <c r="L123" s="487"/>
      <c r="M123" s="478">
        <f t="shared" si="24"/>
        <v>0</v>
      </c>
      <c r="N123" s="487"/>
      <c r="O123" s="478">
        <f t="shared" si="26"/>
        <v>0</v>
      </c>
      <c r="P123" s="478">
        <f t="shared" si="27"/>
        <v>0</v>
      </c>
    </row>
    <row r="124" spans="2:16" ht="12.5">
      <c r="B124" s="160" t="str">
        <f t="shared" si="28"/>
        <v/>
      </c>
      <c r="C124" s="472">
        <f>IF(D93="","-",+C123+1)</f>
        <v>2034</v>
      </c>
      <c r="D124" s="346">
        <f>IF(F123+SUM(E$99:E123)=D$92,F123,D$92-SUM(E$99:E123))</f>
        <v>2068524.1399999997</v>
      </c>
      <c r="E124" s="486">
        <f>IF(+J96&lt;F123,J96,D124)</f>
        <v>114363</v>
      </c>
      <c r="F124" s="485">
        <f t="shared" si="31"/>
        <v>1954161.1399999997</v>
      </c>
      <c r="G124" s="485">
        <f t="shared" si="32"/>
        <v>2011342.6399999997</v>
      </c>
      <c r="H124" s="488">
        <f t="shared" si="33"/>
        <v>321760.63743804384</v>
      </c>
      <c r="I124" s="542">
        <f t="shared" si="34"/>
        <v>321760.63743804384</v>
      </c>
      <c r="J124" s="478">
        <f t="shared" si="22"/>
        <v>0</v>
      </c>
      <c r="K124" s="478"/>
      <c r="L124" s="487"/>
      <c r="M124" s="478">
        <f t="shared" si="24"/>
        <v>0</v>
      </c>
      <c r="N124" s="487"/>
      <c r="O124" s="478">
        <f t="shared" si="26"/>
        <v>0</v>
      </c>
      <c r="P124" s="478">
        <f t="shared" si="27"/>
        <v>0</v>
      </c>
    </row>
    <row r="125" spans="2:16" ht="12.5">
      <c r="B125" s="160" t="str">
        <f t="shared" si="28"/>
        <v/>
      </c>
      <c r="C125" s="472">
        <f>IF(D93="","-",+C124+1)</f>
        <v>2035</v>
      </c>
      <c r="D125" s="346">
        <f>IF(F124+SUM(E$99:E124)=D$92,F124,D$92-SUM(E$99:E124))</f>
        <v>1954161.1399999997</v>
      </c>
      <c r="E125" s="486">
        <f>IF(+J96&lt;F124,J96,D125)</f>
        <v>114363</v>
      </c>
      <c r="F125" s="485">
        <f t="shared" si="31"/>
        <v>1839798.1399999997</v>
      </c>
      <c r="G125" s="485">
        <f t="shared" si="32"/>
        <v>1896979.6399999997</v>
      </c>
      <c r="H125" s="488">
        <f t="shared" si="33"/>
        <v>309968.20807338471</v>
      </c>
      <c r="I125" s="542">
        <f t="shared" si="34"/>
        <v>309968.20807338471</v>
      </c>
      <c r="J125" s="478">
        <f t="shared" si="22"/>
        <v>0</v>
      </c>
      <c r="K125" s="478"/>
      <c r="L125" s="487"/>
      <c r="M125" s="478">
        <f t="shared" si="24"/>
        <v>0</v>
      </c>
      <c r="N125" s="487"/>
      <c r="O125" s="478">
        <f t="shared" si="26"/>
        <v>0</v>
      </c>
      <c r="P125" s="478">
        <f t="shared" si="27"/>
        <v>0</v>
      </c>
    </row>
    <row r="126" spans="2:16" ht="12.5">
      <c r="B126" s="160" t="str">
        <f t="shared" si="28"/>
        <v/>
      </c>
      <c r="C126" s="472">
        <f>IF(D93="","-",+C125+1)</f>
        <v>2036</v>
      </c>
      <c r="D126" s="346">
        <f>IF(F125+SUM(E$99:E125)=D$92,F125,D$92-SUM(E$99:E125))</f>
        <v>1839798.1399999997</v>
      </c>
      <c r="E126" s="486">
        <f>IF(+J96&lt;F125,J96,D126)</f>
        <v>114363</v>
      </c>
      <c r="F126" s="485">
        <f t="shared" si="31"/>
        <v>1725435.1399999997</v>
      </c>
      <c r="G126" s="485">
        <f t="shared" si="32"/>
        <v>1782616.6399999997</v>
      </c>
      <c r="H126" s="488">
        <f t="shared" si="33"/>
        <v>298175.77870872559</v>
      </c>
      <c r="I126" s="542">
        <f t="shared" si="34"/>
        <v>298175.77870872559</v>
      </c>
      <c r="J126" s="478">
        <f t="shared" si="22"/>
        <v>0</v>
      </c>
      <c r="K126" s="478"/>
      <c r="L126" s="487"/>
      <c r="M126" s="478">
        <f t="shared" si="24"/>
        <v>0</v>
      </c>
      <c r="N126" s="487"/>
      <c r="O126" s="478">
        <f t="shared" si="26"/>
        <v>0</v>
      </c>
      <c r="P126" s="478">
        <f t="shared" si="27"/>
        <v>0</v>
      </c>
    </row>
    <row r="127" spans="2:16" ht="12.5">
      <c r="B127" s="160" t="str">
        <f t="shared" si="28"/>
        <v/>
      </c>
      <c r="C127" s="472">
        <f>IF(D93="","-",+C126+1)</f>
        <v>2037</v>
      </c>
      <c r="D127" s="346">
        <f>IF(F126+SUM(E$99:E126)=D$92,F126,D$92-SUM(E$99:E126))</f>
        <v>1725435.1399999997</v>
      </c>
      <c r="E127" s="486">
        <f>IF(+J96&lt;F126,J96,D127)</f>
        <v>114363</v>
      </c>
      <c r="F127" s="485">
        <f t="shared" si="31"/>
        <v>1611072.1399999997</v>
      </c>
      <c r="G127" s="485">
        <f t="shared" si="32"/>
        <v>1668253.6399999997</v>
      </c>
      <c r="H127" s="488">
        <f t="shared" si="33"/>
        <v>286383.34934406646</v>
      </c>
      <c r="I127" s="542">
        <f t="shared" si="34"/>
        <v>286383.34934406646</v>
      </c>
      <c r="J127" s="478">
        <f t="shared" si="22"/>
        <v>0</v>
      </c>
      <c r="K127" s="478"/>
      <c r="L127" s="487"/>
      <c r="M127" s="478">
        <f t="shared" si="24"/>
        <v>0</v>
      </c>
      <c r="N127" s="487"/>
      <c r="O127" s="478">
        <f t="shared" si="26"/>
        <v>0</v>
      </c>
      <c r="P127" s="478">
        <f t="shared" si="27"/>
        <v>0</v>
      </c>
    </row>
    <row r="128" spans="2:16" ht="12.5">
      <c r="B128" s="160" t="str">
        <f t="shared" si="28"/>
        <v/>
      </c>
      <c r="C128" s="472">
        <f>IF(D93="","-",+C127+1)</f>
        <v>2038</v>
      </c>
      <c r="D128" s="346">
        <f>IF(F127+SUM(E$99:E127)=D$92,F127,D$92-SUM(E$99:E127))</f>
        <v>1611072.1399999997</v>
      </c>
      <c r="E128" s="486">
        <f>IF(+J96&lt;F127,J96,D128)</f>
        <v>114363</v>
      </c>
      <c r="F128" s="485">
        <f t="shared" si="31"/>
        <v>1496709.1399999997</v>
      </c>
      <c r="G128" s="485">
        <f t="shared" si="32"/>
        <v>1553890.6399999997</v>
      </c>
      <c r="H128" s="488">
        <f t="shared" si="33"/>
        <v>274590.91997940734</v>
      </c>
      <c r="I128" s="542">
        <f t="shared" si="34"/>
        <v>274590.91997940734</v>
      </c>
      <c r="J128" s="478">
        <f t="shared" si="22"/>
        <v>0</v>
      </c>
      <c r="K128" s="478"/>
      <c r="L128" s="487"/>
      <c r="M128" s="478">
        <f t="shared" si="24"/>
        <v>0</v>
      </c>
      <c r="N128" s="487"/>
      <c r="O128" s="478">
        <f t="shared" si="26"/>
        <v>0</v>
      </c>
      <c r="P128" s="478">
        <f t="shared" si="27"/>
        <v>0</v>
      </c>
    </row>
    <row r="129" spans="2:16" ht="12.5">
      <c r="B129" s="160" t="str">
        <f t="shared" si="28"/>
        <v/>
      </c>
      <c r="C129" s="472">
        <f>IF(D93="","-",+C128+1)</f>
        <v>2039</v>
      </c>
      <c r="D129" s="346">
        <f>IF(F128+SUM(E$99:E128)=D$92,F128,D$92-SUM(E$99:E128))</f>
        <v>1496709.1399999997</v>
      </c>
      <c r="E129" s="486">
        <f>IF(+J96&lt;F128,J96,D129)</f>
        <v>114363</v>
      </c>
      <c r="F129" s="485">
        <f t="shared" si="31"/>
        <v>1382346.1399999997</v>
      </c>
      <c r="G129" s="485">
        <f t="shared" si="32"/>
        <v>1439527.6399999997</v>
      </c>
      <c r="H129" s="488">
        <f t="shared" si="33"/>
        <v>262798.49061474821</v>
      </c>
      <c r="I129" s="542">
        <f t="shared" si="34"/>
        <v>262798.49061474821</v>
      </c>
      <c r="J129" s="478">
        <f t="shared" si="22"/>
        <v>0</v>
      </c>
      <c r="K129" s="478"/>
      <c r="L129" s="487"/>
      <c r="M129" s="478">
        <f t="shared" si="24"/>
        <v>0</v>
      </c>
      <c r="N129" s="487"/>
      <c r="O129" s="478">
        <f t="shared" si="26"/>
        <v>0</v>
      </c>
      <c r="P129" s="478">
        <f t="shared" si="27"/>
        <v>0</v>
      </c>
    </row>
    <row r="130" spans="2:16" ht="12.5">
      <c r="B130" s="160" t="str">
        <f t="shared" si="28"/>
        <v/>
      </c>
      <c r="C130" s="472">
        <f>IF(D93="","-",+C129+1)</f>
        <v>2040</v>
      </c>
      <c r="D130" s="346">
        <f>IF(F129+SUM(E$99:E129)=D$92,F129,D$92-SUM(E$99:E129))</f>
        <v>1382346.1399999997</v>
      </c>
      <c r="E130" s="486">
        <f>IF(+J96&lt;F129,J96,D130)</f>
        <v>114363</v>
      </c>
      <c r="F130" s="485">
        <f t="shared" si="31"/>
        <v>1267983.1399999997</v>
      </c>
      <c r="G130" s="485">
        <f t="shared" si="32"/>
        <v>1325164.6399999997</v>
      </c>
      <c r="H130" s="488">
        <f t="shared" si="33"/>
        <v>251006.06125008906</v>
      </c>
      <c r="I130" s="542">
        <f t="shared" si="34"/>
        <v>251006.06125008906</v>
      </c>
      <c r="J130" s="478">
        <f t="shared" si="22"/>
        <v>0</v>
      </c>
      <c r="K130" s="478"/>
      <c r="L130" s="487"/>
      <c r="M130" s="478">
        <f t="shared" si="24"/>
        <v>0</v>
      </c>
      <c r="N130" s="487"/>
      <c r="O130" s="478">
        <f t="shared" si="26"/>
        <v>0</v>
      </c>
      <c r="P130" s="478">
        <f t="shared" si="27"/>
        <v>0</v>
      </c>
    </row>
    <row r="131" spans="2:16" ht="12.5">
      <c r="B131" s="160" t="str">
        <f t="shared" si="28"/>
        <v/>
      </c>
      <c r="C131" s="472">
        <f>IF(D93="","-",+C130+1)</f>
        <v>2041</v>
      </c>
      <c r="D131" s="346">
        <f>IF(F130+SUM(E$99:E130)=D$92,F130,D$92-SUM(E$99:E130))</f>
        <v>1267983.1399999997</v>
      </c>
      <c r="E131" s="486">
        <f>IF(+J96&lt;F130,J96,D131)</f>
        <v>114363</v>
      </c>
      <c r="F131" s="485">
        <f t="shared" ref="F131:F154" si="35">+D131-E131</f>
        <v>1153620.1399999997</v>
      </c>
      <c r="G131" s="485">
        <f t="shared" ref="G131:G154" si="36">+(F131+D131)/2</f>
        <v>1210801.6399999997</v>
      </c>
      <c r="H131" s="488">
        <f t="shared" si="33"/>
        <v>239213.63188542993</v>
      </c>
      <c r="I131" s="542">
        <f t="shared" si="34"/>
        <v>239213.63188542993</v>
      </c>
      <c r="J131" s="478">
        <f t="shared" ref="J131:J154" si="37">+I131-H131</f>
        <v>0</v>
      </c>
      <c r="K131" s="478"/>
      <c r="L131" s="487"/>
      <c r="M131" s="478">
        <f t="shared" ref="M131:M154" si="38">IF(L131&lt;&gt;0,+H131-L131,0)</f>
        <v>0</v>
      </c>
      <c r="N131" s="487"/>
      <c r="O131" s="478">
        <f t="shared" ref="O131:O154" si="39">IF(N131&lt;&gt;0,+I131-N131,0)</f>
        <v>0</v>
      </c>
      <c r="P131" s="478">
        <f t="shared" ref="P131:P154" si="40">+O131-M131</f>
        <v>0</v>
      </c>
    </row>
    <row r="132" spans="2:16" ht="12.5">
      <c r="B132" s="160" t="str">
        <f t="shared" si="28"/>
        <v/>
      </c>
      <c r="C132" s="472">
        <f>IF(D93="","-",+C131+1)</f>
        <v>2042</v>
      </c>
      <c r="D132" s="346">
        <f>IF(F131+SUM(E$99:E131)=D$92,F131,D$92-SUM(E$99:E131))</f>
        <v>1153620.1399999997</v>
      </c>
      <c r="E132" s="486">
        <f>IF(+J96&lt;F131,J96,D132)</f>
        <v>114363</v>
      </c>
      <c r="F132" s="485">
        <f t="shared" si="35"/>
        <v>1039257.1399999997</v>
      </c>
      <c r="G132" s="485">
        <f t="shared" si="36"/>
        <v>1096438.6399999997</v>
      </c>
      <c r="H132" s="488">
        <f t="shared" si="33"/>
        <v>227421.20252077081</v>
      </c>
      <c r="I132" s="542">
        <f t="shared" si="34"/>
        <v>227421.20252077081</v>
      </c>
      <c r="J132" s="478">
        <f t="shared" si="37"/>
        <v>0</v>
      </c>
      <c r="K132" s="478"/>
      <c r="L132" s="487"/>
      <c r="M132" s="478">
        <f t="shared" si="38"/>
        <v>0</v>
      </c>
      <c r="N132" s="487"/>
      <c r="O132" s="478">
        <f t="shared" si="39"/>
        <v>0</v>
      </c>
      <c r="P132" s="478">
        <f t="shared" si="40"/>
        <v>0</v>
      </c>
    </row>
    <row r="133" spans="2:16" ht="12.5">
      <c r="B133" s="160" t="str">
        <f t="shared" si="28"/>
        <v/>
      </c>
      <c r="C133" s="472">
        <f>IF(D93="","-",+C132+1)</f>
        <v>2043</v>
      </c>
      <c r="D133" s="346">
        <f>IF(F132+SUM(E$99:E132)=D$92,F132,D$92-SUM(E$99:E132))</f>
        <v>1039257.1399999997</v>
      </c>
      <c r="E133" s="486">
        <f>IF(+J96&lt;F132,J96,D133)</f>
        <v>114363</v>
      </c>
      <c r="F133" s="485">
        <f t="shared" si="35"/>
        <v>924894.13999999966</v>
      </c>
      <c r="G133" s="485">
        <f t="shared" si="36"/>
        <v>982075.63999999966</v>
      </c>
      <c r="H133" s="488">
        <f t="shared" si="33"/>
        <v>215628.77315611168</v>
      </c>
      <c r="I133" s="542">
        <f t="shared" si="34"/>
        <v>215628.77315611168</v>
      </c>
      <c r="J133" s="478">
        <f t="shared" si="37"/>
        <v>0</v>
      </c>
      <c r="K133" s="478"/>
      <c r="L133" s="487"/>
      <c r="M133" s="478">
        <f t="shared" si="38"/>
        <v>0</v>
      </c>
      <c r="N133" s="487"/>
      <c r="O133" s="478">
        <f t="shared" si="39"/>
        <v>0</v>
      </c>
      <c r="P133" s="478">
        <f t="shared" si="40"/>
        <v>0</v>
      </c>
    </row>
    <row r="134" spans="2:16" ht="12.5">
      <c r="B134" s="160" t="str">
        <f t="shared" si="28"/>
        <v/>
      </c>
      <c r="C134" s="472">
        <f>IF(D93="","-",+C133+1)</f>
        <v>2044</v>
      </c>
      <c r="D134" s="346">
        <f>IF(F133+SUM(E$99:E133)=D$92,F133,D$92-SUM(E$99:E133))</f>
        <v>924894.13999999966</v>
      </c>
      <c r="E134" s="486">
        <f>IF(+J96&lt;F133,J96,D134)</f>
        <v>114363</v>
      </c>
      <c r="F134" s="485">
        <f t="shared" si="35"/>
        <v>810531.13999999966</v>
      </c>
      <c r="G134" s="485">
        <f t="shared" si="36"/>
        <v>867712.63999999966</v>
      </c>
      <c r="H134" s="488">
        <f t="shared" si="33"/>
        <v>203836.34379145256</v>
      </c>
      <c r="I134" s="542">
        <f t="shared" si="34"/>
        <v>203836.34379145256</v>
      </c>
      <c r="J134" s="478">
        <f t="shared" si="37"/>
        <v>0</v>
      </c>
      <c r="K134" s="478"/>
      <c r="L134" s="487"/>
      <c r="M134" s="478">
        <f t="shared" si="38"/>
        <v>0</v>
      </c>
      <c r="N134" s="487"/>
      <c r="O134" s="478">
        <f t="shared" si="39"/>
        <v>0</v>
      </c>
      <c r="P134" s="478">
        <f t="shared" si="40"/>
        <v>0</v>
      </c>
    </row>
    <row r="135" spans="2:16" ht="12.5">
      <c r="B135" s="160" t="str">
        <f t="shared" si="28"/>
        <v/>
      </c>
      <c r="C135" s="472">
        <f>IF(D93="","-",+C134+1)</f>
        <v>2045</v>
      </c>
      <c r="D135" s="346">
        <f>IF(F134+SUM(E$99:E134)=D$92,F134,D$92-SUM(E$99:E134))</f>
        <v>810531.13999999966</v>
      </c>
      <c r="E135" s="486">
        <f>IF(+J96&lt;F134,J96,D135)</f>
        <v>114363</v>
      </c>
      <c r="F135" s="485">
        <f t="shared" si="35"/>
        <v>696168.13999999966</v>
      </c>
      <c r="G135" s="485">
        <f t="shared" si="36"/>
        <v>753349.63999999966</v>
      </c>
      <c r="H135" s="488">
        <f t="shared" si="33"/>
        <v>192043.91442679343</v>
      </c>
      <c r="I135" s="542">
        <f t="shared" si="34"/>
        <v>192043.91442679343</v>
      </c>
      <c r="J135" s="478">
        <f t="shared" si="37"/>
        <v>0</v>
      </c>
      <c r="K135" s="478"/>
      <c r="L135" s="487"/>
      <c r="M135" s="478">
        <f t="shared" si="38"/>
        <v>0</v>
      </c>
      <c r="N135" s="487"/>
      <c r="O135" s="478">
        <f t="shared" si="39"/>
        <v>0</v>
      </c>
      <c r="P135" s="478">
        <f t="shared" si="40"/>
        <v>0</v>
      </c>
    </row>
    <row r="136" spans="2:16" ht="12.5">
      <c r="B136" s="160" t="str">
        <f t="shared" si="28"/>
        <v/>
      </c>
      <c r="C136" s="472">
        <f>IF(D93="","-",+C135+1)</f>
        <v>2046</v>
      </c>
      <c r="D136" s="346">
        <f>IF(F135+SUM(E$99:E135)=D$92,F135,D$92-SUM(E$99:E135))</f>
        <v>696168.13999999966</v>
      </c>
      <c r="E136" s="486">
        <f>IF(+J96&lt;F135,J96,D136)</f>
        <v>114363</v>
      </c>
      <c r="F136" s="485">
        <f t="shared" si="35"/>
        <v>581805.13999999966</v>
      </c>
      <c r="G136" s="485">
        <f t="shared" si="36"/>
        <v>638986.63999999966</v>
      </c>
      <c r="H136" s="488">
        <f t="shared" si="33"/>
        <v>180251.48506213431</v>
      </c>
      <c r="I136" s="542">
        <f t="shared" si="34"/>
        <v>180251.48506213431</v>
      </c>
      <c r="J136" s="478">
        <f t="shared" si="37"/>
        <v>0</v>
      </c>
      <c r="K136" s="478"/>
      <c r="L136" s="487"/>
      <c r="M136" s="478">
        <f t="shared" si="38"/>
        <v>0</v>
      </c>
      <c r="N136" s="487"/>
      <c r="O136" s="478">
        <f t="shared" si="39"/>
        <v>0</v>
      </c>
      <c r="P136" s="478">
        <f t="shared" si="40"/>
        <v>0</v>
      </c>
    </row>
    <row r="137" spans="2:16" ht="12.5">
      <c r="B137" s="160" t="str">
        <f t="shared" si="28"/>
        <v/>
      </c>
      <c r="C137" s="472">
        <f>IF(D93="","-",+C136+1)</f>
        <v>2047</v>
      </c>
      <c r="D137" s="346">
        <f>IF(F136+SUM(E$99:E136)=D$92,F136,D$92-SUM(E$99:E136))</f>
        <v>581805.13999999966</v>
      </c>
      <c r="E137" s="486">
        <f>IF(+J96&lt;F136,J96,D137)</f>
        <v>114363</v>
      </c>
      <c r="F137" s="485">
        <f t="shared" si="35"/>
        <v>467442.13999999966</v>
      </c>
      <c r="G137" s="485">
        <f t="shared" si="36"/>
        <v>524623.63999999966</v>
      </c>
      <c r="H137" s="488">
        <f t="shared" si="33"/>
        <v>168459.05569747518</v>
      </c>
      <c r="I137" s="542">
        <f t="shared" si="34"/>
        <v>168459.05569747518</v>
      </c>
      <c r="J137" s="478">
        <f t="shared" si="37"/>
        <v>0</v>
      </c>
      <c r="K137" s="478"/>
      <c r="L137" s="487"/>
      <c r="M137" s="478">
        <f t="shared" si="38"/>
        <v>0</v>
      </c>
      <c r="N137" s="487"/>
      <c r="O137" s="478">
        <f t="shared" si="39"/>
        <v>0</v>
      </c>
      <c r="P137" s="478">
        <f t="shared" si="40"/>
        <v>0</v>
      </c>
    </row>
    <row r="138" spans="2:16" ht="12.5">
      <c r="B138" s="160" t="str">
        <f t="shared" si="28"/>
        <v/>
      </c>
      <c r="C138" s="472">
        <f>IF(D93="","-",+C137+1)</f>
        <v>2048</v>
      </c>
      <c r="D138" s="346">
        <f>IF(F137+SUM(E$99:E137)=D$92,F137,D$92-SUM(E$99:E137))</f>
        <v>467442.13999999966</v>
      </c>
      <c r="E138" s="486">
        <f>IF(+J96&lt;F137,J96,D138)</f>
        <v>114363</v>
      </c>
      <c r="F138" s="485">
        <f t="shared" si="35"/>
        <v>353079.13999999966</v>
      </c>
      <c r="G138" s="485">
        <f t="shared" si="36"/>
        <v>410260.63999999966</v>
      </c>
      <c r="H138" s="488">
        <f t="shared" si="33"/>
        <v>156666.62633281606</v>
      </c>
      <c r="I138" s="542">
        <f t="shared" si="34"/>
        <v>156666.62633281606</v>
      </c>
      <c r="J138" s="478">
        <f t="shared" si="37"/>
        <v>0</v>
      </c>
      <c r="K138" s="478"/>
      <c r="L138" s="487"/>
      <c r="M138" s="478">
        <f t="shared" si="38"/>
        <v>0</v>
      </c>
      <c r="N138" s="487"/>
      <c r="O138" s="478">
        <f t="shared" si="39"/>
        <v>0</v>
      </c>
      <c r="P138" s="478">
        <f t="shared" si="40"/>
        <v>0</v>
      </c>
    </row>
    <row r="139" spans="2:16" ht="12.5">
      <c r="B139" s="160" t="str">
        <f t="shared" si="28"/>
        <v/>
      </c>
      <c r="C139" s="472">
        <f>IF(D93="","-",+C138+1)</f>
        <v>2049</v>
      </c>
      <c r="D139" s="346">
        <f>IF(F138+SUM(E$99:E138)=D$92,F138,D$92-SUM(E$99:E138))</f>
        <v>353079.13999999966</v>
      </c>
      <c r="E139" s="486">
        <f>IF(+J96&lt;F138,J96,D139)</f>
        <v>114363</v>
      </c>
      <c r="F139" s="485">
        <f t="shared" si="35"/>
        <v>238716.13999999966</v>
      </c>
      <c r="G139" s="485">
        <f t="shared" si="36"/>
        <v>295897.63999999966</v>
      </c>
      <c r="H139" s="488">
        <f t="shared" si="33"/>
        <v>144874.19696815693</v>
      </c>
      <c r="I139" s="542">
        <f t="shared" si="34"/>
        <v>144874.19696815693</v>
      </c>
      <c r="J139" s="478">
        <f t="shared" si="37"/>
        <v>0</v>
      </c>
      <c r="K139" s="478"/>
      <c r="L139" s="487"/>
      <c r="M139" s="478">
        <f t="shared" si="38"/>
        <v>0</v>
      </c>
      <c r="N139" s="487"/>
      <c r="O139" s="478">
        <f t="shared" si="39"/>
        <v>0</v>
      </c>
      <c r="P139" s="478">
        <f t="shared" si="40"/>
        <v>0</v>
      </c>
    </row>
    <row r="140" spans="2:16" ht="12.5">
      <c r="B140" s="160" t="str">
        <f t="shared" si="28"/>
        <v/>
      </c>
      <c r="C140" s="472">
        <f>IF(D93="","-",+C139+1)</f>
        <v>2050</v>
      </c>
      <c r="D140" s="346">
        <f>IF(F139+SUM(E$99:E139)=D$92,F139,D$92-SUM(E$99:E139))</f>
        <v>238716.13999999966</v>
      </c>
      <c r="E140" s="486">
        <f>IF(+J96&lt;F139,J96,D140)</f>
        <v>114363</v>
      </c>
      <c r="F140" s="485">
        <f t="shared" si="35"/>
        <v>124353.13999999966</v>
      </c>
      <c r="G140" s="485">
        <f t="shared" si="36"/>
        <v>181534.63999999966</v>
      </c>
      <c r="H140" s="488">
        <f t="shared" si="33"/>
        <v>133081.76760349781</v>
      </c>
      <c r="I140" s="542">
        <f t="shared" si="34"/>
        <v>133081.76760349781</v>
      </c>
      <c r="J140" s="478">
        <f t="shared" si="37"/>
        <v>0</v>
      </c>
      <c r="K140" s="478"/>
      <c r="L140" s="487"/>
      <c r="M140" s="478">
        <f t="shared" si="38"/>
        <v>0</v>
      </c>
      <c r="N140" s="487"/>
      <c r="O140" s="478">
        <f t="shared" si="39"/>
        <v>0</v>
      </c>
      <c r="P140" s="478">
        <f t="shared" si="40"/>
        <v>0</v>
      </c>
    </row>
    <row r="141" spans="2:16" ht="12.5">
      <c r="B141" s="160" t="str">
        <f t="shared" si="28"/>
        <v/>
      </c>
      <c r="C141" s="472">
        <f>IF(D93="","-",+C140+1)</f>
        <v>2051</v>
      </c>
      <c r="D141" s="346">
        <f>IF(F140+SUM(E$99:E140)=D$92,F140,D$92-SUM(E$99:E140))</f>
        <v>124353.13999999966</v>
      </c>
      <c r="E141" s="486">
        <f>IF(+J96&lt;F140,J96,D141)</f>
        <v>114363</v>
      </c>
      <c r="F141" s="485">
        <f t="shared" si="35"/>
        <v>9990.1399999996647</v>
      </c>
      <c r="G141" s="485">
        <f t="shared" si="36"/>
        <v>67171.639999999665</v>
      </c>
      <c r="H141" s="488">
        <f t="shared" si="33"/>
        <v>121289.33823883868</v>
      </c>
      <c r="I141" s="542">
        <f t="shared" si="34"/>
        <v>121289.33823883868</v>
      </c>
      <c r="J141" s="478">
        <f t="shared" si="37"/>
        <v>0</v>
      </c>
      <c r="K141" s="478"/>
      <c r="L141" s="487"/>
      <c r="M141" s="478">
        <f t="shared" si="38"/>
        <v>0</v>
      </c>
      <c r="N141" s="487"/>
      <c r="O141" s="478">
        <f t="shared" si="39"/>
        <v>0</v>
      </c>
      <c r="P141" s="478">
        <f t="shared" si="40"/>
        <v>0</v>
      </c>
    </row>
    <row r="142" spans="2:16" ht="12.5">
      <c r="B142" s="160" t="str">
        <f t="shared" si="28"/>
        <v/>
      </c>
      <c r="C142" s="472">
        <f>IF(D93="","-",+C141+1)</f>
        <v>2052</v>
      </c>
      <c r="D142" s="346">
        <f>IF(F141+SUM(E$99:E141)=D$92,F141,D$92-SUM(E$99:E141))</f>
        <v>9990.1399999996647</v>
      </c>
      <c r="E142" s="486">
        <f>IF(+J96&lt;F141,J96,D142)</f>
        <v>9990.1399999996647</v>
      </c>
      <c r="F142" s="485">
        <f t="shared" si="35"/>
        <v>0</v>
      </c>
      <c r="G142" s="485">
        <f t="shared" si="36"/>
        <v>4995.0699999998324</v>
      </c>
      <c r="H142" s="488">
        <f t="shared" si="33"/>
        <v>10505.201778254221</v>
      </c>
      <c r="I142" s="542">
        <f t="shared" si="34"/>
        <v>10505.201778254221</v>
      </c>
      <c r="J142" s="478">
        <f t="shared" si="37"/>
        <v>0</v>
      </c>
      <c r="K142" s="478"/>
      <c r="L142" s="487"/>
      <c r="M142" s="478">
        <f t="shared" si="38"/>
        <v>0</v>
      </c>
      <c r="N142" s="487"/>
      <c r="O142" s="478">
        <f t="shared" si="39"/>
        <v>0</v>
      </c>
      <c r="P142" s="478">
        <f t="shared" si="40"/>
        <v>0</v>
      </c>
    </row>
    <row r="143" spans="2:16" ht="12.5">
      <c r="B143" s="160" t="str">
        <f t="shared" si="28"/>
        <v/>
      </c>
      <c r="C143" s="472">
        <f>IF(D93="","-",+C142+1)</f>
        <v>2053</v>
      </c>
      <c r="D143" s="346">
        <f>IF(F142+SUM(E$99:E142)=D$92,F142,D$92-SUM(E$99:E142))</f>
        <v>0</v>
      </c>
      <c r="E143" s="486">
        <f>IF(+J96&lt;F142,J96,D143)</f>
        <v>0</v>
      </c>
      <c r="F143" s="485">
        <f t="shared" si="35"/>
        <v>0</v>
      </c>
      <c r="G143" s="485">
        <f t="shared" si="36"/>
        <v>0</v>
      </c>
      <c r="H143" s="488">
        <f t="shared" si="33"/>
        <v>0</v>
      </c>
      <c r="I143" s="542">
        <f t="shared" si="34"/>
        <v>0</v>
      </c>
      <c r="J143" s="478">
        <f t="shared" si="37"/>
        <v>0</v>
      </c>
      <c r="K143" s="478"/>
      <c r="L143" s="487"/>
      <c r="M143" s="478">
        <f t="shared" si="38"/>
        <v>0</v>
      </c>
      <c r="N143" s="487"/>
      <c r="O143" s="478">
        <f t="shared" si="39"/>
        <v>0</v>
      </c>
      <c r="P143" s="478">
        <f t="shared" si="40"/>
        <v>0</v>
      </c>
    </row>
    <row r="144" spans="2:16" ht="12.5">
      <c r="B144" s="160" t="str">
        <f t="shared" si="28"/>
        <v/>
      </c>
      <c r="C144" s="472">
        <f>IF(D93="","-",+C143+1)</f>
        <v>2054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35"/>
        <v>0</v>
      </c>
      <c r="G144" s="485">
        <f t="shared" si="36"/>
        <v>0</v>
      </c>
      <c r="H144" s="488">
        <f t="shared" si="33"/>
        <v>0</v>
      </c>
      <c r="I144" s="542">
        <f t="shared" si="34"/>
        <v>0</v>
      </c>
      <c r="J144" s="478">
        <f t="shared" si="37"/>
        <v>0</v>
      </c>
      <c r="K144" s="478"/>
      <c r="L144" s="487"/>
      <c r="M144" s="478">
        <f t="shared" si="38"/>
        <v>0</v>
      </c>
      <c r="N144" s="487"/>
      <c r="O144" s="478">
        <f t="shared" si="39"/>
        <v>0</v>
      </c>
      <c r="P144" s="478">
        <f t="shared" si="40"/>
        <v>0</v>
      </c>
    </row>
    <row r="145" spans="2:16" ht="12.5">
      <c r="B145" s="160" t="str">
        <f t="shared" si="28"/>
        <v/>
      </c>
      <c r="C145" s="472">
        <f>IF(D93="","-",+C144+1)</f>
        <v>2055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35"/>
        <v>0</v>
      </c>
      <c r="G145" s="485">
        <f t="shared" si="36"/>
        <v>0</v>
      </c>
      <c r="H145" s="488">
        <f t="shared" si="33"/>
        <v>0</v>
      </c>
      <c r="I145" s="542">
        <f t="shared" si="34"/>
        <v>0</v>
      </c>
      <c r="J145" s="478">
        <f t="shared" si="37"/>
        <v>0</v>
      </c>
      <c r="K145" s="478"/>
      <c r="L145" s="487"/>
      <c r="M145" s="478">
        <f t="shared" si="38"/>
        <v>0</v>
      </c>
      <c r="N145" s="487"/>
      <c r="O145" s="478">
        <f t="shared" si="39"/>
        <v>0</v>
      </c>
      <c r="P145" s="478">
        <f t="shared" si="40"/>
        <v>0</v>
      </c>
    </row>
    <row r="146" spans="2:16" ht="12.5">
      <c r="B146" s="160" t="str">
        <f t="shared" si="28"/>
        <v/>
      </c>
      <c r="C146" s="472">
        <f>IF(D93="","-",+C145+1)</f>
        <v>2056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35"/>
        <v>0</v>
      </c>
      <c r="G146" s="485">
        <f t="shared" si="36"/>
        <v>0</v>
      </c>
      <c r="H146" s="488">
        <f t="shared" si="33"/>
        <v>0</v>
      </c>
      <c r="I146" s="542">
        <f t="shared" si="34"/>
        <v>0</v>
      </c>
      <c r="J146" s="478">
        <f t="shared" si="37"/>
        <v>0</v>
      </c>
      <c r="K146" s="478"/>
      <c r="L146" s="487"/>
      <c r="M146" s="478">
        <f t="shared" si="38"/>
        <v>0</v>
      </c>
      <c r="N146" s="487"/>
      <c r="O146" s="478">
        <f t="shared" si="39"/>
        <v>0</v>
      </c>
      <c r="P146" s="478">
        <f t="shared" si="40"/>
        <v>0</v>
      </c>
    </row>
    <row r="147" spans="2:16" ht="12.5">
      <c r="B147" s="160" t="str">
        <f t="shared" si="28"/>
        <v/>
      </c>
      <c r="C147" s="472">
        <f>IF(D93="","-",+C146+1)</f>
        <v>2057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35"/>
        <v>0</v>
      </c>
      <c r="G147" s="485">
        <f t="shared" si="36"/>
        <v>0</v>
      </c>
      <c r="H147" s="488">
        <f t="shared" si="33"/>
        <v>0</v>
      </c>
      <c r="I147" s="542">
        <f t="shared" si="34"/>
        <v>0</v>
      </c>
      <c r="J147" s="478">
        <f t="shared" si="37"/>
        <v>0</v>
      </c>
      <c r="K147" s="478"/>
      <c r="L147" s="487"/>
      <c r="M147" s="478">
        <f t="shared" si="38"/>
        <v>0</v>
      </c>
      <c r="N147" s="487"/>
      <c r="O147" s="478">
        <f t="shared" si="39"/>
        <v>0</v>
      </c>
      <c r="P147" s="478">
        <f t="shared" si="40"/>
        <v>0</v>
      </c>
    </row>
    <row r="148" spans="2:16" ht="12.5">
      <c r="B148" s="160" t="str">
        <f t="shared" si="28"/>
        <v/>
      </c>
      <c r="C148" s="472">
        <f>IF(D93="","-",+C147+1)</f>
        <v>2058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35"/>
        <v>0</v>
      </c>
      <c r="G148" s="485">
        <f t="shared" si="36"/>
        <v>0</v>
      </c>
      <c r="H148" s="488">
        <f t="shared" si="33"/>
        <v>0</v>
      </c>
      <c r="I148" s="542">
        <f t="shared" si="34"/>
        <v>0</v>
      </c>
      <c r="J148" s="478">
        <f t="shared" si="37"/>
        <v>0</v>
      </c>
      <c r="K148" s="478"/>
      <c r="L148" s="487"/>
      <c r="M148" s="478">
        <f t="shared" si="38"/>
        <v>0</v>
      </c>
      <c r="N148" s="487"/>
      <c r="O148" s="478">
        <f t="shared" si="39"/>
        <v>0</v>
      </c>
      <c r="P148" s="478">
        <f t="shared" si="40"/>
        <v>0</v>
      </c>
    </row>
    <row r="149" spans="2:16" ht="12.5">
      <c r="B149" s="160" t="str">
        <f t="shared" si="28"/>
        <v/>
      </c>
      <c r="C149" s="472">
        <f>IF(D93="","-",+C148+1)</f>
        <v>2059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35"/>
        <v>0</v>
      </c>
      <c r="G149" s="485">
        <f t="shared" si="36"/>
        <v>0</v>
      </c>
      <c r="H149" s="488">
        <f t="shared" si="33"/>
        <v>0</v>
      </c>
      <c r="I149" s="542">
        <f t="shared" si="34"/>
        <v>0</v>
      </c>
      <c r="J149" s="478">
        <f t="shared" si="37"/>
        <v>0</v>
      </c>
      <c r="K149" s="478"/>
      <c r="L149" s="487"/>
      <c r="M149" s="478">
        <f t="shared" si="38"/>
        <v>0</v>
      </c>
      <c r="N149" s="487"/>
      <c r="O149" s="478">
        <f t="shared" si="39"/>
        <v>0</v>
      </c>
      <c r="P149" s="478">
        <f t="shared" si="40"/>
        <v>0</v>
      </c>
    </row>
    <row r="150" spans="2:16" ht="12.5">
      <c r="B150" s="160" t="str">
        <f t="shared" si="28"/>
        <v/>
      </c>
      <c r="C150" s="472">
        <f>IF(D93="","-",+C149+1)</f>
        <v>2060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35"/>
        <v>0</v>
      </c>
      <c r="G150" s="485">
        <f t="shared" si="36"/>
        <v>0</v>
      </c>
      <c r="H150" s="488">
        <f t="shared" si="33"/>
        <v>0</v>
      </c>
      <c r="I150" s="542">
        <f t="shared" si="34"/>
        <v>0</v>
      </c>
      <c r="J150" s="478">
        <f t="shared" si="37"/>
        <v>0</v>
      </c>
      <c r="K150" s="478"/>
      <c r="L150" s="487"/>
      <c r="M150" s="478">
        <f t="shared" si="38"/>
        <v>0</v>
      </c>
      <c r="N150" s="487"/>
      <c r="O150" s="478">
        <f t="shared" si="39"/>
        <v>0</v>
      </c>
      <c r="P150" s="478">
        <f t="shared" si="40"/>
        <v>0</v>
      </c>
    </row>
    <row r="151" spans="2:16" ht="12.5">
      <c r="B151" s="160" t="str">
        <f t="shared" si="28"/>
        <v/>
      </c>
      <c r="C151" s="472">
        <f>IF(D93="","-",+C150+1)</f>
        <v>2061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35"/>
        <v>0</v>
      </c>
      <c r="G151" s="485">
        <f t="shared" si="36"/>
        <v>0</v>
      </c>
      <c r="H151" s="488">
        <f t="shared" si="33"/>
        <v>0</v>
      </c>
      <c r="I151" s="542">
        <f t="shared" si="34"/>
        <v>0</v>
      </c>
      <c r="J151" s="478">
        <f t="shared" si="37"/>
        <v>0</v>
      </c>
      <c r="K151" s="478"/>
      <c r="L151" s="487"/>
      <c r="M151" s="478">
        <f t="shared" si="38"/>
        <v>0</v>
      </c>
      <c r="N151" s="487"/>
      <c r="O151" s="478">
        <f t="shared" si="39"/>
        <v>0</v>
      </c>
      <c r="P151" s="478">
        <f t="shared" si="40"/>
        <v>0</v>
      </c>
    </row>
    <row r="152" spans="2:16" ht="12.5">
      <c r="B152" s="160" t="str">
        <f t="shared" si="28"/>
        <v/>
      </c>
      <c r="C152" s="472">
        <f>IF(D93="","-",+C151+1)</f>
        <v>2062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35"/>
        <v>0</v>
      </c>
      <c r="G152" s="485">
        <f t="shared" si="36"/>
        <v>0</v>
      </c>
      <c r="H152" s="488">
        <f t="shared" si="33"/>
        <v>0</v>
      </c>
      <c r="I152" s="542">
        <f t="shared" si="34"/>
        <v>0</v>
      </c>
      <c r="J152" s="478">
        <f t="shared" si="37"/>
        <v>0</v>
      </c>
      <c r="K152" s="478"/>
      <c r="L152" s="487"/>
      <c r="M152" s="478">
        <f t="shared" si="38"/>
        <v>0</v>
      </c>
      <c r="N152" s="487"/>
      <c r="O152" s="478">
        <f t="shared" si="39"/>
        <v>0</v>
      </c>
      <c r="P152" s="478">
        <f t="shared" si="40"/>
        <v>0</v>
      </c>
    </row>
    <row r="153" spans="2:16" ht="12.5">
      <c r="B153" s="160" t="str">
        <f t="shared" si="28"/>
        <v/>
      </c>
      <c r="C153" s="472">
        <f>IF(D93="","-",+C152+1)</f>
        <v>2063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35"/>
        <v>0</v>
      </c>
      <c r="G153" s="485">
        <f t="shared" si="36"/>
        <v>0</v>
      </c>
      <c r="H153" s="488">
        <f t="shared" si="33"/>
        <v>0</v>
      </c>
      <c r="I153" s="542">
        <f t="shared" si="34"/>
        <v>0</v>
      </c>
      <c r="J153" s="478">
        <f t="shared" si="37"/>
        <v>0</v>
      </c>
      <c r="K153" s="478"/>
      <c r="L153" s="487"/>
      <c r="M153" s="478">
        <f t="shared" si="38"/>
        <v>0</v>
      </c>
      <c r="N153" s="487"/>
      <c r="O153" s="478">
        <f t="shared" si="39"/>
        <v>0</v>
      </c>
      <c r="P153" s="478">
        <f t="shared" si="40"/>
        <v>0</v>
      </c>
    </row>
    <row r="154" spans="2:16" ht="13" thickBot="1">
      <c r="B154" s="160" t="str">
        <f t="shared" si="28"/>
        <v/>
      </c>
      <c r="C154" s="489">
        <f>IF(D93="","-",+C153+1)</f>
        <v>2064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35"/>
        <v>0</v>
      </c>
      <c r="G154" s="490">
        <f t="shared" si="36"/>
        <v>0</v>
      </c>
      <c r="H154" s="492">
        <f t="shared" si="33"/>
        <v>0</v>
      </c>
      <c r="I154" s="545">
        <f t="shared" si="34"/>
        <v>0</v>
      </c>
      <c r="J154" s="495">
        <f t="shared" si="37"/>
        <v>0</v>
      </c>
      <c r="K154" s="478"/>
      <c r="L154" s="494"/>
      <c r="M154" s="495">
        <f t="shared" si="38"/>
        <v>0</v>
      </c>
      <c r="N154" s="494"/>
      <c r="O154" s="495">
        <f t="shared" si="39"/>
        <v>0</v>
      </c>
      <c r="P154" s="495">
        <f t="shared" si="40"/>
        <v>0</v>
      </c>
    </row>
    <row r="155" spans="2:16" ht="12.5">
      <c r="C155" s="346" t="s">
        <v>77</v>
      </c>
      <c r="D155" s="347"/>
      <c r="E155" s="347">
        <f>SUM(E99:E154)</f>
        <v>4688896.1399999997</v>
      </c>
      <c r="F155" s="347"/>
      <c r="G155" s="347"/>
      <c r="H155" s="347">
        <f>SUM(H99:H154)</f>
        <v>16687802.409457093</v>
      </c>
      <c r="I155" s="347">
        <f>SUM(I99:I154)</f>
        <v>16687802.409457093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 t="s">
        <v>100</v>
      </c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2.5"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96" t="s">
        <v>107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78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 t="s">
        <v>79</v>
      </c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58" priority="1" stopIfTrue="1" operator="equal">
      <formula>$I$10</formula>
    </cfRule>
  </conditionalFormatting>
  <conditionalFormatting sqref="C99:C154">
    <cfRule type="cellIs" dxfId="57" priority="2" stopIfTrue="1" operator="equal">
      <formula>$J$92</formula>
    </cfRule>
  </conditionalFormatting>
  <pageMargins left="0.5" right="0.25" top="1" bottom="0.25" header="0.25" footer="0.5"/>
  <pageSetup scale="47" fitToHeight="0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P162"/>
  <sheetViews>
    <sheetView view="pageBreakPreview" topLeftCell="B1" zoomScale="75" zoomScaleNormal="100" zoomScaleSheetLayoutView="75" workbookViewId="0">
      <selection activeCell="E9" sqref="E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3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 t="str">
        <f>"For Calendar Year "&amp;V1-1&amp;" and Projected Year "&amp;V1</f>
        <v xml:space="preserve">For Calendar Year -1 and Projected Year </v>
      </c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1182049.5546801805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1182049.5546801805</v>
      </c>
      <c r="O6" s="232"/>
      <c r="P6" s="232"/>
    </row>
    <row r="7" spans="1:16" ht="13.5" thickBot="1">
      <c r="C7" s="431" t="s">
        <v>46</v>
      </c>
      <c r="D7" s="432" t="s">
        <v>208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81</v>
      </c>
      <c r="E9" s="577" t="s">
        <v>353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11456065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2009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10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266420.11627906974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C17" s="472">
        <f>IF(D11= "","-",D11)</f>
        <v>2009</v>
      </c>
      <c r="D17" s="473">
        <v>9403820</v>
      </c>
      <c r="E17" s="474">
        <v>29572</v>
      </c>
      <c r="F17" s="473">
        <v>9374248</v>
      </c>
      <c r="G17" s="474">
        <v>388620</v>
      </c>
      <c r="H17" s="474">
        <v>388620</v>
      </c>
      <c r="I17" s="475">
        <f t="shared" ref="I17:I48" si="0">H17-G17</f>
        <v>0</v>
      </c>
      <c r="J17" s="475"/>
      <c r="K17" s="476">
        <v>388620</v>
      </c>
      <c r="L17" s="477">
        <f t="shared" ref="L17:L48" si="1">IF(K17&lt;&gt;0,+G17-K17,0)</f>
        <v>0</v>
      </c>
      <c r="M17" s="476">
        <v>388620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2010</v>
      </c>
      <c r="D18" s="479">
        <v>12236959</v>
      </c>
      <c r="E18" s="480">
        <v>219045</v>
      </c>
      <c r="F18" s="479">
        <v>12017913</v>
      </c>
      <c r="G18" s="480">
        <v>1953188</v>
      </c>
      <c r="H18" s="481">
        <v>1953188</v>
      </c>
      <c r="I18" s="475">
        <f t="shared" si="0"/>
        <v>0</v>
      </c>
      <c r="J18" s="475"/>
      <c r="K18" s="476">
        <f t="shared" ref="K18:K23" si="4">G18</f>
        <v>1953188</v>
      </c>
      <c r="L18" s="550">
        <f t="shared" si="1"/>
        <v>0</v>
      </c>
      <c r="M18" s="476">
        <f t="shared" ref="M18:M23" si="5">H18</f>
        <v>1953188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2011</v>
      </c>
      <c r="D19" s="479">
        <v>11983531</v>
      </c>
      <c r="E19" s="480">
        <v>239846.03921568627</v>
      </c>
      <c r="F19" s="479">
        <v>11743684.960784314</v>
      </c>
      <c r="G19" s="480">
        <v>2078241.729976739</v>
      </c>
      <c r="H19" s="481">
        <v>2078241.729976739</v>
      </c>
      <c r="I19" s="475">
        <f t="shared" si="0"/>
        <v>0</v>
      </c>
      <c r="J19" s="475"/>
      <c r="K19" s="476">
        <f t="shared" si="4"/>
        <v>2078241.729976739</v>
      </c>
      <c r="L19" s="550">
        <f t="shared" si="1"/>
        <v>0</v>
      </c>
      <c r="M19" s="476">
        <f t="shared" si="5"/>
        <v>2078241.729976739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6">IF(D20=F19,"","IU")</f>
        <v/>
      </c>
      <c r="C20" s="472">
        <f>IF(D11="","-",+C19+1)</f>
        <v>2012</v>
      </c>
      <c r="D20" s="479">
        <v>11743684.960784314</v>
      </c>
      <c r="E20" s="480">
        <v>235233.61538461538</v>
      </c>
      <c r="F20" s="479">
        <v>11508451.345399698</v>
      </c>
      <c r="G20" s="480">
        <v>1837287.5395832672</v>
      </c>
      <c r="H20" s="481">
        <v>1837287.5395832672</v>
      </c>
      <c r="I20" s="475">
        <f t="shared" si="0"/>
        <v>0</v>
      </c>
      <c r="J20" s="475"/>
      <c r="K20" s="476">
        <f t="shared" si="4"/>
        <v>1837287.5395832672</v>
      </c>
      <c r="L20" s="550">
        <f t="shared" si="1"/>
        <v>0</v>
      </c>
      <c r="M20" s="476">
        <f t="shared" si="5"/>
        <v>1837287.5395832672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6"/>
        <v/>
      </c>
      <c r="C21" s="472">
        <f>IF(D12="","-",+C20+1)</f>
        <v>2013</v>
      </c>
      <c r="D21" s="479">
        <v>11508451.345399698</v>
      </c>
      <c r="E21" s="480">
        <v>235233.61538461538</v>
      </c>
      <c r="F21" s="479">
        <v>11273217.730015082</v>
      </c>
      <c r="G21" s="480">
        <v>1845125.3182548014</v>
      </c>
      <c r="H21" s="481">
        <v>1845125.3182548014</v>
      </c>
      <c r="I21" s="475">
        <v>0</v>
      </c>
      <c r="J21" s="475"/>
      <c r="K21" s="476">
        <f t="shared" si="4"/>
        <v>1845125.3182548014</v>
      </c>
      <c r="L21" s="550">
        <f t="shared" ref="L21:L26" si="7">IF(K21&lt;&gt;0,+G21-K21,0)</f>
        <v>0</v>
      </c>
      <c r="M21" s="476">
        <f t="shared" si="5"/>
        <v>1845125.3182548014</v>
      </c>
      <c r="N21" s="478">
        <f t="shared" ref="N21:N26" si="8">IF(M21&lt;&gt;0,+H21-M21,0)</f>
        <v>0</v>
      </c>
      <c r="O21" s="478">
        <f t="shared" ref="O21:O26" si="9">+N21-L21</f>
        <v>0</v>
      </c>
      <c r="P21" s="242"/>
    </row>
    <row r="22" spans="2:16" ht="12.5">
      <c r="B22" s="160" t="str">
        <f t="shared" si="6"/>
        <v/>
      </c>
      <c r="C22" s="472">
        <f>IF(D11="","-",+C21+1)</f>
        <v>2014</v>
      </c>
      <c r="D22" s="479">
        <v>11273217.730015082</v>
      </c>
      <c r="E22" s="480">
        <v>235233.61538461538</v>
      </c>
      <c r="F22" s="479">
        <v>11037984.114630466</v>
      </c>
      <c r="G22" s="480">
        <v>1754708.9063952654</v>
      </c>
      <c r="H22" s="481">
        <v>1754708.9063952654</v>
      </c>
      <c r="I22" s="475">
        <v>0</v>
      </c>
      <c r="J22" s="475"/>
      <c r="K22" s="476">
        <f t="shared" si="4"/>
        <v>1754708.9063952654</v>
      </c>
      <c r="L22" s="550">
        <f t="shared" si="7"/>
        <v>0</v>
      </c>
      <c r="M22" s="476">
        <f t="shared" si="5"/>
        <v>1754708.9063952654</v>
      </c>
      <c r="N22" s="478">
        <f t="shared" si="8"/>
        <v>0</v>
      </c>
      <c r="O22" s="478">
        <f t="shared" si="9"/>
        <v>0</v>
      </c>
      <c r="P22" s="242"/>
    </row>
    <row r="23" spans="2:16" ht="12.5">
      <c r="B23" s="160" t="str">
        <f t="shared" si="6"/>
        <v>IU</v>
      </c>
      <c r="C23" s="472">
        <f>IF(D11="","-",+C22+1)</f>
        <v>2015</v>
      </c>
      <c r="D23" s="479">
        <v>10261901.114630468</v>
      </c>
      <c r="E23" s="480">
        <v>220308.94230769231</v>
      </c>
      <c r="F23" s="479">
        <v>10041592.172322776</v>
      </c>
      <c r="G23" s="480">
        <v>1604759.8916783908</v>
      </c>
      <c r="H23" s="481">
        <v>1604759.8916783908</v>
      </c>
      <c r="I23" s="475">
        <v>0</v>
      </c>
      <c r="J23" s="475"/>
      <c r="K23" s="476">
        <f t="shared" si="4"/>
        <v>1604759.8916783908</v>
      </c>
      <c r="L23" s="550">
        <f t="shared" si="7"/>
        <v>0</v>
      </c>
      <c r="M23" s="476">
        <f t="shared" si="5"/>
        <v>1604759.8916783908</v>
      </c>
      <c r="N23" s="478">
        <f t="shared" si="8"/>
        <v>0</v>
      </c>
      <c r="O23" s="478">
        <f t="shared" si="9"/>
        <v>0</v>
      </c>
      <c r="P23" s="242"/>
    </row>
    <row r="24" spans="2:16" ht="12.5">
      <c r="B24" s="160" t="str">
        <f t="shared" si="6"/>
        <v/>
      </c>
      <c r="C24" s="472">
        <f>IF(D11="","-",+C23+1)</f>
        <v>2016</v>
      </c>
      <c r="D24" s="479">
        <v>10041592.172322776</v>
      </c>
      <c r="E24" s="480">
        <v>220308.94230769231</v>
      </c>
      <c r="F24" s="479">
        <v>9821283.2300150841</v>
      </c>
      <c r="G24" s="480">
        <v>1508464.8564289983</v>
      </c>
      <c r="H24" s="481">
        <v>1508464.8564289983</v>
      </c>
      <c r="I24" s="475">
        <f t="shared" si="0"/>
        <v>0</v>
      </c>
      <c r="J24" s="475"/>
      <c r="K24" s="476">
        <f>G24</f>
        <v>1508464.8564289983</v>
      </c>
      <c r="L24" s="550">
        <f t="shared" si="7"/>
        <v>0</v>
      </c>
      <c r="M24" s="476">
        <f>H24</f>
        <v>1508464.8564289983</v>
      </c>
      <c r="N24" s="478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6"/>
        <v/>
      </c>
      <c r="C25" s="472">
        <f>IF(D11="","-",+C24+1)</f>
        <v>2017</v>
      </c>
      <c r="D25" s="479">
        <v>9821283.2300150841</v>
      </c>
      <c r="E25" s="480">
        <v>249044.89130434784</v>
      </c>
      <c r="F25" s="479">
        <v>9572238.3387107365</v>
      </c>
      <c r="G25" s="480">
        <v>1467214.2093174371</v>
      </c>
      <c r="H25" s="481">
        <v>1467214.2093174371</v>
      </c>
      <c r="I25" s="475">
        <f t="shared" si="0"/>
        <v>0</v>
      </c>
      <c r="J25" s="475"/>
      <c r="K25" s="476">
        <f>G25</f>
        <v>1467214.2093174371</v>
      </c>
      <c r="L25" s="550">
        <f t="shared" si="7"/>
        <v>0</v>
      </c>
      <c r="M25" s="476">
        <f>H25</f>
        <v>1467214.2093174371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6"/>
        <v/>
      </c>
      <c r="C26" s="472">
        <f>IF(D11="","-",+C25+1)</f>
        <v>2018</v>
      </c>
      <c r="D26" s="479">
        <v>9572238.3387107365</v>
      </c>
      <c r="E26" s="480">
        <v>254579.22222222222</v>
      </c>
      <c r="F26" s="479">
        <v>9317659.1164885145</v>
      </c>
      <c r="G26" s="480">
        <v>1385696.2768787597</v>
      </c>
      <c r="H26" s="481">
        <v>1385696.2768787597</v>
      </c>
      <c r="I26" s="475">
        <f t="shared" si="0"/>
        <v>0</v>
      </c>
      <c r="J26" s="475"/>
      <c r="K26" s="476">
        <f>G26</f>
        <v>1385696.2768787597</v>
      </c>
      <c r="L26" s="550">
        <f t="shared" si="7"/>
        <v>0</v>
      </c>
      <c r="M26" s="476">
        <f>H26</f>
        <v>1385696.2768787597</v>
      </c>
      <c r="N26" s="478">
        <f t="shared" si="8"/>
        <v>0</v>
      </c>
      <c r="O26" s="478">
        <f t="shared" si="9"/>
        <v>0</v>
      </c>
      <c r="P26" s="242"/>
    </row>
    <row r="27" spans="2:16" ht="12.5">
      <c r="B27" s="160" t="str">
        <f t="shared" si="6"/>
        <v/>
      </c>
      <c r="C27" s="472">
        <f>IF(D11="","-",+C26+1)</f>
        <v>2019</v>
      </c>
      <c r="D27" s="479">
        <v>9317659.1164885145</v>
      </c>
      <c r="E27" s="480">
        <v>286401.625</v>
      </c>
      <c r="F27" s="479">
        <v>9031257.4914885145</v>
      </c>
      <c r="G27" s="480">
        <v>1310790.7332032048</v>
      </c>
      <c r="H27" s="481">
        <v>1310790.7332032048</v>
      </c>
      <c r="I27" s="475">
        <f t="shared" si="0"/>
        <v>0</v>
      </c>
      <c r="J27" s="475"/>
      <c r="K27" s="476">
        <f>G27</f>
        <v>1310790.7332032048</v>
      </c>
      <c r="L27" s="550">
        <f t="shared" ref="L27" si="10">IF(K27&lt;&gt;0,+G27-K27,0)</f>
        <v>0</v>
      </c>
      <c r="M27" s="476">
        <f>H27</f>
        <v>1310790.7332032048</v>
      </c>
      <c r="N27" s="478">
        <f t="shared" ref="N27" si="11">IF(M27&lt;&gt;0,+H27-M27,0)</f>
        <v>0</v>
      </c>
      <c r="O27" s="478">
        <f t="shared" ref="O27" si="12">+N27-L27</f>
        <v>0</v>
      </c>
      <c r="P27" s="242"/>
    </row>
    <row r="28" spans="2:16" ht="12.5">
      <c r="B28" s="160" t="str">
        <f t="shared" si="6"/>
        <v>IU</v>
      </c>
      <c r="C28" s="472">
        <f>IF(D11="","-",+C27+1)</f>
        <v>2020</v>
      </c>
      <c r="D28" s="479">
        <v>9012688</v>
      </c>
      <c r="E28" s="480">
        <v>272763.45238095237</v>
      </c>
      <c r="F28" s="479">
        <v>8739924.5476190485</v>
      </c>
      <c r="G28" s="480">
        <v>1231446.9312681679</v>
      </c>
      <c r="H28" s="481">
        <v>1231446.9312681679</v>
      </c>
      <c r="I28" s="475">
        <f t="shared" si="0"/>
        <v>0</v>
      </c>
      <c r="J28" s="475"/>
      <c r="K28" s="476">
        <f>G28</f>
        <v>1231446.9312681679</v>
      </c>
      <c r="L28" s="550">
        <f t="shared" ref="L28" si="13">IF(K28&lt;&gt;0,+G28-K28,0)</f>
        <v>0</v>
      </c>
      <c r="M28" s="476">
        <f>H28</f>
        <v>1231446.9312681679</v>
      </c>
      <c r="N28" s="478">
        <f t="shared" si="2"/>
        <v>0</v>
      </c>
      <c r="O28" s="478">
        <f t="shared" si="3"/>
        <v>0</v>
      </c>
      <c r="P28" s="242"/>
    </row>
    <row r="29" spans="2:16" ht="12.5">
      <c r="B29" s="160" t="str">
        <f t="shared" si="6"/>
        <v>IU</v>
      </c>
      <c r="C29" s="472">
        <f>IF(D11="","-",+C28+1)</f>
        <v>2021</v>
      </c>
      <c r="D29" s="485">
        <f>IF(F28+SUM(E$17:E28)=D$10,F28,D$10-SUM(E$17:E28))</f>
        <v>8758494.0391075611</v>
      </c>
      <c r="E29" s="484">
        <f>IF(+I14&lt;F28,I14,D29)</f>
        <v>266420.11627906974</v>
      </c>
      <c r="F29" s="485">
        <f t="shared" ref="F29:F72" si="14">+D29-E29</f>
        <v>8492073.9228284918</v>
      </c>
      <c r="G29" s="486">
        <f t="shared" ref="G29:G72" si="15">+I$12*F29+E29</f>
        <v>1182049.5546801805</v>
      </c>
      <c r="H29" s="455">
        <f t="shared" ref="H29:H72" si="16">+I$13*F29+E29</f>
        <v>1182049.5546801805</v>
      </c>
      <c r="I29" s="475">
        <f t="shared" si="0"/>
        <v>0</v>
      </c>
      <c r="J29" s="475"/>
      <c r="K29" s="487"/>
      <c r="L29" s="478">
        <f t="shared" si="1"/>
        <v>0</v>
      </c>
      <c r="M29" s="487"/>
      <c r="N29" s="478">
        <f t="shared" si="2"/>
        <v>0</v>
      </c>
      <c r="O29" s="478">
        <f t="shared" si="3"/>
        <v>0</v>
      </c>
      <c r="P29" s="242"/>
    </row>
    <row r="30" spans="2:16" ht="12.5">
      <c r="B30" s="160" t="str">
        <f t="shared" si="6"/>
        <v/>
      </c>
      <c r="C30" s="472">
        <f>IF(D11="","-",+C29+1)</f>
        <v>2022</v>
      </c>
      <c r="D30" s="485">
        <f>IF(F29+SUM(E$17:E29)=D$10,F29,D$10-SUM(E$17:E29))</f>
        <v>8492073.9228284918</v>
      </c>
      <c r="E30" s="484">
        <f>IF(+I14&lt;F29,I14,D30)</f>
        <v>266420.11627906974</v>
      </c>
      <c r="F30" s="485">
        <f t="shared" si="14"/>
        <v>8225653.8065494224</v>
      </c>
      <c r="G30" s="486">
        <f t="shared" si="15"/>
        <v>1153323.6976440572</v>
      </c>
      <c r="H30" s="455">
        <f t="shared" si="16"/>
        <v>1153323.6976440572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2"/>
    </row>
    <row r="31" spans="2:16" ht="12.5">
      <c r="B31" s="160" t="str">
        <f t="shared" si="6"/>
        <v/>
      </c>
      <c r="C31" s="472">
        <f>IF(D11="","-",+C30+1)</f>
        <v>2023</v>
      </c>
      <c r="D31" s="485">
        <f>IF(F30+SUM(E$17:E30)=D$10,F30,D$10-SUM(E$17:E30))</f>
        <v>8225653.8065494224</v>
      </c>
      <c r="E31" s="484">
        <f>IF(+I14&lt;F30,I14,D31)</f>
        <v>266420.11627906974</v>
      </c>
      <c r="F31" s="485">
        <f t="shared" si="14"/>
        <v>7959233.6902703531</v>
      </c>
      <c r="G31" s="486">
        <f t="shared" si="15"/>
        <v>1124597.8406079337</v>
      </c>
      <c r="H31" s="455">
        <f t="shared" si="16"/>
        <v>1124597.8406079337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6"/>
        <v/>
      </c>
      <c r="C32" s="472">
        <f>IF(D11="","-",+C31+1)</f>
        <v>2024</v>
      </c>
      <c r="D32" s="485">
        <f>IF(F31+SUM(E$17:E31)=D$10,F31,D$10-SUM(E$17:E31))</f>
        <v>7959233.6902703531</v>
      </c>
      <c r="E32" s="484">
        <f>IF(+I14&lt;F31,I14,D32)</f>
        <v>266420.11627906974</v>
      </c>
      <c r="F32" s="485">
        <f t="shared" si="14"/>
        <v>7692813.5739912838</v>
      </c>
      <c r="G32" s="486">
        <f t="shared" si="15"/>
        <v>1095871.9835718104</v>
      </c>
      <c r="H32" s="455">
        <f t="shared" si="16"/>
        <v>1095871.9835718104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6"/>
        <v/>
      </c>
      <c r="C33" s="472">
        <f>IF(D11="","-",+C32+1)</f>
        <v>2025</v>
      </c>
      <c r="D33" s="485">
        <f>IF(F32+SUM(E$17:E32)=D$10,F32,D$10-SUM(E$17:E32))</f>
        <v>7692813.5739912838</v>
      </c>
      <c r="E33" s="484">
        <f>IF(+I14&lt;F32,I14,D33)</f>
        <v>266420.11627906974</v>
      </c>
      <c r="F33" s="485">
        <f t="shared" si="14"/>
        <v>7426393.4577122144</v>
      </c>
      <c r="G33" s="486">
        <f t="shared" si="15"/>
        <v>1067146.1265356869</v>
      </c>
      <c r="H33" s="455">
        <f t="shared" si="16"/>
        <v>1067146.1265356869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6"/>
        <v/>
      </c>
      <c r="C34" s="472">
        <f>IF(D11="","-",+C33+1)</f>
        <v>2026</v>
      </c>
      <c r="D34" s="485">
        <f>IF(F33+SUM(E$17:E33)=D$10,F33,D$10-SUM(E$17:E33))</f>
        <v>7426393.4577122144</v>
      </c>
      <c r="E34" s="484">
        <f>IF(+I14&lt;F33,I14,D34)</f>
        <v>266420.11627906974</v>
      </c>
      <c r="F34" s="485">
        <f t="shared" si="14"/>
        <v>7159973.3414331451</v>
      </c>
      <c r="G34" s="486">
        <f t="shared" si="15"/>
        <v>1038420.2694995636</v>
      </c>
      <c r="H34" s="455">
        <f t="shared" si="16"/>
        <v>1038420.2694995636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6"/>
        <v/>
      </c>
      <c r="C35" s="472">
        <f>IF(D11="","-",+C34+1)</f>
        <v>2027</v>
      </c>
      <c r="D35" s="485">
        <f>IF(F34+SUM(E$17:E34)=D$10,F34,D$10-SUM(E$17:E34))</f>
        <v>7159973.3414331451</v>
      </c>
      <c r="E35" s="484">
        <f>IF(+I14&lt;F34,I14,D35)</f>
        <v>266420.11627906974</v>
      </c>
      <c r="F35" s="485">
        <f t="shared" si="14"/>
        <v>6893553.2251540758</v>
      </c>
      <c r="G35" s="486">
        <f t="shared" si="15"/>
        <v>1009694.4124634401</v>
      </c>
      <c r="H35" s="455">
        <f t="shared" si="16"/>
        <v>1009694.4124634401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6"/>
        <v/>
      </c>
      <c r="C36" s="472">
        <f>IF(D11="","-",+C35+1)</f>
        <v>2028</v>
      </c>
      <c r="D36" s="485">
        <f>IF(F35+SUM(E$17:E35)=D$10,F35,D$10-SUM(E$17:E35))</f>
        <v>6893553.2251540758</v>
      </c>
      <c r="E36" s="484">
        <f>IF(+I14&lt;F35,I14,D36)</f>
        <v>266420.11627906974</v>
      </c>
      <c r="F36" s="485">
        <f t="shared" si="14"/>
        <v>6627133.1088750064</v>
      </c>
      <c r="G36" s="486">
        <f t="shared" si="15"/>
        <v>980968.55542731681</v>
      </c>
      <c r="H36" s="455">
        <f t="shared" si="16"/>
        <v>980968.55542731681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6"/>
        <v/>
      </c>
      <c r="C37" s="472">
        <f>IF(D11="","-",+C36+1)</f>
        <v>2029</v>
      </c>
      <c r="D37" s="485">
        <f>IF(F36+SUM(E$17:E36)=D$10,F36,D$10-SUM(E$17:E36))</f>
        <v>6627133.1088750064</v>
      </c>
      <c r="E37" s="484">
        <f>IF(+I14&lt;F36,I14,D37)</f>
        <v>266420.11627906974</v>
      </c>
      <c r="F37" s="485">
        <f t="shared" si="14"/>
        <v>6360712.9925959371</v>
      </c>
      <c r="G37" s="486">
        <f t="shared" si="15"/>
        <v>952242.69839119329</v>
      </c>
      <c r="H37" s="455">
        <f t="shared" si="16"/>
        <v>952242.69839119329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6"/>
        <v/>
      </c>
      <c r="C38" s="472">
        <f>IF(D11="","-",+C37+1)</f>
        <v>2030</v>
      </c>
      <c r="D38" s="485">
        <f>IF(F37+SUM(E$17:E37)=D$10,F37,D$10-SUM(E$17:E37))</f>
        <v>6360712.9925959371</v>
      </c>
      <c r="E38" s="484">
        <f>IF(+I14&lt;F37,I14,D38)</f>
        <v>266420.11627906974</v>
      </c>
      <c r="F38" s="485">
        <f t="shared" si="14"/>
        <v>6094292.8763168678</v>
      </c>
      <c r="G38" s="486">
        <f t="shared" si="15"/>
        <v>923516.84135507001</v>
      </c>
      <c r="H38" s="455">
        <f t="shared" si="16"/>
        <v>923516.84135507001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6"/>
        <v/>
      </c>
      <c r="C39" s="472">
        <f>IF(D11="","-",+C38+1)</f>
        <v>2031</v>
      </c>
      <c r="D39" s="485">
        <f>IF(F38+SUM(E$17:E38)=D$10,F38,D$10-SUM(E$17:E38))</f>
        <v>6094292.8763168678</v>
      </c>
      <c r="E39" s="484">
        <f>IF(+I14&lt;F38,I14,D39)</f>
        <v>266420.11627906974</v>
      </c>
      <c r="F39" s="485">
        <f t="shared" si="14"/>
        <v>5827872.7600377984</v>
      </c>
      <c r="G39" s="486">
        <f t="shared" si="15"/>
        <v>894790.98431894649</v>
      </c>
      <c r="H39" s="455">
        <f t="shared" si="16"/>
        <v>894790.98431894649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6"/>
        <v/>
      </c>
      <c r="C40" s="472">
        <f>IF(D11="","-",+C39+1)</f>
        <v>2032</v>
      </c>
      <c r="D40" s="485">
        <f>IF(F39+SUM(E$17:E39)=D$10,F39,D$10-SUM(E$17:E39))</f>
        <v>5827872.7600377984</v>
      </c>
      <c r="E40" s="484">
        <f>IF(+I14&lt;F39,I14,D40)</f>
        <v>266420.11627906974</v>
      </c>
      <c r="F40" s="485">
        <f t="shared" si="14"/>
        <v>5561452.6437587291</v>
      </c>
      <c r="G40" s="486">
        <f t="shared" si="15"/>
        <v>866065.1272828232</v>
      </c>
      <c r="H40" s="455">
        <f t="shared" si="16"/>
        <v>866065.1272828232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6"/>
        <v/>
      </c>
      <c r="C41" s="472">
        <f>IF(D11="","-",+C40+1)</f>
        <v>2033</v>
      </c>
      <c r="D41" s="485">
        <f>IF(F40+SUM(E$17:E40)=D$10,F40,D$10-SUM(E$17:E40))</f>
        <v>5561452.6437587291</v>
      </c>
      <c r="E41" s="484">
        <f>IF(+I14&lt;F40,I14,D41)</f>
        <v>266420.11627906974</v>
      </c>
      <c r="F41" s="485">
        <f t="shared" si="14"/>
        <v>5295032.5274796598</v>
      </c>
      <c r="G41" s="486">
        <f t="shared" si="15"/>
        <v>837339.27024669969</v>
      </c>
      <c r="H41" s="455">
        <f t="shared" si="16"/>
        <v>837339.27024669969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6"/>
        <v/>
      </c>
      <c r="C42" s="472">
        <f>IF(D11="","-",+C41+1)</f>
        <v>2034</v>
      </c>
      <c r="D42" s="485">
        <f>IF(F41+SUM(E$17:E41)=D$10,F41,D$10-SUM(E$17:E41))</f>
        <v>5295032.5274796598</v>
      </c>
      <c r="E42" s="484">
        <f>IF(+I14&lt;F41,I14,D42)</f>
        <v>266420.11627906974</v>
      </c>
      <c r="F42" s="485">
        <f t="shared" si="14"/>
        <v>5028612.4112005904</v>
      </c>
      <c r="G42" s="486">
        <f t="shared" si="15"/>
        <v>808613.4132105764</v>
      </c>
      <c r="H42" s="455">
        <f t="shared" si="16"/>
        <v>808613.4132105764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6"/>
        <v/>
      </c>
      <c r="C43" s="472">
        <f>IF(D11="","-",+C42+1)</f>
        <v>2035</v>
      </c>
      <c r="D43" s="485">
        <f>IF(F42+SUM(E$17:E42)=D$10,F42,D$10-SUM(E$17:E42))</f>
        <v>5028612.4112005904</v>
      </c>
      <c r="E43" s="484">
        <f>IF(+I14&lt;F42,I14,D43)</f>
        <v>266420.11627906974</v>
      </c>
      <c r="F43" s="485">
        <f t="shared" si="14"/>
        <v>4762192.2949215211</v>
      </c>
      <c r="G43" s="486">
        <f t="shared" si="15"/>
        <v>779887.55617445288</v>
      </c>
      <c r="H43" s="455">
        <f t="shared" si="16"/>
        <v>779887.55617445288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6"/>
        <v/>
      </c>
      <c r="C44" s="472">
        <f>IF(D11="","-",+C43+1)</f>
        <v>2036</v>
      </c>
      <c r="D44" s="485">
        <f>IF(F43+SUM(E$17:E43)=D$10,F43,D$10-SUM(E$17:E43))</f>
        <v>4762192.2949215211</v>
      </c>
      <c r="E44" s="484">
        <f>IF(+I14&lt;F43,I14,D44)</f>
        <v>266420.11627906974</v>
      </c>
      <c r="F44" s="485">
        <f t="shared" si="14"/>
        <v>4495772.1786424518</v>
      </c>
      <c r="G44" s="486">
        <f t="shared" si="15"/>
        <v>751161.69913832948</v>
      </c>
      <c r="H44" s="455">
        <f t="shared" si="16"/>
        <v>751161.69913832948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6"/>
        <v/>
      </c>
      <c r="C45" s="472">
        <f>IF(D11="","-",+C44+1)</f>
        <v>2037</v>
      </c>
      <c r="D45" s="485">
        <f>IF(F44+SUM(E$17:E44)=D$10,F44,D$10-SUM(E$17:E44))</f>
        <v>4495772.1786424518</v>
      </c>
      <c r="E45" s="484">
        <f>IF(+I14&lt;F44,I14,D45)</f>
        <v>266420.11627906974</v>
      </c>
      <c r="F45" s="485">
        <f t="shared" si="14"/>
        <v>4229352.0623633824</v>
      </c>
      <c r="G45" s="486">
        <f t="shared" si="15"/>
        <v>722435.84210220608</v>
      </c>
      <c r="H45" s="455">
        <f t="shared" si="16"/>
        <v>722435.84210220608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6"/>
        <v/>
      </c>
      <c r="C46" s="472">
        <f>IF(D11="","-",+C45+1)</f>
        <v>2038</v>
      </c>
      <c r="D46" s="485">
        <f>IF(F45+SUM(E$17:E45)=D$10,F45,D$10-SUM(E$17:E45))</f>
        <v>4229352.0623633824</v>
      </c>
      <c r="E46" s="484">
        <f>IF(+I14&lt;F45,I14,D46)</f>
        <v>266420.11627906974</v>
      </c>
      <c r="F46" s="485">
        <f t="shared" si="14"/>
        <v>3962931.9460843126</v>
      </c>
      <c r="G46" s="486">
        <f t="shared" si="15"/>
        <v>693709.98506608268</v>
      </c>
      <c r="H46" s="455">
        <f t="shared" si="16"/>
        <v>693709.98506608268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6"/>
        <v/>
      </c>
      <c r="C47" s="472">
        <f>IF(D11="","-",+C46+1)</f>
        <v>2039</v>
      </c>
      <c r="D47" s="485">
        <f>IF(F46+SUM(E$17:E46)=D$10,F46,D$10-SUM(E$17:E46))</f>
        <v>3962931.9460843126</v>
      </c>
      <c r="E47" s="484">
        <f>IF(+I14&lt;F46,I14,D47)</f>
        <v>266420.11627906974</v>
      </c>
      <c r="F47" s="485">
        <f t="shared" si="14"/>
        <v>3696511.8298052428</v>
      </c>
      <c r="G47" s="486">
        <f t="shared" si="15"/>
        <v>664984.12802995928</v>
      </c>
      <c r="H47" s="455">
        <f t="shared" si="16"/>
        <v>664984.12802995928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6"/>
        <v/>
      </c>
      <c r="C48" s="472">
        <f>IF(D11="","-",+C47+1)</f>
        <v>2040</v>
      </c>
      <c r="D48" s="485">
        <f>IF(F47+SUM(E$17:E47)=D$10,F47,D$10-SUM(E$17:E47))</f>
        <v>3696511.8298052428</v>
      </c>
      <c r="E48" s="484">
        <f>IF(+I14&lt;F47,I14,D48)</f>
        <v>266420.11627906974</v>
      </c>
      <c r="F48" s="485">
        <f t="shared" si="14"/>
        <v>3430091.713526173</v>
      </c>
      <c r="G48" s="486">
        <f t="shared" si="15"/>
        <v>636258.27099383576</v>
      </c>
      <c r="H48" s="455">
        <f t="shared" si="16"/>
        <v>636258.27099383576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6"/>
        <v/>
      </c>
      <c r="C49" s="472">
        <f>IF(D11="","-",+C48+1)</f>
        <v>2041</v>
      </c>
      <c r="D49" s="485">
        <f>IF(F48+SUM(E$17:E48)=D$10,F48,D$10-SUM(E$17:E48))</f>
        <v>3430091.713526173</v>
      </c>
      <c r="E49" s="484">
        <f>IF(+I14&lt;F48,I14,D49)</f>
        <v>266420.11627906974</v>
      </c>
      <c r="F49" s="485">
        <f t="shared" si="14"/>
        <v>3163671.5972471032</v>
      </c>
      <c r="G49" s="486">
        <f t="shared" si="15"/>
        <v>607532.41395771224</v>
      </c>
      <c r="H49" s="455">
        <f t="shared" si="16"/>
        <v>607532.41395771224</v>
      </c>
      <c r="I49" s="475">
        <f t="shared" ref="I49:I72" si="17">H303-G303</f>
        <v>0</v>
      </c>
      <c r="J49" s="475"/>
      <c r="K49" s="487"/>
      <c r="L49" s="478">
        <f t="shared" ref="L49:L72" si="18">IF(K303&lt;&gt;0,+G303-K303,0)</f>
        <v>0</v>
      </c>
      <c r="M49" s="487"/>
      <c r="N49" s="478">
        <f t="shared" ref="N49:N72" si="19">IF(M303&lt;&gt;0,+H303-M303,0)</f>
        <v>0</v>
      </c>
      <c r="O49" s="478">
        <f t="shared" ref="O49:O72" si="20">+N303-L303</f>
        <v>0</v>
      </c>
      <c r="P49" s="242"/>
    </row>
    <row r="50" spans="2:16" ht="12.5">
      <c r="B50" s="160" t="str">
        <f t="shared" si="6"/>
        <v/>
      </c>
      <c r="C50" s="472">
        <f>IF(D11="","-",+C49+1)</f>
        <v>2042</v>
      </c>
      <c r="D50" s="485">
        <f>IF(F49+SUM(E$17:E49)=D$10,F49,D$10-SUM(E$17:E49))</f>
        <v>3163671.5972471032</v>
      </c>
      <c r="E50" s="484">
        <f>IF(+I14&lt;F49,I14,D50)</f>
        <v>266420.11627906974</v>
      </c>
      <c r="F50" s="485">
        <f t="shared" si="14"/>
        <v>2897251.4809680334</v>
      </c>
      <c r="G50" s="486">
        <f t="shared" si="15"/>
        <v>578806.55692158884</v>
      </c>
      <c r="H50" s="455">
        <f t="shared" si="16"/>
        <v>578806.55692158884</v>
      </c>
      <c r="I50" s="475">
        <f t="shared" si="17"/>
        <v>0</v>
      </c>
      <c r="J50" s="475"/>
      <c r="K50" s="487"/>
      <c r="L50" s="478">
        <f t="shared" si="18"/>
        <v>0</v>
      </c>
      <c r="M50" s="487"/>
      <c r="N50" s="478">
        <f t="shared" si="19"/>
        <v>0</v>
      </c>
      <c r="O50" s="478">
        <f t="shared" si="20"/>
        <v>0</v>
      </c>
      <c r="P50" s="242"/>
    </row>
    <row r="51" spans="2:16" ht="12.5">
      <c r="B51" s="160" t="str">
        <f t="shared" si="6"/>
        <v/>
      </c>
      <c r="C51" s="472">
        <f>IF(D11="","-",+C50+1)</f>
        <v>2043</v>
      </c>
      <c r="D51" s="485">
        <f>IF(F50+SUM(E$17:E50)=D$10,F50,D$10-SUM(E$17:E50))</f>
        <v>2897251.4809680334</v>
      </c>
      <c r="E51" s="484">
        <f>IF(+I14&lt;F50,I14,D51)</f>
        <v>266420.11627906974</v>
      </c>
      <c r="F51" s="485">
        <f t="shared" si="14"/>
        <v>2630831.3646889636</v>
      </c>
      <c r="G51" s="486">
        <f t="shared" si="15"/>
        <v>550080.69988546544</v>
      </c>
      <c r="H51" s="455">
        <f t="shared" si="16"/>
        <v>550080.69988546544</v>
      </c>
      <c r="I51" s="475">
        <f t="shared" si="17"/>
        <v>0</v>
      </c>
      <c r="J51" s="475"/>
      <c r="K51" s="487"/>
      <c r="L51" s="478">
        <f t="shared" si="18"/>
        <v>0</v>
      </c>
      <c r="M51" s="487"/>
      <c r="N51" s="478">
        <f t="shared" si="19"/>
        <v>0</v>
      </c>
      <c r="O51" s="478">
        <f t="shared" si="20"/>
        <v>0</v>
      </c>
      <c r="P51" s="242"/>
    </row>
    <row r="52" spans="2:16" ht="12.5">
      <c r="B52" s="160" t="str">
        <f t="shared" si="6"/>
        <v/>
      </c>
      <c r="C52" s="472">
        <f>IF(D11="","-",+C51+1)</f>
        <v>2044</v>
      </c>
      <c r="D52" s="485">
        <f>IF(F51+SUM(E$17:E51)=D$10,F51,D$10-SUM(E$17:E51))</f>
        <v>2630831.3646889636</v>
      </c>
      <c r="E52" s="484">
        <f>IF(+I14&lt;F51,I14,D52)</f>
        <v>266420.11627906974</v>
      </c>
      <c r="F52" s="485">
        <f t="shared" si="14"/>
        <v>2364411.2484098938</v>
      </c>
      <c r="G52" s="486">
        <f t="shared" si="15"/>
        <v>521354.84284934192</v>
      </c>
      <c r="H52" s="455">
        <f t="shared" si="16"/>
        <v>521354.84284934192</v>
      </c>
      <c r="I52" s="475">
        <f t="shared" si="17"/>
        <v>0</v>
      </c>
      <c r="J52" s="475"/>
      <c r="K52" s="487"/>
      <c r="L52" s="478">
        <f t="shared" si="18"/>
        <v>0</v>
      </c>
      <c r="M52" s="487"/>
      <c r="N52" s="478">
        <f t="shared" si="19"/>
        <v>0</v>
      </c>
      <c r="O52" s="478">
        <f t="shared" si="20"/>
        <v>0</v>
      </c>
      <c r="P52" s="242"/>
    </row>
    <row r="53" spans="2:16" ht="12.5">
      <c r="B53" s="160" t="str">
        <f t="shared" si="6"/>
        <v/>
      </c>
      <c r="C53" s="472">
        <f>IF(D11="","-",+C52+1)</f>
        <v>2045</v>
      </c>
      <c r="D53" s="485">
        <f>IF(F52+SUM(E$17:E52)=D$10,F52,D$10-SUM(E$17:E52))</f>
        <v>2364411.2484098938</v>
      </c>
      <c r="E53" s="484">
        <f>IF(+I14&lt;F52,I14,D53)</f>
        <v>266420.11627906974</v>
      </c>
      <c r="F53" s="485">
        <f t="shared" si="14"/>
        <v>2097991.132130824</v>
      </c>
      <c r="G53" s="486">
        <f t="shared" si="15"/>
        <v>492628.98581321852</v>
      </c>
      <c r="H53" s="455">
        <f t="shared" si="16"/>
        <v>492628.98581321852</v>
      </c>
      <c r="I53" s="475">
        <f t="shared" si="17"/>
        <v>0</v>
      </c>
      <c r="J53" s="475"/>
      <c r="K53" s="487"/>
      <c r="L53" s="478">
        <f t="shared" si="18"/>
        <v>0</v>
      </c>
      <c r="M53" s="487"/>
      <c r="N53" s="478">
        <f t="shared" si="19"/>
        <v>0</v>
      </c>
      <c r="O53" s="478">
        <f t="shared" si="20"/>
        <v>0</v>
      </c>
      <c r="P53" s="242"/>
    </row>
    <row r="54" spans="2:16" ht="12.5">
      <c r="B54" s="160" t="str">
        <f t="shared" si="6"/>
        <v/>
      </c>
      <c r="C54" s="472">
        <f>IF(D11="","-",+C53+1)</f>
        <v>2046</v>
      </c>
      <c r="D54" s="485">
        <f>IF(F53+SUM(E$17:E53)=D$10,F53,D$10-SUM(E$17:E53))</f>
        <v>2097991.132130824</v>
      </c>
      <c r="E54" s="484">
        <f>IF(+I14&lt;F53,I14,D54)</f>
        <v>266420.11627906974</v>
      </c>
      <c r="F54" s="485">
        <f t="shared" si="14"/>
        <v>1831571.0158517542</v>
      </c>
      <c r="G54" s="486">
        <f t="shared" si="15"/>
        <v>463903.128777095</v>
      </c>
      <c r="H54" s="455">
        <f t="shared" si="16"/>
        <v>463903.128777095</v>
      </c>
      <c r="I54" s="475">
        <f t="shared" si="17"/>
        <v>0</v>
      </c>
      <c r="J54" s="475"/>
      <c r="K54" s="487"/>
      <c r="L54" s="478">
        <f t="shared" si="18"/>
        <v>0</v>
      </c>
      <c r="M54" s="487"/>
      <c r="N54" s="478">
        <f t="shared" si="19"/>
        <v>0</v>
      </c>
      <c r="O54" s="478">
        <f t="shared" si="20"/>
        <v>0</v>
      </c>
      <c r="P54" s="242"/>
    </row>
    <row r="55" spans="2:16" ht="12.5">
      <c r="B55" s="160" t="str">
        <f t="shared" si="6"/>
        <v/>
      </c>
      <c r="C55" s="472">
        <f>IF(D11="","-",+C54+1)</f>
        <v>2047</v>
      </c>
      <c r="D55" s="485">
        <f>IF(F54+SUM(E$17:E54)=D$10,F54,D$10-SUM(E$17:E54))</f>
        <v>1831571.0158517542</v>
      </c>
      <c r="E55" s="484">
        <f>IF(+I14&lt;F54,I14,D55)</f>
        <v>266420.11627906974</v>
      </c>
      <c r="F55" s="485">
        <f t="shared" si="14"/>
        <v>1565150.8995726844</v>
      </c>
      <c r="G55" s="486">
        <f t="shared" si="15"/>
        <v>435177.2717409716</v>
      </c>
      <c r="H55" s="455">
        <f t="shared" si="16"/>
        <v>435177.2717409716</v>
      </c>
      <c r="I55" s="475">
        <f t="shared" si="17"/>
        <v>0</v>
      </c>
      <c r="J55" s="475"/>
      <c r="K55" s="487"/>
      <c r="L55" s="478">
        <f t="shared" si="18"/>
        <v>0</v>
      </c>
      <c r="M55" s="487"/>
      <c r="N55" s="478">
        <f t="shared" si="19"/>
        <v>0</v>
      </c>
      <c r="O55" s="478">
        <f t="shared" si="20"/>
        <v>0</v>
      </c>
      <c r="P55" s="242"/>
    </row>
    <row r="56" spans="2:16" ht="12.5">
      <c r="B56" s="160" t="str">
        <f t="shared" si="6"/>
        <v/>
      </c>
      <c r="C56" s="472">
        <f>IF(D11="","-",+C55+1)</f>
        <v>2048</v>
      </c>
      <c r="D56" s="485">
        <f>IF(F55+SUM(E$17:E55)=D$10,F55,D$10-SUM(E$17:E55))</f>
        <v>1565150.8995726844</v>
      </c>
      <c r="E56" s="484">
        <f>IF(+I14&lt;F55,I14,D56)</f>
        <v>266420.11627906974</v>
      </c>
      <c r="F56" s="485">
        <f t="shared" si="14"/>
        <v>1298730.7832936146</v>
      </c>
      <c r="G56" s="486">
        <f t="shared" si="15"/>
        <v>406451.41470484814</v>
      </c>
      <c r="H56" s="455">
        <f t="shared" si="16"/>
        <v>406451.41470484814</v>
      </c>
      <c r="I56" s="475">
        <f t="shared" si="17"/>
        <v>0</v>
      </c>
      <c r="J56" s="475"/>
      <c r="K56" s="487"/>
      <c r="L56" s="478">
        <f t="shared" si="18"/>
        <v>0</v>
      </c>
      <c r="M56" s="487"/>
      <c r="N56" s="478">
        <f t="shared" si="19"/>
        <v>0</v>
      </c>
      <c r="O56" s="478">
        <f t="shared" si="20"/>
        <v>0</v>
      </c>
      <c r="P56" s="242"/>
    </row>
    <row r="57" spans="2:16" ht="12.5">
      <c r="B57" s="160" t="str">
        <f t="shared" si="6"/>
        <v/>
      </c>
      <c r="C57" s="472">
        <f>IF(D11="","-",+C56+1)</f>
        <v>2049</v>
      </c>
      <c r="D57" s="485">
        <f>IF(F56+SUM(E$17:E56)=D$10,F56,D$10-SUM(E$17:E56))</f>
        <v>1298730.7832936146</v>
      </c>
      <c r="E57" s="484">
        <f>IF(+I14&lt;F56,I14,D57)</f>
        <v>266420.11627906974</v>
      </c>
      <c r="F57" s="485">
        <f t="shared" si="14"/>
        <v>1032310.6670145448</v>
      </c>
      <c r="G57" s="486">
        <f t="shared" si="15"/>
        <v>377725.55766872468</v>
      </c>
      <c r="H57" s="455">
        <f t="shared" si="16"/>
        <v>377725.55766872468</v>
      </c>
      <c r="I57" s="475">
        <f t="shared" si="17"/>
        <v>0</v>
      </c>
      <c r="J57" s="475"/>
      <c r="K57" s="487"/>
      <c r="L57" s="478">
        <f t="shared" si="18"/>
        <v>0</v>
      </c>
      <c r="M57" s="487"/>
      <c r="N57" s="478">
        <f t="shared" si="19"/>
        <v>0</v>
      </c>
      <c r="O57" s="478">
        <f t="shared" si="20"/>
        <v>0</v>
      </c>
      <c r="P57" s="242"/>
    </row>
    <row r="58" spans="2:16" ht="12.5">
      <c r="B58" s="160" t="str">
        <f t="shared" si="6"/>
        <v/>
      </c>
      <c r="C58" s="472">
        <f>IF(D11="","-",+C57+1)</f>
        <v>2050</v>
      </c>
      <c r="D58" s="485">
        <f>IF(F57+SUM(E$17:E57)=D$10,F57,D$10-SUM(E$17:E57))</f>
        <v>1032310.6670145448</v>
      </c>
      <c r="E58" s="484">
        <f>IF(+I14&lt;F57,I14,D58)</f>
        <v>266420.11627906974</v>
      </c>
      <c r="F58" s="485">
        <f t="shared" si="14"/>
        <v>765890.55073547503</v>
      </c>
      <c r="G58" s="486">
        <f t="shared" si="15"/>
        <v>348999.70063260122</v>
      </c>
      <c r="H58" s="455">
        <f t="shared" si="16"/>
        <v>348999.70063260122</v>
      </c>
      <c r="I58" s="475">
        <f t="shared" si="17"/>
        <v>0</v>
      </c>
      <c r="J58" s="475"/>
      <c r="K58" s="487"/>
      <c r="L58" s="478">
        <f t="shared" si="18"/>
        <v>0</v>
      </c>
      <c r="M58" s="487"/>
      <c r="N58" s="478">
        <f t="shared" si="19"/>
        <v>0</v>
      </c>
      <c r="O58" s="478">
        <f t="shared" si="20"/>
        <v>0</v>
      </c>
      <c r="P58" s="242"/>
    </row>
    <row r="59" spans="2:16" ht="12.5">
      <c r="B59" s="160" t="str">
        <f t="shared" si="6"/>
        <v/>
      </c>
      <c r="C59" s="472">
        <f>IF(D11="","-",+C58+1)</f>
        <v>2051</v>
      </c>
      <c r="D59" s="485">
        <f>IF(F58+SUM(E$17:E58)=D$10,F58,D$10-SUM(E$17:E58))</f>
        <v>765890.55073547503</v>
      </c>
      <c r="E59" s="484">
        <f>IF(+I14&lt;F58,I14,D59)</f>
        <v>266420.11627906974</v>
      </c>
      <c r="F59" s="485">
        <f t="shared" si="14"/>
        <v>499470.43445640529</v>
      </c>
      <c r="G59" s="486">
        <f t="shared" si="15"/>
        <v>320273.84359647776</v>
      </c>
      <c r="H59" s="455">
        <f t="shared" si="16"/>
        <v>320273.84359647776</v>
      </c>
      <c r="I59" s="475">
        <f t="shared" si="17"/>
        <v>0</v>
      </c>
      <c r="J59" s="475"/>
      <c r="K59" s="487"/>
      <c r="L59" s="478">
        <f t="shared" si="18"/>
        <v>0</v>
      </c>
      <c r="M59" s="487"/>
      <c r="N59" s="478">
        <f t="shared" si="19"/>
        <v>0</v>
      </c>
      <c r="O59" s="478">
        <f t="shared" si="20"/>
        <v>0</v>
      </c>
      <c r="P59" s="242"/>
    </row>
    <row r="60" spans="2:16" ht="12.5">
      <c r="B60" s="160" t="str">
        <f t="shared" si="6"/>
        <v/>
      </c>
      <c r="C60" s="472">
        <f>IF(D11="","-",+C59+1)</f>
        <v>2052</v>
      </c>
      <c r="D60" s="485">
        <f>IF(F59+SUM(E$17:E59)=D$10,F59,D$10-SUM(E$17:E59))</f>
        <v>499470.43445640529</v>
      </c>
      <c r="E60" s="484">
        <f>IF(+I14&lt;F59,I14,D60)</f>
        <v>266420.11627906974</v>
      </c>
      <c r="F60" s="485">
        <f t="shared" si="14"/>
        <v>233050.31817733555</v>
      </c>
      <c r="G60" s="486">
        <f t="shared" si="15"/>
        <v>291547.98656035436</v>
      </c>
      <c r="H60" s="455">
        <f t="shared" si="16"/>
        <v>291547.98656035436</v>
      </c>
      <c r="I60" s="475">
        <f t="shared" si="17"/>
        <v>0</v>
      </c>
      <c r="J60" s="475"/>
      <c r="K60" s="487"/>
      <c r="L60" s="478">
        <f t="shared" si="18"/>
        <v>0</v>
      </c>
      <c r="M60" s="487"/>
      <c r="N60" s="478">
        <f t="shared" si="19"/>
        <v>0</v>
      </c>
      <c r="O60" s="478">
        <f t="shared" si="20"/>
        <v>0</v>
      </c>
      <c r="P60" s="242"/>
    </row>
    <row r="61" spans="2:16" ht="12.5">
      <c r="B61" s="160" t="str">
        <f t="shared" si="6"/>
        <v/>
      </c>
      <c r="C61" s="472">
        <f>IF(D11="","-",+C60+1)</f>
        <v>2053</v>
      </c>
      <c r="D61" s="485">
        <f>IF(F60+SUM(E$17:E60)=D$10,F60,D$10-SUM(E$17:E60))</f>
        <v>233050.31817733555</v>
      </c>
      <c r="E61" s="484">
        <f>IF(+I14&lt;F60,I14,D61)</f>
        <v>233050.31817733555</v>
      </c>
      <c r="F61" s="485">
        <f t="shared" si="14"/>
        <v>0</v>
      </c>
      <c r="G61" s="488">
        <f t="shared" si="15"/>
        <v>233050.31817733555</v>
      </c>
      <c r="H61" s="455">
        <f t="shared" si="16"/>
        <v>233050.31817733555</v>
      </c>
      <c r="I61" s="475">
        <f t="shared" si="17"/>
        <v>0</v>
      </c>
      <c r="J61" s="475"/>
      <c r="K61" s="487"/>
      <c r="L61" s="478">
        <f t="shared" si="18"/>
        <v>0</v>
      </c>
      <c r="M61" s="487"/>
      <c r="N61" s="478">
        <f t="shared" si="19"/>
        <v>0</v>
      </c>
      <c r="O61" s="478">
        <f t="shared" si="20"/>
        <v>0</v>
      </c>
      <c r="P61" s="242"/>
    </row>
    <row r="62" spans="2:16" ht="12.5">
      <c r="B62" s="160" t="str">
        <f t="shared" si="6"/>
        <v/>
      </c>
      <c r="C62" s="472">
        <f>IF(D11="","-",+C61+1)</f>
        <v>2054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14"/>
        <v>0</v>
      </c>
      <c r="G62" s="488">
        <f t="shared" si="15"/>
        <v>0</v>
      </c>
      <c r="H62" s="455">
        <f t="shared" si="16"/>
        <v>0</v>
      </c>
      <c r="I62" s="475">
        <f t="shared" si="17"/>
        <v>0</v>
      </c>
      <c r="J62" s="475"/>
      <c r="K62" s="487"/>
      <c r="L62" s="478">
        <f t="shared" si="18"/>
        <v>0</v>
      </c>
      <c r="M62" s="487"/>
      <c r="N62" s="478">
        <f t="shared" si="19"/>
        <v>0</v>
      </c>
      <c r="O62" s="478">
        <f t="shared" si="20"/>
        <v>0</v>
      </c>
      <c r="P62" s="242"/>
    </row>
    <row r="63" spans="2:16" ht="12.5">
      <c r="B63" s="160" t="str">
        <f t="shared" si="6"/>
        <v/>
      </c>
      <c r="C63" s="472">
        <f>IF(D11="","-",+C62+1)</f>
        <v>2055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4"/>
        <v>0</v>
      </c>
      <c r="G63" s="488">
        <f t="shared" si="15"/>
        <v>0</v>
      </c>
      <c r="H63" s="455">
        <f t="shared" si="16"/>
        <v>0</v>
      </c>
      <c r="I63" s="475">
        <f t="shared" si="17"/>
        <v>0</v>
      </c>
      <c r="J63" s="475"/>
      <c r="K63" s="487"/>
      <c r="L63" s="478">
        <f t="shared" si="18"/>
        <v>0</v>
      </c>
      <c r="M63" s="487"/>
      <c r="N63" s="478">
        <f t="shared" si="19"/>
        <v>0</v>
      </c>
      <c r="O63" s="478">
        <f t="shared" si="20"/>
        <v>0</v>
      </c>
      <c r="P63" s="242"/>
    </row>
    <row r="64" spans="2:16" ht="12.5">
      <c r="B64" s="160" t="str">
        <f t="shared" si="6"/>
        <v/>
      </c>
      <c r="C64" s="472">
        <f>IF(D11="","-",+C63+1)</f>
        <v>2056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4"/>
        <v>0</v>
      </c>
      <c r="G64" s="488">
        <f t="shared" si="15"/>
        <v>0</v>
      </c>
      <c r="H64" s="455">
        <f t="shared" si="16"/>
        <v>0</v>
      </c>
      <c r="I64" s="475">
        <f t="shared" si="17"/>
        <v>0</v>
      </c>
      <c r="J64" s="475"/>
      <c r="K64" s="487"/>
      <c r="L64" s="478">
        <f t="shared" si="18"/>
        <v>0</v>
      </c>
      <c r="M64" s="487"/>
      <c r="N64" s="478">
        <f t="shared" si="19"/>
        <v>0</v>
      </c>
      <c r="O64" s="478">
        <f t="shared" si="20"/>
        <v>0</v>
      </c>
      <c r="P64" s="242"/>
    </row>
    <row r="65" spans="2:16" ht="12.5">
      <c r="B65" s="160" t="str">
        <f t="shared" si="6"/>
        <v/>
      </c>
      <c r="C65" s="472">
        <f>IF(D11="","-",+C64+1)</f>
        <v>2057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4"/>
        <v>0</v>
      </c>
      <c r="G65" s="488">
        <f t="shared" si="15"/>
        <v>0</v>
      </c>
      <c r="H65" s="455">
        <f t="shared" si="16"/>
        <v>0</v>
      </c>
      <c r="I65" s="475">
        <f t="shared" si="17"/>
        <v>0</v>
      </c>
      <c r="J65" s="475"/>
      <c r="K65" s="487"/>
      <c r="L65" s="478">
        <f t="shared" si="18"/>
        <v>0</v>
      </c>
      <c r="M65" s="487"/>
      <c r="N65" s="478">
        <f t="shared" si="19"/>
        <v>0</v>
      </c>
      <c r="O65" s="478">
        <f t="shared" si="20"/>
        <v>0</v>
      </c>
      <c r="P65" s="242"/>
    </row>
    <row r="66" spans="2:16" ht="12.5">
      <c r="B66" s="160" t="str">
        <f t="shared" si="6"/>
        <v/>
      </c>
      <c r="C66" s="472">
        <f>IF(D11="","-",+C65+1)</f>
        <v>2058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4"/>
        <v>0</v>
      </c>
      <c r="G66" s="488">
        <f t="shared" si="15"/>
        <v>0</v>
      </c>
      <c r="H66" s="455">
        <f t="shared" si="16"/>
        <v>0</v>
      </c>
      <c r="I66" s="475">
        <f t="shared" si="17"/>
        <v>0</v>
      </c>
      <c r="J66" s="475"/>
      <c r="K66" s="487"/>
      <c r="L66" s="478">
        <f t="shared" si="18"/>
        <v>0</v>
      </c>
      <c r="M66" s="487"/>
      <c r="N66" s="478">
        <f t="shared" si="19"/>
        <v>0</v>
      </c>
      <c r="O66" s="478">
        <f t="shared" si="20"/>
        <v>0</v>
      </c>
      <c r="P66" s="242"/>
    </row>
    <row r="67" spans="2:16" ht="12.5">
      <c r="B67" s="160" t="str">
        <f t="shared" si="6"/>
        <v/>
      </c>
      <c r="C67" s="472">
        <f>IF(D11="","-",+C66+1)</f>
        <v>2059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4"/>
        <v>0</v>
      </c>
      <c r="G67" s="488">
        <f t="shared" si="15"/>
        <v>0</v>
      </c>
      <c r="H67" s="455">
        <f t="shared" si="16"/>
        <v>0</v>
      </c>
      <c r="I67" s="475">
        <f t="shared" si="17"/>
        <v>0</v>
      </c>
      <c r="J67" s="475"/>
      <c r="K67" s="487"/>
      <c r="L67" s="478">
        <f t="shared" si="18"/>
        <v>0</v>
      </c>
      <c r="M67" s="487"/>
      <c r="N67" s="478">
        <f t="shared" si="19"/>
        <v>0</v>
      </c>
      <c r="O67" s="478">
        <f t="shared" si="20"/>
        <v>0</v>
      </c>
      <c r="P67" s="242"/>
    </row>
    <row r="68" spans="2:16" ht="12.5">
      <c r="B68" s="160" t="str">
        <f t="shared" si="6"/>
        <v/>
      </c>
      <c r="C68" s="472">
        <f>IF(D11="","-",+C67+1)</f>
        <v>2060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4"/>
        <v>0</v>
      </c>
      <c r="G68" s="488">
        <f t="shared" si="15"/>
        <v>0</v>
      </c>
      <c r="H68" s="455">
        <f t="shared" si="16"/>
        <v>0</v>
      </c>
      <c r="I68" s="475">
        <f t="shared" si="17"/>
        <v>0</v>
      </c>
      <c r="J68" s="475"/>
      <c r="K68" s="487"/>
      <c r="L68" s="478">
        <f t="shared" si="18"/>
        <v>0</v>
      </c>
      <c r="M68" s="487"/>
      <c r="N68" s="478">
        <f t="shared" si="19"/>
        <v>0</v>
      </c>
      <c r="O68" s="478">
        <f t="shared" si="20"/>
        <v>0</v>
      </c>
      <c r="P68" s="242"/>
    </row>
    <row r="69" spans="2:16" ht="12.5">
      <c r="B69" s="160" t="str">
        <f t="shared" si="6"/>
        <v/>
      </c>
      <c r="C69" s="472">
        <f>IF(D11="","-",+C68+1)</f>
        <v>2061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4"/>
        <v>0</v>
      </c>
      <c r="G69" s="488">
        <f t="shared" si="15"/>
        <v>0</v>
      </c>
      <c r="H69" s="455">
        <f t="shared" si="16"/>
        <v>0</v>
      </c>
      <c r="I69" s="475">
        <f t="shared" si="17"/>
        <v>0</v>
      </c>
      <c r="J69" s="475"/>
      <c r="K69" s="487"/>
      <c r="L69" s="478">
        <f t="shared" si="18"/>
        <v>0</v>
      </c>
      <c r="M69" s="487"/>
      <c r="N69" s="478">
        <f t="shared" si="19"/>
        <v>0</v>
      </c>
      <c r="O69" s="478">
        <f t="shared" si="20"/>
        <v>0</v>
      </c>
      <c r="P69" s="242"/>
    </row>
    <row r="70" spans="2:16" ht="12.5">
      <c r="B70" s="160" t="str">
        <f t="shared" si="6"/>
        <v/>
      </c>
      <c r="C70" s="472">
        <f>IF(D11="","-",+C69+1)</f>
        <v>2062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4"/>
        <v>0</v>
      </c>
      <c r="G70" s="488">
        <f t="shared" si="15"/>
        <v>0</v>
      </c>
      <c r="H70" s="455">
        <f t="shared" si="16"/>
        <v>0</v>
      </c>
      <c r="I70" s="475">
        <f t="shared" si="17"/>
        <v>0</v>
      </c>
      <c r="J70" s="475"/>
      <c r="K70" s="487"/>
      <c r="L70" s="478">
        <f t="shared" si="18"/>
        <v>0</v>
      </c>
      <c r="M70" s="487"/>
      <c r="N70" s="478">
        <f t="shared" si="19"/>
        <v>0</v>
      </c>
      <c r="O70" s="478">
        <f t="shared" si="20"/>
        <v>0</v>
      </c>
      <c r="P70" s="242"/>
    </row>
    <row r="71" spans="2:16" ht="12.5">
      <c r="B71" s="160" t="str">
        <f t="shared" si="6"/>
        <v/>
      </c>
      <c r="C71" s="472">
        <f>IF(D11="","-",+C70+1)</f>
        <v>2063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4"/>
        <v>0</v>
      </c>
      <c r="G71" s="488">
        <f t="shared" si="15"/>
        <v>0</v>
      </c>
      <c r="H71" s="455">
        <f t="shared" si="16"/>
        <v>0</v>
      </c>
      <c r="I71" s="475">
        <f t="shared" si="17"/>
        <v>0</v>
      </c>
      <c r="J71" s="475"/>
      <c r="K71" s="487"/>
      <c r="L71" s="478">
        <f t="shared" si="18"/>
        <v>0</v>
      </c>
      <c r="M71" s="487"/>
      <c r="N71" s="478">
        <f t="shared" si="19"/>
        <v>0</v>
      </c>
      <c r="O71" s="478">
        <f t="shared" si="20"/>
        <v>0</v>
      </c>
      <c r="P71" s="242"/>
    </row>
    <row r="72" spans="2:16" ht="13" thickBot="1">
      <c r="B72" s="160" t="str">
        <f t="shared" si="6"/>
        <v/>
      </c>
      <c r="C72" s="489">
        <f>IF(D11="","-",+C71+1)</f>
        <v>2064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4"/>
        <v>0</v>
      </c>
      <c r="G72" s="492">
        <f t="shared" si="15"/>
        <v>0</v>
      </c>
      <c r="H72" s="435">
        <f t="shared" si="16"/>
        <v>0</v>
      </c>
      <c r="I72" s="493">
        <f t="shared" si="17"/>
        <v>0</v>
      </c>
      <c r="J72" s="475"/>
      <c r="K72" s="494"/>
      <c r="L72" s="495">
        <f t="shared" si="18"/>
        <v>0</v>
      </c>
      <c r="M72" s="494"/>
      <c r="N72" s="495">
        <f t="shared" si="19"/>
        <v>0</v>
      </c>
      <c r="O72" s="495">
        <f t="shared" si="20"/>
        <v>0</v>
      </c>
      <c r="P72" s="242"/>
    </row>
    <row r="73" spans="2:16" ht="12.5">
      <c r="C73" s="346" t="s">
        <v>77</v>
      </c>
      <c r="D73" s="347"/>
      <c r="E73" s="347">
        <f>SUM(E17:E72)</f>
        <v>11456064.999999996</v>
      </c>
      <c r="F73" s="347"/>
      <c r="G73" s="347">
        <f>SUM(G17:G72)</f>
        <v>42176155.371010937</v>
      </c>
      <c r="H73" s="347">
        <f>SUM(H17:H72)</f>
        <v>42176155.371010937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3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1310790.7332032048</v>
      </c>
      <c r="N87" s="508">
        <f>IF(J92&lt;D11,0,VLOOKUP(J92,C17:O72,11))</f>
        <v>1310790.7332032048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1221816.3299613127</v>
      </c>
      <c r="N88" s="512">
        <f>IF(J92&lt;D11,0,VLOOKUP(J92,C99:P154,7))</f>
        <v>1221816.3299613127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WFEC New 138 kV Ties: Sayre to Erick (WFEC) Line &amp; Atoka and Tupelo station work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-88974.403241892112</v>
      </c>
      <c r="N89" s="517">
        <f>+N88-N87</f>
        <v>-88974.403241892112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TP2006054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11456065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2009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10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279416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2009</v>
      </c>
      <c r="D99" s="473">
        <v>0</v>
      </c>
      <c r="E99" s="480">
        <v>26281</v>
      </c>
      <c r="F99" s="479">
        <v>8804059</v>
      </c>
      <c r="G99" s="537">
        <v>4402030</v>
      </c>
      <c r="H99" s="538">
        <v>669894</v>
      </c>
      <c r="I99" s="539">
        <v>669894</v>
      </c>
      <c r="J99" s="478">
        <f t="shared" ref="J99:J130" si="21">+I99-H99</f>
        <v>0</v>
      </c>
      <c r="K99" s="478"/>
      <c r="L99" s="554">
        <f t="shared" ref="L99:L104" si="22">H99</f>
        <v>669894</v>
      </c>
      <c r="M99" s="477">
        <f t="shared" ref="M99:M130" si="23">IF(L99&lt;&gt;0,+H99-L99,0)</f>
        <v>0</v>
      </c>
      <c r="N99" s="554">
        <f t="shared" ref="N99:N104" si="24">I99</f>
        <v>669894</v>
      </c>
      <c r="O99" s="477">
        <f t="shared" ref="O99:O130" si="25">IF(N99&lt;&gt;0,+I99-N99,0)</f>
        <v>0</v>
      </c>
      <c r="P99" s="477">
        <f t="shared" ref="P99:P130" si="26">+O99-M99</f>
        <v>0</v>
      </c>
    </row>
    <row r="100" spans="1:16" ht="12.5">
      <c r="B100" s="160" t="str">
        <f>IF(D100=F99,"","IU")</f>
        <v>IU</v>
      </c>
      <c r="C100" s="472">
        <f>IF(D93="","-",+C99+1)</f>
        <v>2010</v>
      </c>
      <c r="D100" s="473">
        <v>12205867</v>
      </c>
      <c r="E100" s="480">
        <v>239846</v>
      </c>
      <c r="F100" s="479">
        <v>11966021</v>
      </c>
      <c r="G100" s="479">
        <v>12085944</v>
      </c>
      <c r="H100" s="480">
        <v>2183449.7644146364</v>
      </c>
      <c r="I100" s="481">
        <v>2183449.7644146364</v>
      </c>
      <c r="J100" s="478">
        <f t="shared" si="21"/>
        <v>0</v>
      </c>
      <c r="K100" s="478"/>
      <c r="L100" s="540">
        <f t="shared" si="22"/>
        <v>2183449.7644146364</v>
      </c>
      <c r="M100" s="541">
        <f t="shared" si="23"/>
        <v>0</v>
      </c>
      <c r="N100" s="540">
        <f t="shared" si="24"/>
        <v>2183449.7644146364</v>
      </c>
      <c r="O100" s="478">
        <f t="shared" si="25"/>
        <v>0</v>
      </c>
      <c r="P100" s="478">
        <f t="shared" si="26"/>
        <v>0</v>
      </c>
    </row>
    <row r="101" spans="1:16" ht="12.5">
      <c r="B101" s="160" t="str">
        <f t="shared" ref="B101:B154" si="27">IF(D101=F100,"","IU")</f>
        <v/>
      </c>
      <c r="C101" s="472">
        <f>IF(D93="","-",+C100+1)</f>
        <v>2011</v>
      </c>
      <c r="D101" s="473">
        <v>11966021</v>
      </c>
      <c r="E101" s="480">
        <v>235234</v>
      </c>
      <c r="F101" s="479">
        <v>11730787</v>
      </c>
      <c r="G101" s="479">
        <v>11848404</v>
      </c>
      <c r="H101" s="480">
        <v>1891800.0972614796</v>
      </c>
      <c r="I101" s="481">
        <v>1891800.0972614796</v>
      </c>
      <c r="J101" s="478">
        <f t="shared" si="21"/>
        <v>0</v>
      </c>
      <c r="K101" s="478"/>
      <c r="L101" s="540">
        <f t="shared" si="22"/>
        <v>1891800.0972614796</v>
      </c>
      <c r="M101" s="541">
        <f t="shared" si="23"/>
        <v>0</v>
      </c>
      <c r="N101" s="540">
        <f t="shared" si="24"/>
        <v>1891800.0972614796</v>
      </c>
      <c r="O101" s="478">
        <f t="shared" si="25"/>
        <v>0</v>
      </c>
      <c r="P101" s="478">
        <f t="shared" si="26"/>
        <v>0</v>
      </c>
    </row>
    <row r="102" spans="1:16" ht="12.5">
      <c r="B102" s="160" t="str">
        <f t="shared" si="27"/>
        <v/>
      </c>
      <c r="C102" s="472">
        <f>IF(D93="","-",+C101+1)</f>
        <v>2012</v>
      </c>
      <c r="D102" s="473">
        <v>11730787</v>
      </c>
      <c r="E102" s="480">
        <v>235234</v>
      </c>
      <c r="F102" s="479">
        <v>11495553</v>
      </c>
      <c r="G102" s="479">
        <v>11613170</v>
      </c>
      <c r="H102" s="480">
        <v>1905852.1655461292</v>
      </c>
      <c r="I102" s="481">
        <v>1905852.1655461292</v>
      </c>
      <c r="J102" s="478">
        <v>0</v>
      </c>
      <c r="K102" s="478"/>
      <c r="L102" s="540">
        <f t="shared" si="22"/>
        <v>1905852.1655461292</v>
      </c>
      <c r="M102" s="541">
        <f t="shared" ref="M102:M107" si="28">IF(L102&lt;&gt;0,+H102-L102,0)</f>
        <v>0</v>
      </c>
      <c r="N102" s="540">
        <f t="shared" si="24"/>
        <v>1905852.1655461292</v>
      </c>
      <c r="O102" s="478">
        <f t="shared" ref="O102:O107" si="29">IF(N102&lt;&gt;0,+I102-N102,0)</f>
        <v>0</v>
      </c>
      <c r="P102" s="478">
        <f t="shared" ref="P102:P107" si="30">+O102-M102</f>
        <v>0</v>
      </c>
    </row>
    <row r="103" spans="1:16" ht="12.5">
      <c r="B103" s="160" t="str">
        <f t="shared" si="27"/>
        <v/>
      </c>
      <c r="C103" s="472">
        <f>IF(D93="","-",+C102+1)</f>
        <v>2013</v>
      </c>
      <c r="D103" s="473">
        <v>11495553</v>
      </c>
      <c r="E103" s="480">
        <v>235234</v>
      </c>
      <c r="F103" s="479">
        <v>11260319</v>
      </c>
      <c r="G103" s="479">
        <v>11377936</v>
      </c>
      <c r="H103" s="480">
        <v>1872969.4877104962</v>
      </c>
      <c r="I103" s="481">
        <v>1872969.4877104962</v>
      </c>
      <c r="J103" s="478">
        <v>0</v>
      </c>
      <c r="K103" s="478"/>
      <c r="L103" s="540">
        <f t="shared" si="22"/>
        <v>1872969.4877104962</v>
      </c>
      <c r="M103" s="541">
        <f t="shared" si="28"/>
        <v>0</v>
      </c>
      <c r="N103" s="540">
        <f t="shared" si="24"/>
        <v>1872969.4877104962</v>
      </c>
      <c r="O103" s="478">
        <f t="shared" si="29"/>
        <v>0</v>
      </c>
      <c r="P103" s="478">
        <f t="shared" si="30"/>
        <v>0</v>
      </c>
    </row>
    <row r="104" spans="1:16" ht="12.5">
      <c r="B104" s="160" t="str">
        <f t="shared" si="27"/>
        <v>IU</v>
      </c>
      <c r="C104" s="472">
        <f>IF(D93="","-",+C103+1)</f>
        <v>2014</v>
      </c>
      <c r="D104" s="473">
        <v>10484236</v>
      </c>
      <c r="E104" s="480">
        <v>220309</v>
      </c>
      <c r="F104" s="479">
        <v>10263927</v>
      </c>
      <c r="G104" s="479">
        <v>10374081.5</v>
      </c>
      <c r="H104" s="480">
        <v>1678862.4521722798</v>
      </c>
      <c r="I104" s="481">
        <v>1678862.4521722798</v>
      </c>
      <c r="J104" s="478">
        <v>0</v>
      </c>
      <c r="K104" s="478"/>
      <c r="L104" s="540">
        <f t="shared" si="22"/>
        <v>1678862.4521722798</v>
      </c>
      <c r="M104" s="541">
        <f t="shared" si="28"/>
        <v>0</v>
      </c>
      <c r="N104" s="540">
        <f t="shared" si="24"/>
        <v>1678862.4521722798</v>
      </c>
      <c r="O104" s="478">
        <f t="shared" si="29"/>
        <v>0</v>
      </c>
      <c r="P104" s="478">
        <f t="shared" si="30"/>
        <v>0</v>
      </c>
    </row>
    <row r="105" spans="1:16" ht="12.5">
      <c r="B105" s="160" t="str">
        <f t="shared" si="27"/>
        <v/>
      </c>
      <c r="C105" s="472">
        <f>IF(D93="","-",+C104+1)</f>
        <v>2015</v>
      </c>
      <c r="D105" s="473">
        <v>10263927</v>
      </c>
      <c r="E105" s="480">
        <v>220309</v>
      </c>
      <c r="F105" s="479">
        <v>10043618</v>
      </c>
      <c r="G105" s="479">
        <v>10153772.5</v>
      </c>
      <c r="H105" s="480">
        <v>1605709.6172709188</v>
      </c>
      <c r="I105" s="481">
        <v>1605709.6172709188</v>
      </c>
      <c r="J105" s="478">
        <f t="shared" si="21"/>
        <v>0</v>
      </c>
      <c r="K105" s="478"/>
      <c r="L105" s="540">
        <f>H105</f>
        <v>1605709.6172709188</v>
      </c>
      <c r="M105" s="541">
        <f t="shared" si="28"/>
        <v>0</v>
      </c>
      <c r="N105" s="540">
        <f>I105</f>
        <v>1605709.6172709188</v>
      </c>
      <c r="O105" s="478">
        <f t="shared" si="29"/>
        <v>0</v>
      </c>
      <c r="P105" s="478">
        <f t="shared" si="30"/>
        <v>0</v>
      </c>
    </row>
    <row r="106" spans="1:16" ht="12.5">
      <c r="B106" s="160" t="str">
        <f t="shared" si="27"/>
        <v/>
      </c>
      <c r="C106" s="472">
        <f>IF(D93="","-",+C105+1)</f>
        <v>2016</v>
      </c>
      <c r="D106" s="473">
        <v>10043618</v>
      </c>
      <c r="E106" s="480">
        <v>249045</v>
      </c>
      <c r="F106" s="479">
        <v>9794573</v>
      </c>
      <c r="G106" s="479">
        <v>9919095.5</v>
      </c>
      <c r="H106" s="480">
        <v>1527772.6245386968</v>
      </c>
      <c r="I106" s="481">
        <v>1527772.6245386968</v>
      </c>
      <c r="J106" s="478">
        <f t="shared" si="21"/>
        <v>0</v>
      </c>
      <c r="K106" s="478"/>
      <c r="L106" s="540">
        <f>H106</f>
        <v>1527772.6245386968</v>
      </c>
      <c r="M106" s="541">
        <f t="shared" si="28"/>
        <v>0</v>
      </c>
      <c r="N106" s="540">
        <f>I106</f>
        <v>1527772.6245386968</v>
      </c>
      <c r="O106" s="478">
        <f t="shared" si="29"/>
        <v>0</v>
      </c>
      <c r="P106" s="478">
        <f t="shared" si="30"/>
        <v>0</v>
      </c>
    </row>
    <row r="107" spans="1:16" ht="12.5">
      <c r="B107" s="160" t="str">
        <f t="shared" si="27"/>
        <v/>
      </c>
      <c r="C107" s="472">
        <f>IF(D93="","-",+C106+1)</f>
        <v>2017</v>
      </c>
      <c r="D107" s="473">
        <v>9794573</v>
      </c>
      <c r="E107" s="480">
        <v>249045</v>
      </c>
      <c r="F107" s="479">
        <v>9545528</v>
      </c>
      <c r="G107" s="479">
        <v>9670050.5</v>
      </c>
      <c r="H107" s="480">
        <v>1475715.2889659985</v>
      </c>
      <c r="I107" s="481">
        <v>1475715.2889659985</v>
      </c>
      <c r="J107" s="478">
        <f t="shared" si="21"/>
        <v>0</v>
      </c>
      <c r="K107" s="478"/>
      <c r="L107" s="540">
        <f>H107</f>
        <v>1475715.2889659985</v>
      </c>
      <c r="M107" s="541">
        <f t="shared" si="28"/>
        <v>0</v>
      </c>
      <c r="N107" s="540">
        <f>I107</f>
        <v>1475715.2889659985</v>
      </c>
      <c r="O107" s="478">
        <f t="shared" si="29"/>
        <v>0</v>
      </c>
      <c r="P107" s="478">
        <f t="shared" si="30"/>
        <v>0</v>
      </c>
    </row>
    <row r="108" spans="1:16" ht="12.5">
      <c r="B108" s="160" t="str">
        <f t="shared" si="27"/>
        <v/>
      </c>
      <c r="C108" s="472">
        <f>IF(D93="","-",+C107+1)</f>
        <v>2018</v>
      </c>
      <c r="D108" s="473">
        <v>9545528</v>
      </c>
      <c r="E108" s="480">
        <v>266420</v>
      </c>
      <c r="F108" s="479">
        <v>9279108</v>
      </c>
      <c r="G108" s="479">
        <v>9412318</v>
      </c>
      <c r="H108" s="480">
        <v>1233399.824885203</v>
      </c>
      <c r="I108" s="481">
        <v>1233399.824885203</v>
      </c>
      <c r="J108" s="478">
        <f t="shared" si="21"/>
        <v>0</v>
      </c>
      <c r="K108" s="478"/>
      <c r="L108" s="540">
        <f>H108</f>
        <v>1233399.824885203</v>
      </c>
      <c r="M108" s="541">
        <f t="shared" ref="M108" si="31">IF(L108&lt;&gt;0,+H108-L108,0)</f>
        <v>0</v>
      </c>
      <c r="N108" s="540">
        <f>I108</f>
        <v>1233399.824885203</v>
      </c>
      <c r="O108" s="478">
        <f t="shared" ref="O108" si="32">IF(N108&lt;&gt;0,+I108-N108,0)</f>
        <v>0</v>
      </c>
      <c r="P108" s="478">
        <f t="shared" ref="P108" si="33">+O108-M108</f>
        <v>0</v>
      </c>
    </row>
    <row r="109" spans="1:16" ht="12.5">
      <c r="B109" s="160" t="str">
        <f t="shared" si="27"/>
        <v/>
      </c>
      <c r="C109" s="472">
        <f>IF(D93="","-",+C108+1)</f>
        <v>2019</v>
      </c>
      <c r="D109" s="346">
        <f>IF(F108+SUM(E$99:E108)=D$92,F108,D$92-SUM(E$99:E108))</f>
        <v>9279108</v>
      </c>
      <c r="E109" s="486">
        <f>IF(+J96&lt;F108,J96,D109)</f>
        <v>279416</v>
      </c>
      <c r="F109" s="485">
        <f t="shared" ref="F109:F130" si="34">+D109-E109</f>
        <v>8999692</v>
      </c>
      <c r="G109" s="485">
        <f t="shared" ref="G109:G130" si="35">+(F109+D109)/2</f>
        <v>9139400</v>
      </c>
      <c r="H109" s="488">
        <f t="shared" ref="H109:H154" si="36">+J$94*G109+E109</f>
        <v>1221816.3299613127</v>
      </c>
      <c r="I109" s="542">
        <f t="shared" ref="I109:I154" si="37">+J$95*G109+E109</f>
        <v>1221816.3299613127</v>
      </c>
      <c r="J109" s="478">
        <f t="shared" si="21"/>
        <v>0</v>
      </c>
      <c r="K109" s="478"/>
      <c r="L109" s="487"/>
      <c r="M109" s="478">
        <f t="shared" si="23"/>
        <v>0</v>
      </c>
      <c r="N109" s="487"/>
      <c r="O109" s="478">
        <f t="shared" si="25"/>
        <v>0</v>
      </c>
      <c r="P109" s="478">
        <f t="shared" si="26"/>
        <v>0</v>
      </c>
    </row>
    <row r="110" spans="1:16" ht="12.5">
      <c r="B110" s="160" t="str">
        <f t="shared" si="27"/>
        <v/>
      </c>
      <c r="C110" s="472">
        <f>IF(D93="","-",+C109+1)</f>
        <v>2020</v>
      </c>
      <c r="D110" s="346">
        <f>IF(F109+SUM(E$99:E109)=D$92,F109,D$92-SUM(E$99:E109))</f>
        <v>8999692</v>
      </c>
      <c r="E110" s="486">
        <f>IF(+J96&lt;F109,J96,D110)</f>
        <v>279416</v>
      </c>
      <c r="F110" s="485">
        <f t="shared" si="34"/>
        <v>8720276</v>
      </c>
      <c r="G110" s="485">
        <f t="shared" si="35"/>
        <v>8859984</v>
      </c>
      <c r="H110" s="488">
        <f t="shared" si="36"/>
        <v>1193004.6212499673</v>
      </c>
      <c r="I110" s="542">
        <f t="shared" si="37"/>
        <v>1193004.6212499673</v>
      </c>
      <c r="J110" s="478">
        <f t="shared" si="21"/>
        <v>0</v>
      </c>
      <c r="K110" s="478"/>
      <c r="L110" s="487"/>
      <c r="M110" s="478">
        <f t="shared" si="23"/>
        <v>0</v>
      </c>
      <c r="N110" s="487"/>
      <c r="O110" s="478">
        <f t="shared" si="25"/>
        <v>0</v>
      </c>
      <c r="P110" s="478">
        <f t="shared" si="26"/>
        <v>0</v>
      </c>
    </row>
    <row r="111" spans="1:16" ht="12.5">
      <c r="B111" s="160" t="str">
        <f t="shared" si="27"/>
        <v/>
      </c>
      <c r="C111" s="472">
        <f>IF(D93="","-",+C110+1)</f>
        <v>2021</v>
      </c>
      <c r="D111" s="346">
        <f>IF(F110+SUM(E$99:E110)=D$92,F110,D$92-SUM(E$99:E110))</f>
        <v>8720276</v>
      </c>
      <c r="E111" s="486">
        <f>IF(+J96&lt;F110,J96,D111)</f>
        <v>279416</v>
      </c>
      <c r="F111" s="485">
        <f t="shared" si="34"/>
        <v>8440860</v>
      </c>
      <c r="G111" s="485">
        <f t="shared" si="35"/>
        <v>8580568</v>
      </c>
      <c r="H111" s="488">
        <f t="shared" si="36"/>
        <v>1164192.912538622</v>
      </c>
      <c r="I111" s="542">
        <f t="shared" si="37"/>
        <v>1164192.912538622</v>
      </c>
      <c r="J111" s="478">
        <f t="shared" si="21"/>
        <v>0</v>
      </c>
      <c r="K111" s="478"/>
      <c r="L111" s="487"/>
      <c r="M111" s="478">
        <f t="shared" si="23"/>
        <v>0</v>
      </c>
      <c r="N111" s="487"/>
      <c r="O111" s="478">
        <f t="shared" si="25"/>
        <v>0</v>
      </c>
      <c r="P111" s="478">
        <f t="shared" si="26"/>
        <v>0</v>
      </c>
    </row>
    <row r="112" spans="1:16" ht="12.5">
      <c r="B112" s="160" t="str">
        <f t="shared" si="27"/>
        <v/>
      </c>
      <c r="C112" s="472">
        <f>IF(D93="","-",+C111+1)</f>
        <v>2022</v>
      </c>
      <c r="D112" s="346">
        <f>IF(F111+SUM(E$99:E111)=D$92,F111,D$92-SUM(E$99:E111))</f>
        <v>8440860</v>
      </c>
      <c r="E112" s="486">
        <f>IF(+J96&lt;F111,J96,D112)</f>
        <v>279416</v>
      </c>
      <c r="F112" s="485">
        <f t="shared" si="34"/>
        <v>8161444</v>
      </c>
      <c r="G112" s="485">
        <f t="shared" si="35"/>
        <v>8301152</v>
      </c>
      <c r="H112" s="488">
        <f t="shared" si="36"/>
        <v>1135381.2038272766</v>
      </c>
      <c r="I112" s="542">
        <f t="shared" si="37"/>
        <v>1135381.2038272766</v>
      </c>
      <c r="J112" s="478">
        <f t="shared" si="21"/>
        <v>0</v>
      </c>
      <c r="K112" s="478"/>
      <c r="L112" s="487"/>
      <c r="M112" s="478">
        <f t="shared" si="23"/>
        <v>0</v>
      </c>
      <c r="N112" s="487"/>
      <c r="O112" s="478">
        <f t="shared" si="25"/>
        <v>0</v>
      </c>
      <c r="P112" s="478">
        <f t="shared" si="26"/>
        <v>0</v>
      </c>
    </row>
    <row r="113" spans="2:16" ht="12.5">
      <c r="B113" s="160" t="str">
        <f t="shared" si="27"/>
        <v/>
      </c>
      <c r="C113" s="472">
        <f>IF(D93="","-",+C112+1)</f>
        <v>2023</v>
      </c>
      <c r="D113" s="346">
        <f>IF(F112+SUM(E$99:E112)=D$92,F112,D$92-SUM(E$99:E112))</f>
        <v>8161444</v>
      </c>
      <c r="E113" s="486">
        <f>IF(+J96&lt;F112,J96,D113)</f>
        <v>279416</v>
      </c>
      <c r="F113" s="485">
        <f t="shared" si="34"/>
        <v>7882028</v>
      </c>
      <c r="G113" s="485">
        <f t="shared" si="35"/>
        <v>8021736</v>
      </c>
      <c r="H113" s="488">
        <f t="shared" si="36"/>
        <v>1106569.4951159311</v>
      </c>
      <c r="I113" s="542">
        <f t="shared" si="37"/>
        <v>1106569.4951159311</v>
      </c>
      <c r="J113" s="478">
        <f t="shared" si="21"/>
        <v>0</v>
      </c>
      <c r="K113" s="478"/>
      <c r="L113" s="487"/>
      <c r="M113" s="478">
        <f t="shared" si="23"/>
        <v>0</v>
      </c>
      <c r="N113" s="487"/>
      <c r="O113" s="478">
        <f t="shared" si="25"/>
        <v>0</v>
      </c>
      <c r="P113" s="478">
        <f t="shared" si="26"/>
        <v>0</v>
      </c>
    </row>
    <row r="114" spans="2:16" ht="12.5">
      <c r="B114" s="160" t="str">
        <f t="shared" si="27"/>
        <v/>
      </c>
      <c r="C114" s="472">
        <f>IF(D93="","-",+C113+1)</f>
        <v>2024</v>
      </c>
      <c r="D114" s="346">
        <f>IF(F113+SUM(E$99:E113)=D$92,F113,D$92-SUM(E$99:E113))</f>
        <v>7882028</v>
      </c>
      <c r="E114" s="486">
        <f>IF(+J96&lt;F113,J96,D114)</f>
        <v>279416</v>
      </c>
      <c r="F114" s="485">
        <f t="shared" si="34"/>
        <v>7602612</v>
      </c>
      <c r="G114" s="485">
        <f t="shared" si="35"/>
        <v>7742320</v>
      </c>
      <c r="H114" s="488">
        <f t="shared" si="36"/>
        <v>1077757.7864045857</v>
      </c>
      <c r="I114" s="542">
        <f t="shared" si="37"/>
        <v>1077757.7864045857</v>
      </c>
      <c r="J114" s="478">
        <f t="shared" si="21"/>
        <v>0</v>
      </c>
      <c r="K114" s="478"/>
      <c r="L114" s="487"/>
      <c r="M114" s="478">
        <f t="shared" si="23"/>
        <v>0</v>
      </c>
      <c r="N114" s="487"/>
      <c r="O114" s="478">
        <f t="shared" si="25"/>
        <v>0</v>
      </c>
      <c r="P114" s="478">
        <f t="shared" si="26"/>
        <v>0</v>
      </c>
    </row>
    <row r="115" spans="2:16" ht="12.5">
      <c r="B115" s="160" t="str">
        <f t="shared" si="27"/>
        <v/>
      </c>
      <c r="C115" s="472">
        <f>IF(D93="","-",+C114+1)</f>
        <v>2025</v>
      </c>
      <c r="D115" s="346">
        <f>IF(F114+SUM(E$99:E114)=D$92,F114,D$92-SUM(E$99:E114))</f>
        <v>7602612</v>
      </c>
      <c r="E115" s="486">
        <f>IF(+J96&lt;F114,J96,D115)</f>
        <v>279416</v>
      </c>
      <c r="F115" s="485">
        <f t="shared" si="34"/>
        <v>7323196</v>
      </c>
      <c r="G115" s="485">
        <f t="shared" si="35"/>
        <v>7462904</v>
      </c>
      <c r="H115" s="488">
        <f t="shared" si="36"/>
        <v>1048946.0776932403</v>
      </c>
      <c r="I115" s="542">
        <f t="shared" si="37"/>
        <v>1048946.0776932403</v>
      </c>
      <c r="J115" s="478">
        <f t="shared" si="21"/>
        <v>0</v>
      </c>
      <c r="K115" s="478"/>
      <c r="L115" s="487"/>
      <c r="M115" s="478">
        <f t="shared" si="23"/>
        <v>0</v>
      </c>
      <c r="N115" s="487"/>
      <c r="O115" s="478">
        <f t="shared" si="25"/>
        <v>0</v>
      </c>
      <c r="P115" s="478">
        <f t="shared" si="26"/>
        <v>0</v>
      </c>
    </row>
    <row r="116" spans="2:16" ht="12.5">
      <c r="B116" s="160" t="str">
        <f t="shared" si="27"/>
        <v/>
      </c>
      <c r="C116" s="472">
        <f>IF(D93="","-",+C115+1)</f>
        <v>2026</v>
      </c>
      <c r="D116" s="346">
        <f>IF(F115+SUM(E$99:E115)=D$92,F115,D$92-SUM(E$99:E115))</f>
        <v>7323196</v>
      </c>
      <c r="E116" s="486">
        <f>IF(+J96&lt;F115,J96,D116)</f>
        <v>279416</v>
      </c>
      <c r="F116" s="485">
        <f t="shared" si="34"/>
        <v>7043780</v>
      </c>
      <c r="G116" s="485">
        <f t="shared" si="35"/>
        <v>7183488</v>
      </c>
      <c r="H116" s="488">
        <f t="shared" si="36"/>
        <v>1020134.3689818949</v>
      </c>
      <c r="I116" s="542">
        <f t="shared" si="37"/>
        <v>1020134.3689818949</v>
      </c>
      <c r="J116" s="478">
        <f t="shared" si="21"/>
        <v>0</v>
      </c>
      <c r="K116" s="478"/>
      <c r="L116" s="487"/>
      <c r="M116" s="478">
        <f t="shared" si="23"/>
        <v>0</v>
      </c>
      <c r="N116" s="487"/>
      <c r="O116" s="478">
        <f t="shared" si="25"/>
        <v>0</v>
      </c>
      <c r="P116" s="478">
        <f t="shared" si="26"/>
        <v>0</v>
      </c>
    </row>
    <row r="117" spans="2:16" ht="12.5">
      <c r="B117" s="160" t="str">
        <f t="shared" si="27"/>
        <v/>
      </c>
      <c r="C117" s="472">
        <f>IF(D93="","-",+C116+1)</f>
        <v>2027</v>
      </c>
      <c r="D117" s="346">
        <f>IF(F116+SUM(E$99:E116)=D$92,F116,D$92-SUM(E$99:E116))</f>
        <v>7043780</v>
      </c>
      <c r="E117" s="486">
        <f>IF(+J96&lt;F116,J96,D117)</f>
        <v>279416</v>
      </c>
      <c r="F117" s="485">
        <f t="shared" si="34"/>
        <v>6764364</v>
      </c>
      <c r="G117" s="485">
        <f t="shared" si="35"/>
        <v>6904072</v>
      </c>
      <c r="H117" s="488">
        <f t="shared" si="36"/>
        <v>991322.66027054947</v>
      </c>
      <c r="I117" s="542">
        <f t="shared" si="37"/>
        <v>991322.66027054947</v>
      </c>
      <c r="J117" s="478">
        <f t="shared" si="21"/>
        <v>0</v>
      </c>
      <c r="K117" s="478"/>
      <c r="L117" s="487"/>
      <c r="M117" s="478">
        <f t="shared" si="23"/>
        <v>0</v>
      </c>
      <c r="N117" s="487"/>
      <c r="O117" s="478">
        <f t="shared" si="25"/>
        <v>0</v>
      </c>
      <c r="P117" s="478">
        <f t="shared" si="26"/>
        <v>0</v>
      </c>
    </row>
    <row r="118" spans="2:16" ht="12.5">
      <c r="B118" s="160" t="str">
        <f t="shared" si="27"/>
        <v/>
      </c>
      <c r="C118" s="472">
        <f>IF(D93="","-",+C117+1)</f>
        <v>2028</v>
      </c>
      <c r="D118" s="346">
        <f>IF(F117+SUM(E$99:E117)=D$92,F117,D$92-SUM(E$99:E117))</f>
        <v>6764364</v>
      </c>
      <c r="E118" s="486">
        <f>IF(+J96&lt;F117,J96,D118)</f>
        <v>279416</v>
      </c>
      <c r="F118" s="485">
        <f t="shared" si="34"/>
        <v>6484948</v>
      </c>
      <c r="G118" s="485">
        <f t="shared" si="35"/>
        <v>6624656</v>
      </c>
      <c r="H118" s="488">
        <f t="shared" si="36"/>
        <v>962510.95155920414</v>
      </c>
      <c r="I118" s="542">
        <f t="shared" si="37"/>
        <v>962510.95155920414</v>
      </c>
      <c r="J118" s="478">
        <f t="shared" si="21"/>
        <v>0</v>
      </c>
      <c r="K118" s="478"/>
      <c r="L118" s="487"/>
      <c r="M118" s="478">
        <f t="shared" si="23"/>
        <v>0</v>
      </c>
      <c r="N118" s="487"/>
      <c r="O118" s="478">
        <f t="shared" si="25"/>
        <v>0</v>
      </c>
      <c r="P118" s="478">
        <f t="shared" si="26"/>
        <v>0</v>
      </c>
    </row>
    <row r="119" spans="2:16" ht="12.5">
      <c r="B119" s="160" t="str">
        <f t="shared" si="27"/>
        <v/>
      </c>
      <c r="C119" s="472">
        <f>IF(D93="","-",+C118+1)</f>
        <v>2029</v>
      </c>
      <c r="D119" s="346">
        <f>IF(F118+SUM(E$99:E118)=D$92,F118,D$92-SUM(E$99:E118))</f>
        <v>6484948</v>
      </c>
      <c r="E119" s="486">
        <f>IF(+J96&lt;F118,J96,D119)</f>
        <v>279416</v>
      </c>
      <c r="F119" s="485">
        <f t="shared" si="34"/>
        <v>6205532</v>
      </c>
      <c r="G119" s="485">
        <f t="shared" si="35"/>
        <v>6345240</v>
      </c>
      <c r="H119" s="488">
        <f t="shared" si="36"/>
        <v>933699.2428478587</v>
      </c>
      <c r="I119" s="542">
        <f t="shared" si="37"/>
        <v>933699.2428478587</v>
      </c>
      <c r="J119" s="478">
        <f t="shared" si="21"/>
        <v>0</v>
      </c>
      <c r="K119" s="478"/>
      <c r="L119" s="487"/>
      <c r="M119" s="478">
        <f t="shared" si="23"/>
        <v>0</v>
      </c>
      <c r="N119" s="487"/>
      <c r="O119" s="478">
        <f t="shared" si="25"/>
        <v>0</v>
      </c>
      <c r="P119" s="478">
        <f t="shared" si="26"/>
        <v>0</v>
      </c>
    </row>
    <row r="120" spans="2:16" ht="12.5">
      <c r="B120" s="160" t="str">
        <f t="shared" si="27"/>
        <v/>
      </c>
      <c r="C120" s="472">
        <f>IF(D93="","-",+C119+1)</f>
        <v>2030</v>
      </c>
      <c r="D120" s="346">
        <f>IF(F119+SUM(E$99:E119)=D$92,F119,D$92-SUM(E$99:E119))</f>
        <v>6205532</v>
      </c>
      <c r="E120" s="486">
        <f>IF(+J96&lt;F119,J96,D120)</f>
        <v>279416</v>
      </c>
      <c r="F120" s="485">
        <f t="shared" si="34"/>
        <v>5926116</v>
      </c>
      <c r="G120" s="485">
        <f t="shared" si="35"/>
        <v>6065824</v>
      </c>
      <c r="H120" s="488">
        <f t="shared" si="36"/>
        <v>904887.53413651336</v>
      </c>
      <c r="I120" s="542">
        <f t="shared" si="37"/>
        <v>904887.53413651336</v>
      </c>
      <c r="J120" s="478">
        <f t="shared" si="21"/>
        <v>0</v>
      </c>
      <c r="K120" s="478"/>
      <c r="L120" s="487"/>
      <c r="M120" s="478">
        <f t="shared" si="23"/>
        <v>0</v>
      </c>
      <c r="N120" s="487"/>
      <c r="O120" s="478">
        <f t="shared" si="25"/>
        <v>0</v>
      </c>
      <c r="P120" s="478">
        <f t="shared" si="26"/>
        <v>0</v>
      </c>
    </row>
    <row r="121" spans="2:16" ht="12.5">
      <c r="B121" s="160" t="str">
        <f t="shared" si="27"/>
        <v/>
      </c>
      <c r="C121" s="472">
        <f>IF(D93="","-",+C120+1)</f>
        <v>2031</v>
      </c>
      <c r="D121" s="346">
        <f>IF(F120+SUM(E$99:E120)=D$92,F120,D$92-SUM(E$99:E120))</f>
        <v>5926116</v>
      </c>
      <c r="E121" s="486">
        <f>IF(+J96&lt;F120,J96,D121)</f>
        <v>279416</v>
      </c>
      <c r="F121" s="485">
        <f t="shared" si="34"/>
        <v>5646700</v>
      </c>
      <c r="G121" s="485">
        <f t="shared" si="35"/>
        <v>5786408</v>
      </c>
      <c r="H121" s="488">
        <f t="shared" si="36"/>
        <v>876075.82542516792</v>
      </c>
      <c r="I121" s="542">
        <f t="shared" si="37"/>
        <v>876075.82542516792</v>
      </c>
      <c r="J121" s="478">
        <f t="shared" si="21"/>
        <v>0</v>
      </c>
      <c r="K121" s="478"/>
      <c r="L121" s="487"/>
      <c r="M121" s="478">
        <f t="shared" si="23"/>
        <v>0</v>
      </c>
      <c r="N121" s="487"/>
      <c r="O121" s="478">
        <f t="shared" si="25"/>
        <v>0</v>
      </c>
      <c r="P121" s="478">
        <f t="shared" si="26"/>
        <v>0</v>
      </c>
    </row>
    <row r="122" spans="2:16" ht="12.5">
      <c r="B122" s="160" t="str">
        <f t="shared" si="27"/>
        <v/>
      </c>
      <c r="C122" s="472">
        <f>IF(D93="","-",+C121+1)</f>
        <v>2032</v>
      </c>
      <c r="D122" s="346">
        <f>IF(F121+SUM(E$99:E121)=D$92,F121,D$92-SUM(E$99:E121))</f>
        <v>5646700</v>
      </c>
      <c r="E122" s="486">
        <f>IF(+J96&lt;F121,J96,D122)</f>
        <v>279416</v>
      </c>
      <c r="F122" s="485">
        <f t="shared" si="34"/>
        <v>5367284</v>
      </c>
      <c r="G122" s="485">
        <f t="shared" si="35"/>
        <v>5506992</v>
      </c>
      <c r="H122" s="488">
        <f t="shared" si="36"/>
        <v>847264.11671382247</v>
      </c>
      <c r="I122" s="542">
        <f t="shared" si="37"/>
        <v>847264.11671382247</v>
      </c>
      <c r="J122" s="478">
        <f t="shared" si="21"/>
        <v>0</v>
      </c>
      <c r="K122" s="478"/>
      <c r="L122" s="487"/>
      <c r="M122" s="478">
        <f t="shared" si="23"/>
        <v>0</v>
      </c>
      <c r="N122" s="487"/>
      <c r="O122" s="478">
        <f t="shared" si="25"/>
        <v>0</v>
      </c>
      <c r="P122" s="478">
        <f t="shared" si="26"/>
        <v>0</v>
      </c>
    </row>
    <row r="123" spans="2:16" ht="12.5">
      <c r="B123" s="160" t="str">
        <f t="shared" si="27"/>
        <v/>
      </c>
      <c r="C123" s="472">
        <f>IF(D93="","-",+C122+1)</f>
        <v>2033</v>
      </c>
      <c r="D123" s="346">
        <f>IF(F122+SUM(E$99:E122)=D$92,F122,D$92-SUM(E$99:E122))</f>
        <v>5367284</v>
      </c>
      <c r="E123" s="486">
        <f>IF(+J96&lt;F122,J96,D123)</f>
        <v>279416</v>
      </c>
      <c r="F123" s="485">
        <f t="shared" si="34"/>
        <v>5087868</v>
      </c>
      <c r="G123" s="485">
        <f t="shared" si="35"/>
        <v>5227576</v>
      </c>
      <c r="H123" s="488">
        <f t="shared" si="36"/>
        <v>818452.40800247714</v>
      </c>
      <c r="I123" s="542">
        <f t="shared" si="37"/>
        <v>818452.40800247714</v>
      </c>
      <c r="J123" s="478">
        <f t="shared" si="21"/>
        <v>0</v>
      </c>
      <c r="K123" s="478"/>
      <c r="L123" s="487"/>
      <c r="M123" s="478">
        <f t="shared" si="23"/>
        <v>0</v>
      </c>
      <c r="N123" s="487"/>
      <c r="O123" s="478">
        <f t="shared" si="25"/>
        <v>0</v>
      </c>
      <c r="P123" s="478">
        <f t="shared" si="26"/>
        <v>0</v>
      </c>
    </row>
    <row r="124" spans="2:16" ht="12.5">
      <c r="B124" s="160" t="str">
        <f t="shared" si="27"/>
        <v/>
      </c>
      <c r="C124" s="472">
        <f>IF(D93="","-",+C123+1)</f>
        <v>2034</v>
      </c>
      <c r="D124" s="346">
        <f>IF(F123+SUM(E$99:E123)=D$92,F123,D$92-SUM(E$99:E123))</f>
        <v>5087868</v>
      </c>
      <c r="E124" s="486">
        <f>IF(+J96&lt;F123,J96,D124)</f>
        <v>279416</v>
      </c>
      <c r="F124" s="485">
        <f t="shared" si="34"/>
        <v>4808452</v>
      </c>
      <c r="G124" s="485">
        <f t="shared" si="35"/>
        <v>4948160</v>
      </c>
      <c r="H124" s="488">
        <f t="shared" si="36"/>
        <v>789640.69929113169</v>
      </c>
      <c r="I124" s="542">
        <f t="shared" si="37"/>
        <v>789640.69929113169</v>
      </c>
      <c r="J124" s="478">
        <f t="shared" si="21"/>
        <v>0</v>
      </c>
      <c r="K124" s="478"/>
      <c r="L124" s="487"/>
      <c r="M124" s="478">
        <f t="shared" si="23"/>
        <v>0</v>
      </c>
      <c r="N124" s="487"/>
      <c r="O124" s="478">
        <f t="shared" si="25"/>
        <v>0</v>
      </c>
      <c r="P124" s="478">
        <f t="shared" si="26"/>
        <v>0</v>
      </c>
    </row>
    <row r="125" spans="2:16" ht="12.5">
      <c r="B125" s="160" t="str">
        <f t="shared" si="27"/>
        <v/>
      </c>
      <c r="C125" s="472">
        <f>IF(D93="","-",+C124+1)</f>
        <v>2035</v>
      </c>
      <c r="D125" s="346">
        <f>IF(F124+SUM(E$99:E124)=D$92,F124,D$92-SUM(E$99:E124))</f>
        <v>4808452</v>
      </c>
      <c r="E125" s="486">
        <f>IF(+J96&lt;F124,J96,D125)</f>
        <v>279416</v>
      </c>
      <c r="F125" s="485">
        <f t="shared" si="34"/>
        <v>4529036</v>
      </c>
      <c r="G125" s="485">
        <f t="shared" si="35"/>
        <v>4668744</v>
      </c>
      <c r="H125" s="488">
        <f t="shared" si="36"/>
        <v>760828.99057978624</v>
      </c>
      <c r="I125" s="542">
        <f t="shared" si="37"/>
        <v>760828.99057978624</v>
      </c>
      <c r="J125" s="478">
        <f t="shared" si="21"/>
        <v>0</v>
      </c>
      <c r="K125" s="478"/>
      <c r="L125" s="487"/>
      <c r="M125" s="478">
        <f t="shared" si="23"/>
        <v>0</v>
      </c>
      <c r="N125" s="487"/>
      <c r="O125" s="478">
        <f t="shared" si="25"/>
        <v>0</v>
      </c>
      <c r="P125" s="478">
        <f t="shared" si="26"/>
        <v>0</v>
      </c>
    </row>
    <row r="126" spans="2:16" ht="12.5">
      <c r="B126" s="160" t="str">
        <f t="shared" si="27"/>
        <v/>
      </c>
      <c r="C126" s="472">
        <f>IF(D93="","-",+C125+1)</f>
        <v>2036</v>
      </c>
      <c r="D126" s="346">
        <f>IF(F125+SUM(E$99:E125)=D$92,F125,D$92-SUM(E$99:E125))</f>
        <v>4529036</v>
      </c>
      <c r="E126" s="486">
        <f>IF(+J96&lt;F125,J96,D126)</f>
        <v>279416</v>
      </c>
      <c r="F126" s="485">
        <f t="shared" si="34"/>
        <v>4249620</v>
      </c>
      <c r="G126" s="485">
        <f t="shared" si="35"/>
        <v>4389328</v>
      </c>
      <c r="H126" s="488">
        <f t="shared" si="36"/>
        <v>732017.28186844091</v>
      </c>
      <c r="I126" s="542">
        <f t="shared" si="37"/>
        <v>732017.28186844091</v>
      </c>
      <c r="J126" s="478">
        <f t="shared" si="21"/>
        <v>0</v>
      </c>
      <c r="K126" s="478"/>
      <c r="L126" s="487"/>
      <c r="M126" s="478">
        <f t="shared" si="23"/>
        <v>0</v>
      </c>
      <c r="N126" s="487"/>
      <c r="O126" s="478">
        <f t="shared" si="25"/>
        <v>0</v>
      </c>
      <c r="P126" s="478">
        <f t="shared" si="26"/>
        <v>0</v>
      </c>
    </row>
    <row r="127" spans="2:16" ht="12.5">
      <c r="B127" s="160" t="str">
        <f t="shared" si="27"/>
        <v/>
      </c>
      <c r="C127" s="472">
        <f>IF(D93="","-",+C126+1)</f>
        <v>2037</v>
      </c>
      <c r="D127" s="346">
        <f>IF(F126+SUM(E$99:E126)=D$92,F126,D$92-SUM(E$99:E126))</f>
        <v>4249620</v>
      </c>
      <c r="E127" s="486">
        <f>IF(+J96&lt;F126,J96,D127)</f>
        <v>279416</v>
      </c>
      <c r="F127" s="485">
        <f t="shared" si="34"/>
        <v>3970204</v>
      </c>
      <c r="G127" s="485">
        <f t="shared" si="35"/>
        <v>4109912</v>
      </c>
      <c r="H127" s="488">
        <f t="shared" si="36"/>
        <v>703205.57315709558</v>
      </c>
      <c r="I127" s="542">
        <f t="shared" si="37"/>
        <v>703205.57315709558</v>
      </c>
      <c r="J127" s="478">
        <f t="shared" si="21"/>
        <v>0</v>
      </c>
      <c r="K127" s="478"/>
      <c r="L127" s="487"/>
      <c r="M127" s="478">
        <f t="shared" si="23"/>
        <v>0</v>
      </c>
      <c r="N127" s="487"/>
      <c r="O127" s="478">
        <f t="shared" si="25"/>
        <v>0</v>
      </c>
      <c r="P127" s="478">
        <f t="shared" si="26"/>
        <v>0</v>
      </c>
    </row>
    <row r="128" spans="2:16" ht="12.5">
      <c r="B128" s="160" t="str">
        <f t="shared" si="27"/>
        <v/>
      </c>
      <c r="C128" s="472">
        <f>IF(D93="","-",+C127+1)</f>
        <v>2038</v>
      </c>
      <c r="D128" s="346">
        <f>IF(F127+SUM(E$99:E127)=D$92,F127,D$92-SUM(E$99:E127))</f>
        <v>3970204</v>
      </c>
      <c r="E128" s="486">
        <f>IF(+J96&lt;F127,J96,D128)</f>
        <v>279416</v>
      </c>
      <c r="F128" s="485">
        <f t="shared" si="34"/>
        <v>3690788</v>
      </c>
      <c r="G128" s="485">
        <f t="shared" si="35"/>
        <v>3830496</v>
      </c>
      <c r="H128" s="488">
        <f t="shared" si="36"/>
        <v>674393.86444575014</v>
      </c>
      <c r="I128" s="542">
        <f t="shared" si="37"/>
        <v>674393.86444575014</v>
      </c>
      <c r="J128" s="478">
        <f t="shared" si="21"/>
        <v>0</v>
      </c>
      <c r="K128" s="478"/>
      <c r="L128" s="487"/>
      <c r="M128" s="478">
        <f t="shared" si="23"/>
        <v>0</v>
      </c>
      <c r="N128" s="487"/>
      <c r="O128" s="478">
        <f t="shared" si="25"/>
        <v>0</v>
      </c>
      <c r="P128" s="478">
        <f t="shared" si="26"/>
        <v>0</v>
      </c>
    </row>
    <row r="129" spans="2:16" ht="12.5">
      <c r="B129" s="160" t="str">
        <f t="shared" si="27"/>
        <v/>
      </c>
      <c r="C129" s="472">
        <f>IF(D93="","-",+C128+1)</f>
        <v>2039</v>
      </c>
      <c r="D129" s="346">
        <f>IF(F128+SUM(E$99:E128)=D$92,F128,D$92-SUM(E$99:E128))</f>
        <v>3690788</v>
      </c>
      <c r="E129" s="486">
        <f>IF(+J96&lt;F128,J96,D129)</f>
        <v>279416</v>
      </c>
      <c r="F129" s="485">
        <f t="shared" si="34"/>
        <v>3411372</v>
      </c>
      <c r="G129" s="485">
        <f t="shared" si="35"/>
        <v>3551080</v>
      </c>
      <c r="H129" s="488">
        <f t="shared" si="36"/>
        <v>645582.15573440469</v>
      </c>
      <c r="I129" s="542">
        <f t="shared" si="37"/>
        <v>645582.15573440469</v>
      </c>
      <c r="J129" s="478">
        <f t="shared" si="21"/>
        <v>0</v>
      </c>
      <c r="K129" s="478"/>
      <c r="L129" s="487"/>
      <c r="M129" s="478">
        <f t="shared" si="23"/>
        <v>0</v>
      </c>
      <c r="N129" s="487"/>
      <c r="O129" s="478">
        <f t="shared" si="25"/>
        <v>0</v>
      </c>
      <c r="P129" s="478">
        <f t="shared" si="26"/>
        <v>0</v>
      </c>
    </row>
    <row r="130" spans="2:16" ht="12.5">
      <c r="B130" s="160" t="str">
        <f t="shared" si="27"/>
        <v/>
      </c>
      <c r="C130" s="472">
        <f>IF(D93="","-",+C129+1)</f>
        <v>2040</v>
      </c>
      <c r="D130" s="346">
        <f>IF(F129+SUM(E$99:E129)=D$92,F129,D$92-SUM(E$99:E129))</f>
        <v>3411372</v>
      </c>
      <c r="E130" s="486">
        <f>IF(+J96&lt;F129,J96,D130)</f>
        <v>279416</v>
      </c>
      <c r="F130" s="485">
        <f t="shared" si="34"/>
        <v>3131956</v>
      </c>
      <c r="G130" s="485">
        <f t="shared" si="35"/>
        <v>3271664</v>
      </c>
      <c r="H130" s="488">
        <f t="shared" si="36"/>
        <v>616770.44702305924</v>
      </c>
      <c r="I130" s="542">
        <f t="shared" si="37"/>
        <v>616770.44702305924</v>
      </c>
      <c r="J130" s="478">
        <f t="shared" si="21"/>
        <v>0</v>
      </c>
      <c r="K130" s="478"/>
      <c r="L130" s="487"/>
      <c r="M130" s="478">
        <f t="shared" si="23"/>
        <v>0</v>
      </c>
      <c r="N130" s="487"/>
      <c r="O130" s="478">
        <f t="shared" si="25"/>
        <v>0</v>
      </c>
      <c r="P130" s="478">
        <f t="shared" si="26"/>
        <v>0</v>
      </c>
    </row>
    <row r="131" spans="2:16" ht="12.5">
      <c r="B131" s="160" t="str">
        <f t="shared" si="27"/>
        <v/>
      </c>
      <c r="C131" s="472">
        <f>IF(D93="","-",+C130+1)</f>
        <v>2041</v>
      </c>
      <c r="D131" s="346">
        <f>IF(F130+SUM(E$99:E130)=D$92,F130,D$92-SUM(E$99:E130))</f>
        <v>3131956</v>
      </c>
      <c r="E131" s="486">
        <f>IF(+J96&lt;F130,J96,D131)</f>
        <v>279416</v>
      </c>
      <c r="F131" s="485">
        <f t="shared" ref="F131:F154" si="38">+D131-E131</f>
        <v>2852540</v>
      </c>
      <c r="G131" s="485">
        <f t="shared" ref="G131:G154" si="39">+(F131+D131)/2</f>
        <v>2992248</v>
      </c>
      <c r="H131" s="488">
        <f t="shared" si="36"/>
        <v>587958.73831171391</v>
      </c>
      <c r="I131" s="542">
        <f t="shared" si="37"/>
        <v>587958.73831171391</v>
      </c>
      <c r="J131" s="478">
        <f t="shared" ref="J131:J154" si="40">+I131-H131</f>
        <v>0</v>
      </c>
      <c r="K131" s="478"/>
      <c r="L131" s="487"/>
      <c r="M131" s="478">
        <f t="shared" ref="M131:M154" si="41">IF(L131&lt;&gt;0,+H131-L131,0)</f>
        <v>0</v>
      </c>
      <c r="N131" s="487"/>
      <c r="O131" s="478">
        <f t="shared" ref="O131:O154" si="42">IF(N131&lt;&gt;0,+I131-N131,0)</f>
        <v>0</v>
      </c>
      <c r="P131" s="478">
        <f t="shared" ref="P131:P154" si="43">+O131-M131</f>
        <v>0</v>
      </c>
    </row>
    <row r="132" spans="2:16" ht="12.5">
      <c r="B132" s="160" t="str">
        <f t="shared" si="27"/>
        <v/>
      </c>
      <c r="C132" s="472">
        <f>IF(D93="","-",+C131+1)</f>
        <v>2042</v>
      </c>
      <c r="D132" s="346">
        <f>IF(F131+SUM(E$99:E131)=D$92,F131,D$92-SUM(E$99:E131))</f>
        <v>2852540</v>
      </c>
      <c r="E132" s="486">
        <f>IF(+J96&lt;F131,J96,D132)</f>
        <v>279416</v>
      </c>
      <c r="F132" s="485">
        <f t="shared" si="38"/>
        <v>2573124</v>
      </c>
      <c r="G132" s="485">
        <f t="shared" si="39"/>
        <v>2712832</v>
      </c>
      <c r="H132" s="488">
        <f t="shared" si="36"/>
        <v>559147.02960036858</v>
      </c>
      <c r="I132" s="542">
        <f t="shared" si="37"/>
        <v>559147.02960036858</v>
      </c>
      <c r="J132" s="478">
        <f t="shared" si="40"/>
        <v>0</v>
      </c>
      <c r="K132" s="478"/>
      <c r="L132" s="487"/>
      <c r="M132" s="478">
        <f t="shared" si="41"/>
        <v>0</v>
      </c>
      <c r="N132" s="487"/>
      <c r="O132" s="478">
        <f t="shared" si="42"/>
        <v>0</v>
      </c>
      <c r="P132" s="478">
        <f t="shared" si="43"/>
        <v>0</v>
      </c>
    </row>
    <row r="133" spans="2:16" ht="12.5">
      <c r="B133" s="160" t="str">
        <f t="shared" si="27"/>
        <v/>
      </c>
      <c r="C133" s="472">
        <f>IF(D93="","-",+C132+1)</f>
        <v>2043</v>
      </c>
      <c r="D133" s="346">
        <f>IF(F132+SUM(E$99:E132)=D$92,F132,D$92-SUM(E$99:E132))</f>
        <v>2573124</v>
      </c>
      <c r="E133" s="486">
        <f>IF(+J96&lt;F132,J96,D133)</f>
        <v>279416</v>
      </c>
      <c r="F133" s="485">
        <f t="shared" si="38"/>
        <v>2293708</v>
      </c>
      <c r="G133" s="485">
        <f t="shared" si="39"/>
        <v>2433416</v>
      </c>
      <c r="H133" s="488">
        <f t="shared" si="36"/>
        <v>530335.32088902313</v>
      </c>
      <c r="I133" s="542">
        <f t="shared" si="37"/>
        <v>530335.32088902313</v>
      </c>
      <c r="J133" s="478">
        <f t="shared" si="40"/>
        <v>0</v>
      </c>
      <c r="K133" s="478"/>
      <c r="L133" s="487"/>
      <c r="M133" s="478">
        <f t="shared" si="41"/>
        <v>0</v>
      </c>
      <c r="N133" s="487"/>
      <c r="O133" s="478">
        <f t="shared" si="42"/>
        <v>0</v>
      </c>
      <c r="P133" s="478">
        <f t="shared" si="43"/>
        <v>0</v>
      </c>
    </row>
    <row r="134" spans="2:16" ht="12.5">
      <c r="B134" s="160" t="str">
        <f t="shared" si="27"/>
        <v/>
      </c>
      <c r="C134" s="472">
        <f>IF(D93="","-",+C133+1)</f>
        <v>2044</v>
      </c>
      <c r="D134" s="346">
        <f>IF(F133+SUM(E$99:E133)=D$92,F133,D$92-SUM(E$99:E133))</f>
        <v>2293708</v>
      </c>
      <c r="E134" s="486">
        <f>IF(+J96&lt;F133,J96,D134)</f>
        <v>279416</v>
      </c>
      <c r="F134" s="485">
        <f t="shared" si="38"/>
        <v>2014292</v>
      </c>
      <c r="G134" s="485">
        <f t="shared" si="39"/>
        <v>2154000</v>
      </c>
      <c r="H134" s="488">
        <f t="shared" si="36"/>
        <v>501523.61217767769</v>
      </c>
      <c r="I134" s="542">
        <f t="shared" si="37"/>
        <v>501523.61217767769</v>
      </c>
      <c r="J134" s="478">
        <f t="shared" si="40"/>
        <v>0</v>
      </c>
      <c r="K134" s="478"/>
      <c r="L134" s="487"/>
      <c r="M134" s="478">
        <f t="shared" si="41"/>
        <v>0</v>
      </c>
      <c r="N134" s="487"/>
      <c r="O134" s="478">
        <f t="shared" si="42"/>
        <v>0</v>
      </c>
      <c r="P134" s="478">
        <f t="shared" si="43"/>
        <v>0</v>
      </c>
    </row>
    <row r="135" spans="2:16" ht="12.5">
      <c r="B135" s="160" t="str">
        <f t="shared" si="27"/>
        <v/>
      </c>
      <c r="C135" s="472">
        <f>IF(D93="","-",+C134+1)</f>
        <v>2045</v>
      </c>
      <c r="D135" s="346">
        <f>IF(F134+SUM(E$99:E134)=D$92,F134,D$92-SUM(E$99:E134))</f>
        <v>2014292</v>
      </c>
      <c r="E135" s="486">
        <f>IF(+J96&lt;F134,J96,D135)</f>
        <v>279416</v>
      </c>
      <c r="F135" s="485">
        <f t="shared" si="38"/>
        <v>1734876</v>
      </c>
      <c r="G135" s="485">
        <f t="shared" si="39"/>
        <v>1874584</v>
      </c>
      <c r="H135" s="488">
        <f t="shared" si="36"/>
        <v>472711.9034663323</v>
      </c>
      <c r="I135" s="542">
        <f t="shared" si="37"/>
        <v>472711.9034663323</v>
      </c>
      <c r="J135" s="478">
        <f t="shared" si="40"/>
        <v>0</v>
      </c>
      <c r="K135" s="478"/>
      <c r="L135" s="487"/>
      <c r="M135" s="478">
        <f t="shared" si="41"/>
        <v>0</v>
      </c>
      <c r="N135" s="487"/>
      <c r="O135" s="478">
        <f t="shared" si="42"/>
        <v>0</v>
      </c>
      <c r="P135" s="478">
        <f t="shared" si="43"/>
        <v>0</v>
      </c>
    </row>
    <row r="136" spans="2:16" ht="12.5">
      <c r="B136" s="160" t="str">
        <f t="shared" si="27"/>
        <v/>
      </c>
      <c r="C136" s="472">
        <f>IF(D93="","-",+C135+1)</f>
        <v>2046</v>
      </c>
      <c r="D136" s="346">
        <f>IF(F135+SUM(E$99:E135)=D$92,F135,D$92-SUM(E$99:E135))</f>
        <v>1734876</v>
      </c>
      <c r="E136" s="486">
        <f>IF(+J96&lt;F135,J96,D136)</f>
        <v>279416</v>
      </c>
      <c r="F136" s="485">
        <f t="shared" si="38"/>
        <v>1455460</v>
      </c>
      <c r="G136" s="485">
        <f t="shared" si="39"/>
        <v>1595168</v>
      </c>
      <c r="H136" s="488">
        <f t="shared" si="36"/>
        <v>443900.19475498691</v>
      </c>
      <c r="I136" s="542">
        <f t="shared" si="37"/>
        <v>443900.19475498691</v>
      </c>
      <c r="J136" s="478">
        <f t="shared" si="40"/>
        <v>0</v>
      </c>
      <c r="K136" s="478"/>
      <c r="L136" s="487"/>
      <c r="M136" s="478">
        <f t="shared" si="41"/>
        <v>0</v>
      </c>
      <c r="N136" s="487"/>
      <c r="O136" s="478">
        <f t="shared" si="42"/>
        <v>0</v>
      </c>
      <c r="P136" s="478">
        <f t="shared" si="43"/>
        <v>0</v>
      </c>
    </row>
    <row r="137" spans="2:16" ht="12.5">
      <c r="B137" s="160" t="str">
        <f t="shared" si="27"/>
        <v/>
      </c>
      <c r="C137" s="472">
        <f>IF(D93="","-",+C136+1)</f>
        <v>2047</v>
      </c>
      <c r="D137" s="346">
        <f>IF(F136+SUM(E$99:E136)=D$92,F136,D$92-SUM(E$99:E136))</f>
        <v>1455460</v>
      </c>
      <c r="E137" s="486">
        <f>IF(+J96&lt;F136,J96,D137)</f>
        <v>279416</v>
      </c>
      <c r="F137" s="485">
        <f t="shared" si="38"/>
        <v>1176044</v>
      </c>
      <c r="G137" s="485">
        <f t="shared" si="39"/>
        <v>1315752</v>
      </c>
      <c r="H137" s="488">
        <f t="shared" si="36"/>
        <v>415088.48604364152</v>
      </c>
      <c r="I137" s="542">
        <f t="shared" si="37"/>
        <v>415088.48604364152</v>
      </c>
      <c r="J137" s="478">
        <f t="shared" si="40"/>
        <v>0</v>
      </c>
      <c r="K137" s="478"/>
      <c r="L137" s="487"/>
      <c r="M137" s="478">
        <f t="shared" si="41"/>
        <v>0</v>
      </c>
      <c r="N137" s="487"/>
      <c r="O137" s="478">
        <f t="shared" si="42"/>
        <v>0</v>
      </c>
      <c r="P137" s="478">
        <f t="shared" si="43"/>
        <v>0</v>
      </c>
    </row>
    <row r="138" spans="2:16" ht="12.5">
      <c r="B138" s="160" t="str">
        <f t="shared" si="27"/>
        <v/>
      </c>
      <c r="C138" s="472">
        <f>IF(D93="","-",+C137+1)</f>
        <v>2048</v>
      </c>
      <c r="D138" s="346">
        <f>IF(F137+SUM(E$99:E137)=D$92,F137,D$92-SUM(E$99:E137))</f>
        <v>1176044</v>
      </c>
      <c r="E138" s="486">
        <f>IF(+J96&lt;F137,J96,D138)</f>
        <v>279416</v>
      </c>
      <c r="F138" s="485">
        <f t="shared" si="38"/>
        <v>896628</v>
      </c>
      <c r="G138" s="485">
        <f t="shared" si="39"/>
        <v>1036336</v>
      </c>
      <c r="H138" s="488">
        <f t="shared" si="36"/>
        <v>386276.77733229613</v>
      </c>
      <c r="I138" s="542">
        <f t="shared" si="37"/>
        <v>386276.77733229613</v>
      </c>
      <c r="J138" s="478">
        <f t="shared" si="40"/>
        <v>0</v>
      </c>
      <c r="K138" s="478"/>
      <c r="L138" s="487"/>
      <c r="M138" s="478">
        <f t="shared" si="41"/>
        <v>0</v>
      </c>
      <c r="N138" s="487"/>
      <c r="O138" s="478">
        <f t="shared" si="42"/>
        <v>0</v>
      </c>
      <c r="P138" s="478">
        <f t="shared" si="43"/>
        <v>0</v>
      </c>
    </row>
    <row r="139" spans="2:16" ht="12.5">
      <c r="B139" s="160" t="str">
        <f t="shared" si="27"/>
        <v/>
      </c>
      <c r="C139" s="472">
        <f>IF(D93="","-",+C138+1)</f>
        <v>2049</v>
      </c>
      <c r="D139" s="346">
        <f>IF(F138+SUM(E$99:E138)=D$92,F138,D$92-SUM(E$99:E138))</f>
        <v>896628</v>
      </c>
      <c r="E139" s="486">
        <f>IF(+J96&lt;F138,J96,D139)</f>
        <v>279416</v>
      </c>
      <c r="F139" s="485">
        <f t="shared" si="38"/>
        <v>617212</v>
      </c>
      <c r="G139" s="485">
        <f t="shared" si="39"/>
        <v>756920</v>
      </c>
      <c r="H139" s="488">
        <f t="shared" si="36"/>
        <v>357465.06862095068</v>
      </c>
      <c r="I139" s="542">
        <f t="shared" si="37"/>
        <v>357465.06862095068</v>
      </c>
      <c r="J139" s="478">
        <f t="shared" si="40"/>
        <v>0</v>
      </c>
      <c r="K139" s="478"/>
      <c r="L139" s="487"/>
      <c r="M139" s="478">
        <f t="shared" si="41"/>
        <v>0</v>
      </c>
      <c r="N139" s="487"/>
      <c r="O139" s="478">
        <f t="shared" si="42"/>
        <v>0</v>
      </c>
      <c r="P139" s="478">
        <f t="shared" si="43"/>
        <v>0</v>
      </c>
    </row>
    <row r="140" spans="2:16" ht="12.5">
      <c r="B140" s="160" t="str">
        <f t="shared" si="27"/>
        <v/>
      </c>
      <c r="C140" s="472">
        <f>IF(D93="","-",+C139+1)</f>
        <v>2050</v>
      </c>
      <c r="D140" s="346">
        <f>IF(F139+SUM(E$99:E139)=D$92,F139,D$92-SUM(E$99:E139))</f>
        <v>617212</v>
      </c>
      <c r="E140" s="486">
        <f>IF(+J96&lt;F139,J96,D140)</f>
        <v>279416</v>
      </c>
      <c r="F140" s="485">
        <f t="shared" si="38"/>
        <v>337796</v>
      </c>
      <c r="G140" s="485">
        <f t="shared" si="39"/>
        <v>477504</v>
      </c>
      <c r="H140" s="488">
        <f t="shared" si="36"/>
        <v>328653.35990960529</v>
      </c>
      <c r="I140" s="542">
        <f t="shared" si="37"/>
        <v>328653.35990960529</v>
      </c>
      <c r="J140" s="478">
        <f t="shared" si="40"/>
        <v>0</v>
      </c>
      <c r="K140" s="478"/>
      <c r="L140" s="487"/>
      <c r="M140" s="478">
        <f t="shared" si="41"/>
        <v>0</v>
      </c>
      <c r="N140" s="487"/>
      <c r="O140" s="478">
        <f t="shared" si="42"/>
        <v>0</v>
      </c>
      <c r="P140" s="478">
        <f t="shared" si="43"/>
        <v>0</v>
      </c>
    </row>
    <row r="141" spans="2:16" ht="12.5">
      <c r="B141" s="160" t="str">
        <f t="shared" si="27"/>
        <v/>
      </c>
      <c r="C141" s="472">
        <f>IF(D93="","-",+C140+1)</f>
        <v>2051</v>
      </c>
      <c r="D141" s="346">
        <f>IF(F140+SUM(E$99:E140)=D$92,F140,D$92-SUM(E$99:E140))</f>
        <v>337796</v>
      </c>
      <c r="E141" s="486">
        <f>IF(+J96&lt;F140,J96,D141)</f>
        <v>279416</v>
      </c>
      <c r="F141" s="485">
        <f t="shared" si="38"/>
        <v>58380</v>
      </c>
      <c r="G141" s="485">
        <f t="shared" si="39"/>
        <v>198088</v>
      </c>
      <c r="H141" s="488">
        <f t="shared" si="36"/>
        <v>299841.6511982599</v>
      </c>
      <c r="I141" s="542">
        <f t="shared" si="37"/>
        <v>299841.6511982599</v>
      </c>
      <c r="J141" s="478">
        <f t="shared" si="40"/>
        <v>0</v>
      </c>
      <c r="K141" s="478"/>
      <c r="L141" s="487"/>
      <c r="M141" s="478">
        <f t="shared" si="41"/>
        <v>0</v>
      </c>
      <c r="N141" s="487"/>
      <c r="O141" s="478">
        <f t="shared" si="42"/>
        <v>0</v>
      </c>
      <c r="P141" s="478">
        <f t="shared" si="43"/>
        <v>0</v>
      </c>
    </row>
    <row r="142" spans="2:16" ht="12.5">
      <c r="B142" s="160" t="str">
        <f t="shared" si="27"/>
        <v/>
      </c>
      <c r="C142" s="472">
        <f>IF(D93="","-",+C141+1)</f>
        <v>2052</v>
      </c>
      <c r="D142" s="346">
        <f>IF(F141+SUM(E$99:E141)=D$92,F141,D$92-SUM(E$99:E141))</f>
        <v>58380</v>
      </c>
      <c r="E142" s="486">
        <f>IF(+J96&lt;F141,J96,D142)</f>
        <v>58380</v>
      </c>
      <c r="F142" s="485">
        <f t="shared" si="38"/>
        <v>0</v>
      </c>
      <c r="G142" s="485">
        <f t="shared" si="39"/>
        <v>29190</v>
      </c>
      <c r="H142" s="488">
        <f t="shared" si="36"/>
        <v>61389.898421293597</v>
      </c>
      <c r="I142" s="542">
        <f t="shared" si="37"/>
        <v>61389.898421293597</v>
      </c>
      <c r="J142" s="478">
        <f t="shared" si="40"/>
        <v>0</v>
      </c>
      <c r="K142" s="478"/>
      <c r="L142" s="487"/>
      <c r="M142" s="478">
        <f t="shared" si="41"/>
        <v>0</v>
      </c>
      <c r="N142" s="487"/>
      <c r="O142" s="478">
        <f t="shared" si="42"/>
        <v>0</v>
      </c>
      <c r="P142" s="478">
        <f t="shared" si="43"/>
        <v>0</v>
      </c>
    </row>
    <row r="143" spans="2:16" ht="12.5">
      <c r="B143" s="160" t="str">
        <f t="shared" si="27"/>
        <v/>
      </c>
      <c r="C143" s="472">
        <f>IF(D93="","-",+C142+1)</f>
        <v>2053</v>
      </c>
      <c r="D143" s="346">
        <f>IF(F142+SUM(E$99:E142)=D$92,F142,D$92-SUM(E$99:E142))</f>
        <v>0</v>
      </c>
      <c r="E143" s="486">
        <f>IF(+J96&lt;F142,J96,D143)</f>
        <v>0</v>
      </c>
      <c r="F143" s="485">
        <f t="shared" si="38"/>
        <v>0</v>
      </c>
      <c r="G143" s="485">
        <f t="shared" si="39"/>
        <v>0</v>
      </c>
      <c r="H143" s="488">
        <f t="shared" si="36"/>
        <v>0</v>
      </c>
      <c r="I143" s="542">
        <f t="shared" si="37"/>
        <v>0</v>
      </c>
      <c r="J143" s="478">
        <f t="shared" si="40"/>
        <v>0</v>
      </c>
      <c r="K143" s="478"/>
      <c r="L143" s="487"/>
      <c r="M143" s="478">
        <f t="shared" si="41"/>
        <v>0</v>
      </c>
      <c r="N143" s="487"/>
      <c r="O143" s="478">
        <f t="shared" si="42"/>
        <v>0</v>
      </c>
      <c r="P143" s="478">
        <f t="shared" si="43"/>
        <v>0</v>
      </c>
    </row>
    <row r="144" spans="2:16" ht="12.5">
      <c r="B144" s="160" t="str">
        <f t="shared" si="27"/>
        <v/>
      </c>
      <c r="C144" s="472">
        <f>IF(D93="","-",+C143+1)</f>
        <v>2054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38"/>
        <v>0</v>
      </c>
      <c r="G144" s="485">
        <f t="shared" si="39"/>
        <v>0</v>
      </c>
      <c r="H144" s="488">
        <f t="shared" si="36"/>
        <v>0</v>
      </c>
      <c r="I144" s="542">
        <f t="shared" si="37"/>
        <v>0</v>
      </c>
      <c r="J144" s="478">
        <f t="shared" si="40"/>
        <v>0</v>
      </c>
      <c r="K144" s="478"/>
      <c r="L144" s="487"/>
      <c r="M144" s="478">
        <f t="shared" si="41"/>
        <v>0</v>
      </c>
      <c r="N144" s="487"/>
      <c r="O144" s="478">
        <f t="shared" si="42"/>
        <v>0</v>
      </c>
      <c r="P144" s="478">
        <f t="shared" si="43"/>
        <v>0</v>
      </c>
    </row>
    <row r="145" spans="2:16" ht="12.5">
      <c r="B145" s="160" t="str">
        <f t="shared" si="27"/>
        <v/>
      </c>
      <c r="C145" s="472">
        <f>IF(D93="","-",+C144+1)</f>
        <v>2055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38"/>
        <v>0</v>
      </c>
      <c r="G145" s="485">
        <f t="shared" si="39"/>
        <v>0</v>
      </c>
      <c r="H145" s="488">
        <f t="shared" si="36"/>
        <v>0</v>
      </c>
      <c r="I145" s="542">
        <f t="shared" si="37"/>
        <v>0</v>
      </c>
      <c r="J145" s="478">
        <f t="shared" si="40"/>
        <v>0</v>
      </c>
      <c r="K145" s="478"/>
      <c r="L145" s="487"/>
      <c r="M145" s="478">
        <f t="shared" si="41"/>
        <v>0</v>
      </c>
      <c r="N145" s="487"/>
      <c r="O145" s="478">
        <f t="shared" si="42"/>
        <v>0</v>
      </c>
      <c r="P145" s="478">
        <f t="shared" si="43"/>
        <v>0</v>
      </c>
    </row>
    <row r="146" spans="2:16" ht="12.5">
      <c r="B146" s="160" t="str">
        <f t="shared" si="27"/>
        <v/>
      </c>
      <c r="C146" s="472">
        <f>IF(D93="","-",+C145+1)</f>
        <v>2056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38"/>
        <v>0</v>
      </c>
      <c r="G146" s="485">
        <f t="shared" si="39"/>
        <v>0</v>
      </c>
      <c r="H146" s="488">
        <f t="shared" si="36"/>
        <v>0</v>
      </c>
      <c r="I146" s="542">
        <f t="shared" si="37"/>
        <v>0</v>
      </c>
      <c r="J146" s="478">
        <f t="shared" si="40"/>
        <v>0</v>
      </c>
      <c r="K146" s="478"/>
      <c r="L146" s="487"/>
      <c r="M146" s="478">
        <f t="shared" si="41"/>
        <v>0</v>
      </c>
      <c r="N146" s="487"/>
      <c r="O146" s="478">
        <f t="shared" si="42"/>
        <v>0</v>
      </c>
      <c r="P146" s="478">
        <f t="shared" si="43"/>
        <v>0</v>
      </c>
    </row>
    <row r="147" spans="2:16" ht="12.5">
      <c r="B147" s="160" t="str">
        <f t="shared" si="27"/>
        <v/>
      </c>
      <c r="C147" s="472">
        <f>IF(D93="","-",+C146+1)</f>
        <v>2057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38"/>
        <v>0</v>
      </c>
      <c r="G147" s="485">
        <f t="shared" si="39"/>
        <v>0</v>
      </c>
      <c r="H147" s="488">
        <f t="shared" si="36"/>
        <v>0</v>
      </c>
      <c r="I147" s="542">
        <f t="shared" si="37"/>
        <v>0</v>
      </c>
      <c r="J147" s="478">
        <f t="shared" si="40"/>
        <v>0</v>
      </c>
      <c r="K147" s="478"/>
      <c r="L147" s="487"/>
      <c r="M147" s="478">
        <f t="shared" si="41"/>
        <v>0</v>
      </c>
      <c r="N147" s="487"/>
      <c r="O147" s="478">
        <f t="shared" si="42"/>
        <v>0</v>
      </c>
      <c r="P147" s="478">
        <f t="shared" si="43"/>
        <v>0</v>
      </c>
    </row>
    <row r="148" spans="2:16" ht="12.5">
      <c r="B148" s="160" t="str">
        <f t="shared" si="27"/>
        <v/>
      </c>
      <c r="C148" s="472">
        <f>IF(D93="","-",+C147+1)</f>
        <v>2058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38"/>
        <v>0</v>
      </c>
      <c r="G148" s="485">
        <f t="shared" si="39"/>
        <v>0</v>
      </c>
      <c r="H148" s="488">
        <f t="shared" si="36"/>
        <v>0</v>
      </c>
      <c r="I148" s="542">
        <f t="shared" si="37"/>
        <v>0</v>
      </c>
      <c r="J148" s="478">
        <f t="shared" si="40"/>
        <v>0</v>
      </c>
      <c r="K148" s="478"/>
      <c r="L148" s="487"/>
      <c r="M148" s="478">
        <f t="shared" si="41"/>
        <v>0</v>
      </c>
      <c r="N148" s="487"/>
      <c r="O148" s="478">
        <f t="shared" si="42"/>
        <v>0</v>
      </c>
      <c r="P148" s="478">
        <f t="shared" si="43"/>
        <v>0</v>
      </c>
    </row>
    <row r="149" spans="2:16" ht="12.5">
      <c r="B149" s="160" t="str">
        <f t="shared" si="27"/>
        <v/>
      </c>
      <c r="C149" s="472">
        <f>IF(D93="","-",+C148+1)</f>
        <v>2059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38"/>
        <v>0</v>
      </c>
      <c r="G149" s="485">
        <f t="shared" si="39"/>
        <v>0</v>
      </c>
      <c r="H149" s="488">
        <f t="shared" si="36"/>
        <v>0</v>
      </c>
      <c r="I149" s="542">
        <f t="shared" si="37"/>
        <v>0</v>
      </c>
      <c r="J149" s="478">
        <f t="shared" si="40"/>
        <v>0</v>
      </c>
      <c r="K149" s="478"/>
      <c r="L149" s="487"/>
      <c r="M149" s="478">
        <f t="shared" si="41"/>
        <v>0</v>
      </c>
      <c r="N149" s="487"/>
      <c r="O149" s="478">
        <f t="shared" si="42"/>
        <v>0</v>
      </c>
      <c r="P149" s="478">
        <f t="shared" si="43"/>
        <v>0</v>
      </c>
    </row>
    <row r="150" spans="2:16" ht="12.5">
      <c r="B150" s="160" t="str">
        <f t="shared" si="27"/>
        <v/>
      </c>
      <c r="C150" s="472">
        <f>IF(D93="","-",+C149+1)</f>
        <v>2060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38"/>
        <v>0</v>
      </c>
      <c r="G150" s="485">
        <f t="shared" si="39"/>
        <v>0</v>
      </c>
      <c r="H150" s="488">
        <f t="shared" si="36"/>
        <v>0</v>
      </c>
      <c r="I150" s="542">
        <f t="shared" si="37"/>
        <v>0</v>
      </c>
      <c r="J150" s="478">
        <f t="shared" si="40"/>
        <v>0</v>
      </c>
      <c r="K150" s="478"/>
      <c r="L150" s="487"/>
      <c r="M150" s="478">
        <f t="shared" si="41"/>
        <v>0</v>
      </c>
      <c r="N150" s="487"/>
      <c r="O150" s="478">
        <f t="shared" si="42"/>
        <v>0</v>
      </c>
      <c r="P150" s="478">
        <f t="shared" si="43"/>
        <v>0</v>
      </c>
    </row>
    <row r="151" spans="2:16" ht="12.5">
      <c r="B151" s="160" t="str">
        <f t="shared" si="27"/>
        <v/>
      </c>
      <c r="C151" s="472">
        <f>IF(D93="","-",+C150+1)</f>
        <v>2061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38"/>
        <v>0</v>
      </c>
      <c r="G151" s="485">
        <f t="shared" si="39"/>
        <v>0</v>
      </c>
      <c r="H151" s="488">
        <f t="shared" si="36"/>
        <v>0</v>
      </c>
      <c r="I151" s="542">
        <f t="shared" si="37"/>
        <v>0</v>
      </c>
      <c r="J151" s="478">
        <f t="shared" si="40"/>
        <v>0</v>
      </c>
      <c r="K151" s="478"/>
      <c r="L151" s="487"/>
      <c r="M151" s="478">
        <f t="shared" si="41"/>
        <v>0</v>
      </c>
      <c r="N151" s="487"/>
      <c r="O151" s="478">
        <f t="shared" si="42"/>
        <v>0</v>
      </c>
      <c r="P151" s="478">
        <f t="shared" si="43"/>
        <v>0</v>
      </c>
    </row>
    <row r="152" spans="2:16" ht="12.5">
      <c r="B152" s="160" t="str">
        <f t="shared" si="27"/>
        <v/>
      </c>
      <c r="C152" s="472">
        <f>IF(D93="","-",+C151+1)</f>
        <v>2062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38"/>
        <v>0</v>
      </c>
      <c r="G152" s="485">
        <f t="shared" si="39"/>
        <v>0</v>
      </c>
      <c r="H152" s="488">
        <f t="shared" si="36"/>
        <v>0</v>
      </c>
      <c r="I152" s="542">
        <f t="shared" si="37"/>
        <v>0</v>
      </c>
      <c r="J152" s="478">
        <f t="shared" si="40"/>
        <v>0</v>
      </c>
      <c r="K152" s="478"/>
      <c r="L152" s="487"/>
      <c r="M152" s="478">
        <f t="shared" si="41"/>
        <v>0</v>
      </c>
      <c r="N152" s="487"/>
      <c r="O152" s="478">
        <f t="shared" si="42"/>
        <v>0</v>
      </c>
      <c r="P152" s="478">
        <f t="shared" si="43"/>
        <v>0</v>
      </c>
    </row>
    <row r="153" spans="2:16" ht="12.5">
      <c r="B153" s="160" t="str">
        <f t="shared" si="27"/>
        <v/>
      </c>
      <c r="C153" s="472">
        <f>IF(D93="","-",+C152+1)</f>
        <v>2063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38"/>
        <v>0</v>
      </c>
      <c r="G153" s="485">
        <f t="shared" si="39"/>
        <v>0</v>
      </c>
      <c r="H153" s="488">
        <f t="shared" si="36"/>
        <v>0</v>
      </c>
      <c r="I153" s="542">
        <f t="shared" si="37"/>
        <v>0</v>
      </c>
      <c r="J153" s="478">
        <f t="shared" si="40"/>
        <v>0</v>
      </c>
      <c r="K153" s="478"/>
      <c r="L153" s="487"/>
      <c r="M153" s="478">
        <f t="shared" si="41"/>
        <v>0</v>
      </c>
      <c r="N153" s="487"/>
      <c r="O153" s="478">
        <f t="shared" si="42"/>
        <v>0</v>
      </c>
      <c r="P153" s="478">
        <f t="shared" si="43"/>
        <v>0</v>
      </c>
    </row>
    <row r="154" spans="2:16" ht="13" thickBot="1">
      <c r="B154" s="160" t="str">
        <f t="shared" si="27"/>
        <v/>
      </c>
      <c r="C154" s="489">
        <f>IF(D93="","-",+C153+1)</f>
        <v>2064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38"/>
        <v>0</v>
      </c>
      <c r="G154" s="490">
        <f t="shared" si="39"/>
        <v>0</v>
      </c>
      <c r="H154" s="492">
        <f t="shared" si="36"/>
        <v>0</v>
      </c>
      <c r="I154" s="545">
        <f t="shared" si="37"/>
        <v>0</v>
      </c>
      <c r="J154" s="495">
        <f t="shared" si="40"/>
        <v>0</v>
      </c>
      <c r="K154" s="478"/>
      <c r="L154" s="494"/>
      <c r="M154" s="495">
        <f t="shared" si="41"/>
        <v>0</v>
      </c>
      <c r="N154" s="494"/>
      <c r="O154" s="495">
        <f t="shared" si="42"/>
        <v>0</v>
      </c>
      <c r="P154" s="495">
        <f t="shared" si="43"/>
        <v>0</v>
      </c>
    </row>
    <row r="155" spans="2:16" ht="12.5">
      <c r="C155" s="346" t="s">
        <v>77</v>
      </c>
      <c r="D155" s="347"/>
      <c r="E155" s="347">
        <f>SUM(E99:E154)</f>
        <v>11456065</v>
      </c>
      <c r="F155" s="347"/>
      <c r="G155" s="347"/>
      <c r="H155" s="347">
        <f>SUM(H99:H154)</f>
        <v>41214171.910320088</v>
      </c>
      <c r="I155" s="347">
        <f>SUM(I99:I154)</f>
        <v>41214171.910320088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 t="s">
        <v>100</v>
      </c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2.5"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96" t="s">
        <v>107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78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 t="s">
        <v>79</v>
      </c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56" priority="1" stopIfTrue="1" operator="equal">
      <formula>$I$10</formula>
    </cfRule>
  </conditionalFormatting>
  <conditionalFormatting sqref="C99:C154">
    <cfRule type="cellIs" dxfId="5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2"/>
  <dimension ref="A1:P162"/>
  <sheetViews>
    <sheetView view="pageBreakPreview" topLeftCell="B1" zoomScale="75" zoomScaleNormal="100" zoomScaleSheetLayoutView="50" workbookViewId="0">
      <selection activeCell="E9" sqref="E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4 of 28</v>
      </c>
    </row>
    <row r="2" spans="1:16" ht="20">
      <c r="A2" s="555"/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 t="str">
        <f>"For Calendar Year "&amp;V1-1&amp;" and Projected Year "&amp;V1</f>
        <v xml:space="preserve">For Calendar Year -1 and Projected Year </v>
      </c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 t="s">
        <v>251</v>
      </c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VLOOKUP(I10,C17:I72,5)-O5</f>
        <v>1474606.7116279069</v>
      </c>
      <c r="O5" s="556">
        <f>1307.4*12</f>
        <v>15688.800000000001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VLOOKUP(I10,C17:I72,6)-O5</f>
        <v>1474606.7116279069</v>
      </c>
      <c r="O6" s="232"/>
      <c r="P6" s="232"/>
    </row>
    <row r="7" spans="1:16" ht="13.5" thickBot="1">
      <c r="C7" s="431" t="s">
        <v>46</v>
      </c>
      <c r="D7" s="432" t="s">
        <v>207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82</v>
      </c>
      <c r="E9" s="577" t="s">
        <v>352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14615636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2008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7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339898.51162790699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557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2008</v>
      </c>
      <c r="D17" s="558">
        <v>2264444</v>
      </c>
      <c r="E17" s="474">
        <v>21774</v>
      </c>
      <c r="F17" s="473">
        <v>2242670</v>
      </c>
      <c r="G17" s="474">
        <v>215833</v>
      </c>
      <c r="H17" s="474">
        <v>215833</v>
      </c>
      <c r="I17" s="475">
        <f t="shared" ref="I17:I48" si="0">H17-G17</f>
        <v>0</v>
      </c>
      <c r="J17" s="348"/>
      <c r="K17" s="476">
        <v>215833</v>
      </c>
      <c r="L17" s="559">
        <f t="shared" ref="L17:L48" si="1">IF(K17&lt;&gt;0,+G17-K17,0)</f>
        <v>0</v>
      </c>
      <c r="M17" s="554">
        <v>215833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2009</v>
      </c>
      <c r="D18" s="473">
        <v>14429811</v>
      </c>
      <c r="E18" s="480">
        <v>274418</v>
      </c>
      <c r="F18" s="473">
        <v>14155393</v>
      </c>
      <c r="G18" s="480">
        <v>2443110</v>
      </c>
      <c r="H18" s="480">
        <v>2443110</v>
      </c>
      <c r="I18" s="475">
        <f t="shared" si="0"/>
        <v>0</v>
      </c>
      <c r="J18" s="475"/>
      <c r="K18" s="476">
        <v>2443110</v>
      </c>
      <c r="L18" s="478">
        <f t="shared" si="1"/>
        <v>0</v>
      </c>
      <c r="M18" s="476">
        <v>2443110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2010</v>
      </c>
      <c r="D19" s="479">
        <v>14390719</v>
      </c>
      <c r="E19" s="480">
        <v>262266.26785714284</v>
      </c>
      <c r="F19" s="479">
        <v>14128452.732142856</v>
      </c>
      <c r="G19" s="480">
        <v>2300952.2678571427</v>
      </c>
      <c r="H19" s="481">
        <v>2300952.2678571427</v>
      </c>
      <c r="I19" s="475">
        <f t="shared" si="0"/>
        <v>0</v>
      </c>
      <c r="J19" s="475"/>
      <c r="K19" s="476">
        <f t="shared" ref="K19:K24" si="4">G19</f>
        <v>2300952.2678571427</v>
      </c>
      <c r="L19" s="550">
        <f t="shared" si="1"/>
        <v>0</v>
      </c>
      <c r="M19" s="476">
        <f t="shared" ref="M19:M24" si="5">H19</f>
        <v>2300952.2678571427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6">IF(D20=F19,"","IU")</f>
        <v>IU</v>
      </c>
      <c r="C20" s="472">
        <f>IF(D11="","-",+C19+1)</f>
        <v>2011</v>
      </c>
      <c r="D20" s="479">
        <v>14057177.732142856</v>
      </c>
      <c r="E20" s="480">
        <v>286581.09803921566</v>
      </c>
      <c r="F20" s="479">
        <v>13770596.634103641</v>
      </c>
      <c r="G20" s="480">
        <v>2442276.0980392154</v>
      </c>
      <c r="H20" s="481">
        <v>2442276.0980392154</v>
      </c>
      <c r="I20" s="475">
        <f t="shared" si="0"/>
        <v>0</v>
      </c>
      <c r="J20" s="475"/>
      <c r="K20" s="476">
        <f t="shared" si="4"/>
        <v>2442276.0980392154</v>
      </c>
      <c r="L20" s="550">
        <f t="shared" si="1"/>
        <v>0</v>
      </c>
      <c r="M20" s="476">
        <f t="shared" si="5"/>
        <v>2442276.0980392154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6"/>
        <v/>
      </c>
      <c r="C21" s="472">
        <f>IF(D12="","-",+C20+1)</f>
        <v>2012</v>
      </c>
      <c r="D21" s="479">
        <v>13770596.634103641</v>
      </c>
      <c r="E21" s="480">
        <v>281069.92307692306</v>
      </c>
      <c r="F21" s="479">
        <v>13489526.711026717</v>
      </c>
      <c r="G21" s="480">
        <v>2158902.923076923</v>
      </c>
      <c r="H21" s="481">
        <v>2158902.923076923</v>
      </c>
      <c r="I21" s="475">
        <f t="shared" si="0"/>
        <v>0</v>
      </c>
      <c r="J21" s="475"/>
      <c r="K21" s="476">
        <f t="shared" si="4"/>
        <v>2158902.923076923</v>
      </c>
      <c r="L21" s="550">
        <f t="shared" si="1"/>
        <v>0</v>
      </c>
      <c r="M21" s="476">
        <f t="shared" si="5"/>
        <v>2158902.923076923</v>
      </c>
      <c r="N21" s="478">
        <f t="shared" si="2"/>
        <v>0</v>
      </c>
      <c r="O21" s="478">
        <f t="shared" si="3"/>
        <v>0</v>
      </c>
      <c r="P21" s="242"/>
    </row>
    <row r="22" spans="2:16" ht="12.5">
      <c r="B22" s="160" t="str">
        <f t="shared" si="6"/>
        <v/>
      </c>
      <c r="C22" s="472">
        <f>IF(D11="","-",+C21+1)</f>
        <v>2013</v>
      </c>
      <c r="D22" s="479">
        <v>13489526.711026717</v>
      </c>
      <c r="E22" s="480">
        <v>281069.92307692306</v>
      </c>
      <c r="F22" s="479">
        <v>13208456.787949793</v>
      </c>
      <c r="G22" s="480">
        <v>2167326.923076923</v>
      </c>
      <c r="H22" s="481">
        <v>2167326.923076923</v>
      </c>
      <c r="I22" s="475">
        <v>0</v>
      </c>
      <c r="J22" s="475"/>
      <c r="K22" s="476">
        <f t="shared" si="4"/>
        <v>2167326.923076923</v>
      </c>
      <c r="L22" s="550">
        <f t="shared" ref="L22:L27" si="7">IF(K22&lt;&gt;0,+G22-K22,0)</f>
        <v>0</v>
      </c>
      <c r="M22" s="476">
        <f t="shared" si="5"/>
        <v>2167326.923076923</v>
      </c>
      <c r="N22" s="478">
        <f t="shared" ref="N22:N27" si="8">IF(M22&lt;&gt;0,+H22-M22,0)</f>
        <v>0</v>
      </c>
      <c r="O22" s="478">
        <f t="shared" ref="O22:O27" si="9">+N22-L22</f>
        <v>0</v>
      </c>
      <c r="P22" s="242"/>
    </row>
    <row r="23" spans="2:16" ht="12.5">
      <c r="B23" s="160" t="str">
        <f t="shared" si="6"/>
        <v/>
      </c>
      <c r="C23" s="472">
        <f>IF(D11="","-",+C22+1)</f>
        <v>2014</v>
      </c>
      <c r="D23" s="479">
        <v>13208456.787949793</v>
      </c>
      <c r="E23" s="480">
        <v>281069.92307692306</v>
      </c>
      <c r="F23" s="479">
        <v>12927386.864872869</v>
      </c>
      <c r="G23" s="480">
        <v>2060637.923076923</v>
      </c>
      <c r="H23" s="481">
        <v>2060637.923076923</v>
      </c>
      <c r="I23" s="475">
        <v>0</v>
      </c>
      <c r="J23" s="475"/>
      <c r="K23" s="476">
        <f t="shared" si="4"/>
        <v>2060637.923076923</v>
      </c>
      <c r="L23" s="550">
        <f t="shared" si="7"/>
        <v>0</v>
      </c>
      <c r="M23" s="476">
        <f t="shared" si="5"/>
        <v>2060637.923076923</v>
      </c>
      <c r="N23" s="478">
        <f t="shared" si="8"/>
        <v>0</v>
      </c>
      <c r="O23" s="478">
        <f t="shared" si="9"/>
        <v>0</v>
      </c>
      <c r="P23" s="242"/>
    </row>
    <row r="24" spans="2:16" ht="12.5">
      <c r="B24" s="160" t="str">
        <f t="shared" si="6"/>
        <v/>
      </c>
      <c r="C24" s="472">
        <f>IF(D11="","-",+C23+1)</f>
        <v>2015</v>
      </c>
      <c r="D24" s="479">
        <v>12927386.864872869</v>
      </c>
      <c r="E24" s="480">
        <v>281069.92307692306</v>
      </c>
      <c r="F24" s="479">
        <v>12646316.941795945</v>
      </c>
      <c r="G24" s="480">
        <v>2024638.923076923</v>
      </c>
      <c r="H24" s="481">
        <v>2024638.923076923</v>
      </c>
      <c r="I24" s="475">
        <v>0</v>
      </c>
      <c r="J24" s="475"/>
      <c r="K24" s="476">
        <f t="shared" si="4"/>
        <v>2024638.923076923</v>
      </c>
      <c r="L24" s="550">
        <f t="shared" si="7"/>
        <v>0</v>
      </c>
      <c r="M24" s="476">
        <f t="shared" si="5"/>
        <v>2024638.923076923</v>
      </c>
      <c r="N24" s="478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6"/>
        <v/>
      </c>
      <c r="C25" s="472">
        <f>IF(D11="","-",+C24+1)</f>
        <v>2016</v>
      </c>
      <c r="D25" s="479">
        <v>12646316.941795945</v>
      </c>
      <c r="E25" s="480">
        <v>281069.92307692306</v>
      </c>
      <c r="F25" s="479">
        <v>12365247.018719021</v>
      </c>
      <c r="G25" s="480">
        <v>1902890.923076923</v>
      </c>
      <c r="H25" s="481">
        <v>1902890.923076923</v>
      </c>
      <c r="I25" s="475">
        <f t="shared" si="0"/>
        <v>0</v>
      </c>
      <c r="J25" s="475"/>
      <c r="K25" s="476">
        <f>G25</f>
        <v>1902890.923076923</v>
      </c>
      <c r="L25" s="550">
        <f t="shared" si="7"/>
        <v>0</v>
      </c>
      <c r="M25" s="476">
        <f>H25</f>
        <v>1902890.923076923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6"/>
        <v/>
      </c>
      <c r="C26" s="472">
        <f>IF(D11="","-",+C25+1)</f>
        <v>2017</v>
      </c>
      <c r="D26" s="479">
        <v>12365247.018719021</v>
      </c>
      <c r="E26" s="480">
        <v>317731.21739130432</v>
      </c>
      <c r="F26" s="479">
        <v>12047515.801327717</v>
      </c>
      <c r="G26" s="480">
        <v>1850906.2173913042</v>
      </c>
      <c r="H26" s="481">
        <v>1850906.2173913042</v>
      </c>
      <c r="I26" s="475">
        <f t="shared" si="0"/>
        <v>0</v>
      </c>
      <c r="J26" s="475"/>
      <c r="K26" s="476">
        <f>G26</f>
        <v>1850906.2173913042</v>
      </c>
      <c r="L26" s="550">
        <f t="shared" si="7"/>
        <v>0</v>
      </c>
      <c r="M26" s="476">
        <f>H26</f>
        <v>1850906.2173913042</v>
      </c>
      <c r="N26" s="478">
        <f t="shared" si="8"/>
        <v>0</v>
      </c>
      <c r="O26" s="478">
        <f t="shared" si="9"/>
        <v>0</v>
      </c>
      <c r="P26" s="242"/>
    </row>
    <row r="27" spans="2:16" ht="12.5">
      <c r="B27" s="160" t="str">
        <f t="shared" si="6"/>
        <v/>
      </c>
      <c r="C27" s="472">
        <f>IF(D11="","-",+C26+1)</f>
        <v>2018</v>
      </c>
      <c r="D27" s="479">
        <v>12047515.801327717</v>
      </c>
      <c r="E27" s="480">
        <v>324791.91111111111</v>
      </c>
      <c r="F27" s="479">
        <v>11722723.890216606</v>
      </c>
      <c r="G27" s="480">
        <v>1748141.2740256879</v>
      </c>
      <c r="H27" s="481">
        <v>1748141.2740256879</v>
      </c>
      <c r="I27" s="475">
        <f t="shared" si="0"/>
        <v>0</v>
      </c>
      <c r="J27" s="475"/>
      <c r="K27" s="476">
        <f>G27</f>
        <v>1748141.2740256879</v>
      </c>
      <c r="L27" s="550">
        <f t="shared" si="7"/>
        <v>0</v>
      </c>
      <c r="M27" s="476">
        <f>H27</f>
        <v>1748141.2740256879</v>
      </c>
      <c r="N27" s="478">
        <f t="shared" si="8"/>
        <v>0</v>
      </c>
      <c r="O27" s="478">
        <f t="shared" si="9"/>
        <v>0</v>
      </c>
      <c r="P27" s="242"/>
    </row>
    <row r="28" spans="2:16" ht="12.5">
      <c r="B28" s="160" t="str">
        <f t="shared" si="6"/>
        <v/>
      </c>
      <c r="C28" s="472">
        <f>IF(D11="","-",+C27+1)</f>
        <v>2019</v>
      </c>
      <c r="D28" s="479">
        <v>11722723.890216606</v>
      </c>
      <c r="E28" s="480">
        <v>365390.9</v>
      </c>
      <c r="F28" s="479">
        <v>11357332.990216605</v>
      </c>
      <c r="G28" s="480">
        <v>1653911.6007125233</v>
      </c>
      <c r="H28" s="481">
        <v>1653911.6007125233</v>
      </c>
      <c r="I28" s="475">
        <f t="shared" si="0"/>
        <v>0</v>
      </c>
      <c r="J28" s="475"/>
      <c r="K28" s="476">
        <f>G28</f>
        <v>1653911.6007125233</v>
      </c>
      <c r="L28" s="550">
        <f t="shared" ref="L28" si="10">IF(K28&lt;&gt;0,+G28-K28,0)</f>
        <v>0</v>
      </c>
      <c r="M28" s="476">
        <f>H28</f>
        <v>1653911.6007125233</v>
      </c>
      <c r="N28" s="478">
        <f t="shared" ref="N28" si="11">IF(M28&lt;&gt;0,+H28-M28,0)</f>
        <v>0</v>
      </c>
      <c r="O28" s="478">
        <f t="shared" ref="O28" si="12">+N28-L28</f>
        <v>0</v>
      </c>
      <c r="P28" s="242"/>
    </row>
    <row r="29" spans="2:16" ht="12.5">
      <c r="B29" s="160" t="str">
        <f t="shared" si="6"/>
        <v>IU</v>
      </c>
      <c r="C29" s="472">
        <f>IF(D11="","-",+C28+1)</f>
        <v>2020</v>
      </c>
      <c r="D29" s="479">
        <v>11397931.979105495</v>
      </c>
      <c r="E29" s="480">
        <v>347991.33333333331</v>
      </c>
      <c r="F29" s="479">
        <v>11049940.645772161</v>
      </c>
      <c r="G29" s="480">
        <v>1560230.0708098114</v>
      </c>
      <c r="H29" s="481">
        <v>1560230.0708098114</v>
      </c>
      <c r="I29" s="475">
        <f t="shared" si="0"/>
        <v>0</v>
      </c>
      <c r="J29" s="475"/>
      <c r="K29" s="476">
        <f>G29</f>
        <v>1560230.0708098114</v>
      </c>
      <c r="L29" s="550">
        <f t="shared" ref="L29" si="13">IF(K29&lt;&gt;0,+G29-K29,0)</f>
        <v>0</v>
      </c>
      <c r="M29" s="476">
        <f>H29</f>
        <v>1560230.0708098114</v>
      </c>
      <c r="N29" s="478">
        <f t="shared" si="2"/>
        <v>0</v>
      </c>
      <c r="O29" s="478">
        <f t="shared" si="3"/>
        <v>0</v>
      </c>
      <c r="P29" s="242"/>
    </row>
    <row r="30" spans="2:16" ht="12.5">
      <c r="B30" s="160" t="str">
        <f t="shared" si="6"/>
        <v>IU</v>
      </c>
      <c r="C30" s="472">
        <f>IF(D11="","-",+C29+1)</f>
        <v>2021</v>
      </c>
      <c r="D30" s="485">
        <f>IF(F29+SUM(E$17:E29)=D$10,F29,D$10-SUM(E$17:E29))</f>
        <v>11009341.656883277</v>
      </c>
      <c r="E30" s="484">
        <f>IF(+I14&lt;F29,I14,D30)</f>
        <v>339898.51162790699</v>
      </c>
      <c r="F30" s="485">
        <f t="shared" ref="F30:F72" si="14">+D30-E30</f>
        <v>10669443.14525537</v>
      </c>
      <c r="G30" s="486">
        <f t="shared" ref="G30:G72" si="15">ROUND(I$12*F30,0)+E30</f>
        <v>1490295.5116279069</v>
      </c>
      <c r="H30" s="455">
        <f t="shared" ref="H30:H72" si="16">ROUND(I$13*F30,0)+E30</f>
        <v>1490295.5116279069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2"/>
    </row>
    <row r="31" spans="2:16" ht="12.5">
      <c r="B31" s="160" t="str">
        <f t="shared" si="6"/>
        <v/>
      </c>
      <c r="C31" s="472">
        <f>IF(D11="","-",+C30+1)</f>
        <v>2022</v>
      </c>
      <c r="D31" s="485">
        <f>IF(F30+SUM(E$17:E30)=D$10,F30,D$10-SUM(E$17:E30))</f>
        <v>10669443.14525537</v>
      </c>
      <c r="E31" s="484">
        <f>IF(+I14&lt;F30,I14,D31)</f>
        <v>339898.51162790699</v>
      </c>
      <c r="F31" s="485">
        <f t="shared" si="14"/>
        <v>10329544.633627463</v>
      </c>
      <c r="G31" s="486">
        <f t="shared" si="15"/>
        <v>1453647.5116279069</v>
      </c>
      <c r="H31" s="455">
        <f t="shared" si="16"/>
        <v>1453647.5116279069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6"/>
        <v/>
      </c>
      <c r="C32" s="472">
        <f>IF(D11="","-",+C31+1)</f>
        <v>2023</v>
      </c>
      <c r="D32" s="485">
        <f>IF(F31+SUM(E$17:E31)=D$10,F31,D$10-SUM(E$17:E31))</f>
        <v>10329544.633627463</v>
      </c>
      <c r="E32" s="484">
        <f>IF(+I14&lt;F31,I14,D32)</f>
        <v>339898.51162790699</v>
      </c>
      <c r="F32" s="485">
        <f t="shared" si="14"/>
        <v>9989646.1219995562</v>
      </c>
      <c r="G32" s="486">
        <f t="shared" si="15"/>
        <v>1416998.5116279069</v>
      </c>
      <c r="H32" s="455">
        <f t="shared" si="16"/>
        <v>1416998.5116279069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6"/>
        <v/>
      </c>
      <c r="C33" s="472">
        <f>IF(D11="","-",+C32+1)</f>
        <v>2024</v>
      </c>
      <c r="D33" s="485">
        <f>IF(F32+SUM(E$17:E32)=D$10,F32,D$10-SUM(E$17:E32))</f>
        <v>9989646.1219995562</v>
      </c>
      <c r="E33" s="484">
        <f>IF(+I14&lt;F32,I14,D33)</f>
        <v>339898.51162790699</v>
      </c>
      <c r="F33" s="485">
        <f t="shared" si="14"/>
        <v>9649747.6103716493</v>
      </c>
      <c r="G33" s="486">
        <f t="shared" si="15"/>
        <v>1380350.5116279069</v>
      </c>
      <c r="H33" s="455">
        <f t="shared" si="16"/>
        <v>1380350.5116279069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6"/>
        <v/>
      </c>
      <c r="C34" s="472">
        <f>IF(D11="","-",+C33+1)</f>
        <v>2025</v>
      </c>
      <c r="D34" s="485">
        <f>IF(F33+SUM(E$17:E33)=D$10,F33,D$10-SUM(E$17:E33))</f>
        <v>9649747.6103716493</v>
      </c>
      <c r="E34" s="484">
        <f>IF(+I14&lt;F33,I14,D34)</f>
        <v>339898.51162790699</v>
      </c>
      <c r="F34" s="485">
        <f t="shared" si="14"/>
        <v>9309849.0987437423</v>
      </c>
      <c r="G34" s="486">
        <f t="shared" si="15"/>
        <v>1343701.5116279069</v>
      </c>
      <c r="H34" s="455">
        <f t="shared" si="16"/>
        <v>1343701.5116279069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6"/>
        <v/>
      </c>
      <c r="C35" s="472">
        <f>IF(D11="","-",+C34+1)</f>
        <v>2026</v>
      </c>
      <c r="D35" s="485">
        <f>IF(F34+SUM(E$17:E34)=D$10,F34,D$10-SUM(E$17:E34))</f>
        <v>9309849.0987437423</v>
      </c>
      <c r="E35" s="484">
        <f>IF(+I14&lt;F34,I14,D35)</f>
        <v>339898.51162790699</v>
      </c>
      <c r="F35" s="485">
        <f t="shared" si="14"/>
        <v>8969950.5871158354</v>
      </c>
      <c r="G35" s="486">
        <f t="shared" si="15"/>
        <v>1307053.5116279069</v>
      </c>
      <c r="H35" s="455">
        <f t="shared" si="16"/>
        <v>1307053.5116279069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6"/>
        <v/>
      </c>
      <c r="C36" s="472">
        <f>IF(D11="","-",+C35+1)</f>
        <v>2027</v>
      </c>
      <c r="D36" s="485">
        <f>IF(F35+SUM(E$17:E35)=D$10,F35,D$10-SUM(E$17:E35))</f>
        <v>8969950.5871158354</v>
      </c>
      <c r="E36" s="484">
        <f>IF(+I14&lt;F35,I14,D36)</f>
        <v>339898.51162790699</v>
      </c>
      <c r="F36" s="485">
        <f t="shared" si="14"/>
        <v>8630052.0754879285</v>
      </c>
      <c r="G36" s="486">
        <f t="shared" si="15"/>
        <v>1270404.5116279069</v>
      </c>
      <c r="H36" s="455">
        <f t="shared" si="16"/>
        <v>1270404.5116279069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6"/>
        <v/>
      </c>
      <c r="C37" s="472">
        <f>IF(D11="","-",+C36+1)</f>
        <v>2028</v>
      </c>
      <c r="D37" s="485">
        <f>IF(F36+SUM(E$17:E36)=D$10,F36,D$10-SUM(E$17:E36))</f>
        <v>8630052.0754879285</v>
      </c>
      <c r="E37" s="484">
        <f>IF(+I14&lt;F36,I14,D37)</f>
        <v>339898.51162790699</v>
      </c>
      <c r="F37" s="485">
        <f t="shared" si="14"/>
        <v>8290153.5638600215</v>
      </c>
      <c r="G37" s="486">
        <f t="shared" si="15"/>
        <v>1233756.5116279069</v>
      </c>
      <c r="H37" s="455">
        <f t="shared" si="16"/>
        <v>1233756.5116279069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6"/>
        <v/>
      </c>
      <c r="C38" s="472">
        <f>IF(D11="","-",+C37+1)</f>
        <v>2029</v>
      </c>
      <c r="D38" s="485">
        <f>IF(F37+SUM(E$17:E37)=D$10,F37,D$10-SUM(E$17:E37))</f>
        <v>8290153.5638600215</v>
      </c>
      <c r="E38" s="484">
        <f>IF(+I14&lt;F37,I14,D38)</f>
        <v>339898.51162790699</v>
      </c>
      <c r="F38" s="485">
        <f t="shared" si="14"/>
        <v>7950255.0522321146</v>
      </c>
      <c r="G38" s="486">
        <f t="shared" si="15"/>
        <v>1197108.5116279069</v>
      </c>
      <c r="H38" s="455">
        <f t="shared" si="16"/>
        <v>1197108.5116279069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6"/>
        <v/>
      </c>
      <c r="C39" s="472">
        <f>IF(D11="","-",+C38+1)</f>
        <v>2030</v>
      </c>
      <c r="D39" s="485">
        <f>IF(F38+SUM(E$17:E38)=D$10,F38,D$10-SUM(E$17:E38))</f>
        <v>7950255.0522321146</v>
      </c>
      <c r="E39" s="484">
        <f>IF(+I14&lt;F38,I14,D39)</f>
        <v>339898.51162790699</v>
      </c>
      <c r="F39" s="485">
        <f t="shared" si="14"/>
        <v>7610356.5406042077</v>
      </c>
      <c r="G39" s="486">
        <f t="shared" si="15"/>
        <v>1160459.5116279069</v>
      </c>
      <c r="H39" s="455">
        <f t="shared" si="16"/>
        <v>1160459.5116279069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6"/>
        <v/>
      </c>
      <c r="C40" s="472">
        <f>IF(D11="","-",+C39+1)</f>
        <v>2031</v>
      </c>
      <c r="D40" s="485">
        <f>IF(F39+SUM(E$17:E39)=D$10,F39,D$10-SUM(E$17:E39))</f>
        <v>7610356.5406042077</v>
      </c>
      <c r="E40" s="484">
        <f>IF(+I14&lt;F39,I14,D40)</f>
        <v>339898.51162790699</v>
      </c>
      <c r="F40" s="485">
        <f t="shared" si="14"/>
        <v>7270458.0289763007</v>
      </c>
      <c r="G40" s="486">
        <f t="shared" si="15"/>
        <v>1123811.5116279069</v>
      </c>
      <c r="H40" s="455">
        <f t="shared" si="16"/>
        <v>1123811.5116279069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6"/>
        <v/>
      </c>
      <c r="C41" s="472">
        <f>IF(D11="","-",+C40+1)</f>
        <v>2032</v>
      </c>
      <c r="D41" s="485">
        <f>IF(F40+SUM(E$17:E40)=D$10,F40,D$10-SUM(E$17:E40))</f>
        <v>7270458.0289763007</v>
      </c>
      <c r="E41" s="484">
        <f>IF(+I14&lt;F40,I14,D41)</f>
        <v>339898.51162790699</v>
      </c>
      <c r="F41" s="485">
        <f t="shared" si="14"/>
        <v>6930559.5173483938</v>
      </c>
      <c r="G41" s="486">
        <f t="shared" si="15"/>
        <v>1087162.5116279069</v>
      </c>
      <c r="H41" s="455">
        <f t="shared" si="16"/>
        <v>1087162.5116279069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6"/>
        <v/>
      </c>
      <c r="C42" s="472">
        <f>IF(D11="","-",+C41+1)</f>
        <v>2033</v>
      </c>
      <c r="D42" s="485">
        <f>IF(F41+SUM(E$17:E41)=D$10,F41,D$10-SUM(E$17:E41))</f>
        <v>6930559.5173483938</v>
      </c>
      <c r="E42" s="484">
        <f>IF(+I14&lt;F41,I14,D42)</f>
        <v>339898.51162790699</v>
      </c>
      <c r="F42" s="485">
        <f t="shared" si="14"/>
        <v>6590661.0057204869</v>
      </c>
      <c r="G42" s="486">
        <f t="shared" si="15"/>
        <v>1050514.5116279069</v>
      </c>
      <c r="H42" s="455">
        <f t="shared" si="16"/>
        <v>1050514.5116279069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6"/>
        <v/>
      </c>
      <c r="C43" s="472">
        <f>IF(D11="","-",+C42+1)</f>
        <v>2034</v>
      </c>
      <c r="D43" s="485">
        <f>IF(F42+SUM(E$17:E42)=D$10,F42,D$10-SUM(E$17:E42))</f>
        <v>6590661.0057204869</v>
      </c>
      <c r="E43" s="484">
        <f>IF(+I14&lt;F42,I14,D43)</f>
        <v>339898.51162790699</v>
      </c>
      <c r="F43" s="485">
        <f t="shared" si="14"/>
        <v>6250762.4940925799</v>
      </c>
      <c r="G43" s="486">
        <f t="shared" si="15"/>
        <v>1013866.5116279069</v>
      </c>
      <c r="H43" s="455">
        <f t="shared" si="16"/>
        <v>1013866.5116279069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6"/>
        <v/>
      </c>
      <c r="C44" s="472">
        <f>IF(D11="","-",+C43+1)</f>
        <v>2035</v>
      </c>
      <c r="D44" s="485">
        <f>IF(F43+SUM(E$17:E43)=D$10,F43,D$10-SUM(E$17:E43))</f>
        <v>6250762.4940925799</v>
      </c>
      <c r="E44" s="484">
        <f>IF(+I14&lt;F43,I14,D44)</f>
        <v>339898.51162790699</v>
      </c>
      <c r="F44" s="485">
        <f t="shared" si="14"/>
        <v>5910863.982464673</v>
      </c>
      <c r="G44" s="486">
        <f t="shared" si="15"/>
        <v>977217.51162790693</v>
      </c>
      <c r="H44" s="455">
        <f t="shared" si="16"/>
        <v>977217.51162790693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6"/>
        <v/>
      </c>
      <c r="C45" s="472">
        <f>IF(D11="","-",+C44+1)</f>
        <v>2036</v>
      </c>
      <c r="D45" s="485">
        <f>IF(F44+SUM(E$17:E44)=D$10,F44,D$10-SUM(E$17:E44))</f>
        <v>5910863.982464673</v>
      </c>
      <c r="E45" s="484">
        <f>IF(+I14&lt;F44,I14,D45)</f>
        <v>339898.51162790699</v>
      </c>
      <c r="F45" s="485">
        <f t="shared" si="14"/>
        <v>5570965.4708367661</v>
      </c>
      <c r="G45" s="486">
        <f t="shared" si="15"/>
        <v>940569.51162790693</v>
      </c>
      <c r="H45" s="455">
        <f t="shared" si="16"/>
        <v>940569.51162790693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6"/>
        <v/>
      </c>
      <c r="C46" s="472">
        <f>IF(D11="","-",+C45+1)</f>
        <v>2037</v>
      </c>
      <c r="D46" s="485">
        <f>IF(F45+SUM(E$17:E45)=D$10,F45,D$10-SUM(E$17:E45))</f>
        <v>5570965.4708367661</v>
      </c>
      <c r="E46" s="484">
        <f>IF(+I14&lt;F45,I14,D46)</f>
        <v>339898.51162790699</v>
      </c>
      <c r="F46" s="485">
        <f t="shared" si="14"/>
        <v>5231066.9592088591</v>
      </c>
      <c r="G46" s="486">
        <f t="shared" si="15"/>
        <v>903920.51162790693</v>
      </c>
      <c r="H46" s="455">
        <f t="shared" si="16"/>
        <v>903920.51162790693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6"/>
        <v/>
      </c>
      <c r="C47" s="472">
        <f>IF(D11="","-",+C46+1)</f>
        <v>2038</v>
      </c>
      <c r="D47" s="485">
        <f>IF(F46+SUM(E$17:E46)=D$10,F46,D$10-SUM(E$17:E46))</f>
        <v>5231066.9592088591</v>
      </c>
      <c r="E47" s="484">
        <f>IF(+I14&lt;F46,I14,D47)</f>
        <v>339898.51162790699</v>
      </c>
      <c r="F47" s="485">
        <f t="shared" si="14"/>
        <v>4891168.4475809522</v>
      </c>
      <c r="G47" s="486">
        <f t="shared" si="15"/>
        <v>867272.51162790693</v>
      </c>
      <c r="H47" s="455">
        <f t="shared" si="16"/>
        <v>867272.51162790693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6"/>
        <v/>
      </c>
      <c r="C48" s="472">
        <f>IF(D11="","-",+C47+1)</f>
        <v>2039</v>
      </c>
      <c r="D48" s="485">
        <f>IF(F47+SUM(E$17:E47)=D$10,F47,D$10-SUM(E$17:E47))</f>
        <v>4891168.4475809522</v>
      </c>
      <c r="E48" s="484">
        <f>IF(+I14&lt;F47,I14,D48)</f>
        <v>339898.51162790699</v>
      </c>
      <c r="F48" s="485">
        <f t="shared" si="14"/>
        <v>4551269.9359530453</v>
      </c>
      <c r="G48" s="486">
        <f t="shared" si="15"/>
        <v>830623.51162790693</v>
      </c>
      <c r="H48" s="455">
        <f t="shared" si="16"/>
        <v>830623.51162790693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6"/>
        <v/>
      </c>
      <c r="C49" s="472">
        <f>IF(D11="","-",+C48+1)</f>
        <v>2040</v>
      </c>
      <c r="D49" s="485">
        <f>IF(F48+SUM(E$17:E48)=D$10,F48,D$10-SUM(E$17:E48))</f>
        <v>4551269.9359530453</v>
      </c>
      <c r="E49" s="484">
        <f>IF(+I14&lt;F48,I14,D49)</f>
        <v>339898.51162790699</v>
      </c>
      <c r="F49" s="485">
        <f t="shared" si="14"/>
        <v>4211371.4243251383</v>
      </c>
      <c r="G49" s="486">
        <f t="shared" si="15"/>
        <v>793975.51162790693</v>
      </c>
      <c r="H49" s="455">
        <f t="shared" si="16"/>
        <v>793975.51162790693</v>
      </c>
      <c r="I49" s="475">
        <f t="shared" ref="I49:I72" si="17">H49-G49</f>
        <v>0</v>
      </c>
      <c r="J49" s="475"/>
      <c r="K49" s="487"/>
      <c r="L49" s="478">
        <f t="shared" ref="L49:L72" si="18">IF(K49&lt;&gt;0,+G49-K49,0)</f>
        <v>0</v>
      </c>
      <c r="M49" s="487"/>
      <c r="N49" s="478">
        <f t="shared" ref="N49:N72" si="19">IF(M49&lt;&gt;0,+H49-M49,0)</f>
        <v>0</v>
      </c>
      <c r="O49" s="478">
        <f t="shared" ref="O49:O72" si="20">+N49-L49</f>
        <v>0</v>
      </c>
      <c r="P49" s="242"/>
    </row>
    <row r="50" spans="2:16" ht="12.5">
      <c r="B50" s="160" t="str">
        <f t="shared" si="6"/>
        <v/>
      </c>
      <c r="C50" s="472">
        <f>IF(D11="","-",+C49+1)</f>
        <v>2041</v>
      </c>
      <c r="D50" s="485">
        <f>IF(F49+SUM(E$17:E49)=D$10,F49,D$10-SUM(E$17:E49))</f>
        <v>4211371.4243251383</v>
      </c>
      <c r="E50" s="484">
        <f>IF(+I14&lt;F49,I14,D50)</f>
        <v>339898.51162790699</v>
      </c>
      <c r="F50" s="485">
        <f t="shared" si="14"/>
        <v>3871472.9126972314</v>
      </c>
      <c r="G50" s="486">
        <f t="shared" si="15"/>
        <v>757327.51162790693</v>
      </c>
      <c r="H50" s="455">
        <f t="shared" si="16"/>
        <v>757327.51162790693</v>
      </c>
      <c r="I50" s="475">
        <f t="shared" si="17"/>
        <v>0</v>
      </c>
      <c r="J50" s="475"/>
      <c r="K50" s="487"/>
      <c r="L50" s="478">
        <f t="shared" si="18"/>
        <v>0</v>
      </c>
      <c r="M50" s="487"/>
      <c r="N50" s="478">
        <f t="shared" si="19"/>
        <v>0</v>
      </c>
      <c r="O50" s="478">
        <f t="shared" si="20"/>
        <v>0</v>
      </c>
      <c r="P50" s="242"/>
    </row>
    <row r="51" spans="2:16" ht="12.5">
      <c r="B51" s="160" t="str">
        <f t="shared" si="6"/>
        <v/>
      </c>
      <c r="C51" s="472">
        <f>IF(D11="","-",+C50+1)</f>
        <v>2042</v>
      </c>
      <c r="D51" s="485">
        <f>IF(F50+SUM(E$17:E50)=D$10,F50,D$10-SUM(E$17:E50))</f>
        <v>3871472.9126972314</v>
      </c>
      <c r="E51" s="484">
        <f>IF(+I14&lt;F50,I14,D51)</f>
        <v>339898.51162790699</v>
      </c>
      <c r="F51" s="485">
        <f t="shared" si="14"/>
        <v>3531574.4010693245</v>
      </c>
      <c r="G51" s="486">
        <f t="shared" si="15"/>
        <v>720678.51162790693</v>
      </c>
      <c r="H51" s="455">
        <f t="shared" si="16"/>
        <v>720678.51162790693</v>
      </c>
      <c r="I51" s="475">
        <f t="shared" si="17"/>
        <v>0</v>
      </c>
      <c r="J51" s="475"/>
      <c r="K51" s="487"/>
      <c r="L51" s="478">
        <f t="shared" si="18"/>
        <v>0</v>
      </c>
      <c r="M51" s="487"/>
      <c r="N51" s="478">
        <f t="shared" si="19"/>
        <v>0</v>
      </c>
      <c r="O51" s="478">
        <f t="shared" si="20"/>
        <v>0</v>
      </c>
      <c r="P51" s="242"/>
    </row>
    <row r="52" spans="2:16" ht="12.5">
      <c r="B52" s="160" t="str">
        <f t="shared" si="6"/>
        <v/>
      </c>
      <c r="C52" s="472">
        <f>IF(D11="","-",+C51+1)</f>
        <v>2043</v>
      </c>
      <c r="D52" s="485">
        <f>IF(F51+SUM(E$17:E51)=D$10,F51,D$10-SUM(E$17:E51))</f>
        <v>3531574.4010693245</v>
      </c>
      <c r="E52" s="484">
        <f>IF(+I14&lt;F51,I14,D52)</f>
        <v>339898.51162790699</v>
      </c>
      <c r="F52" s="485">
        <f t="shared" si="14"/>
        <v>3191675.8894414175</v>
      </c>
      <c r="G52" s="486">
        <f t="shared" si="15"/>
        <v>684030.51162790693</v>
      </c>
      <c r="H52" s="455">
        <f t="shared" si="16"/>
        <v>684030.51162790693</v>
      </c>
      <c r="I52" s="475">
        <f t="shared" si="17"/>
        <v>0</v>
      </c>
      <c r="J52" s="475"/>
      <c r="K52" s="487"/>
      <c r="L52" s="478">
        <f t="shared" si="18"/>
        <v>0</v>
      </c>
      <c r="M52" s="487"/>
      <c r="N52" s="478">
        <f t="shared" si="19"/>
        <v>0</v>
      </c>
      <c r="O52" s="478">
        <f t="shared" si="20"/>
        <v>0</v>
      </c>
      <c r="P52" s="242"/>
    </row>
    <row r="53" spans="2:16" ht="12.5">
      <c r="B53" s="160" t="str">
        <f t="shared" si="6"/>
        <v/>
      </c>
      <c r="C53" s="472">
        <f>IF(D11="","-",+C52+1)</f>
        <v>2044</v>
      </c>
      <c r="D53" s="485">
        <f>IF(F52+SUM(E$17:E52)=D$10,F52,D$10-SUM(E$17:E52))</f>
        <v>3191675.8894414175</v>
      </c>
      <c r="E53" s="484">
        <f>IF(+I14&lt;F52,I14,D53)</f>
        <v>339898.51162790699</v>
      </c>
      <c r="F53" s="485">
        <f t="shared" si="14"/>
        <v>2851777.3778135106</v>
      </c>
      <c r="G53" s="486">
        <f t="shared" si="15"/>
        <v>647381.51162790693</v>
      </c>
      <c r="H53" s="455">
        <f t="shared" si="16"/>
        <v>647381.51162790693</v>
      </c>
      <c r="I53" s="475">
        <f t="shared" si="17"/>
        <v>0</v>
      </c>
      <c r="J53" s="475"/>
      <c r="K53" s="487"/>
      <c r="L53" s="478">
        <f t="shared" si="18"/>
        <v>0</v>
      </c>
      <c r="M53" s="487"/>
      <c r="N53" s="478">
        <f t="shared" si="19"/>
        <v>0</v>
      </c>
      <c r="O53" s="478">
        <f t="shared" si="20"/>
        <v>0</v>
      </c>
      <c r="P53" s="242"/>
    </row>
    <row r="54" spans="2:16" ht="12.5">
      <c r="B54" s="160" t="str">
        <f t="shared" si="6"/>
        <v/>
      </c>
      <c r="C54" s="472">
        <f>IF(D11="","-",+C53+1)</f>
        <v>2045</v>
      </c>
      <c r="D54" s="485">
        <f>IF(F53+SUM(E$17:E53)=D$10,F53,D$10-SUM(E$17:E53))</f>
        <v>2851777.3778135106</v>
      </c>
      <c r="E54" s="484">
        <f>IF(+I14&lt;F53,I14,D54)</f>
        <v>339898.51162790699</v>
      </c>
      <c r="F54" s="485">
        <f t="shared" si="14"/>
        <v>2511878.8661856037</v>
      </c>
      <c r="G54" s="486">
        <f t="shared" si="15"/>
        <v>610733.51162790693</v>
      </c>
      <c r="H54" s="455">
        <f t="shared" si="16"/>
        <v>610733.51162790693</v>
      </c>
      <c r="I54" s="475">
        <f t="shared" si="17"/>
        <v>0</v>
      </c>
      <c r="J54" s="475"/>
      <c r="K54" s="487"/>
      <c r="L54" s="478">
        <f t="shared" si="18"/>
        <v>0</v>
      </c>
      <c r="M54" s="487"/>
      <c r="N54" s="478">
        <f t="shared" si="19"/>
        <v>0</v>
      </c>
      <c r="O54" s="478">
        <f t="shared" si="20"/>
        <v>0</v>
      </c>
      <c r="P54" s="242"/>
    </row>
    <row r="55" spans="2:16" ht="12.5">
      <c r="B55" s="160" t="str">
        <f t="shared" si="6"/>
        <v/>
      </c>
      <c r="C55" s="472">
        <f>IF(D11="","-",+C54+1)</f>
        <v>2046</v>
      </c>
      <c r="D55" s="485">
        <f>IF(F54+SUM(E$17:E54)=D$10,F54,D$10-SUM(E$17:E54))</f>
        <v>2511878.8661856037</v>
      </c>
      <c r="E55" s="484">
        <f>IF(+I14&lt;F54,I14,D55)</f>
        <v>339898.51162790699</v>
      </c>
      <c r="F55" s="485">
        <f t="shared" si="14"/>
        <v>2171980.3545576967</v>
      </c>
      <c r="G55" s="486">
        <f t="shared" si="15"/>
        <v>574085.51162790693</v>
      </c>
      <c r="H55" s="455">
        <f t="shared" si="16"/>
        <v>574085.51162790693</v>
      </c>
      <c r="I55" s="475">
        <f t="shared" si="17"/>
        <v>0</v>
      </c>
      <c r="J55" s="475"/>
      <c r="K55" s="487"/>
      <c r="L55" s="478">
        <f t="shared" si="18"/>
        <v>0</v>
      </c>
      <c r="M55" s="487"/>
      <c r="N55" s="478">
        <f t="shared" si="19"/>
        <v>0</v>
      </c>
      <c r="O55" s="478">
        <f t="shared" si="20"/>
        <v>0</v>
      </c>
      <c r="P55" s="242"/>
    </row>
    <row r="56" spans="2:16" ht="12.5">
      <c r="B56" s="160" t="str">
        <f t="shared" si="6"/>
        <v/>
      </c>
      <c r="C56" s="472">
        <f>IF(D11="","-",+C55+1)</f>
        <v>2047</v>
      </c>
      <c r="D56" s="485">
        <f>IF(F55+SUM(E$17:E55)=D$10,F55,D$10-SUM(E$17:E55))</f>
        <v>2171980.3545576967</v>
      </c>
      <c r="E56" s="484">
        <f>IF(+I14&lt;F55,I14,D56)</f>
        <v>339898.51162790699</v>
      </c>
      <c r="F56" s="485">
        <f t="shared" si="14"/>
        <v>1832081.8429297898</v>
      </c>
      <c r="G56" s="486">
        <f t="shared" si="15"/>
        <v>537436.51162790693</v>
      </c>
      <c r="H56" s="455">
        <f t="shared" si="16"/>
        <v>537436.51162790693</v>
      </c>
      <c r="I56" s="475">
        <f t="shared" si="17"/>
        <v>0</v>
      </c>
      <c r="J56" s="475"/>
      <c r="K56" s="487"/>
      <c r="L56" s="478">
        <f t="shared" si="18"/>
        <v>0</v>
      </c>
      <c r="M56" s="487"/>
      <c r="N56" s="478">
        <f t="shared" si="19"/>
        <v>0</v>
      </c>
      <c r="O56" s="478">
        <f t="shared" si="20"/>
        <v>0</v>
      </c>
      <c r="P56" s="242"/>
    </row>
    <row r="57" spans="2:16" ht="12.5">
      <c r="B57" s="160" t="str">
        <f t="shared" si="6"/>
        <v/>
      </c>
      <c r="C57" s="472">
        <f>IF(D11="","-",+C56+1)</f>
        <v>2048</v>
      </c>
      <c r="D57" s="485">
        <f>IF(F56+SUM(E$17:E56)=D$10,F56,D$10-SUM(E$17:E56))</f>
        <v>1832081.8429297898</v>
      </c>
      <c r="E57" s="484">
        <f>IF(+I14&lt;F56,I14,D57)</f>
        <v>339898.51162790699</v>
      </c>
      <c r="F57" s="485">
        <f t="shared" si="14"/>
        <v>1492183.3313018829</v>
      </c>
      <c r="G57" s="486">
        <f t="shared" si="15"/>
        <v>500788.51162790699</v>
      </c>
      <c r="H57" s="455">
        <f t="shared" si="16"/>
        <v>500788.51162790699</v>
      </c>
      <c r="I57" s="475">
        <f t="shared" si="17"/>
        <v>0</v>
      </c>
      <c r="J57" s="475"/>
      <c r="K57" s="487"/>
      <c r="L57" s="478">
        <f t="shared" si="18"/>
        <v>0</v>
      </c>
      <c r="M57" s="487"/>
      <c r="N57" s="478">
        <f t="shared" si="19"/>
        <v>0</v>
      </c>
      <c r="O57" s="478">
        <f t="shared" si="20"/>
        <v>0</v>
      </c>
      <c r="P57" s="242"/>
    </row>
    <row r="58" spans="2:16" ht="12.5">
      <c r="B58" s="160" t="str">
        <f t="shared" si="6"/>
        <v/>
      </c>
      <c r="C58" s="472">
        <f>IF(D11="","-",+C57+1)</f>
        <v>2049</v>
      </c>
      <c r="D58" s="485">
        <f>IF(F57+SUM(E$17:E57)=D$10,F57,D$10-SUM(E$17:E57))</f>
        <v>1492183.3313018829</v>
      </c>
      <c r="E58" s="484">
        <f>IF(+I14&lt;F57,I14,D58)</f>
        <v>339898.51162790699</v>
      </c>
      <c r="F58" s="485">
        <f t="shared" si="14"/>
        <v>1152284.8196739759</v>
      </c>
      <c r="G58" s="486">
        <f t="shared" si="15"/>
        <v>464139.51162790699</v>
      </c>
      <c r="H58" s="455">
        <f t="shared" si="16"/>
        <v>464139.51162790699</v>
      </c>
      <c r="I58" s="475">
        <f t="shared" si="17"/>
        <v>0</v>
      </c>
      <c r="J58" s="475"/>
      <c r="K58" s="487"/>
      <c r="L58" s="478">
        <f t="shared" si="18"/>
        <v>0</v>
      </c>
      <c r="M58" s="487"/>
      <c r="N58" s="478">
        <f t="shared" si="19"/>
        <v>0</v>
      </c>
      <c r="O58" s="478">
        <f t="shared" si="20"/>
        <v>0</v>
      </c>
      <c r="P58" s="242"/>
    </row>
    <row r="59" spans="2:16" ht="12.5">
      <c r="B59" s="160" t="str">
        <f t="shared" si="6"/>
        <v/>
      </c>
      <c r="C59" s="472">
        <f>IF(D11="","-",+C58+1)</f>
        <v>2050</v>
      </c>
      <c r="D59" s="485">
        <f>IF(F58+SUM(E$17:E58)=D$10,F58,D$10-SUM(E$17:E58))</f>
        <v>1152284.8196739759</v>
      </c>
      <c r="E59" s="484">
        <f>IF(+I14&lt;F58,I14,D59)</f>
        <v>339898.51162790699</v>
      </c>
      <c r="F59" s="485">
        <f t="shared" si="14"/>
        <v>812386.308046069</v>
      </c>
      <c r="G59" s="486">
        <f t="shared" si="15"/>
        <v>427491.51162790699</v>
      </c>
      <c r="H59" s="455">
        <f t="shared" si="16"/>
        <v>427491.51162790699</v>
      </c>
      <c r="I59" s="475">
        <f t="shared" si="17"/>
        <v>0</v>
      </c>
      <c r="J59" s="475"/>
      <c r="K59" s="487"/>
      <c r="L59" s="478">
        <f t="shared" si="18"/>
        <v>0</v>
      </c>
      <c r="M59" s="487"/>
      <c r="N59" s="478">
        <f t="shared" si="19"/>
        <v>0</v>
      </c>
      <c r="O59" s="478">
        <f t="shared" si="20"/>
        <v>0</v>
      </c>
      <c r="P59" s="242"/>
    </row>
    <row r="60" spans="2:16" ht="12.5">
      <c r="B60" s="160" t="str">
        <f t="shared" si="6"/>
        <v/>
      </c>
      <c r="C60" s="472">
        <f>IF(D11="","-",+C59+1)</f>
        <v>2051</v>
      </c>
      <c r="D60" s="485">
        <f>IF(F59+SUM(E$17:E59)=D$10,F59,D$10-SUM(E$17:E59))</f>
        <v>812386.308046069</v>
      </c>
      <c r="E60" s="484">
        <f>IF(+I14&lt;F59,I14,D60)</f>
        <v>339898.51162790699</v>
      </c>
      <c r="F60" s="485">
        <f t="shared" si="14"/>
        <v>472487.796418162</v>
      </c>
      <c r="G60" s="486">
        <f t="shared" si="15"/>
        <v>390842.51162790699</v>
      </c>
      <c r="H60" s="455">
        <f t="shared" si="16"/>
        <v>390842.51162790699</v>
      </c>
      <c r="I60" s="475">
        <f t="shared" si="17"/>
        <v>0</v>
      </c>
      <c r="J60" s="475"/>
      <c r="K60" s="487"/>
      <c r="L60" s="478">
        <f t="shared" si="18"/>
        <v>0</v>
      </c>
      <c r="M60" s="487"/>
      <c r="N60" s="478">
        <f t="shared" si="19"/>
        <v>0</v>
      </c>
      <c r="O60" s="478">
        <f t="shared" si="20"/>
        <v>0</v>
      </c>
      <c r="P60" s="242"/>
    </row>
    <row r="61" spans="2:16" ht="12.5">
      <c r="B61" s="160" t="str">
        <f t="shared" si="6"/>
        <v/>
      </c>
      <c r="C61" s="472">
        <f>IF(D11="","-",+C60+1)</f>
        <v>2052</v>
      </c>
      <c r="D61" s="485">
        <f>IF(F60+SUM(E$17:E60)=D$10,F60,D$10-SUM(E$17:E60))</f>
        <v>472487.796418162</v>
      </c>
      <c r="E61" s="484">
        <f>IF(+I14&lt;F60,I14,D61)</f>
        <v>339898.51162790699</v>
      </c>
      <c r="F61" s="485">
        <f t="shared" si="14"/>
        <v>132589.28479025501</v>
      </c>
      <c r="G61" s="488">
        <f t="shared" si="15"/>
        <v>354194.51162790699</v>
      </c>
      <c r="H61" s="455">
        <f t="shared" si="16"/>
        <v>354194.51162790699</v>
      </c>
      <c r="I61" s="475">
        <f t="shared" si="17"/>
        <v>0</v>
      </c>
      <c r="J61" s="475"/>
      <c r="K61" s="487"/>
      <c r="L61" s="478">
        <f t="shared" si="18"/>
        <v>0</v>
      </c>
      <c r="M61" s="487"/>
      <c r="N61" s="478">
        <f t="shared" si="19"/>
        <v>0</v>
      </c>
      <c r="O61" s="478">
        <f t="shared" si="20"/>
        <v>0</v>
      </c>
      <c r="P61" s="242"/>
    </row>
    <row r="62" spans="2:16" ht="12.5">
      <c r="B62" s="160" t="str">
        <f t="shared" si="6"/>
        <v/>
      </c>
      <c r="C62" s="472">
        <f>IF(D11="","-",+C61+1)</f>
        <v>2053</v>
      </c>
      <c r="D62" s="485">
        <f>IF(F61+SUM(E$17:E61)=D$10,F61,D$10-SUM(E$17:E61))</f>
        <v>132589.28479025501</v>
      </c>
      <c r="E62" s="484">
        <f>IF(+I14&lt;F61,I14,D62)</f>
        <v>132589.28479025501</v>
      </c>
      <c r="F62" s="485">
        <f t="shared" si="14"/>
        <v>0</v>
      </c>
      <c r="G62" s="488">
        <f t="shared" si="15"/>
        <v>132589.28479025501</v>
      </c>
      <c r="H62" s="455">
        <f t="shared" si="16"/>
        <v>132589.28479025501</v>
      </c>
      <c r="I62" s="475">
        <f t="shared" si="17"/>
        <v>0</v>
      </c>
      <c r="J62" s="475"/>
      <c r="K62" s="487"/>
      <c r="L62" s="478">
        <f t="shared" si="18"/>
        <v>0</v>
      </c>
      <c r="M62" s="487"/>
      <c r="N62" s="478">
        <f t="shared" si="19"/>
        <v>0</v>
      </c>
      <c r="O62" s="478">
        <f t="shared" si="20"/>
        <v>0</v>
      </c>
      <c r="P62" s="242"/>
    </row>
    <row r="63" spans="2:16" ht="12.5">
      <c r="B63" s="160" t="str">
        <f t="shared" si="6"/>
        <v/>
      </c>
      <c r="C63" s="472">
        <f>IF(D11="","-",+C62+1)</f>
        <v>2054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4"/>
        <v>0</v>
      </c>
      <c r="G63" s="488">
        <f t="shared" si="15"/>
        <v>0</v>
      </c>
      <c r="H63" s="455">
        <f t="shared" si="16"/>
        <v>0</v>
      </c>
      <c r="I63" s="475">
        <f t="shared" si="17"/>
        <v>0</v>
      </c>
      <c r="J63" s="475"/>
      <c r="K63" s="487"/>
      <c r="L63" s="478">
        <f t="shared" si="18"/>
        <v>0</v>
      </c>
      <c r="M63" s="487"/>
      <c r="N63" s="478">
        <f t="shared" si="19"/>
        <v>0</v>
      </c>
      <c r="O63" s="478">
        <f t="shared" si="20"/>
        <v>0</v>
      </c>
      <c r="P63" s="242"/>
    </row>
    <row r="64" spans="2:16" ht="12.5">
      <c r="B64" s="160" t="str">
        <f t="shared" si="6"/>
        <v/>
      </c>
      <c r="C64" s="472">
        <f>IF(D11="","-",+C63+1)</f>
        <v>2055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4"/>
        <v>0</v>
      </c>
      <c r="G64" s="488">
        <f t="shared" si="15"/>
        <v>0</v>
      </c>
      <c r="H64" s="455">
        <f t="shared" si="16"/>
        <v>0</v>
      </c>
      <c r="I64" s="475">
        <f t="shared" si="17"/>
        <v>0</v>
      </c>
      <c r="J64" s="475"/>
      <c r="K64" s="487"/>
      <c r="L64" s="478">
        <f t="shared" si="18"/>
        <v>0</v>
      </c>
      <c r="M64" s="487"/>
      <c r="N64" s="478">
        <f t="shared" si="19"/>
        <v>0</v>
      </c>
      <c r="O64" s="478">
        <f t="shared" si="20"/>
        <v>0</v>
      </c>
      <c r="P64" s="242"/>
    </row>
    <row r="65" spans="2:16" ht="12.5">
      <c r="B65" s="160" t="str">
        <f t="shared" si="6"/>
        <v/>
      </c>
      <c r="C65" s="472">
        <f>IF(D11="","-",+C64+1)</f>
        <v>2056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4"/>
        <v>0</v>
      </c>
      <c r="G65" s="488">
        <f t="shared" si="15"/>
        <v>0</v>
      </c>
      <c r="H65" s="455">
        <f t="shared" si="16"/>
        <v>0</v>
      </c>
      <c r="I65" s="475">
        <f t="shared" si="17"/>
        <v>0</v>
      </c>
      <c r="J65" s="475"/>
      <c r="K65" s="487"/>
      <c r="L65" s="478">
        <f t="shared" si="18"/>
        <v>0</v>
      </c>
      <c r="M65" s="487"/>
      <c r="N65" s="478">
        <f t="shared" si="19"/>
        <v>0</v>
      </c>
      <c r="O65" s="478">
        <f t="shared" si="20"/>
        <v>0</v>
      </c>
      <c r="P65" s="242"/>
    </row>
    <row r="66" spans="2:16" ht="12.5">
      <c r="B66" s="160" t="str">
        <f t="shared" si="6"/>
        <v/>
      </c>
      <c r="C66" s="472">
        <f>IF(D11="","-",+C65+1)</f>
        <v>2057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4"/>
        <v>0</v>
      </c>
      <c r="G66" s="488">
        <f t="shared" si="15"/>
        <v>0</v>
      </c>
      <c r="H66" s="455">
        <f t="shared" si="16"/>
        <v>0</v>
      </c>
      <c r="I66" s="475">
        <f t="shared" si="17"/>
        <v>0</v>
      </c>
      <c r="J66" s="475"/>
      <c r="K66" s="487"/>
      <c r="L66" s="478">
        <f t="shared" si="18"/>
        <v>0</v>
      </c>
      <c r="M66" s="487"/>
      <c r="N66" s="478">
        <f t="shared" si="19"/>
        <v>0</v>
      </c>
      <c r="O66" s="478">
        <f t="shared" si="20"/>
        <v>0</v>
      </c>
      <c r="P66" s="242"/>
    </row>
    <row r="67" spans="2:16" ht="12.5">
      <c r="B67" s="160" t="str">
        <f t="shared" si="6"/>
        <v/>
      </c>
      <c r="C67" s="472">
        <f>IF(D11="","-",+C66+1)</f>
        <v>2058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4"/>
        <v>0</v>
      </c>
      <c r="G67" s="488">
        <f t="shared" si="15"/>
        <v>0</v>
      </c>
      <c r="H67" s="455">
        <f t="shared" si="16"/>
        <v>0</v>
      </c>
      <c r="I67" s="475">
        <f t="shared" si="17"/>
        <v>0</v>
      </c>
      <c r="J67" s="475"/>
      <c r="K67" s="487"/>
      <c r="L67" s="478">
        <f t="shared" si="18"/>
        <v>0</v>
      </c>
      <c r="M67" s="487"/>
      <c r="N67" s="478">
        <f t="shared" si="19"/>
        <v>0</v>
      </c>
      <c r="O67" s="478">
        <f t="shared" si="20"/>
        <v>0</v>
      </c>
      <c r="P67" s="242"/>
    </row>
    <row r="68" spans="2:16" ht="12.5">
      <c r="B68" s="160" t="str">
        <f t="shared" si="6"/>
        <v/>
      </c>
      <c r="C68" s="472">
        <f>IF(D11="","-",+C67+1)</f>
        <v>2059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4"/>
        <v>0</v>
      </c>
      <c r="G68" s="488">
        <f t="shared" si="15"/>
        <v>0</v>
      </c>
      <c r="H68" s="455">
        <f t="shared" si="16"/>
        <v>0</v>
      </c>
      <c r="I68" s="475">
        <f t="shared" si="17"/>
        <v>0</v>
      </c>
      <c r="J68" s="475"/>
      <c r="K68" s="487"/>
      <c r="L68" s="478">
        <f t="shared" si="18"/>
        <v>0</v>
      </c>
      <c r="M68" s="487"/>
      <c r="N68" s="478">
        <f t="shared" si="19"/>
        <v>0</v>
      </c>
      <c r="O68" s="478">
        <f t="shared" si="20"/>
        <v>0</v>
      </c>
      <c r="P68" s="242"/>
    </row>
    <row r="69" spans="2:16" ht="12.5">
      <c r="B69" s="160" t="str">
        <f t="shared" si="6"/>
        <v/>
      </c>
      <c r="C69" s="472">
        <f>IF(D11="","-",+C68+1)</f>
        <v>2060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4"/>
        <v>0</v>
      </c>
      <c r="G69" s="488">
        <f t="shared" si="15"/>
        <v>0</v>
      </c>
      <c r="H69" s="455">
        <f t="shared" si="16"/>
        <v>0</v>
      </c>
      <c r="I69" s="475">
        <f t="shared" si="17"/>
        <v>0</v>
      </c>
      <c r="J69" s="475"/>
      <c r="K69" s="487"/>
      <c r="L69" s="478">
        <f t="shared" si="18"/>
        <v>0</v>
      </c>
      <c r="M69" s="487"/>
      <c r="N69" s="478">
        <f t="shared" si="19"/>
        <v>0</v>
      </c>
      <c r="O69" s="478">
        <f t="shared" si="20"/>
        <v>0</v>
      </c>
      <c r="P69" s="242"/>
    </row>
    <row r="70" spans="2:16" ht="12.5">
      <c r="B70" s="160" t="str">
        <f t="shared" si="6"/>
        <v/>
      </c>
      <c r="C70" s="472">
        <f>IF(D11="","-",+C69+1)</f>
        <v>2061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4"/>
        <v>0</v>
      </c>
      <c r="G70" s="488">
        <f t="shared" si="15"/>
        <v>0</v>
      </c>
      <c r="H70" s="455">
        <f t="shared" si="16"/>
        <v>0</v>
      </c>
      <c r="I70" s="475">
        <f t="shared" si="17"/>
        <v>0</v>
      </c>
      <c r="J70" s="475"/>
      <c r="K70" s="487"/>
      <c r="L70" s="478">
        <f t="shared" si="18"/>
        <v>0</v>
      </c>
      <c r="M70" s="487"/>
      <c r="N70" s="478">
        <f t="shared" si="19"/>
        <v>0</v>
      </c>
      <c r="O70" s="478">
        <f t="shared" si="20"/>
        <v>0</v>
      </c>
      <c r="P70" s="242"/>
    </row>
    <row r="71" spans="2:16" ht="12.5">
      <c r="B71" s="160" t="str">
        <f t="shared" si="6"/>
        <v/>
      </c>
      <c r="C71" s="472">
        <f>IF(D11="","-",+C70+1)</f>
        <v>2062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4"/>
        <v>0</v>
      </c>
      <c r="G71" s="488">
        <f t="shared" si="15"/>
        <v>0</v>
      </c>
      <c r="H71" s="455">
        <f t="shared" si="16"/>
        <v>0</v>
      </c>
      <c r="I71" s="475">
        <f t="shared" si="17"/>
        <v>0</v>
      </c>
      <c r="J71" s="475"/>
      <c r="K71" s="487"/>
      <c r="L71" s="478">
        <f t="shared" si="18"/>
        <v>0</v>
      </c>
      <c r="M71" s="487"/>
      <c r="N71" s="478">
        <f t="shared" si="19"/>
        <v>0</v>
      </c>
      <c r="O71" s="478">
        <f t="shared" si="20"/>
        <v>0</v>
      </c>
      <c r="P71" s="242"/>
    </row>
    <row r="72" spans="2:16" ht="13" thickBot="1">
      <c r="B72" s="160" t="str">
        <f t="shared" si="6"/>
        <v/>
      </c>
      <c r="C72" s="489">
        <f>IF(D11="","-",+C71+1)</f>
        <v>2063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4"/>
        <v>0</v>
      </c>
      <c r="G72" s="492">
        <f t="shared" si="15"/>
        <v>0</v>
      </c>
      <c r="H72" s="435">
        <f t="shared" si="16"/>
        <v>0</v>
      </c>
      <c r="I72" s="493">
        <f t="shared" si="17"/>
        <v>0</v>
      </c>
      <c r="J72" s="475"/>
      <c r="K72" s="494"/>
      <c r="L72" s="495">
        <f t="shared" si="18"/>
        <v>0</v>
      </c>
      <c r="M72" s="494"/>
      <c r="N72" s="495">
        <f t="shared" si="19"/>
        <v>0</v>
      </c>
      <c r="O72" s="495">
        <f t="shared" si="20"/>
        <v>0</v>
      </c>
      <c r="P72" s="242"/>
    </row>
    <row r="73" spans="2:16" ht="12.5">
      <c r="C73" s="346" t="s">
        <v>77</v>
      </c>
      <c r="D73" s="347"/>
      <c r="E73" s="347">
        <f>SUM(E17:E72)</f>
        <v>14615636</v>
      </c>
      <c r="F73" s="347"/>
      <c r="G73" s="347">
        <f>SUM(G17:G72)</f>
        <v>54174187.801103517</v>
      </c>
      <c r="H73" s="347">
        <f>SUM(H17:H72)</f>
        <v>54174187.801103517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4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 t="str">
        <f>O4</f>
        <v>WFEC DA Adjustment</v>
      </c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IF(J92&lt;D11,0,VLOOKUP(J92,C17:O72,9))-P87</f>
        <v>1638222.8007125233</v>
      </c>
      <c r="N87" s="508">
        <f>IF(J92&lt;D11,0,VLOOKUP(J92,C17:O72,11))-P87</f>
        <v>1638222.8007125233</v>
      </c>
      <c r="O87" s="509">
        <f>+N87-M87</f>
        <v>0</v>
      </c>
      <c r="P87" s="342">
        <f>O5</f>
        <v>15688.800000000001</v>
      </c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IF(J92&lt;D11,0,VLOOKUP(J92,C99:P154,6))-P87</f>
        <v>1515626.2</v>
      </c>
      <c r="N88" s="512">
        <f>IF(J92&lt;D11,0,VLOOKUP(J92,C99:P154,7))-P87</f>
        <v>1515626.2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Cache-Snyder to Altus Jct. 138 kV line (w/2 ring bus stations)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-122596.60071252333</v>
      </c>
      <c r="N89" s="517">
        <f>+N88-N87</f>
        <v>-122596.60071252333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TP2004147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f>+D10</f>
        <v>14615636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2008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7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356479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560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2008</v>
      </c>
      <c r="D99" s="473">
        <v>0</v>
      </c>
      <c r="E99" s="480">
        <v>114341</v>
      </c>
      <c r="F99" s="479">
        <v>14429811</v>
      </c>
      <c r="G99" s="537">
        <f t="shared" ref="G99:G130" si="21">+(F99+D99)/2</f>
        <v>7214905.5</v>
      </c>
      <c r="H99" s="538">
        <v>1260396</v>
      </c>
      <c r="I99" s="539">
        <v>1260396</v>
      </c>
      <c r="J99" s="478">
        <f t="shared" ref="J99:J131" si="22">+I99-H99</f>
        <v>0</v>
      </c>
      <c r="K99" s="478"/>
      <c r="L99" s="554">
        <v>1260396</v>
      </c>
      <c r="M99" s="477">
        <f t="shared" ref="M99:M130" si="23">IF(L99&lt;&gt;0,+H99-L99,0)</f>
        <v>0</v>
      </c>
      <c r="N99" s="554">
        <f>+L99</f>
        <v>1260396</v>
      </c>
      <c r="O99" s="477">
        <f t="shared" ref="O99:O130" si="24">IF(N99&lt;&gt;0,+I99-N99,0)</f>
        <v>0</v>
      </c>
      <c r="P99" s="477">
        <f t="shared" ref="P99:P130" si="25">+O99-M99</f>
        <v>0</v>
      </c>
    </row>
    <row r="100" spans="1:16" ht="12.5">
      <c r="B100" s="160" t="str">
        <f>IF(D100=F99,"","IU")</f>
        <v>IU</v>
      </c>
      <c r="C100" s="472">
        <f>IF(D93="","-",+C99+1)</f>
        <v>2009</v>
      </c>
      <c r="D100" s="473">
        <v>14569170</v>
      </c>
      <c r="E100" s="480">
        <v>262206</v>
      </c>
      <c r="F100" s="479">
        <v>14306964</v>
      </c>
      <c r="G100" s="479">
        <v>14438067</v>
      </c>
      <c r="H100" s="480">
        <v>2373171</v>
      </c>
      <c r="I100" s="481">
        <v>2373171</v>
      </c>
      <c r="J100" s="478">
        <f t="shared" si="22"/>
        <v>0</v>
      </c>
      <c r="K100" s="478"/>
      <c r="L100" s="476">
        <f t="shared" ref="L100:L105" si="26">H100</f>
        <v>2373171</v>
      </c>
      <c r="M100" s="478">
        <f t="shared" si="23"/>
        <v>0</v>
      </c>
      <c r="N100" s="476">
        <f t="shared" ref="N100:N105" si="27">I100</f>
        <v>2373171</v>
      </c>
      <c r="O100" s="478">
        <f t="shared" si="24"/>
        <v>0</v>
      </c>
      <c r="P100" s="478">
        <f t="shared" si="25"/>
        <v>0</v>
      </c>
    </row>
    <row r="101" spans="1:16" ht="12.5">
      <c r="B101" s="160" t="str">
        <f t="shared" ref="B101:B154" si="28">IF(D101=F100,"","IU")</f>
        <v>IU</v>
      </c>
      <c r="C101" s="472">
        <f>IF(D93="","-",+C100+1)</f>
        <v>2010</v>
      </c>
      <c r="D101" s="473">
        <v>14239089</v>
      </c>
      <c r="E101" s="480">
        <v>286581</v>
      </c>
      <c r="F101" s="479">
        <v>13952508</v>
      </c>
      <c r="G101" s="479">
        <v>14095798.5</v>
      </c>
      <c r="H101" s="480">
        <v>2553400</v>
      </c>
      <c r="I101" s="481">
        <v>2553400</v>
      </c>
      <c r="J101" s="478">
        <f t="shared" si="22"/>
        <v>0</v>
      </c>
      <c r="K101" s="478"/>
      <c r="L101" s="540">
        <f t="shared" si="26"/>
        <v>2553400</v>
      </c>
      <c r="M101" s="541">
        <f t="shared" si="23"/>
        <v>0</v>
      </c>
      <c r="N101" s="540">
        <f t="shared" si="27"/>
        <v>2553400</v>
      </c>
      <c r="O101" s="478">
        <f t="shared" si="24"/>
        <v>0</v>
      </c>
      <c r="P101" s="478">
        <f t="shared" si="25"/>
        <v>0</v>
      </c>
    </row>
    <row r="102" spans="1:16" ht="12.5">
      <c r="B102" s="160" t="str">
        <f t="shared" si="28"/>
        <v/>
      </c>
      <c r="C102" s="472">
        <f>IF(D93="","-",+C101+1)</f>
        <v>2011</v>
      </c>
      <c r="D102" s="473">
        <v>13952508</v>
      </c>
      <c r="E102" s="480">
        <v>281070</v>
      </c>
      <c r="F102" s="479">
        <v>13671438</v>
      </c>
      <c r="G102" s="479">
        <v>13811973</v>
      </c>
      <c r="H102" s="480">
        <v>2212169</v>
      </c>
      <c r="I102" s="481">
        <v>2212169</v>
      </c>
      <c r="J102" s="478">
        <f t="shared" si="22"/>
        <v>0</v>
      </c>
      <c r="K102" s="478"/>
      <c r="L102" s="540">
        <f t="shared" si="26"/>
        <v>2212169</v>
      </c>
      <c r="M102" s="541">
        <f t="shared" si="23"/>
        <v>0</v>
      </c>
      <c r="N102" s="540">
        <f t="shared" si="27"/>
        <v>2212169</v>
      </c>
      <c r="O102" s="478">
        <f t="shared" si="24"/>
        <v>0</v>
      </c>
      <c r="P102" s="478">
        <f t="shared" si="25"/>
        <v>0</v>
      </c>
    </row>
    <row r="103" spans="1:16" ht="12.5">
      <c r="B103" s="160" t="str">
        <f t="shared" si="28"/>
        <v/>
      </c>
      <c r="C103" s="472">
        <f>IF(D93="","-",+C102+1)</f>
        <v>2012</v>
      </c>
      <c r="D103" s="473">
        <v>13671438</v>
      </c>
      <c r="E103" s="480">
        <v>281070</v>
      </c>
      <c r="F103" s="479">
        <v>13390368</v>
      </c>
      <c r="G103" s="479">
        <v>13530903</v>
      </c>
      <c r="H103" s="480">
        <v>2227565</v>
      </c>
      <c r="I103" s="481">
        <v>2227565</v>
      </c>
      <c r="J103" s="478">
        <v>0</v>
      </c>
      <c r="K103" s="478"/>
      <c r="L103" s="540">
        <f t="shared" si="26"/>
        <v>2227565</v>
      </c>
      <c r="M103" s="541">
        <f t="shared" ref="M103:M108" si="29">IF(L103&lt;&gt;0,+H103-L103,0)</f>
        <v>0</v>
      </c>
      <c r="N103" s="540">
        <f t="shared" si="27"/>
        <v>2227565</v>
      </c>
      <c r="O103" s="478">
        <f t="shared" ref="O103:O108" si="30">IF(N103&lt;&gt;0,+I103-N103,0)</f>
        <v>0</v>
      </c>
      <c r="P103" s="478">
        <f t="shared" ref="P103:P108" si="31">+O103-M103</f>
        <v>0</v>
      </c>
    </row>
    <row r="104" spans="1:16" ht="12.5">
      <c r="B104" s="160" t="str">
        <f t="shared" si="28"/>
        <v/>
      </c>
      <c r="C104" s="472">
        <f>IF(D93="","-",+C103+1)</f>
        <v>2013</v>
      </c>
      <c r="D104" s="473">
        <v>13390368</v>
      </c>
      <c r="E104" s="480">
        <v>281070</v>
      </c>
      <c r="F104" s="479">
        <v>13109298</v>
      </c>
      <c r="G104" s="479">
        <v>13249833</v>
      </c>
      <c r="H104" s="480">
        <v>2188246</v>
      </c>
      <c r="I104" s="481">
        <v>2188246</v>
      </c>
      <c r="J104" s="478">
        <v>0</v>
      </c>
      <c r="K104" s="478"/>
      <c r="L104" s="540">
        <f t="shared" si="26"/>
        <v>2188246</v>
      </c>
      <c r="M104" s="541">
        <f t="shared" si="29"/>
        <v>0</v>
      </c>
      <c r="N104" s="540">
        <f t="shared" si="27"/>
        <v>2188246</v>
      </c>
      <c r="O104" s="478">
        <f t="shared" si="30"/>
        <v>0</v>
      </c>
      <c r="P104" s="478">
        <f t="shared" si="31"/>
        <v>0</v>
      </c>
    </row>
    <row r="105" spans="1:16" ht="12.5">
      <c r="B105" s="160" t="str">
        <f t="shared" si="28"/>
        <v/>
      </c>
      <c r="C105" s="472">
        <f>IF(D93="","-",+C104+1)</f>
        <v>2014</v>
      </c>
      <c r="D105" s="473">
        <v>13109298</v>
      </c>
      <c r="E105" s="480">
        <v>281070</v>
      </c>
      <c r="F105" s="479">
        <v>12828228</v>
      </c>
      <c r="G105" s="479">
        <v>12968763</v>
      </c>
      <c r="H105" s="480">
        <v>2104425</v>
      </c>
      <c r="I105" s="481">
        <v>2104425</v>
      </c>
      <c r="J105" s="478">
        <v>0</v>
      </c>
      <c r="K105" s="478"/>
      <c r="L105" s="540">
        <f t="shared" si="26"/>
        <v>2104425</v>
      </c>
      <c r="M105" s="541">
        <f t="shared" si="29"/>
        <v>0</v>
      </c>
      <c r="N105" s="540">
        <f t="shared" si="27"/>
        <v>2104425</v>
      </c>
      <c r="O105" s="478">
        <f t="shared" si="30"/>
        <v>0</v>
      </c>
      <c r="P105" s="478">
        <f t="shared" si="31"/>
        <v>0</v>
      </c>
    </row>
    <row r="106" spans="1:16" ht="12.5">
      <c r="B106" s="160" t="str">
        <f t="shared" si="28"/>
        <v/>
      </c>
      <c r="C106" s="472">
        <f>IF(D93="","-",+C105+1)</f>
        <v>2015</v>
      </c>
      <c r="D106" s="473">
        <v>12828228</v>
      </c>
      <c r="E106" s="480">
        <v>281070</v>
      </c>
      <c r="F106" s="479">
        <v>12547158</v>
      </c>
      <c r="G106" s="479">
        <v>12687693</v>
      </c>
      <c r="H106" s="480">
        <v>2012204</v>
      </c>
      <c r="I106" s="481">
        <v>2012204</v>
      </c>
      <c r="J106" s="478">
        <f t="shared" si="22"/>
        <v>0</v>
      </c>
      <c r="K106" s="478"/>
      <c r="L106" s="540">
        <f>H106</f>
        <v>2012204</v>
      </c>
      <c r="M106" s="541">
        <f t="shared" si="29"/>
        <v>0</v>
      </c>
      <c r="N106" s="540">
        <f>I106</f>
        <v>2012204</v>
      </c>
      <c r="O106" s="478">
        <f t="shared" si="30"/>
        <v>0</v>
      </c>
      <c r="P106" s="478">
        <f t="shared" si="31"/>
        <v>0</v>
      </c>
    </row>
    <row r="107" spans="1:16" ht="12.5">
      <c r="B107" s="160" t="str">
        <f t="shared" si="28"/>
        <v/>
      </c>
      <c r="C107" s="472">
        <f>IF(D93="","-",+C106+1)</f>
        <v>2016</v>
      </c>
      <c r="D107" s="473">
        <v>12547158</v>
      </c>
      <c r="E107" s="480">
        <v>317731</v>
      </c>
      <c r="F107" s="479">
        <v>12229427</v>
      </c>
      <c r="G107" s="479">
        <v>12388292.5</v>
      </c>
      <c r="H107" s="480">
        <v>1914777</v>
      </c>
      <c r="I107" s="481">
        <v>1914777</v>
      </c>
      <c r="J107" s="478">
        <f t="shared" si="22"/>
        <v>0</v>
      </c>
      <c r="K107" s="478"/>
      <c r="L107" s="540">
        <f>H107</f>
        <v>1914777</v>
      </c>
      <c r="M107" s="541">
        <f t="shared" si="29"/>
        <v>0</v>
      </c>
      <c r="N107" s="540">
        <f>I107</f>
        <v>1914777</v>
      </c>
      <c r="O107" s="478">
        <f t="shared" si="30"/>
        <v>0</v>
      </c>
      <c r="P107" s="478">
        <f t="shared" si="31"/>
        <v>0</v>
      </c>
    </row>
    <row r="108" spans="1:16" ht="12.5">
      <c r="B108" s="160" t="str">
        <f t="shared" si="28"/>
        <v/>
      </c>
      <c r="C108" s="472">
        <f>IF(D93="","-",+C107+1)</f>
        <v>2017</v>
      </c>
      <c r="D108" s="473">
        <v>12229427</v>
      </c>
      <c r="E108" s="480">
        <v>317731</v>
      </c>
      <c r="F108" s="479">
        <v>11911696</v>
      </c>
      <c r="G108" s="479">
        <v>12070561.5</v>
      </c>
      <c r="H108" s="480">
        <v>1848912</v>
      </c>
      <c r="I108" s="481">
        <v>1848912</v>
      </c>
      <c r="J108" s="478">
        <f t="shared" si="22"/>
        <v>0</v>
      </c>
      <c r="K108" s="478"/>
      <c r="L108" s="540">
        <f>H108</f>
        <v>1848912</v>
      </c>
      <c r="M108" s="541">
        <f t="shared" si="29"/>
        <v>0</v>
      </c>
      <c r="N108" s="540">
        <f>I108</f>
        <v>1848912</v>
      </c>
      <c r="O108" s="478">
        <f t="shared" si="30"/>
        <v>0</v>
      </c>
      <c r="P108" s="478">
        <f t="shared" si="31"/>
        <v>0</v>
      </c>
    </row>
    <row r="109" spans="1:16" ht="12.5">
      <c r="B109" s="160" t="str">
        <f t="shared" si="28"/>
        <v/>
      </c>
      <c r="C109" s="472">
        <f>IF(D93="","-",+C108+1)</f>
        <v>2018</v>
      </c>
      <c r="D109" s="473">
        <v>11911696</v>
      </c>
      <c r="E109" s="480">
        <v>339899</v>
      </c>
      <c r="F109" s="479">
        <v>11571797</v>
      </c>
      <c r="G109" s="479">
        <v>11741746.5</v>
      </c>
      <c r="H109" s="480">
        <v>1546194</v>
      </c>
      <c r="I109" s="481">
        <v>1546194</v>
      </c>
      <c r="J109" s="478">
        <f t="shared" si="22"/>
        <v>0</v>
      </c>
      <c r="K109" s="478"/>
      <c r="L109" s="540">
        <f>H109</f>
        <v>1546194</v>
      </c>
      <c r="M109" s="541">
        <f t="shared" ref="M109" si="32">IF(L109&lt;&gt;0,+H109-L109,0)</f>
        <v>0</v>
      </c>
      <c r="N109" s="540">
        <f>I109</f>
        <v>1546194</v>
      </c>
      <c r="O109" s="478">
        <f t="shared" ref="O109" si="33">IF(N109&lt;&gt;0,+I109-N109,0)</f>
        <v>0</v>
      </c>
      <c r="P109" s="478">
        <f t="shared" ref="P109" si="34">+O109-M109</f>
        <v>0</v>
      </c>
    </row>
    <row r="110" spans="1:16" ht="12.5">
      <c r="B110" s="160" t="str">
        <f t="shared" si="28"/>
        <v/>
      </c>
      <c r="C110" s="472">
        <f>IF(D93="","-",+C109+1)</f>
        <v>2019</v>
      </c>
      <c r="D110" s="346">
        <f>IF(F109+SUM(E$99:E109)=D$92,F109,D$92-SUM(E$99:E109))</f>
        <v>11571797</v>
      </c>
      <c r="E110" s="486">
        <f>IF(+J96&lt;F109,J96,D110)</f>
        <v>356479</v>
      </c>
      <c r="F110" s="485">
        <f t="shared" ref="F110:F130" si="35">+D110-E110</f>
        <v>11215318</v>
      </c>
      <c r="G110" s="485">
        <f t="shared" si="21"/>
        <v>11393557.5</v>
      </c>
      <c r="H110" s="488">
        <f t="shared" ref="H110:H154" si="36">ROUND(J$94*G110,0)+E110</f>
        <v>1531315</v>
      </c>
      <c r="I110" s="542">
        <f t="shared" ref="I110:I154" si="37">ROUND(J$95*G110,0)+E110</f>
        <v>1531315</v>
      </c>
      <c r="J110" s="478">
        <f t="shared" si="22"/>
        <v>0</v>
      </c>
      <c r="K110" s="478"/>
      <c r="L110" s="487"/>
      <c r="M110" s="478">
        <f t="shared" si="23"/>
        <v>0</v>
      </c>
      <c r="N110" s="487"/>
      <c r="O110" s="478">
        <f t="shared" si="24"/>
        <v>0</v>
      </c>
      <c r="P110" s="478">
        <f t="shared" si="25"/>
        <v>0</v>
      </c>
    </row>
    <row r="111" spans="1:16" ht="12.5">
      <c r="B111" s="160" t="str">
        <f t="shared" si="28"/>
        <v/>
      </c>
      <c r="C111" s="472">
        <f>IF(D93="","-",+C110+1)</f>
        <v>2020</v>
      </c>
      <c r="D111" s="346">
        <f>IF(F110+SUM(E$99:E110)=D$92,F110,D$92-SUM(E$99:E110))</f>
        <v>11215318</v>
      </c>
      <c r="E111" s="486">
        <f>IF(+J96&lt;F110,J96,D111)</f>
        <v>356479</v>
      </c>
      <c r="F111" s="485">
        <f t="shared" si="35"/>
        <v>10858839</v>
      </c>
      <c r="G111" s="485">
        <f t="shared" si="21"/>
        <v>11037078.5</v>
      </c>
      <c r="H111" s="488">
        <f t="shared" si="36"/>
        <v>1494557</v>
      </c>
      <c r="I111" s="542">
        <f t="shared" si="37"/>
        <v>1494557</v>
      </c>
      <c r="J111" s="478">
        <f t="shared" si="22"/>
        <v>0</v>
      </c>
      <c r="K111" s="478"/>
      <c r="L111" s="487"/>
      <c r="M111" s="478">
        <f t="shared" si="23"/>
        <v>0</v>
      </c>
      <c r="N111" s="487"/>
      <c r="O111" s="478">
        <f t="shared" si="24"/>
        <v>0</v>
      </c>
      <c r="P111" s="478">
        <f t="shared" si="25"/>
        <v>0</v>
      </c>
    </row>
    <row r="112" spans="1:16" ht="12.5">
      <c r="B112" s="160" t="str">
        <f t="shared" si="28"/>
        <v/>
      </c>
      <c r="C112" s="472">
        <f>IF(D93="","-",+C111+1)</f>
        <v>2021</v>
      </c>
      <c r="D112" s="346">
        <f>IF(F111+SUM(E$99:E111)=D$92,F111,D$92-SUM(E$99:E111))</f>
        <v>10858839</v>
      </c>
      <c r="E112" s="486">
        <f>IF(+J96&lt;F111,J96,D112)</f>
        <v>356479</v>
      </c>
      <c r="F112" s="485">
        <f t="shared" si="35"/>
        <v>10502360</v>
      </c>
      <c r="G112" s="485">
        <f t="shared" si="21"/>
        <v>10680599.5</v>
      </c>
      <c r="H112" s="488">
        <f t="shared" si="36"/>
        <v>1457799</v>
      </c>
      <c r="I112" s="542">
        <f t="shared" si="37"/>
        <v>1457799</v>
      </c>
      <c r="J112" s="478">
        <f t="shared" si="22"/>
        <v>0</v>
      </c>
      <c r="K112" s="478"/>
      <c r="L112" s="487"/>
      <c r="M112" s="478">
        <f t="shared" si="23"/>
        <v>0</v>
      </c>
      <c r="N112" s="487"/>
      <c r="O112" s="478">
        <f t="shared" si="24"/>
        <v>0</v>
      </c>
      <c r="P112" s="478">
        <f t="shared" si="25"/>
        <v>0</v>
      </c>
    </row>
    <row r="113" spans="2:16" ht="12.5">
      <c r="B113" s="160" t="str">
        <f t="shared" si="28"/>
        <v/>
      </c>
      <c r="C113" s="472">
        <f>IF(D93="","-",+C112+1)</f>
        <v>2022</v>
      </c>
      <c r="D113" s="346">
        <f>IF(F112+SUM(E$99:E112)=D$92,F112,D$92-SUM(E$99:E112))</f>
        <v>10502360</v>
      </c>
      <c r="E113" s="486">
        <f>IF(+J96&lt;F112,J96,D113)</f>
        <v>356479</v>
      </c>
      <c r="F113" s="485">
        <f t="shared" si="35"/>
        <v>10145881</v>
      </c>
      <c r="G113" s="485">
        <f t="shared" si="21"/>
        <v>10324120.5</v>
      </c>
      <c r="H113" s="488">
        <f t="shared" si="36"/>
        <v>1421041</v>
      </c>
      <c r="I113" s="542">
        <f t="shared" si="37"/>
        <v>1421041</v>
      </c>
      <c r="J113" s="478">
        <f t="shared" si="22"/>
        <v>0</v>
      </c>
      <c r="K113" s="478"/>
      <c r="L113" s="487"/>
      <c r="M113" s="478">
        <f t="shared" si="23"/>
        <v>0</v>
      </c>
      <c r="N113" s="487"/>
      <c r="O113" s="478">
        <f t="shared" si="24"/>
        <v>0</v>
      </c>
      <c r="P113" s="478">
        <f t="shared" si="25"/>
        <v>0</v>
      </c>
    </row>
    <row r="114" spans="2:16" ht="12.5">
      <c r="B114" s="160" t="str">
        <f t="shared" si="28"/>
        <v/>
      </c>
      <c r="C114" s="472">
        <f>IF(D93="","-",+C113+1)</f>
        <v>2023</v>
      </c>
      <c r="D114" s="346">
        <f>IF(F113+SUM(E$99:E113)=D$92,F113,D$92-SUM(E$99:E113))</f>
        <v>10145881</v>
      </c>
      <c r="E114" s="486">
        <f>IF(+J96&lt;F113,J96,D114)</f>
        <v>356479</v>
      </c>
      <c r="F114" s="485">
        <f t="shared" si="35"/>
        <v>9789402</v>
      </c>
      <c r="G114" s="485">
        <f t="shared" si="21"/>
        <v>9967641.5</v>
      </c>
      <c r="H114" s="488">
        <f t="shared" si="36"/>
        <v>1384283</v>
      </c>
      <c r="I114" s="542">
        <f t="shared" si="37"/>
        <v>1384283</v>
      </c>
      <c r="J114" s="478">
        <f t="shared" si="22"/>
        <v>0</v>
      </c>
      <c r="K114" s="478"/>
      <c r="L114" s="487"/>
      <c r="M114" s="478">
        <f t="shared" si="23"/>
        <v>0</v>
      </c>
      <c r="N114" s="487"/>
      <c r="O114" s="478">
        <f t="shared" si="24"/>
        <v>0</v>
      </c>
      <c r="P114" s="478">
        <f t="shared" si="25"/>
        <v>0</v>
      </c>
    </row>
    <row r="115" spans="2:16" ht="12.5">
      <c r="B115" s="160" t="str">
        <f t="shared" si="28"/>
        <v/>
      </c>
      <c r="C115" s="472">
        <f>IF(D93="","-",+C114+1)</f>
        <v>2024</v>
      </c>
      <c r="D115" s="346">
        <f>IF(F114+SUM(E$99:E114)=D$92,F114,D$92-SUM(E$99:E114))</f>
        <v>9789402</v>
      </c>
      <c r="E115" s="486">
        <f>IF(+J96&lt;F114,J96,D115)</f>
        <v>356479</v>
      </c>
      <c r="F115" s="485">
        <f t="shared" si="35"/>
        <v>9432923</v>
      </c>
      <c r="G115" s="485">
        <f t="shared" si="21"/>
        <v>9611162.5</v>
      </c>
      <c r="H115" s="488">
        <f t="shared" si="36"/>
        <v>1347525</v>
      </c>
      <c r="I115" s="542">
        <f t="shared" si="37"/>
        <v>1347525</v>
      </c>
      <c r="J115" s="478">
        <f t="shared" si="22"/>
        <v>0</v>
      </c>
      <c r="K115" s="478"/>
      <c r="L115" s="487"/>
      <c r="M115" s="478">
        <f t="shared" si="23"/>
        <v>0</v>
      </c>
      <c r="N115" s="487"/>
      <c r="O115" s="478">
        <f t="shared" si="24"/>
        <v>0</v>
      </c>
      <c r="P115" s="478">
        <f t="shared" si="25"/>
        <v>0</v>
      </c>
    </row>
    <row r="116" spans="2:16" ht="12.5">
      <c r="B116" s="160" t="str">
        <f t="shared" si="28"/>
        <v/>
      </c>
      <c r="C116" s="472">
        <f>IF(D93="","-",+C115+1)</f>
        <v>2025</v>
      </c>
      <c r="D116" s="346">
        <f>IF(F115+SUM(E$99:E115)=D$92,F115,D$92-SUM(E$99:E115))</f>
        <v>9432923</v>
      </c>
      <c r="E116" s="486">
        <f>IF(+J96&lt;F115,J96,D116)</f>
        <v>356479</v>
      </c>
      <c r="F116" s="485">
        <f t="shared" si="35"/>
        <v>9076444</v>
      </c>
      <c r="G116" s="485">
        <f t="shared" si="21"/>
        <v>9254683.5</v>
      </c>
      <c r="H116" s="488">
        <f t="shared" si="36"/>
        <v>1310767</v>
      </c>
      <c r="I116" s="542">
        <f t="shared" si="37"/>
        <v>1310767</v>
      </c>
      <c r="J116" s="478">
        <f t="shared" si="22"/>
        <v>0</v>
      </c>
      <c r="K116" s="478"/>
      <c r="L116" s="487"/>
      <c r="M116" s="478">
        <f t="shared" si="23"/>
        <v>0</v>
      </c>
      <c r="N116" s="487"/>
      <c r="O116" s="478">
        <f t="shared" si="24"/>
        <v>0</v>
      </c>
      <c r="P116" s="478">
        <f t="shared" si="25"/>
        <v>0</v>
      </c>
    </row>
    <row r="117" spans="2:16" ht="12.5">
      <c r="B117" s="160" t="str">
        <f t="shared" si="28"/>
        <v/>
      </c>
      <c r="C117" s="472">
        <f>IF(D93="","-",+C116+1)</f>
        <v>2026</v>
      </c>
      <c r="D117" s="346">
        <f>IF(F116+SUM(E$99:E116)=D$92,F116,D$92-SUM(E$99:E116))</f>
        <v>9076444</v>
      </c>
      <c r="E117" s="486">
        <f>IF(+J96&lt;F116,J96,D117)</f>
        <v>356479</v>
      </c>
      <c r="F117" s="485">
        <f t="shared" si="35"/>
        <v>8719965</v>
      </c>
      <c r="G117" s="485">
        <f t="shared" si="21"/>
        <v>8898204.5</v>
      </c>
      <c r="H117" s="488">
        <f t="shared" si="36"/>
        <v>1274009</v>
      </c>
      <c r="I117" s="542">
        <f t="shared" si="37"/>
        <v>1274009</v>
      </c>
      <c r="J117" s="478">
        <f t="shared" si="22"/>
        <v>0</v>
      </c>
      <c r="K117" s="478"/>
      <c r="L117" s="487"/>
      <c r="M117" s="478">
        <f t="shared" si="23"/>
        <v>0</v>
      </c>
      <c r="N117" s="487"/>
      <c r="O117" s="478">
        <f t="shared" si="24"/>
        <v>0</v>
      </c>
      <c r="P117" s="478">
        <f t="shared" si="25"/>
        <v>0</v>
      </c>
    </row>
    <row r="118" spans="2:16" ht="12.5">
      <c r="B118" s="160" t="str">
        <f t="shared" si="28"/>
        <v/>
      </c>
      <c r="C118" s="472">
        <f>IF(D93="","-",+C117+1)</f>
        <v>2027</v>
      </c>
      <c r="D118" s="346">
        <f>IF(F117+SUM(E$99:E117)=D$92,F117,D$92-SUM(E$99:E117))</f>
        <v>8719965</v>
      </c>
      <c r="E118" s="486">
        <f>IF(+J96&lt;F117,J96,D118)</f>
        <v>356479</v>
      </c>
      <c r="F118" s="485">
        <f t="shared" si="35"/>
        <v>8363486</v>
      </c>
      <c r="G118" s="485">
        <f t="shared" si="21"/>
        <v>8541725.5</v>
      </c>
      <c r="H118" s="488">
        <f t="shared" si="36"/>
        <v>1237251</v>
      </c>
      <c r="I118" s="542">
        <f t="shared" si="37"/>
        <v>1237251</v>
      </c>
      <c r="J118" s="478">
        <f t="shared" si="22"/>
        <v>0</v>
      </c>
      <c r="K118" s="478"/>
      <c r="L118" s="487"/>
      <c r="M118" s="478">
        <f t="shared" si="23"/>
        <v>0</v>
      </c>
      <c r="N118" s="487"/>
      <c r="O118" s="478">
        <f t="shared" si="24"/>
        <v>0</v>
      </c>
      <c r="P118" s="478">
        <f t="shared" si="25"/>
        <v>0</v>
      </c>
    </row>
    <row r="119" spans="2:16" ht="12.5">
      <c r="B119" s="160" t="str">
        <f t="shared" si="28"/>
        <v/>
      </c>
      <c r="C119" s="472">
        <f>IF(D93="","-",+C118+1)</f>
        <v>2028</v>
      </c>
      <c r="D119" s="346">
        <f>IF(F118+SUM(E$99:E118)=D$92,F118,D$92-SUM(E$99:E118))</f>
        <v>8363486</v>
      </c>
      <c r="E119" s="486">
        <f>IF(+J96&lt;F118,J96,D119)</f>
        <v>356479</v>
      </c>
      <c r="F119" s="485">
        <f t="shared" si="35"/>
        <v>8007007</v>
      </c>
      <c r="G119" s="485">
        <f t="shared" si="21"/>
        <v>8185246.5</v>
      </c>
      <c r="H119" s="488">
        <f t="shared" si="36"/>
        <v>1200493</v>
      </c>
      <c r="I119" s="542">
        <f t="shared" si="37"/>
        <v>1200493</v>
      </c>
      <c r="J119" s="478">
        <f t="shared" si="22"/>
        <v>0</v>
      </c>
      <c r="K119" s="478"/>
      <c r="L119" s="487"/>
      <c r="M119" s="478">
        <f t="shared" si="23"/>
        <v>0</v>
      </c>
      <c r="N119" s="487"/>
      <c r="O119" s="478">
        <f t="shared" si="24"/>
        <v>0</v>
      </c>
      <c r="P119" s="478">
        <f t="shared" si="25"/>
        <v>0</v>
      </c>
    </row>
    <row r="120" spans="2:16" ht="12.5">
      <c r="B120" s="160" t="str">
        <f t="shared" si="28"/>
        <v/>
      </c>
      <c r="C120" s="472">
        <f>IF(D93="","-",+C119+1)</f>
        <v>2029</v>
      </c>
      <c r="D120" s="346">
        <f>IF(F119+SUM(E$99:E119)=D$92,F119,D$92-SUM(E$99:E119))</f>
        <v>8007007</v>
      </c>
      <c r="E120" s="486">
        <f>IF(+J96&lt;F119,J96,D120)</f>
        <v>356479</v>
      </c>
      <c r="F120" s="485">
        <f t="shared" si="35"/>
        <v>7650528</v>
      </c>
      <c r="G120" s="485">
        <f t="shared" si="21"/>
        <v>7828767.5</v>
      </c>
      <c r="H120" s="488">
        <f t="shared" si="36"/>
        <v>1163735</v>
      </c>
      <c r="I120" s="542">
        <f t="shared" si="37"/>
        <v>1163735</v>
      </c>
      <c r="J120" s="478">
        <f t="shared" si="22"/>
        <v>0</v>
      </c>
      <c r="K120" s="478"/>
      <c r="L120" s="487"/>
      <c r="M120" s="478">
        <f t="shared" si="23"/>
        <v>0</v>
      </c>
      <c r="N120" s="487"/>
      <c r="O120" s="478">
        <f t="shared" si="24"/>
        <v>0</v>
      </c>
      <c r="P120" s="478">
        <f t="shared" si="25"/>
        <v>0</v>
      </c>
    </row>
    <row r="121" spans="2:16" ht="12.5">
      <c r="B121" s="160" t="str">
        <f t="shared" si="28"/>
        <v/>
      </c>
      <c r="C121" s="472">
        <f>IF(D93="","-",+C120+1)</f>
        <v>2030</v>
      </c>
      <c r="D121" s="346">
        <f>IF(F120+SUM(E$99:E120)=D$92,F120,D$92-SUM(E$99:E120))</f>
        <v>7650528</v>
      </c>
      <c r="E121" s="486">
        <f>IF(+J96&lt;F120,J96,D121)</f>
        <v>356479</v>
      </c>
      <c r="F121" s="485">
        <f t="shared" si="35"/>
        <v>7294049</v>
      </c>
      <c r="G121" s="485">
        <f t="shared" si="21"/>
        <v>7472288.5</v>
      </c>
      <c r="H121" s="488">
        <f t="shared" si="36"/>
        <v>1126977</v>
      </c>
      <c r="I121" s="542">
        <f t="shared" si="37"/>
        <v>1126977</v>
      </c>
      <c r="J121" s="478">
        <f t="shared" si="22"/>
        <v>0</v>
      </c>
      <c r="K121" s="478"/>
      <c r="L121" s="487"/>
      <c r="M121" s="478">
        <f t="shared" si="23"/>
        <v>0</v>
      </c>
      <c r="N121" s="487"/>
      <c r="O121" s="478">
        <f t="shared" si="24"/>
        <v>0</v>
      </c>
      <c r="P121" s="478">
        <f t="shared" si="25"/>
        <v>0</v>
      </c>
    </row>
    <row r="122" spans="2:16" ht="12.5">
      <c r="B122" s="160" t="str">
        <f t="shared" si="28"/>
        <v/>
      </c>
      <c r="C122" s="472">
        <f>IF(D93="","-",+C121+1)</f>
        <v>2031</v>
      </c>
      <c r="D122" s="346">
        <f>IF(F121+SUM(E$99:E121)=D$92,F121,D$92-SUM(E$99:E121))</f>
        <v>7294049</v>
      </c>
      <c r="E122" s="486">
        <f>IF(+J96&lt;F121,J96,D122)</f>
        <v>356479</v>
      </c>
      <c r="F122" s="485">
        <f t="shared" si="35"/>
        <v>6937570</v>
      </c>
      <c r="G122" s="485">
        <f t="shared" si="21"/>
        <v>7115809.5</v>
      </c>
      <c r="H122" s="488">
        <f t="shared" si="36"/>
        <v>1090219</v>
      </c>
      <c r="I122" s="542">
        <f t="shared" si="37"/>
        <v>1090219</v>
      </c>
      <c r="J122" s="478">
        <f t="shared" si="22"/>
        <v>0</v>
      </c>
      <c r="K122" s="478"/>
      <c r="L122" s="487"/>
      <c r="M122" s="478">
        <f t="shared" si="23"/>
        <v>0</v>
      </c>
      <c r="N122" s="487"/>
      <c r="O122" s="478">
        <f t="shared" si="24"/>
        <v>0</v>
      </c>
      <c r="P122" s="478">
        <f t="shared" si="25"/>
        <v>0</v>
      </c>
    </row>
    <row r="123" spans="2:16" ht="12.5">
      <c r="B123" s="160" t="str">
        <f t="shared" si="28"/>
        <v/>
      </c>
      <c r="C123" s="472">
        <f>IF(D93="","-",+C122+1)</f>
        <v>2032</v>
      </c>
      <c r="D123" s="346">
        <f>IF(F122+SUM(E$99:E122)=D$92,F122,D$92-SUM(E$99:E122))</f>
        <v>6937570</v>
      </c>
      <c r="E123" s="486">
        <f>IF(+J96&lt;F122,J96,D123)</f>
        <v>356479</v>
      </c>
      <c r="F123" s="485">
        <f t="shared" si="35"/>
        <v>6581091</v>
      </c>
      <c r="G123" s="485">
        <f t="shared" si="21"/>
        <v>6759330.5</v>
      </c>
      <c r="H123" s="488">
        <f t="shared" si="36"/>
        <v>1053461</v>
      </c>
      <c r="I123" s="542">
        <f t="shared" si="37"/>
        <v>1053461</v>
      </c>
      <c r="J123" s="478">
        <f t="shared" si="22"/>
        <v>0</v>
      </c>
      <c r="K123" s="478"/>
      <c r="L123" s="487"/>
      <c r="M123" s="478">
        <f t="shared" si="23"/>
        <v>0</v>
      </c>
      <c r="N123" s="487"/>
      <c r="O123" s="478">
        <f t="shared" si="24"/>
        <v>0</v>
      </c>
      <c r="P123" s="478">
        <f t="shared" si="25"/>
        <v>0</v>
      </c>
    </row>
    <row r="124" spans="2:16" ht="12.5">
      <c r="B124" s="160" t="str">
        <f t="shared" si="28"/>
        <v/>
      </c>
      <c r="C124" s="472">
        <f>IF(D93="","-",+C123+1)</f>
        <v>2033</v>
      </c>
      <c r="D124" s="346">
        <f>IF(F123+SUM(E$99:E123)=D$92,F123,D$92-SUM(E$99:E123))</f>
        <v>6581091</v>
      </c>
      <c r="E124" s="486">
        <f>IF(+J96&lt;F123,J96,D124)</f>
        <v>356479</v>
      </c>
      <c r="F124" s="485">
        <f t="shared" si="35"/>
        <v>6224612</v>
      </c>
      <c r="G124" s="485">
        <f t="shared" si="21"/>
        <v>6402851.5</v>
      </c>
      <c r="H124" s="488">
        <f t="shared" si="36"/>
        <v>1016703</v>
      </c>
      <c r="I124" s="542">
        <f t="shared" si="37"/>
        <v>1016703</v>
      </c>
      <c r="J124" s="478">
        <f t="shared" si="22"/>
        <v>0</v>
      </c>
      <c r="K124" s="478"/>
      <c r="L124" s="487"/>
      <c r="M124" s="478">
        <f t="shared" si="23"/>
        <v>0</v>
      </c>
      <c r="N124" s="487"/>
      <c r="O124" s="478">
        <f t="shared" si="24"/>
        <v>0</v>
      </c>
      <c r="P124" s="478">
        <f t="shared" si="25"/>
        <v>0</v>
      </c>
    </row>
    <row r="125" spans="2:16" ht="12.5">
      <c r="B125" s="160" t="str">
        <f t="shared" si="28"/>
        <v/>
      </c>
      <c r="C125" s="472">
        <f>IF(D93="","-",+C124+1)</f>
        <v>2034</v>
      </c>
      <c r="D125" s="346">
        <f>IF(F124+SUM(E$99:E124)=D$92,F124,D$92-SUM(E$99:E124))</f>
        <v>6224612</v>
      </c>
      <c r="E125" s="486">
        <f>IF(+J96&lt;F124,J96,D125)</f>
        <v>356479</v>
      </c>
      <c r="F125" s="485">
        <f t="shared" si="35"/>
        <v>5868133</v>
      </c>
      <c r="G125" s="485">
        <f t="shared" si="21"/>
        <v>6046372.5</v>
      </c>
      <c r="H125" s="488">
        <f t="shared" si="36"/>
        <v>979945</v>
      </c>
      <c r="I125" s="542">
        <f t="shared" si="37"/>
        <v>979945</v>
      </c>
      <c r="J125" s="478">
        <f t="shared" si="22"/>
        <v>0</v>
      </c>
      <c r="K125" s="478"/>
      <c r="L125" s="487"/>
      <c r="M125" s="478">
        <f t="shared" si="23"/>
        <v>0</v>
      </c>
      <c r="N125" s="487"/>
      <c r="O125" s="478">
        <f t="shared" si="24"/>
        <v>0</v>
      </c>
      <c r="P125" s="478">
        <f t="shared" si="25"/>
        <v>0</v>
      </c>
    </row>
    <row r="126" spans="2:16" ht="12.5">
      <c r="B126" s="160" t="str">
        <f t="shared" si="28"/>
        <v/>
      </c>
      <c r="C126" s="472">
        <f>IF(D93="","-",+C125+1)</f>
        <v>2035</v>
      </c>
      <c r="D126" s="346">
        <f>IF(F125+SUM(E$99:E125)=D$92,F125,D$92-SUM(E$99:E125))</f>
        <v>5868133</v>
      </c>
      <c r="E126" s="486">
        <f>IF(+J96&lt;F125,J96,D126)</f>
        <v>356479</v>
      </c>
      <c r="F126" s="485">
        <f t="shared" si="35"/>
        <v>5511654</v>
      </c>
      <c r="G126" s="485">
        <f t="shared" si="21"/>
        <v>5689893.5</v>
      </c>
      <c r="H126" s="488">
        <f t="shared" si="36"/>
        <v>943187</v>
      </c>
      <c r="I126" s="542">
        <f t="shared" si="37"/>
        <v>943187</v>
      </c>
      <c r="J126" s="478">
        <f t="shared" si="22"/>
        <v>0</v>
      </c>
      <c r="K126" s="478"/>
      <c r="L126" s="487"/>
      <c r="M126" s="478">
        <f t="shared" si="23"/>
        <v>0</v>
      </c>
      <c r="N126" s="487"/>
      <c r="O126" s="478">
        <f t="shared" si="24"/>
        <v>0</v>
      </c>
      <c r="P126" s="478">
        <f t="shared" si="25"/>
        <v>0</v>
      </c>
    </row>
    <row r="127" spans="2:16" ht="12.5">
      <c r="B127" s="160" t="str">
        <f t="shared" si="28"/>
        <v/>
      </c>
      <c r="C127" s="472">
        <f>IF(D93="","-",+C126+1)</f>
        <v>2036</v>
      </c>
      <c r="D127" s="346">
        <f>IF(F126+SUM(E$99:E126)=D$92,F126,D$92-SUM(E$99:E126))</f>
        <v>5511654</v>
      </c>
      <c r="E127" s="486">
        <f>IF(+J96&lt;F126,J96,D127)</f>
        <v>356479</v>
      </c>
      <c r="F127" s="485">
        <f t="shared" si="35"/>
        <v>5155175</v>
      </c>
      <c r="G127" s="485">
        <f t="shared" si="21"/>
        <v>5333414.5</v>
      </c>
      <c r="H127" s="488">
        <f t="shared" si="36"/>
        <v>906429</v>
      </c>
      <c r="I127" s="542">
        <f t="shared" si="37"/>
        <v>906429</v>
      </c>
      <c r="J127" s="478">
        <f t="shared" si="22"/>
        <v>0</v>
      </c>
      <c r="K127" s="478"/>
      <c r="L127" s="487"/>
      <c r="M127" s="478">
        <f t="shared" si="23"/>
        <v>0</v>
      </c>
      <c r="N127" s="487"/>
      <c r="O127" s="478">
        <f t="shared" si="24"/>
        <v>0</v>
      </c>
      <c r="P127" s="478">
        <f t="shared" si="25"/>
        <v>0</v>
      </c>
    </row>
    <row r="128" spans="2:16" ht="12.5">
      <c r="B128" s="160" t="str">
        <f t="shared" si="28"/>
        <v/>
      </c>
      <c r="C128" s="472">
        <f>IF(D93="","-",+C127+1)</f>
        <v>2037</v>
      </c>
      <c r="D128" s="346">
        <f>IF(F127+SUM(E$99:E127)=D$92,F127,D$92-SUM(E$99:E127))</f>
        <v>5155175</v>
      </c>
      <c r="E128" s="486">
        <f>IF(+J96&lt;F127,J96,D128)</f>
        <v>356479</v>
      </c>
      <c r="F128" s="485">
        <f t="shared" si="35"/>
        <v>4798696</v>
      </c>
      <c r="G128" s="485">
        <f t="shared" si="21"/>
        <v>4976935.5</v>
      </c>
      <c r="H128" s="488">
        <f t="shared" si="36"/>
        <v>869671</v>
      </c>
      <c r="I128" s="542">
        <f t="shared" si="37"/>
        <v>869671</v>
      </c>
      <c r="J128" s="478">
        <f t="shared" si="22"/>
        <v>0</v>
      </c>
      <c r="K128" s="478"/>
      <c r="L128" s="487"/>
      <c r="M128" s="478">
        <f t="shared" si="23"/>
        <v>0</v>
      </c>
      <c r="N128" s="487"/>
      <c r="O128" s="478">
        <f t="shared" si="24"/>
        <v>0</v>
      </c>
      <c r="P128" s="478">
        <f t="shared" si="25"/>
        <v>0</v>
      </c>
    </row>
    <row r="129" spans="2:16" ht="12.5">
      <c r="B129" s="160" t="str">
        <f t="shared" si="28"/>
        <v/>
      </c>
      <c r="C129" s="472">
        <f>IF(D93="","-",+C128+1)</f>
        <v>2038</v>
      </c>
      <c r="D129" s="346">
        <f>IF(F128+SUM(E$99:E128)=D$92,F128,D$92-SUM(E$99:E128))</f>
        <v>4798696</v>
      </c>
      <c r="E129" s="486">
        <f>IF(+J96&lt;F128,J96,D129)</f>
        <v>356479</v>
      </c>
      <c r="F129" s="485">
        <f t="shared" si="35"/>
        <v>4442217</v>
      </c>
      <c r="G129" s="485">
        <f t="shared" si="21"/>
        <v>4620456.5</v>
      </c>
      <c r="H129" s="488">
        <f t="shared" si="36"/>
        <v>832913</v>
      </c>
      <c r="I129" s="542">
        <f t="shared" si="37"/>
        <v>832913</v>
      </c>
      <c r="J129" s="478">
        <f t="shared" si="22"/>
        <v>0</v>
      </c>
      <c r="K129" s="478"/>
      <c r="L129" s="487"/>
      <c r="M129" s="478">
        <f t="shared" si="23"/>
        <v>0</v>
      </c>
      <c r="N129" s="487"/>
      <c r="O129" s="478">
        <f t="shared" si="24"/>
        <v>0</v>
      </c>
      <c r="P129" s="478">
        <f t="shared" si="25"/>
        <v>0</v>
      </c>
    </row>
    <row r="130" spans="2:16" ht="12.5">
      <c r="B130" s="160" t="str">
        <f t="shared" si="28"/>
        <v/>
      </c>
      <c r="C130" s="472">
        <f>IF(D93="","-",+C129+1)</f>
        <v>2039</v>
      </c>
      <c r="D130" s="346">
        <f>IF(F129+SUM(E$99:E129)=D$92,F129,D$92-SUM(E$99:E129))</f>
        <v>4442217</v>
      </c>
      <c r="E130" s="486">
        <f>IF(+J96&lt;F129,J96,D130)</f>
        <v>356479</v>
      </c>
      <c r="F130" s="485">
        <f t="shared" si="35"/>
        <v>4085738</v>
      </c>
      <c r="G130" s="485">
        <f t="shared" si="21"/>
        <v>4263977.5</v>
      </c>
      <c r="H130" s="488">
        <f t="shared" si="36"/>
        <v>796155</v>
      </c>
      <c r="I130" s="542">
        <f t="shared" si="37"/>
        <v>796155</v>
      </c>
      <c r="J130" s="478">
        <f t="shared" si="22"/>
        <v>0</v>
      </c>
      <c r="K130" s="478"/>
      <c r="L130" s="487"/>
      <c r="M130" s="478">
        <f t="shared" si="23"/>
        <v>0</v>
      </c>
      <c r="N130" s="487"/>
      <c r="O130" s="478">
        <f t="shared" si="24"/>
        <v>0</v>
      </c>
      <c r="P130" s="478">
        <f t="shared" si="25"/>
        <v>0</v>
      </c>
    </row>
    <row r="131" spans="2:16" ht="12.5">
      <c r="B131" s="160" t="str">
        <f t="shared" si="28"/>
        <v/>
      </c>
      <c r="C131" s="472">
        <f>IF(D93="","-",+C130+1)</f>
        <v>2040</v>
      </c>
      <c r="D131" s="346">
        <f>IF(F130+SUM(E$99:E130)=D$92,F130,D$92-SUM(E$99:E130))</f>
        <v>4085738</v>
      </c>
      <c r="E131" s="486">
        <f>IF(+J96&lt;F130,J96,D131)</f>
        <v>356479</v>
      </c>
      <c r="F131" s="485">
        <f t="shared" ref="F131:F154" si="38">+D131-E131</f>
        <v>3729259</v>
      </c>
      <c r="G131" s="485">
        <f t="shared" ref="G131:G154" si="39">+(F131+D131)/2</f>
        <v>3907498.5</v>
      </c>
      <c r="H131" s="488">
        <f t="shared" si="36"/>
        <v>759397</v>
      </c>
      <c r="I131" s="542">
        <f t="shared" si="37"/>
        <v>759397</v>
      </c>
      <c r="J131" s="478">
        <f t="shared" si="22"/>
        <v>0</v>
      </c>
      <c r="K131" s="478"/>
      <c r="L131" s="487"/>
      <c r="M131" s="478">
        <f t="shared" ref="M131:M154" si="40">IF(L131&lt;&gt;0,+H131-L131,0)</f>
        <v>0</v>
      </c>
      <c r="N131" s="487"/>
      <c r="O131" s="478">
        <f t="shared" ref="O131:O154" si="41">IF(N131&lt;&gt;0,+I131-N131,0)</f>
        <v>0</v>
      </c>
      <c r="P131" s="478">
        <f t="shared" ref="P131:P154" si="42">+O131-M131</f>
        <v>0</v>
      </c>
    </row>
    <row r="132" spans="2:16" ht="12.5">
      <c r="B132" s="160" t="str">
        <f t="shared" si="28"/>
        <v/>
      </c>
      <c r="C132" s="472">
        <f>IF(D93="","-",+C131+1)</f>
        <v>2041</v>
      </c>
      <c r="D132" s="346">
        <f>IF(F131+SUM(E$99:E131)=D$92,F131,D$92-SUM(E$99:E131))</f>
        <v>3729259</v>
      </c>
      <c r="E132" s="486">
        <f>IF(+J96&lt;F131,J96,D132)</f>
        <v>356479</v>
      </c>
      <c r="F132" s="485">
        <f t="shared" si="38"/>
        <v>3372780</v>
      </c>
      <c r="G132" s="485">
        <f t="shared" si="39"/>
        <v>3551019.5</v>
      </c>
      <c r="H132" s="488">
        <f t="shared" si="36"/>
        <v>722639</v>
      </c>
      <c r="I132" s="542">
        <f t="shared" si="37"/>
        <v>722639</v>
      </c>
      <c r="J132" s="478">
        <f t="shared" ref="J132:J154" si="43">+I132-H132</f>
        <v>0</v>
      </c>
      <c r="K132" s="478"/>
      <c r="L132" s="487"/>
      <c r="M132" s="478">
        <f t="shared" si="40"/>
        <v>0</v>
      </c>
      <c r="N132" s="487"/>
      <c r="O132" s="478">
        <f t="shared" si="41"/>
        <v>0</v>
      </c>
      <c r="P132" s="478">
        <f t="shared" si="42"/>
        <v>0</v>
      </c>
    </row>
    <row r="133" spans="2:16" ht="12.5">
      <c r="B133" s="160" t="str">
        <f t="shared" si="28"/>
        <v/>
      </c>
      <c r="C133" s="472">
        <f>IF(D93="","-",+C132+1)</f>
        <v>2042</v>
      </c>
      <c r="D133" s="346">
        <f>IF(F132+SUM(E$99:E132)=D$92,F132,D$92-SUM(E$99:E132))</f>
        <v>3372780</v>
      </c>
      <c r="E133" s="486">
        <f>IF(+J96&lt;F132,J96,D133)</f>
        <v>356479</v>
      </c>
      <c r="F133" s="485">
        <f t="shared" si="38"/>
        <v>3016301</v>
      </c>
      <c r="G133" s="485">
        <f t="shared" si="39"/>
        <v>3194540.5</v>
      </c>
      <c r="H133" s="488">
        <f t="shared" si="36"/>
        <v>685881</v>
      </c>
      <c r="I133" s="542">
        <f t="shared" si="37"/>
        <v>685881</v>
      </c>
      <c r="J133" s="478">
        <f t="shared" si="43"/>
        <v>0</v>
      </c>
      <c r="K133" s="478"/>
      <c r="L133" s="487"/>
      <c r="M133" s="478">
        <f t="shared" si="40"/>
        <v>0</v>
      </c>
      <c r="N133" s="487"/>
      <c r="O133" s="478">
        <f t="shared" si="41"/>
        <v>0</v>
      </c>
      <c r="P133" s="478">
        <f t="shared" si="42"/>
        <v>0</v>
      </c>
    </row>
    <row r="134" spans="2:16" ht="12.5">
      <c r="B134" s="160" t="str">
        <f t="shared" si="28"/>
        <v/>
      </c>
      <c r="C134" s="472">
        <f>IF(D93="","-",+C133+1)</f>
        <v>2043</v>
      </c>
      <c r="D134" s="346">
        <f>IF(F133+SUM(E$99:E133)=D$92,F133,D$92-SUM(E$99:E133))</f>
        <v>3016301</v>
      </c>
      <c r="E134" s="486">
        <f>IF(+J96&lt;F133,J96,D134)</f>
        <v>356479</v>
      </c>
      <c r="F134" s="485">
        <f t="shared" si="38"/>
        <v>2659822</v>
      </c>
      <c r="G134" s="485">
        <f t="shared" si="39"/>
        <v>2838061.5</v>
      </c>
      <c r="H134" s="488">
        <f t="shared" si="36"/>
        <v>649123</v>
      </c>
      <c r="I134" s="542">
        <f t="shared" si="37"/>
        <v>649123</v>
      </c>
      <c r="J134" s="478">
        <f t="shared" si="43"/>
        <v>0</v>
      </c>
      <c r="K134" s="478"/>
      <c r="L134" s="487"/>
      <c r="M134" s="478">
        <f t="shared" si="40"/>
        <v>0</v>
      </c>
      <c r="N134" s="487"/>
      <c r="O134" s="478">
        <f t="shared" si="41"/>
        <v>0</v>
      </c>
      <c r="P134" s="478">
        <f t="shared" si="42"/>
        <v>0</v>
      </c>
    </row>
    <row r="135" spans="2:16" ht="12.5">
      <c r="B135" s="160" t="str">
        <f t="shared" si="28"/>
        <v/>
      </c>
      <c r="C135" s="472">
        <f>IF(D93="","-",+C134+1)</f>
        <v>2044</v>
      </c>
      <c r="D135" s="346">
        <f>IF(F134+SUM(E$99:E134)=D$92,F134,D$92-SUM(E$99:E134))</f>
        <v>2659822</v>
      </c>
      <c r="E135" s="486">
        <f>IF(+J96&lt;F134,J96,D135)</f>
        <v>356479</v>
      </c>
      <c r="F135" s="485">
        <f t="shared" si="38"/>
        <v>2303343</v>
      </c>
      <c r="G135" s="485">
        <f t="shared" si="39"/>
        <v>2481582.5</v>
      </c>
      <c r="H135" s="488">
        <f t="shared" si="36"/>
        <v>612365</v>
      </c>
      <c r="I135" s="542">
        <f t="shared" si="37"/>
        <v>612365</v>
      </c>
      <c r="J135" s="478">
        <f t="shared" si="43"/>
        <v>0</v>
      </c>
      <c r="K135" s="478"/>
      <c r="L135" s="487"/>
      <c r="M135" s="478">
        <f t="shared" si="40"/>
        <v>0</v>
      </c>
      <c r="N135" s="487"/>
      <c r="O135" s="478">
        <f t="shared" si="41"/>
        <v>0</v>
      </c>
      <c r="P135" s="478">
        <f t="shared" si="42"/>
        <v>0</v>
      </c>
    </row>
    <row r="136" spans="2:16" ht="12.5">
      <c r="B136" s="160" t="str">
        <f t="shared" si="28"/>
        <v/>
      </c>
      <c r="C136" s="472">
        <f>IF(D93="","-",+C135+1)</f>
        <v>2045</v>
      </c>
      <c r="D136" s="346">
        <f>IF(F135+SUM(E$99:E135)=D$92,F135,D$92-SUM(E$99:E135))</f>
        <v>2303343</v>
      </c>
      <c r="E136" s="486">
        <f>IF(+J96&lt;F135,J96,D136)</f>
        <v>356479</v>
      </c>
      <c r="F136" s="485">
        <f t="shared" si="38"/>
        <v>1946864</v>
      </c>
      <c r="G136" s="485">
        <f t="shared" si="39"/>
        <v>2125103.5</v>
      </c>
      <c r="H136" s="488">
        <f t="shared" si="36"/>
        <v>575607</v>
      </c>
      <c r="I136" s="542">
        <f t="shared" si="37"/>
        <v>575607</v>
      </c>
      <c r="J136" s="478">
        <f t="shared" si="43"/>
        <v>0</v>
      </c>
      <c r="K136" s="478"/>
      <c r="L136" s="487"/>
      <c r="M136" s="478">
        <f t="shared" si="40"/>
        <v>0</v>
      </c>
      <c r="N136" s="487"/>
      <c r="O136" s="478">
        <f t="shared" si="41"/>
        <v>0</v>
      </c>
      <c r="P136" s="478">
        <f t="shared" si="42"/>
        <v>0</v>
      </c>
    </row>
    <row r="137" spans="2:16" ht="12.5">
      <c r="B137" s="160" t="str">
        <f t="shared" si="28"/>
        <v/>
      </c>
      <c r="C137" s="472">
        <f>IF(D93="","-",+C136+1)</f>
        <v>2046</v>
      </c>
      <c r="D137" s="346">
        <f>IF(F136+SUM(E$99:E136)=D$92,F136,D$92-SUM(E$99:E136))</f>
        <v>1946864</v>
      </c>
      <c r="E137" s="486">
        <f>IF(+J96&lt;F136,J96,D137)</f>
        <v>356479</v>
      </c>
      <c r="F137" s="485">
        <f t="shared" si="38"/>
        <v>1590385</v>
      </c>
      <c r="G137" s="485">
        <f t="shared" si="39"/>
        <v>1768624.5</v>
      </c>
      <c r="H137" s="488">
        <f t="shared" si="36"/>
        <v>538849</v>
      </c>
      <c r="I137" s="542">
        <f t="shared" si="37"/>
        <v>538849</v>
      </c>
      <c r="J137" s="478">
        <f t="shared" si="43"/>
        <v>0</v>
      </c>
      <c r="K137" s="478"/>
      <c r="L137" s="487"/>
      <c r="M137" s="478">
        <f t="shared" si="40"/>
        <v>0</v>
      </c>
      <c r="N137" s="487"/>
      <c r="O137" s="478">
        <f t="shared" si="41"/>
        <v>0</v>
      </c>
      <c r="P137" s="478">
        <f t="shared" si="42"/>
        <v>0</v>
      </c>
    </row>
    <row r="138" spans="2:16" ht="12.5">
      <c r="B138" s="160" t="str">
        <f t="shared" si="28"/>
        <v/>
      </c>
      <c r="C138" s="472">
        <f>IF(D93="","-",+C137+1)</f>
        <v>2047</v>
      </c>
      <c r="D138" s="346">
        <f>IF(F137+SUM(E$99:E137)=D$92,F137,D$92-SUM(E$99:E137))</f>
        <v>1590385</v>
      </c>
      <c r="E138" s="486">
        <f>IF(+J96&lt;F137,J96,D138)</f>
        <v>356479</v>
      </c>
      <c r="F138" s="485">
        <f t="shared" si="38"/>
        <v>1233906</v>
      </c>
      <c r="G138" s="485">
        <f t="shared" si="39"/>
        <v>1412145.5</v>
      </c>
      <c r="H138" s="488">
        <f t="shared" si="36"/>
        <v>502091</v>
      </c>
      <c r="I138" s="542">
        <f t="shared" si="37"/>
        <v>502091</v>
      </c>
      <c r="J138" s="478">
        <f t="shared" si="43"/>
        <v>0</v>
      </c>
      <c r="K138" s="478"/>
      <c r="L138" s="487"/>
      <c r="M138" s="478">
        <f t="shared" si="40"/>
        <v>0</v>
      </c>
      <c r="N138" s="487"/>
      <c r="O138" s="478">
        <f t="shared" si="41"/>
        <v>0</v>
      </c>
      <c r="P138" s="478">
        <f t="shared" si="42"/>
        <v>0</v>
      </c>
    </row>
    <row r="139" spans="2:16" ht="12.5">
      <c r="B139" s="160" t="str">
        <f t="shared" si="28"/>
        <v/>
      </c>
      <c r="C139" s="472">
        <f>IF(D93="","-",+C138+1)</f>
        <v>2048</v>
      </c>
      <c r="D139" s="346">
        <f>IF(F138+SUM(E$99:E138)=D$92,F138,D$92-SUM(E$99:E138))</f>
        <v>1233906</v>
      </c>
      <c r="E139" s="486">
        <f>IF(+J96&lt;F138,J96,D139)</f>
        <v>356479</v>
      </c>
      <c r="F139" s="485">
        <f t="shared" si="38"/>
        <v>877427</v>
      </c>
      <c r="G139" s="485">
        <f t="shared" si="39"/>
        <v>1055666.5</v>
      </c>
      <c r="H139" s="488">
        <f t="shared" si="36"/>
        <v>465333</v>
      </c>
      <c r="I139" s="542">
        <f t="shared" si="37"/>
        <v>465333</v>
      </c>
      <c r="J139" s="478">
        <f t="shared" si="43"/>
        <v>0</v>
      </c>
      <c r="K139" s="478"/>
      <c r="L139" s="487"/>
      <c r="M139" s="478">
        <f t="shared" si="40"/>
        <v>0</v>
      </c>
      <c r="N139" s="487"/>
      <c r="O139" s="478">
        <f t="shared" si="41"/>
        <v>0</v>
      </c>
      <c r="P139" s="478">
        <f t="shared" si="42"/>
        <v>0</v>
      </c>
    </row>
    <row r="140" spans="2:16" ht="12.5">
      <c r="B140" s="160" t="str">
        <f t="shared" si="28"/>
        <v/>
      </c>
      <c r="C140" s="472">
        <f>IF(D93="","-",+C139+1)</f>
        <v>2049</v>
      </c>
      <c r="D140" s="346">
        <f>IF(F139+SUM(E$99:E139)=D$92,F139,D$92-SUM(E$99:E139))</f>
        <v>877427</v>
      </c>
      <c r="E140" s="486">
        <f>IF(+J96&lt;F139,J96,D140)</f>
        <v>356479</v>
      </c>
      <c r="F140" s="485">
        <f t="shared" si="38"/>
        <v>520948</v>
      </c>
      <c r="G140" s="485">
        <f t="shared" si="39"/>
        <v>699187.5</v>
      </c>
      <c r="H140" s="488">
        <f t="shared" si="36"/>
        <v>428575</v>
      </c>
      <c r="I140" s="542">
        <f t="shared" si="37"/>
        <v>428575</v>
      </c>
      <c r="J140" s="478">
        <f t="shared" si="43"/>
        <v>0</v>
      </c>
      <c r="K140" s="478"/>
      <c r="L140" s="487"/>
      <c r="M140" s="478">
        <f t="shared" si="40"/>
        <v>0</v>
      </c>
      <c r="N140" s="487"/>
      <c r="O140" s="478">
        <f t="shared" si="41"/>
        <v>0</v>
      </c>
      <c r="P140" s="478">
        <f t="shared" si="42"/>
        <v>0</v>
      </c>
    </row>
    <row r="141" spans="2:16" ht="12.5">
      <c r="B141" s="160" t="str">
        <f t="shared" si="28"/>
        <v/>
      </c>
      <c r="C141" s="472">
        <f>IF(D93="","-",+C140+1)</f>
        <v>2050</v>
      </c>
      <c r="D141" s="346">
        <f>IF(F140+SUM(E$99:E140)=D$92,F140,D$92-SUM(E$99:E140))</f>
        <v>520948</v>
      </c>
      <c r="E141" s="486">
        <f>IF(+J96&lt;F140,J96,D141)</f>
        <v>356479</v>
      </c>
      <c r="F141" s="485">
        <f t="shared" si="38"/>
        <v>164469</v>
      </c>
      <c r="G141" s="485">
        <f t="shared" si="39"/>
        <v>342708.5</v>
      </c>
      <c r="H141" s="488">
        <f t="shared" si="36"/>
        <v>391817</v>
      </c>
      <c r="I141" s="542">
        <f t="shared" si="37"/>
        <v>391817</v>
      </c>
      <c r="J141" s="478">
        <f t="shared" si="43"/>
        <v>0</v>
      </c>
      <c r="K141" s="478"/>
      <c r="L141" s="487"/>
      <c r="M141" s="478">
        <f t="shared" si="40"/>
        <v>0</v>
      </c>
      <c r="N141" s="487"/>
      <c r="O141" s="478">
        <f t="shared" si="41"/>
        <v>0</v>
      </c>
      <c r="P141" s="478">
        <f t="shared" si="42"/>
        <v>0</v>
      </c>
    </row>
    <row r="142" spans="2:16" ht="12.5">
      <c r="B142" s="160" t="str">
        <f t="shared" si="28"/>
        <v/>
      </c>
      <c r="C142" s="472">
        <f>IF(D93="","-",+C141+1)</f>
        <v>2051</v>
      </c>
      <c r="D142" s="346">
        <f>IF(F141+SUM(E$99:E141)=D$92,F141,D$92-SUM(E$99:E141))</f>
        <v>164469</v>
      </c>
      <c r="E142" s="486">
        <f>IF(+J96&lt;F141,J96,D142)</f>
        <v>164469</v>
      </c>
      <c r="F142" s="485">
        <f t="shared" si="38"/>
        <v>0</v>
      </c>
      <c r="G142" s="485">
        <f t="shared" si="39"/>
        <v>82234.5</v>
      </c>
      <c r="H142" s="488">
        <f t="shared" si="36"/>
        <v>172949</v>
      </c>
      <c r="I142" s="542">
        <f t="shared" si="37"/>
        <v>172949</v>
      </c>
      <c r="J142" s="478">
        <f t="shared" si="43"/>
        <v>0</v>
      </c>
      <c r="K142" s="478"/>
      <c r="L142" s="487"/>
      <c r="M142" s="478">
        <f t="shared" si="40"/>
        <v>0</v>
      </c>
      <c r="N142" s="487"/>
      <c r="O142" s="478">
        <f t="shared" si="41"/>
        <v>0</v>
      </c>
      <c r="P142" s="478">
        <f t="shared" si="42"/>
        <v>0</v>
      </c>
    </row>
    <row r="143" spans="2:16" ht="12.5">
      <c r="B143" s="160" t="str">
        <f t="shared" si="28"/>
        <v/>
      </c>
      <c r="C143" s="472">
        <f>IF(D93="","-",+C142+1)</f>
        <v>2052</v>
      </c>
      <c r="D143" s="346">
        <f>IF(F142+SUM(E$99:E142)=D$92,F142,D$92-SUM(E$99:E142))</f>
        <v>0</v>
      </c>
      <c r="E143" s="486">
        <f>IF(+J96&lt;F142,J96,D143)</f>
        <v>0</v>
      </c>
      <c r="F143" s="485">
        <f t="shared" si="38"/>
        <v>0</v>
      </c>
      <c r="G143" s="485">
        <f t="shared" si="39"/>
        <v>0</v>
      </c>
      <c r="H143" s="488">
        <f t="shared" si="36"/>
        <v>0</v>
      </c>
      <c r="I143" s="542">
        <f t="shared" si="37"/>
        <v>0</v>
      </c>
      <c r="J143" s="478">
        <f t="shared" si="43"/>
        <v>0</v>
      </c>
      <c r="K143" s="478"/>
      <c r="L143" s="487"/>
      <c r="M143" s="478">
        <f t="shared" si="40"/>
        <v>0</v>
      </c>
      <c r="N143" s="487"/>
      <c r="O143" s="478">
        <f t="shared" si="41"/>
        <v>0</v>
      </c>
      <c r="P143" s="478">
        <f t="shared" si="42"/>
        <v>0</v>
      </c>
    </row>
    <row r="144" spans="2:16" ht="12.5">
      <c r="B144" s="160" t="str">
        <f t="shared" si="28"/>
        <v/>
      </c>
      <c r="C144" s="472">
        <f>IF(D93="","-",+C143+1)</f>
        <v>2053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38"/>
        <v>0</v>
      </c>
      <c r="G144" s="485">
        <f t="shared" si="39"/>
        <v>0</v>
      </c>
      <c r="H144" s="488">
        <f t="shared" si="36"/>
        <v>0</v>
      </c>
      <c r="I144" s="542">
        <f t="shared" si="37"/>
        <v>0</v>
      </c>
      <c r="J144" s="478">
        <f t="shared" si="43"/>
        <v>0</v>
      </c>
      <c r="K144" s="478"/>
      <c r="L144" s="487"/>
      <c r="M144" s="478">
        <f t="shared" si="40"/>
        <v>0</v>
      </c>
      <c r="N144" s="487"/>
      <c r="O144" s="478">
        <f t="shared" si="41"/>
        <v>0</v>
      </c>
      <c r="P144" s="478">
        <f t="shared" si="42"/>
        <v>0</v>
      </c>
    </row>
    <row r="145" spans="2:16" ht="12.5">
      <c r="B145" s="160" t="str">
        <f t="shared" si="28"/>
        <v/>
      </c>
      <c r="C145" s="472">
        <f>IF(D93="","-",+C144+1)</f>
        <v>2054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38"/>
        <v>0</v>
      </c>
      <c r="G145" s="485">
        <f t="shared" si="39"/>
        <v>0</v>
      </c>
      <c r="H145" s="488">
        <f t="shared" si="36"/>
        <v>0</v>
      </c>
      <c r="I145" s="542">
        <f t="shared" si="37"/>
        <v>0</v>
      </c>
      <c r="J145" s="478">
        <f t="shared" si="43"/>
        <v>0</v>
      </c>
      <c r="K145" s="478"/>
      <c r="L145" s="487"/>
      <c r="M145" s="478">
        <f t="shared" si="40"/>
        <v>0</v>
      </c>
      <c r="N145" s="487"/>
      <c r="O145" s="478">
        <f t="shared" si="41"/>
        <v>0</v>
      </c>
      <c r="P145" s="478">
        <f t="shared" si="42"/>
        <v>0</v>
      </c>
    </row>
    <row r="146" spans="2:16" ht="12.5">
      <c r="B146" s="160" t="str">
        <f t="shared" si="28"/>
        <v/>
      </c>
      <c r="C146" s="472">
        <f>IF(D93="","-",+C145+1)</f>
        <v>2055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38"/>
        <v>0</v>
      </c>
      <c r="G146" s="485">
        <f t="shared" si="39"/>
        <v>0</v>
      </c>
      <c r="H146" s="488">
        <f t="shared" si="36"/>
        <v>0</v>
      </c>
      <c r="I146" s="542">
        <f t="shared" si="37"/>
        <v>0</v>
      </c>
      <c r="J146" s="478">
        <f t="shared" si="43"/>
        <v>0</v>
      </c>
      <c r="K146" s="478"/>
      <c r="L146" s="487"/>
      <c r="M146" s="478">
        <f t="shared" si="40"/>
        <v>0</v>
      </c>
      <c r="N146" s="487"/>
      <c r="O146" s="478">
        <f t="shared" si="41"/>
        <v>0</v>
      </c>
      <c r="P146" s="478">
        <f t="shared" si="42"/>
        <v>0</v>
      </c>
    </row>
    <row r="147" spans="2:16" ht="12.5">
      <c r="B147" s="160" t="str">
        <f t="shared" si="28"/>
        <v/>
      </c>
      <c r="C147" s="472">
        <f>IF(D93="","-",+C146+1)</f>
        <v>2056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38"/>
        <v>0</v>
      </c>
      <c r="G147" s="485">
        <f t="shared" si="39"/>
        <v>0</v>
      </c>
      <c r="H147" s="488">
        <f t="shared" si="36"/>
        <v>0</v>
      </c>
      <c r="I147" s="542">
        <f t="shared" si="37"/>
        <v>0</v>
      </c>
      <c r="J147" s="478">
        <f t="shared" si="43"/>
        <v>0</v>
      </c>
      <c r="K147" s="478"/>
      <c r="L147" s="487"/>
      <c r="M147" s="478">
        <f t="shared" si="40"/>
        <v>0</v>
      </c>
      <c r="N147" s="487"/>
      <c r="O147" s="478">
        <f t="shared" si="41"/>
        <v>0</v>
      </c>
      <c r="P147" s="478">
        <f t="shared" si="42"/>
        <v>0</v>
      </c>
    </row>
    <row r="148" spans="2:16" ht="12.5">
      <c r="B148" s="160" t="str">
        <f t="shared" si="28"/>
        <v/>
      </c>
      <c r="C148" s="472">
        <f>IF(D93="","-",+C147+1)</f>
        <v>2057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38"/>
        <v>0</v>
      </c>
      <c r="G148" s="485">
        <f t="shared" si="39"/>
        <v>0</v>
      </c>
      <c r="H148" s="488">
        <f t="shared" si="36"/>
        <v>0</v>
      </c>
      <c r="I148" s="542">
        <f t="shared" si="37"/>
        <v>0</v>
      </c>
      <c r="J148" s="478">
        <f t="shared" si="43"/>
        <v>0</v>
      </c>
      <c r="K148" s="478"/>
      <c r="L148" s="487"/>
      <c r="M148" s="478">
        <f t="shared" si="40"/>
        <v>0</v>
      </c>
      <c r="N148" s="487"/>
      <c r="O148" s="478">
        <f t="shared" si="41"/>
        <v>0</v>
      </c>
      <c r="P148" s="478">
        <f t="shared" si="42"/>
        <v>0</v>
      </c>
    </row>
    <row r="149" spans="2:16" ht="12.5">
      <c r="B149" s="160" t="str">
        <f t="shared" si="28"/>
        <v/>
      </c>
      <c r="C149" s="472">
        <f>IF(D93="","-",+C148+1)</f>
        <v>2058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38"/>
        <v>0</v>
      </c>
      <c r="G149" s="485">
        <f t="shared" si="39"/>
        <v>0</v>
      </c>
      <c r="H149" s="488">
        <f t="shared" si="36"/>
        <v>0</v>
      </c>
      <c r="I149" s="542">
        <f t="shared" si="37"/>
        <v>0</v>
      </c>
      <c r="J149" s="478">
        <f t="shared" si="43"/>
        <v>0</v>
      </c>
      <c r="K149" s="478"/>
      <c r="L149" s="487"/>
      <c r="M149" s="478">
        <f t="shared" si="40"/>
        <v>0</v>
      </c>
      <c r="N149" s="487"/>
      <c r="O149" s="478">
        <f t="shared" si="41"/>
        <v>0</v>
      </c>
      <c r="P149" s="478">
        <f t="shared" si="42"/>
        <v>0</v>
      </c>
    </row>
    <row r="150" spans="2:16" ht="12.5">
      <c r="B150" s="160" t="str">
        <f t="shared" si="28"/>
        <v/>
      </c>
      <c r="C150" s="472">
        <f>IF(D93="","-",+C149+1)</f>
        <v>2059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38"/>
        <v>0</v>
      </c>
      <c r="G150" s="485">
        <f t="shared" si="39"/>
        <v>0</v>
      </c>
      <c r="H150" s="488">
        <f t="shared" si="36"/>
        <v>0</v>
      </c>
      <c r="I150" s="542">
        <f t="shared" si="37"/>
        <v>0</v>
      </c>
      <c r="J150" s="478">
        <f t="shared" si="43"/>
        <v>0</v>
      </c>
      <c r="K150" s="478"/>
      <c r="L150" s="487"/>
      <c r="M150" s="478">
        <f t="shared" si="40"/>
        <v>0</v>
      </c>
      <c r="N150" s="487"/>
      <c r="O150" s="478">
        <f t="shared" si="41"/>
        <v>0</v>
      </c>
      <c r="P150" s="478">
        <f t="shared" si="42"/>
        <v>0</v>
      </c>
    </row>
    <row r="151" spans="2:16" ht="12.5">
      <c r="B151" s="160" t="str">
        <f t="shared" si="28"/>
        <v/>
      </c>
      <c r="C151" s="472">
        <f>IF(D93="","-",+C150+1)</f>
        <v>2060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38"/>
        <v>0</v>
      </c>
      <c r="G151" s="485">
        <f t="shared" si="39"/>
        <v>0</v>
      </c>
      <c r="H151" s="488">
        <f t="shared" si="36"/>
        <v>0</v>
      </c>
      <c r="I151" s="542">
        <f t="shared" si="37"/>
        <v>0</v>
      </c>
      <c r="J151" s="478">
        <f t="shared" si="43"/>
        <v>0</v>
      </c>
      <c r="K151" s="478"/>
      <c r="L151" s="487"/>
      <c r="M151" s="478">
        <f t="shared" si="40"/>
        <v>0</v>
      </c>
      <c r="N151" s="487"/>
      <c r="O151" s="478">
        <f t="shared" si="41"/>
        <v>0</v>
      </c>
      <c r="P151" s="478">
        <f t="shared" si="42"/>
        <v>0</v>
      </c>
    </row>
    <row r="152" spans="2:16" ht="12.5">
      <c r="B152" s="160" t="str">
        <f t="shared" si="28"/>
        <v/>
      </c>
      <c r="C152" s="472">
        <f>IF(D93="","-",+C151+1)</f>
        <v>2061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38"/>
        <v>0</v>
      </c>
      <c r="G152" s="485">
        <f t="shared" si="39"/>
        <v>0</v>
      </c>
      <c r="H152" s="488">
        <f t="shared" si="36"/>
        <v>0</v>
      </c>
      <c r="I152" s="542">
        <f t="shared" si="37"/>
        <v>0</v>
      </c>
      <c r="J152" s="478">
        <f t="shared" si="43"/>
        <v>0</v>
      </c>
      <c r="K152" s="478"/>
      <c r="L152" s="487"/>
      <c r="M152" s="478">
        <f t="shared" si="40"/>
        <v>0</v>
      </c>
      <c r="N152" s="487"/>
      <c r="O152" s="478">
        <f t="shared" si="41"/>
        <v>0</v>
      </c>
      <c r="P152" s="478">
        <f t="shared" si="42"/>
        <v>0</v>
      </c>
    </row>
    <row r="153" spans="2:16" ht="12.5">
      <c r="B153" s="160" t="str">
        <f t="shared" si="28"/>
        <v/>
      </c>
      <c r="C153" s="472">
        <f>IF(D93="","-",+C152+1)</f>
        <v>2062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38"/>
        <v>0</v>
      </c>
      <c r="G153" s="485">
        <f t="shared" si="39"/>
        <v>0</v>
      </c>
      <c r="H153" s="488">
        <f t="shared" si="36"/>
        <v>0</v>
      </c>
      <c r="I153" s="542">
        <f t="shared" si="37"/>
        <v>0</v>
      </c>
      <c r="J153" s="478">
        <f t="shared" si="43"/>
        <v>0</v>
      </c>
      <c r="K153" s="478"/>
      <c r="L153" s="487"/>
      <c r="M153" s="478">
        <f t="shared" si="40"/>
        <v>0</v>
      </c>
      <c r="N153" s="487"/>
      <c r="O153" s="478">
        <f t="shared" si="41"/>
        <v>0</v>
      </c>
      <c r="P153" s="478">
        <f t="shared" si="42"/>
        <v>0</v>
      </c>
    </row>
    <row r="154" spans="2:16" ht="13" thickBot="1">
      <c r="B154" s="160" t="str">
        <f t="shared" si="28"/>
        <v/>
      </c>
      <c r="C154" s="489">
        <f>IF(D93="","-",+C153+1)</f>
        <v>2063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38"/>
        <v>0</v>
      </c>
      <c r="G154" s="490">
        <f t="shared" si="39"/>
        <v>0</v>
      </c>
      <c r="H154" s="492">
        <f t="shared" si="36"/>
        <v>0</v>
      </c>
      <c r="I154" s="545">
        <f t="shared" si="37"/>
        <v>0</v>
      </c>
      <c r="J154" s="495">
        <f t="shared" si="43"/>
        <v>0</v>
      </c>
      <c r="K154" s="478"/>
      <c r="L154" s="494"/>
      <c r="M154" s="495">
        <f t="shared" si="40"/>
        <v>0</v>
      </c>
      <c r="N154" s="494"/>
      <c r="O154" s="495">
        <f t="shared" si="41"/>
        <v>0</v>
      </c>
      <c r="P154" s="495">
        <f t="shared" si="42"/>
        <v>0</v>
      </c>
    </row>
    <row r="155" spans="2:16" ht="12.5">
      <c r="C155" s="346" t="s">
        <v>77</v>
      </c>
      <c r="D155" s="347"/>
      <c r="E155" s="347">
        <f>SUM(E99:E154)</f>
        <v>14615636</v>
      </c>
      <c r="F155" s="347"/>
      <c r="G155" s="347"/>
      <c r="H155" s="347">
        <f>SUM(H99:H154)</f>
        <v>53184520</v>
      </c>
      <c r="I155" s="347">
        <f>SUM(I99:I154)</f>
        <v>53184520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 t="s">
        <v>100</v>
      </c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2.5"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96" t="s">
        <v>107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78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 t="s">
        <v>79</v>
      </c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54" priority="1" stopIfTrue="1" operator="equal">
      <formula>$I$10</formula>
    </cfRule>
  </conditionalFormatting>
  <conditionalFormatting sqref="C99:C154">
    <cfRule type="cellIs" dxfId="53" priority="2" stopIfTrue="1" operator="equal">
      <formula>$J$92</formula>
    </cfRule>
  </conditionalFormatting>
  <pageMargins left="0.5" right="0.25" top="1" bottom="0.25" header="0.25" footer="0.5"/>
  <pageSetup scale="47" fitToHeight="0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P162"/>
  <sheetViews>
    <sheetView view="pageBreakPreview" topLeftCell="B1" zoomScale="75" zoomScaleNormal="100" workbookViewId="0">
      <selection activeCell="E9" sqref="E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5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37540.281940264002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37540.281940264002</v>
      </c>
      <c r="O6" s="232"/>
      <c r="P6" s="232"/>
    </row>
    <row r="7" spans="1:16" ht="13.5" thickBot="1">
      <c r="C7" s="431" t="s">
        <v>46</v>
      </c>
      <c r="D7" s="432" t="s">
        <v>206</v>
      </c>
      <c r="E7" s="329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83</v>
      </c>
      <c r="E9" s="577" t="s">
        <v>351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f>387742</f>
        <v>387742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2006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9017.2558139534885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2006</v>
      </c>
      <c r="D17" s="473">
        <v>387742</v>
      </c>
      <c r="E17" s="474">
        <v>3877</v>
      </c>
      <c r="F17" s="473">
        <v>383865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 ht="12.5">
      <c r="B18" s="160"/>
      <c r="C18" s="472">
        <f>IF(D11="","-",+C17+1)</f>
        <v>2007</v>
      </c>
      <c r="D18" s="479">
        <v>383865</v>
      </c>
      <c r="E18" s="480">
        <v>7755</v>
      </c>
      <c r="F18" s="479">
        <v>376110</v>
      </c>
      <c r="G18" s="479">
        <v>59847</v>
      </c>
      <c r="H18" s="479">
        <v>59847</v>
      </c>
      <c r="I18" s="475">
        <f t="shared" si="0"/>
        <v>0</v>
      </c>
      <c r="J18" s="475"/>
      <c r="K18" s="476">
        <v>59847</v>
      </c>
      <c r="L18" s="478">
        <f t="shared" si="1"/>
        <v>0</v>
      </c>
      <c r="M18" s="476">
        <v>59847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/>
      <c r="C19" s="472">
        <f>IF(D11="","-",+C18+1)</f>
        <v>2008</v>
      </c>
      <c r="D19" s="479">
        <v>376557</v>
      </c>
      <c r="E19" s="561">
        <v>7457</v>
      </c>
      <c r="F19" s="479">
        <v>369100</v>
      </c>
      <c r="G19" s="479">
        <v>62208</v>
      </c>
      <c r="H19" s="479">
        <v>62208</v>
      </c>
      <c r="I19" s="475">
        <f t="shared" si="0"/>
        <v>0</v>
      </c>
      <c r="J19" s="475"/>
      <c r="K19" s="476">
        <v>62208</v>
      </c>
      <c r="L19" s="478">
        <f t="shared" si="1"/>
        <v>0</v>
      </c>
      <c r="M19" s="476">
        <v>62208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/>
      <c r="C20" s="472">
        <f>IF(D11="","-",+C19+1)</f>
        <v>2009</v>
      </c>
      <c r="D20" s="479">
        <v>368843</v>
      </c>
      <c r="E20" s="561">
        <v>7316</v>
      </c>
      <c r="F20" s="479">
        <v>361527</v>
      </c>
      <c r="G20" s="479">
        <v>62704</v>
      </c>
      <c r="H20" s="479">
        <v>62704</v>
      </c>
      <c r="I20" s="475">
        <f t="shared" si="0"/>
        <v>0</v>
      </c>
      <c r="J20" s="475"/>
      <c r="K20" s="476">
        <v>62704</v>
      </c>
      <c r="L20" s="478">
        <f t="shared" si="1"/>
        <v>0</v>
      </c>
      <c r="M20" s="476">
        <v>62704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/>
      <c r="C21" s="472">
        <f>IF(D12="","-",+C20+1)</f>
        <v>2010</v>
      </c>
      <c r="D21" s="479">
        <v>361337</v>
      </c>
      <c r="E21" s="480">
        <v>6923.9642857142853</v>
      </c>
      <c r="F21" s="479">
        <v>354413.03571428574</v>
      </c>
      <c r="G21" s="480">
        <v>58064.529944767884</v>
      </c>
      <c r="H21" s="481">
        <v>58064.529944767884</v>
      </c>
      <c r="I21" s="475">
        <f t="shared" si="0"/>
        <v>0</v>
      </c>
      <c r="J21" s="475"/>
      <c r="K21" s="540">
        <f t="shared" ref="K21:K26" si="4">G21</f>
        <v>58064.529944767884</v>
      </c>
      <c r="L21" s="478">
        <f t="shared" si="1"/>
        <v>0</v>
      </c>
      <c r="M21" s="540">
        <f t="shared" ref="M21:M26" si="5">H21</f>
        <v>58064.529944767884</v>
      </c>
      <c r="N21" s="478">
        <f t="shared" si="2"/>
        <v>0</v>
      </c>
      <c r="O21" s="478">
        <f t="shared" si="3"/>
        <v>0</v>
      </c>
      <c r="P21" s="242"/>
    </row>
    <row r="22" spans="2:16" ht="12.5">
      <c r="B22" s="160" t="str">
        <f t="shared" ref="B22:B72" si="6">IF(D22=F21,"","IU")</f>
        <v/>
      </c>
      <c r="C22" s="472">
        <f>IF(D11="","-",+C21+1)</f>
        <v>2011</v>
      </c>
      <c r="D22" s="479">
        <v>354413.03571428574</v>
      </c>
      <c r="E22" s="480">
        <v>7602.7843137254904</v>
      </c>
      <c r="F22" s="479">
        <v>346810.25140056026</v>
      </c>
      <c r="G22" s="480">
        <v>61893.620096156621</v>
      </c>
      <c r="H22" s="481">
        <v>61893.620096156621</v>
      </c>
      <c r="I22" s="475">
        <f t="shared" si="0"/>
        <v>0</v>
      </c>
      <c r="J22" s="475"/>
      <c r="K22" s="476">
        <f t="shared" si="4"/>
        <v>61893.620096156621</v>
      </c>
      <c r="L22" s="550">
        <f t="shared" si="1"/>
        <v>0</v>
      </c>
      <c r="M22" s="476">
        <f t="shared" si="5"/>
        <v>61893.620096156621</v>
      </c>
      <c r="N22" s="478">
        <f t="shared" si="2"/>
        <v>0</v>
      </c>
      <c r="O22" s="478">
        <f t="shared" si="3"/>
        <v>0</v>
      </c>
      <c r="P22" s="242"/>
    </row>
    <row r="23" spans="2:16" ht="12.5">
      <c r="B23" s="160" t="str">
        <f t="shared" si="6"/>
        <v/>
      </c>
      <c r="C23" s="472">
        <f>IF(D11="","-",+C22+1)</f>
        <v>2012</v>
      </c>
      <c r="D23" s="479">
        <v>346810.25140056026</v>
      </c>
      <c r="E23" s="480">
        <v>7456.5769230769229</v>
      </c>
      <c r="F23" s="479">
        <v>339353.67447748332</v>
      </c>
      <c r="G23" s="480">
        <v>54696.893588724874</v>
      </c>
      <c r="H23" s="481">
        <v>54696.893588724874</v>
      </c>
      <c r="I23" s="475">
        <f t="shared" si="0"/>
        <v>0</v>
      </c>
      <c r="J23" s="475"/>
      <c r="K23" s="476">
        <f t="shared" si="4"/>
        <v>54696.893588724874</v>
      </c>
      <c r="L23" s="550">
        <f t="shared" si="1"/>
        <v>0</v>
      </c>
      <c r="M23" s="476">
        <f t="shared" si="5"/>
        <v>54696.893588724874</v>
      </c>
      <c r="N23" s="478">
        <f t="shared" si="2"/>
        <v>0</v>
      </c>
      <c r="O23" s="478">
        <f t="shared" si="3"/>
        <v>0</v>
      </c>
      <c r="P23" s="242"/>
    </row>
    <row r="24" spans="2:16" ht="12.5">
      <c r="B24" s="160" t="str">
        <f t="shared" si="6"/>
        <v/>
      </c>
      <c r="C24" s="472">
        <f>IF(D11="","-",+C23+1)</f>
        <v>2013</v>
      </c>
      <c r="D24" s="479">
        <v>339353.67447748332</v>
      </c>
      <c r="E24" s="480">
        <v>7456.5769230769229</v>
      </c>
      <c r="F24" s="479">
        <v>331897.09755440638</v>
      </c>
      <c r="G24" s="480">
        <v>54853.72619811543</v>
      </c>
      <c r="H24" s="481">
        <v>54853.72619811543</v>
      </c>
      <c r="I24" s="475">
        <v>0</v>
      </c>
      <c r="J24" s="475"/>
      <c r="K24" s="476">
        <f t="shared" si="4"/>
        <v>54853.72619811543</v>
      </c>
      <c r="L24" s="550">
        <f t="shared" ref="L24:L29" si="7">IF(K24&lt;&gt;0,+G24-K24,0)</f>
        <v>0</v>
      </c>
      <c r="M24" s="476">
        <f t="shared" si="5"/>
        <v>54853.72619811543</v>
      </c>
      <c r="N24" s="478">
        <f t="shared" ref="N24:N29" si="8">IF(M24&lt;&gt;0,+H24-M24,0)</f>
        <v>0</v>
      </c>
      <c r="O24" s="478">
        <f t="shared" ref="O24:O29" si="9">+N24-L24</f>
        <v>0</v>
      </c>
      <c r="P24" s="242"/>
    </row>
    <row r="25" spans="2:16" ht="12.5">
      <c r="B25" s="160" t="str">
        <f t="shared" si="6"/>
        <v/>
      </c>
      <c r="C25" s="472">
        <f>IF(D11="","-",+C24+1)</f>
        <v>2014</v>
      </c>
      <c r="D25" s="479">
        <v>331897.09755440638</v>
      </c>
      <c r="E25" s="480">
        <v>7456.5769230769229</v>
      </c>
      <c r="F25" s="479">
        <v>324440.52063132945</v>
      </c>
      <c r="G25" s="480">
        <v>52118.659182147123</v>
      </c>
      <c r="H25" s="481">
        <v>52118.659182147123</v>
      </c>
      <c r="I25" s="475">
        <v>0</v>
      </c>
      <c r="J25" s="475"/>
      <c r="K25" s="476">
        <f t="shared" si="4"/>
        <v>52118.659182147123</v>
      </c>
      <c r="L25" s="550">
        <f t="shared" si="7"/>
        <v>0</v>
      </c>
      <c r="M25" s="476">
        <f t="shared" si="5"/>
        <v>52118.659182147123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6"/>
        <v/>
      </c>
      <c r="C26" s="472">
        <f>IF(D11="","-",+C25+1)</f>
        <v>2015</v>
      </c>
      <c r="D26" s="479">
        <v>324440.52063132945</v>
      </c>
      <c r="E26" s="480">
        <v>7456.5769230769229</v>
      </c>
      <c r="F26" s="479">
        <v>316983.94370825251</v>
      </c>
      <c r="G26" s="480">
        <v>51159.678410482353</v>
      </c>
      <c r="H26" s="481">
        <v>51159.678410482353</v>
      </c>
      <c r="I26" s="475">
        <v>0</v>
      </c>
      <c r="J26" s="475"/>
      <c r="K26" s="476">
        <f t="shared" si="4"/>
        <v>51159.678410482353</v>
      </c>
      <c r="L26" s="550">
        <f t="shared" si="7"/>
        <v>0</v>
      </c>
      <c r="M26" s="476">
        <f t="shared" si="5"/>
        <v>51159.678410482353</v>
      </c>
      <c r="N26" s="478">
        <f t="shared" si="8"/>
        <v>0</v>
      </c>
      <c r="O26" s="478">
        <f t="shared" si="9"/>
        <v>0</v>
      </c>
      <c r="P26" s="242"/>
    </row>
    <row r="27" spans="2:16" ht="12.5">
      <c r="B27" s="160" t="str">
        <f t="shared" si="6"/>
        <v/>
      </c>
      <c r="C27" s="472">
        <f>IF(D11="","-",+C26+1)</f>
        <v>2016</v>
      </c>
      <c r="D27" s="479">
        <v>316983.94370825251</v>
      </c>
      <c r="E27" s="480">
        <v>7456.5769230769229</v>
      </c>
      <c r="F27" s="479">
        <v>309527.36678517557</v>
      </c>
      <c r="G27" s="480">
        <v>48054.073071867475</v>
      </c>
      <c r="H27" s="481">
        <v>48054.073071867475</v>
      </c>
      <c r="I27" s="475">
        <f t="shared" si="0"/>
        <v>0</v>
      </c>
      <c r="J27" s="475"/>
      <c r="K27" s="476">
        <f>G27</f>
        <v>48054.073071867475</v>
      </c>
      <c r="L27" s="550">
        <f t="shared" si="7"/>
        <v>0</v>
      </c>
      <c r="M27" s="476">
        <f>H27</f>
        <v>48054.073071867475</v>
      </c>
      <c r="N27" s="478">
        <f t="shared" si="8"/>
        <v>0</v>
      </c>
      <c r="O27" s="478">
        <f t="shared" si="9"/>
        <v>0</v>
      </c>
      <c r="P27" s="242"/>
    </row>
    <row r="28" spans="2:16" ht="12.5">
      <c r="B28" s="160" t="str">
        <f t="shared" si="6"/>
        <v/>
      </c>
      <c r="C28" s="472">
        <f>IF(D11="","-",+C27+1)</f>
        <v>2017</v>
      </c>
      <c r="D28" s="479">
        <v>309527.36678517557</v>
      </c>
      <c r="E28" s="480">
        <v>8429.173913043478</v>
      </c>
      <c r="F28" s="479">
        <v>301098.19287213212</v>
      </c>
      <c r="G28" s="480">
        <v>46747.12706959022</v>
      </c>
      <c r="H28" s="481">
        <v>46747.12706959022</v>
      </c>
      <c r="I28" s="475">
        <f t="shared" si="0"/>
        <v>0</v>
      </c>
      <c r="J28" s="475"/>
      <c r="K28" s="476">
        <f>G28</f>
        <v>46747.12706959022</v>
      </c>
      <c r="L28" s="550">
        <f t="shared" si="7"/>
        <v>0</v>
      </c>
      <c r="M28" s="476">
        <f>H28</f>
        <v>46747.12706959022</v>
      </c>
      <c r="N28" s="478">
        <f t="shared" si="8"/>
        <v>0</v>
      </c>
      <c r="O28" s="478">
        <f t="shared" si="9"/>
        <v>0</v>
      </c>
      <c r="P28" s="242"/>
    </row>
    <row r="29" spans="2:16" ht="12.5">
      <c r="B29" s="160" t="str">
        <f t="shared" si="6"/>
        <v/>
      </c>
      <c r="C29" s="472">
        <f>IF(D11="","-",+C28+1)</f>
        <v>2018</v>
      </c>
      <c r="D29" s="479">
        <v>301098.19287213212</v>
      </c>
      <c r="E29" s="480">
        <v>8616.4888888888891</v>
      </c>
      <c r="F29" s="479">
        <v>292481.70398324321</v>
      </c>
      <c r="G29" s="480">
        <v>44159.738725302646</v>
      </c>
      <c r="H29" s="481">
        <v>44159.738725302646</v>
      </c>
      <c r="I29" s="475">
        <f t="shared" si="0"/>
        <v>0</v>
      </c>
      <c r="J29" s="475"/>
      <c r="K29" s="476">
        <f>G29</f>
        <v>44159.738725302646</v>
      </c>
      <c r="L29" s="550">
        <f t="shared" si="7"/>
        <v>0</v>
      </c>
      <c r="M29" s="476">
        <f>H29</f>
        <v>44159.738725302646</v>
      </c>
      <c r="N29" s="478">
        <f t="shared" si="8"/>
        <v>0</v>
      </c>
      <c r="O29" s="478">
        <f t="shared" si="9"/>
        <v>0</v>
      </c>
      <c r="P29" s="242"/>
    </row>
    <row r="30" spans="2:16" ht="12.5">
      <c r="B30" s="160" t="str">
        <f t="shared" si="6"/>
        <v/>
      </c>
      <c r="C30" s="472">
        <f>IF(D11="","-",+C29+1)</f>
        <v>2019</v>
      </c>
      <c r="D30" s="479">
        <v>292481.70398324321</v>
      </c>
      <c r="E30" s="480">
        <v>9693.5499999999993</v>
      </c>
      <c r="F30" s="479">
        <v>282788.15398324322</v>
      </c>
      <c r="G30" s="480">
        <v>41809.897213779383</v>
      </c>
      <c r="H30" s="481">
        <v>41809.897213779383</v>
      </c>
      <c r="I30" s="475">
        <f t="shared" si="0"/>
        <v>0</v>
      </c>
      <c r="J30" s="475"/>
      <c r="K30" s="476">
        <f>G30</f>
        <v>41809.897213779383</v>
      </c>
      <c r="L30" s="550">
        <f t="shared" ref="L30" si="10">IF(K30&lt;&gt;0,+G30-K30,0)</f>
        <v>0</v>
      </c>
      <c r="M30" s="476">
        <f>H30</f>
        <v>41809.897213779383</v>
      </c>
      <c r="N30" s="478">
        <f t="shared" ref="N30" si="11">IF(M30&lt;&gt;0,+H30-M30,0)</f>
        <v>0</v>
      </c>
      <c r="O30" s="478">
        <f t="shared" ref="O30" si="12">+N30-L30</f>
        <v>0</v>
      </c>
      <c r="P30" s="242"/>
    </row>
    <row r="31" spans="2:16" ht="12.5">
      <c r="B31" s="160" t="str">
        <f t="shared" si="6"/>
        <v>IU</v>
      </c>
      <c r="C31" s="472">
        <f>IF(D11="","-",+C30+1)</f>
        <v>2020</v>
      </c>
      <c r="D31" s="479">
        <v>283865.21509435429</v>
      </c>
      <c r="E31" s="480">
        <v>9231.9523809523816</v>
      </c>
      <c r="F31" s="479">
        <v>274633.26271340193</v>
      </c>
      <c r="G31" s="480">
        <v>39392.204131039958</v>
      </c>
      <c r="H31" s="481">
        <v>39392.204131039958</v>
      </c>
      <c r="I31" s="475">
        <f t="shared" si="0"/>
        <v>0</v>
      </c>
      <c r="J31" s="475"/>
      <c r="K31" s="476">
        <f>G31</f>
        <v>39392.204131039958</v>
      </c>
      <c r="L31" s="550">
        <f t="shared" ref="L31" si="13">IF(K31&lt;&gt;0,+G31-K31,0)</f>
        <v>0</v>
      </c>
      <c r="M31" s="476">
        <f>H31</f>
        <v>39392.204131039958</v>
      </c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6"/>
        <v>IU</v>
      </c>
      <c r="C32" s="472">
        <f>IF(D11="","-",+C31+1)</f>
        <v>2021</v>
      </c>
      <c r="D32" s="485">
        <f>IF(F31+SUM(E$17:E31)=D$10,F31,D$10-SUM(E$17:E31))</f>
        <v>273556.20160229085</v>
      </c>
      <c r="E32" s="484">
        <f>IF(+I14&lt;F31,I14,D32)</f>
        <v>9017.2558139534885</v>
      </c>
      <c r="F32" s="485">
        <f t="shared" ref="F32:F72" si="14">+D32-E32</f>
        <v>264538.94578833738</v>
      </c>
      <c r="G32" s="486">
        <f t="shared" ref="G32:G72" si="15">+I$12*F32+E32</f>
        <v>37540.281940264002</v>
      </c>
      <c r="H32" s="455">
        <f t="shared" ref="H32:H72" si="16">+I$13*F32+E32</f>
        <v>37540.281940264002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6"/>
        <v/>
      </c>
      <c r="C33" s="472">
        <f>IF(D11="","-",+C32+1)</f>
        <v>2022</v>
      </c>
      <c r="D33" s="485">
        <f>IF(F32+SUM(E$17:E32)=D$10,F32,D$10-SUM(E$17:E32))</f>
        <v>264538.94578833738</v>
      </c>
      <c r="E33" s="484">
        <f>IF(+I14&lt;F32,I14,D33)</f>
        <v>9017.2558139534885</v>
      </c>
      <c r="F33" s="485">
        <f t="shared" si="14"/>
        <v>255521.68997438389</v>
      </c>
      <c r="G33" s="486">
        <f t="shared" si="15"/>
        <v>36568.026522814762</v>
      </c>
      <c r="H33" s="455">
        <f t="shared" si="16"/>
        <v>36568.026522814762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6"/>
        <v/>
      </c>
      <c r="C34" s="472">
        <f>IF(D11="","-",+C33+1)</f>
        <v>2023</v>
      </c>
      <c r="D34" s="485">
        <f>IF(F33+SUM(E$17:E33)=D$10,F33,D$10-SUM(E$17:E33))</f>
        <v>255521.68997438389</v>
      </c>
      <c r="E34" s="484">
        <f>IF(+I14&lt;F33,I14,D34)</f>
        <v>9017.2558139534885</v>
      </c>
      <c r="F34" s="485">
        <f t="shared" si="14"/>
        <v>246504.43416043039</v>
      </c>
      <c r="G34" s="486">
        <f t="shared" si="15"/>
        <v>35595.771105365522</v>
      </c>
      <c r="H34" s="455">
        <f t="shared" si="16"/>
        <v>35595.771105365522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6"/>
        <v/>
      </c>
      <c r="C35" s="472">
        <f>IF(D11="","-",+C34+1)</f>
        <v>2024</v>
      </c>
      <c r="D35" s="485">
        <f>IF(F34+SUM(E$17:E34)=D$10,F34,D$10-SUM(E$17:E34))</f>
        <v>246504.43416043039</v>
      </c>
      <c r="E35" s="484">
        <f>IF(+I14&lt;F34,I14,D35)</f>
        <v>9017.2558139534885</v>
      </c>
      <c r="F35" s="485">
        <f t="shared" si="14"/>
        <v>237487.1783464769</v>
      </c>
      <c r="G35" s="486">
        <f t="shared" si="15"/>
        <v>34623.51568791629</v>
      </c>
      <c r="H35" s="455">
        <f t="shared" si="16"/>
        <v>34623.51568791629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6"/>
        <v/>
      </c>
      <c r="C36" s="472">
        <f>IF(D11="","-",+C35+1)</f>
        <v>2025</v>
      </c>
      <c r="D36" s="485">
        <f>IF(F35+SUM(E$17:E35)=D$10,F35,D$10-SUM(E$17:E35))</f>
        <v>237487.1783464769</v>
      </c>
      <c r="E36" s="484">
        <f>IF(+I14&lt;F35,I14,D36)</f>
        <v>9017.2558139534885</v>
      </c>
      <c r="F36" s="485">
        <f t="shared" si="14"/>
        <v>228469.9225325234</v>
      </c>
      <c r="G36" s="486">
        <f t="shared" si="15"/>
        <v>33651.260270467057</v>
      </c>
      <c r="H36" s="455">
        <f t="shared" si="16"/>
        <v>33651.260270467057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6"/>
        <v/>
      </c>
      <c r="C37" s="472">
        <f>IF(D11="","-",+C36+1)</f>
        <v>2026</v>
      </c>
      <c r="D37" s="485">
        <f>IF(F36+SUM(E$17:E36)=D$10,F36,D$10-SUM(E$17:E36))</f>
        <v>228469.9225325234</v>
      </c>
      <c r="E37" s="484">
        <f>IF(+I14&lt;F36,I14,D37)</f>
        <v>9017.2558139534885</v>
      </c>
      <c r="F37" s="485">
        <f t="shared" si="14"/>
        <v>219452.6667185699</v>
      </c>
      <c r="G37" s="486">
        <f t="shared" si="15"/>
        <v>32679.004853017817</v>
      </c>
      <c r="H37" s="455">
        <f t="shared" si="16"/>
        <v>32679.004853017817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6"/>
        <v/>
      </c>
      <c r="C38" s="472">
        <f>IF(D11="","-",+C37+1)</f>
        <v>2027</v>
      </c>
      <c r="D38" s="485">
        <f>IF(F37+SUM(E$17:E37)=D$10,F37,D$10-SUM(E$17:E37))</f>
        <v>219452.6667185699</v>
      </c>
      <c r="E38" s="484">
        <f>IF(+I14&lt;F37,I14,D38)</f>
        <v>9017.2558139534885</v>
      </c>
      <c r="F38" s="485">
        <f t="shared" si="14"/>
        <v>210435.41090461641</v>
      </c>
      <c r="G38" s="486">
        <f t="shared" si="15"/>
        <v>31706.749435568578</v>
      </c>
      <c r="H38" s="455">
        <f t="shared" si="16"/>
        <v>31706.749435568578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6"/>
        <v/>
      </c>
      <c r="C39" s="472">
        <f>IF(D11="","-",+C38+1)</f>
        <v>2028</v>
      </c>
      <c r="D39" s="485">
        <f>IF(F38+SUM(E$17:E38)=D$10,F38,D$10-SUM(E$17:E38))</f>
        <v>210435.41090461641</v>
      </c>
      <c r="E39" s="484">
        <f>IF(+I14&lt;F38,I14,D39)</f>
        <v>9017.2558139534885</v>
      </c>
      <c r="F39" s="485">
        <f t="shared" si="14"/>
        <v>201418.15509066291</v>
      </c>
      <c r="G39" s="486">
        <f t="shared" si="15"/>
        <v>30734.494018119341</v>
      </c>
      <c r="H39" s="455">
        <f t="shared" si="16"/>
        <v>30734.494018119341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6"/>
        <v/>
      </c>
      <c r="C40" s="472">
        <f>IF(D11="","-",+C39+1)</f>
        <v>2029</v>
      </c>
      <c r="D40" s="485">
        <f>IF(F39+SUM(E$17:E39)=D$10,F39,D$10-SUM(E$17:E39))</f>
        <v>201418.15509066291</v>
      </c>
      <c r="E40" s="484">
        <f>IF(+I14&lt;F39,I14,D40)</f>
        <v>9017.2558139534885</v>
      </c>
      <c r="F40" s="485">
        <f t="shared" si="14"/>
        <v>192400.89927670942</v>
      </c>
      <c r="G40" s="486">
        <f t="shared" si="15"/>
        <v>29762.238600670105</v>
      </c>
      <c r="H40" s="455">
        <f t="shared" si="16"/>
        <v>29762.238600670105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6"/>
        <v/>
      </c>
      <c r="C41" s="472">
        <f>IF(D11="","-",+C40+1)</f>
        <v>2030</v>
      </c>
      <c r="D41" s="485">
        <f>IF(F40+SUM(E$17:E40)=D$10,F40,D$10-SUM(E$17:E40))</f>
        <v>192400.89927670942</v>
      </c>
      <c r="E41" s="484">
        <f>IF(+I14&lt;F40,I14,D41)</f>
        <v>9017.2558139534885</v>
      </c>
      <c r="F41" s="485">
        <f t="shared" si="14"/>
        <v>183383.64346275592</v>
      </c>
      <c r="G41" s="486">
        <f t="shared" si="15"/>
        <v>28789.983183220869</v>
      </c>
      <c r="H41" s="455">
        <f t="shared" si="16"/>
        <v>28789.983183220869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6"/>
        <v/>
      </c>
      <c r="C42" s="472">
        <f>IF(D11="","-",+C41+1)</f>
        <v>2031</v>
      </c>
      <c r="D42" s="485">
        <f>IF(F41+SUM(E$17:E41)=D$10,F41,D$10-SUM(E$17:E41))</f>
        <v>183383.64346275592</v>
      </c>
      <c r="E42" s="484">
        <f>IF(+I14&lt;F41,I14,D42)</f>
        <v>9017.2558139534885</v>
      </c>
      <c r="F42" s="485">
        <f t="shared" si="14"/>
        <v>174366.38764880243</v>
      </c>
      <c r="G42" s="486">
        <f t="shared" si="15"/>
        <v>27817.727765771633</v>
      </c>
      <c r="H42" s="455">
        <f t="shared" si="16"/>
        <v>27817.727765771633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6"/>
        <v/>
      </c>
      <c r="C43" s="472">
        <f>IF(D11="","-",+C42+1)</f>
        <v>2032</v>
      </c>
      <c r="D43" s="485">
        <f>IF(F42+SUM(E$17:E42)=D$10,F42,D$10-SUM(E$17:E42))</f>
        <v>174366.38764880243</v>
      </c>
      <c r="E43" s="484">
        <f>IF(+I14&lt;F42,I14,D43)</f>
        <v>9017.2558139534885</v>
      </c>
      <c r="F43" s="485">
        <f t="shared" si="14"/>
        <v>165349.13183484893</v>
      </c>
      <c r="G43" s="486">
        <f t="shared" si="15"/>
        <v>26845.472348322397</v>
      </c>
      <c r="H43" s="455">
        <f t="shared" si="16"/>
        <v>26845.472348322397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6"/>
        <v/>
      </c>
      <c r="C44" s="472">
        <f>IF(D11="","-",+C43+1)</f>
        <v>2033</v>
      </c>
      <c r="D44" s="485">
        <f>IF(F43+SUM(E$17:E43)=D$10,F43,D$10-SUM(E$17:E43))</f>
        <v>165349.13183484893</v>
      </c>
      <c r="E44" s="484">
        <f>IF(+I14&lt;F43,I14,D44)</f>
        <v>9017.2558139534885</v>
      </c>
      <c r="F44" s="485">
        <f t="shared" si="14"/>
        <v>156331.87602089543</v>
      </c>
      <c r="G44" s="486">
        <f t="shared" si="15"/>
        <v>25873.216930873161</v>
      </c>
      <c r="H44" s="455">
        <f t="shared" si="16"/>
        <v>25873.216930873161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6"/>
        <v/>
      </c>
      <c r="C45" s="472">
        <f>IF(D11="","-",+C44+1)</f>
        <v>2034</v>
      </c>
      <c r="D45" s="485">
        <f>IF(F44+SUM(E$17:E44)=D$10,F44,D$10-SUM(E$17:E44))</f>
        <v>156331.87602089543</v>
      </c>
      <c r="E45" s="484">
        <f>IF(+I14&lt;F44,I14,D45)</f>
        <v>9017.2558139534885</v>
      </c>
      <c r="F45" s="485">
        <f t="shared" si="14"/>
        <v>147314.62020694194</v>
      </c>
      <c r="G45" s="486">
        <f t="shared" si="15"/>
        <v>24900.961513423925</v>
      </c>
      <c r="H45" s="455">
        <f t="shared" si="16"/>
        <v>24900.961513423925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6"/>
        <v/>
      </c>
      <c r="C46" s="472">
        <f>IF(D11="","-",+C45+1)</f>
        <v>2035</v>
      </c>
      <c r="D46" s="485">
        <f>IF(F45+SUM(E$17:E45)=D$10,F45,D$10-SUM(E$17:E45))</f>
        <v>147314.62020694194</v>
      </c>
      <c r="E46" s="484">
        <f>IF(+I14&lt;F45,I14,D46)</f>
        <v>9017.2558139534885</v>
      </c>
      <c r="F46" s="485">
        <f t="shared" si="14"/>
        <v>138297.36439298844</v>
      </c>
      <c r="G46" s="486">
        <f t="shared" si="15"/>
        <v>23928.706095974689</v>
      </c>
      <c r="H46" s="455">
        <f t="shared" si="16"/>
        <v>23928.706095974689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6"/>
        <v/>
      </c>
      <c r="C47" s="472">
        <f>IF(D11="","-",+C46+1)</f>
        <v>2036</v>
      </c>
      <c r="D47" s="485">
        <f>IF(F46+SUM(E$17:E46)=D$10,F46,D$10-SUM(E$17:E46))</f>
        <v>138297.36439298844</v>
      </c>
      <c r="E47" s="484">
        <f>IF(+I14&lt;F46,I14,D47)</f>
        <v>9017.2558139534885</v>
      </c>
      <c r="F47" s="485">
        <f t="shared" si="14"/>
        <v>129280.10857903495</v>
      </c>
      <c r="G47" s="486">
        <f t="shared" si="15"/>
        <v>22956.450678525449</v>
      </c>
      <c r="H47" s="455">
        <f t="shared" si="16"/>
        <v>22956.450678525449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6"/>
        <v/>
      </c>
      <c r="C48" s="472">
        <f>IF(D11="","-",+C47+1)</f>
        <v>2037</v>
      </c>
      <c r="D48" s="485">
        <f>IF(F47+SUM(E$17:E47)=D$10,F47,D$10-SUM(E$17:E47))</f>
        <v>129280.10857903495</v>
      </c>
      <c r="E48" s="484">
        <f>IF(+I14&lt;F47,I14,D48)</f>
        <v>9017.2558139534885</v>
      </c>
      <c r="F48" s="485">
        <f t="shared" si="14"/>
        <v>120262.85276508145</v>
      </c>
      <c r="G48" s="486">
        <f t="shared" si="15"/>
        <v>21984.195261076216</v>
      </c>
      <c r="H48" s="455">
        <f t="shared" si="16"/>
        <v>21984.195261076216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6"/>
        <v/>
      </c>
      <c r="C49" s="472">
        <f>IF(D11="","-",+C48+1)</f>
        <v>2038</v>
      </c>
      <c r="D49" s="485">
        <f>IF(F48+SUM(E$17:E48)=D$10,F48,D$10-SUM(E$17:E48))</f>
        <v>120262.85276508145</v>
      </c>
      <c r="E49" s="484">
        <f>IF(+I14&lt;F48,I14,D49)</f>
        <v>9017.2558139534885</v>
      </c>
      <c r="F49" s="485">
        <f t="shared" si="14"/>
        <v>111245.59695112795</v>
      </c>
      <c r="G49" s="486">
        <f t="shared" si="15"/>
        <v>21011.939843626977</v>
      </c>
      <c r="H49" s="455">
        <f t="shared" si="16"/>
        <v>21011.939843626977</v>
      </c>
      <c r="I49" s="475">
        <f t="shared" ref="I49:I72" si="17">H49-G49</f>
        <v>0</v>
      </c>
      <c r="J49" s="475"/>
      <c r="K49" s="487"/>
      <c r="L49" s="478">
        <f t="shared" ref="L49:L72" si="18">IF(K49&lt;&gt;0,+G49-K49,0)</f>
        <v>0</v>
      </c>
      <c r="M49" s="487"/>
      <c r="N49" s="478">
        <f t="shared" ref="N49:N72" si="19">IF(M49&lt;&gt;0,+H49-M49,0)</f>
        <v>0</v>
      </c>
      <c r="O49" s="478">
        <f t="shared" ref="O49:O72" si="20">+N49-L49</f>
        <v>0</v>
      </c>
      <c r="P49" s="242"/>
    </row>
    <row r="50" spans="2:16" ht="12.5">
      <c r="B50" s="160" t="str">
        <f t="shared" si="6"/>
        <v/>
      </c>
      <c r="C50" s="472">
        <f>IF(D11="","-",+C49+1)</f>
        <v>2039</v>
      </c>
      <c r="D50" s="485">
        <f>IF(F49+SUM(E$17:E49)=D$10,F49,D$10-SUM(E$17:E49))</f>
        <v>111245.59695112795</v>
      </c>
      <c r="E50" s="484">
        <f>IF(+I14&lt;F49,I14,D50)</f>
        <v>9017.2558139534885</v>
      </c>
      <c r="F50" s="485">
        <f t="shared" si="14"/>
        <v>102228.34113717446</v>
      </c>
      <c r="G50" s="486">
        <f t="shared" si="15"/>
        <v>20039.684426177744</v>
      </c>
      <c r="H50" s="455">
        <f t="shared" si="16"/>
        <v>20039.684426177744</v>
      </c>
      <c r="I50" s="475">
        <f t="shared" si="17"/>
        <v>0</v>
      </c>
      <c r="J50" s="475"/>
      <c r="K50" s="487"/>
      <c r="L50" s="478">
        <f t="shared" si="18"/>
        <v>0</v>
      </c>
      <c r="M50" s="487"/>
      <c r="N50" s="478">
        <f t="shared" si="19"/>
        <v>0</v>
      </c>
      <c r="O50" s="478">
        <f t="shared" si="20"/>
        <v>0</v>
      </c>
      <c r="P50" s="242"/>
    </row>
    <row r="51" spans="2:16" ht="12.5">
      <c r="B51" s="160" t="str">
        <f t="shared" si="6"/>
        <v/>
      </c>
      <c r="C51" s="472">
        <f>IF(D11="","-",+C50+1)</f>
        <v>2040</v>
      </c>
      <c r="D51" s="485">
        <f>IF(F50+SUM(E$17:E50)=D$10,F50,D$10-SUM(E$17:E50))</f>
        <v>102228.34113717446</v>
      </c>
      <c r="E51" s="484">
        <f>IF(+I14&lt;F50,I14,D51)</f>
        <v>9017.2558139534885</v>
      </c>
      <c r="F51" s="485">
        <f t="shared" si="14"/>
        <v>93211.085323220963</v>
      </c>
      <c r="G51" s="486">
        <f t="shared" si="15"/>
        <v>19067.429008728504</v>
      </c>
      <c r="H51" s="455">
        <f t="shared" si="16"/>
        <v>19067.429008728504</v>
      </c>
      <c r="I51" s="475">
        <f t="shared" si="17"/>
        <v>0</v>
      </c>
      <c r="J51" s="475"/>
      <c r="K51" s="487"/>
      <c r="L51" s="478">
        <f t="shared" si="18"/>
        <v>0</v>
      </c>
      <c r="M51" s="487"/>
      <c r="N51" s="478">
        <f t="shared" si="19"/>
        <v>0</v>
      </c>
      <c r="O51" s="478">
        <f t="shared" si="20"/>
        <v>0</v>
      </c>
      <c r="P51" s="242"/>
    </row>
    <row r="52" spans="2:16" ht="12.5">
      <c r="B52" s="160" t="str">
        <f t="shared" si="6"/>
        <v/>
      </c>
      <c r="C52" s="472">
        <f>IF(D11="","-",+C51+1)</f>
        <v>2041</v>
      </c>
      <c r="D52" s="485">
        <f>IF(F51+SUM(E$17:E51)=D$10,F51,D$10-SUM(E$17:E51))</f>
        <v>93211.085323220963</v>
      </c>
      <c r="E52" s="484">
        <f>IF(+I14&lt;F51,I14,D52)</f>
        <v>9017.2558139534885</v>
      </c>
      <c r="F52" s="485">
        <f t="shared" si="14"/>
        <v>84193.829509267467</v>
      </c>
      <c r="G52" s="486">
        <f t="shared" si="15"/>
        <v>18095.173591279268</v>
      </c>
      <c r="H52" s="455">
        <f t="shared" si="16"/>
        <v>18095.173591279268</v>
      </c>
      <c r="I52" s="475">
        <f t="shared" si="17"/>
        <v>0</v>
      </c>
      <c r="J52" s="475"/>
      <c r="K52" s="487"/>
      <c r="L52" s="478">
        <f t="shared" si="18"/>
        <v>0</v>
      </c>
      <c r="M52" s="487"/>
      <c r="N52" s="478">
        <f t="shared" si="19"/>
        <v>0</v>
      </c>
      <c r="O52" s="478">
        <f t="shared" si="20"/>
        <v>0</v>
      </c>
      <c r="P52" s="242"/>
    </row>
    <row r="53" spans="2:16" ht="12.5">
      <c r="B53" s="160" t="str">
        <f t="shared" si="6"/>
        <v/>
      </c>
      <c r="C53" s="472">
        <f>IF(D11="","-",+C52+1)</f>
        <v>2042</v>
      </c>
      <c r="D53" s="485">
        <f>IF(F52+SUM(E$17:E52)=D$10,F52,D$10-SUM(E$17:E52))</f>
        <v>84193.829509267467</v>
      </c>
      <c r="E53" s="484">
        <f>IF(+I14&lt;F52,I14,D53)</f>
        <v>9017.2558139534885</v>
      </c>
      <c r="F53" s="485">
        <f t="shared" si="14"/>
        <v>75176.573695313971</v>
      </c>
      <c r="G53" s="486">
        <f t="shared" si="15"/>
        <v>17122.918173830032</v>
      </c>
      <c r="H53" s="455">
        <f t="shared" si="16"/>
        <v>17122.918173830032</v>
      </c>
      <c r="I53" s="475">
        <f t="shared" si="17"/>
        <v>0</v>
      </c>
      <c r="J53" s="475"/>
      <c r="K53" s="487"/>
      <c r="L53" s="478">
        <f t="shared" si="18"/>
        <v>0</v>
      </c>
      <c r="M53" s="487"/>
      <c r="N53" s="478">
        <f t="shared" si="19"/>
        <v>0</v>
      </c>
      <c r="O53" s="478">
        <f t="shared" si="20"/>
        <v>0</v>
      </c>
      <c r="P53" s="242"/>
    </row>
    <row r="54" spans="2:16" ht="12.5">
      <c r="B54" s="160" t="str">
        <f t="shared" si="6"/>
        <v/>
      </c>
      <c r="C54" s="472">
        <f>IF(D11="","-",+C53+1)</f>
        <v>2043</v>
      </c>
      <c r="D54" s="485">
        <f>IF(F53+SUM(E$17:E53)=D$10,F53,D$10-SUM(E$17:E53))</f>
        <v>75176.573695313971</v>
      </c>
      <c r="E54" s="484">
        <f>IF(+I14&lt;F53,I14,D54)</f>
        <v>9017.2558139534885</v>
      </c>
      <c r="F54" s="485">
        <f t="shared" si="14"/>
        <v>66159.317881360475</v>
      </c>
      <c r="G54" s="486">
        <f t="shared" si="15"/>
        <v>16150.662756380796</v>
      </c>
      <c r="H54" s="455">
        <f t="shared" si="16"/>
        <v>16150.662756380796</v>
      </c>
      <c r="I54" s="475">
        <f t="shared" si="17"/>
        <v>0</v>
      </c>
      <c r="J54" s="475"/>
      <c r="K54" s="487"/>
      <c r="L54" s="478">
        <f t="shared" si="18"/>
        <v>0</v>
      </c>
      <c r="M54" s="487"/>
      <c r="N54" s="478">
        <f t="shared" si="19"/>
        <v>0</v>
      </c>
      <c r="O54" s="478">
        <f t="shared" si="20"/>
        <v>0</v>
      </c>
      <c r="P54" s="242"/>
    </row>
    <row r="55" spans="2:16" ht="12.5">
      <c r="B55" s="160" t="str">
        <f t="shared" si="6"/>
        <v/>
      </c>
      <c r="C55" s="472">
        <f>IF(D11="","-",+C54+1)</f>
        <v>2044</v>
      </c>
      <c r="D55" s="485">
        <f>IF(F54+SUM(E$17:E54)=D$10,F54,D$10-SUM(E$17:E54))</f>
        <v>66159.317881360475</v>
      </c>
      <c r="E55" s="484">
        <f>IF(+I14&lt;F54,I14,D55)</f>
        <v>9017.2558139534885</v>
      </c>
      <c r="F55" s="485">
        <f t="shared" si="14"/>
        <v>57142.062067406987</v>
      </c>
      <c r="G55" s="486">
        <f t="shared" si="15"/>
        <v>15178.40733893156</v>
      </c>
      <c r="H55" s="455">
        <f t="shared" si="16"/>
        <v>15178.40733893156</v>
      </c>
      <c r="I55" s="475">
        <f t="shared" si="17"/>
        <v>0</v>
      </c>
      <c r="J55" s="475"/>
      <c r="K55" s="487"/>
      <c r="L55" s="478">
        <f t="shared" si="18"/>
        <v>0</v>
      </c>
      <c r="M55" s="487"/>
      <c r="N55" s="478">
        <f t="shared" si="19"/>
        <v>0</v>
      </c>
      <c r="O55" s="478">
        <f t="shared" si="20"/>
        <v>0</v>
      </c>
      <c r="P55" s="242"/>
    </row>
    <row r="56" spans="2:16" ht="12.5">
      <c r="B56" s="160" t="str">
        <f t="shared" si="6"/>
        <v/>
      </c>
      <c r="C56" s="472">
        <f>IF(D11="","-",+C55+1)</f>
        <v>2045</v>
      </c>
      <c r="D56" s="485">
        <f>IF(F55+SUM(E$17:E55)=D$10,F55,D$10-SUM(E$17:E55))</f>
        <v>57142.062067406987</v>
      </c>
      <c r="E56" s="484">
        <f>IF(+I14&lt;F55,I14,D56)</f>
        <v>9017.2558139534885</v>
      </c>
      <c r="F56" s="485">
        <f t="shared" si="14"/>
        <v>48124.806253453498</v>
      </c>
      <c r="G56" s="486">
        <f t="shared" si="15"/>
        <v>14206.151921482324</v>
      </c>
      <c r="H56" s="455">
        <f t="shared" si="16"/>
        <v>14206.151921482324</v>
      </c>
      <c r="I56" s="475">
        <f t="shared" si="17"/>
        <v>0</v>
      </c>
      <c r="J56" s="475"/>
      <c r="K56" s="487"/>
      <c r="L56" s="478">
        <f t="shared" si="18"/>
        <v>0</v>
      </c>
      <c r="M56" s="487"/>
      <c r="N56" s="478">
        <f t="shared" si="19"/>
        <v>0</v>
      </c>
      <c r="O56" s="478">
        <f t="shared" si="20"/>
        <v>0</v>
      </c>
      <c r="P56" s="242"/>
    </row>
    <row r="57" spans="2:16" ht="12.5">
      <c r="B57" s="160" t="str">
        <f t="shared" si="6"/>
        <v/>
      </c>
      <c r="C57" s="472">
        <f>IF(D11="","-",+C56+1)</f>
        <v>2046</v>
      </c>
      <c r="D57" s="485">
        <f>IF(F56+SUM(E$17:E56)=D$10,F56,D$10-SUM(E$17:E56))</f>
        <v>48124.806253453498</v>
      </c>
      <c r="E57" s="484">
        <f>IF(+I14&lt;F56,I14,D57)</f>
        <v>9017.2558139534885</v>
      </c>
      <c r="F57" s="485">
        <f t="shared" si="14"/>
        <v>39107.55043950001</v>
      </c>
      <c r="G57" s="486">
        <f t="shared" si="15"/>
        <v>13233.896504033088</v>
      </c>
      <c r="H57" s="455">
        <f t="shared" si="16"/>
        <v>13233.896504033088</v>
      </c>
      <c r="I57" s="475">
        <f t="shared" si="17"/>
        <v>0</v>
      </c>
      <c r="J57" s="475"/>
      <c r="K57" s="487"/>
      <c r="L57" s="478">
        <f t="shared" si="18"/>
        <v>0</v>
      </c>
      <c r="M57" s="487"/>
      <c r="N57" s="478">
        <f t="shared" si="19"/>
        <v>0</v>
      </c>
      <c r="O57" s="478">
        <f t="shared" si="20"/>
        <v>0</v>
      </c>
      <c r="P57" s="242"/>
    </row>
    <row r="58" spans="2:16" ht="12.5">
      <c r="B58" s="160" t="str">
        <f t="shared" si="6"/>
        <v/>
      </c>
      <c r="C58" s="472">
        <f>IF(D11="","-",+C57+1)</f>
        <v>2047</v>
      </c>
      <c r="D58" s="485">
        <f>IF(F57+SUM(E$17:E57)=D$10,F57,D$10-SUM(E$17:E57))</f>
        <v>39107.55043950001</v>
      </c>
      <c r="E58" s="484">
        <f>IF(+I14&lt;F57,I14,D58)</f>
        <v>9017.2558139534885</v>
      </c>
      <c r="F58" s="485">
        <f t="shared" si="14"/>
        <v>30090.294625546521</v>
      </c>
      <c r="G58" s="486">
        <f t="shared" si="15"/>
        <v>12261.641086583853</v>
      </c>
      <c r="H58" s="455">
        <f t="shared" si="16"/>
        <v>12261.641086583853</v>
      </c>
      <c r="I58" s="475">
        <f t="shared" si="17"/>
        <v>0</v>
      </c>
      <c r="J58" s="475"/>
      <c r="K58" s="487"/>
      <c r="L58" s="478">
        <f t="shared" si="18"/>
        <v>0</v>
      </c>
      <c r="M58" s="487"/>
      <c r="N58" s="478">
        <f t="shared" si="19"/>
        <v>0</v>
      </c>
      <c r="O58" s="478">
        <f t="shared" si="20"/>
        <v>0</v>
      </c>
      <c r="P58" s="242"/>
    </row>
    <row r="59" spans="2:16" ht="12.5">
      <c r="B59" s="160" t="str">
        <f t="shared" si="6"/>
        <v/>
      </c>
      <c r="C59" s="472">
        <f>IF(D11="","-",+C58+1)</f>
        <v>2048</v>
      </c>
      <c r="D59" s="485">
        <f>IF(F58+SUM(E$17:E58)=D$10,F58,D$10-SUM(E$17:E58))</f>
        <v>30090.294625546521</v>
      </c>
      <c r="E59" s="484">
        <f>IF(+I14&lt;F58,I14,D59)</f>
        <v>9017.2558139534885</v>
      </c>
      <c r="F59" s="485">
        <f t="shared" si="14"/>
        <v>21073.038811593033</v>
      </c>
      <c r="G59" s="486">
        <f t="shared" si="15"/>
        <v>11289.385669134617</v>
      </c>
      <c r="H59" s="455">
        <f t="shared" si="16"/>
        <v>11289.385669134617</v>
      </c>
      <c r="I59" s="475">
        <f t="shared" si="17"/>
        <v>0</v>
      </c>
      <c r="J59" s="475"/>
      <c r="K59" s="487"/>
      <c r="L59" s="478">
        <f t="shared" si="18"/>
        <v>0</v>
      </c>
      <c r="M59" s="487"/>
      <c r="N59" s="478">
        <f t="shared" si="19"/>
        <v>0</v>
      </c>
      <c r="O59" s="478">
        <f t="shared" si="20"/>
        <v>0</v>
      </c>
      <c r="P59" s="242"/>
    </row>
    <row r="60" spans="2:16" ht="12.5">
      <c r="B60" s="160" t="str">
        <f t="shared" si="6"/>
        <v/>
      </c>
      <c r="C60" s="472">
        <f>IF(D11="","-",+C59+1)</f>
        <v>2049</v>
      </c>
      <c r="D60" s="485">
        <f>IF(F59+SUM(E$17:E59)=D$10,F59,D$10-SUM(E$17:E59))</f>
        <v>21073.038811593033</v>
      </c>
      <c r="E60" s="484">
        <f>IF(+I14&lt;F59,I14,D60)</f>
        <v>9017.2558139534885</v>
      </c>
      <c r="F60" s="485">
        <f t="shared" si="14"/>
        <v>12055.782997639544</v>
      </c>
      <c r="G60" s="486">
        <f t="shared" si="15"/>
        <v>10317.130251685381</v>
      </c>
      <c r="H60" s="455">
        <f t="shared" si="16"/>
        <v>10317.130251685381</v>
      </c>
      <c r="I60" s="475">
        <f t="shared" si="17"/>
        <v>0</v>
      </c>
      <c r="J60" s="475"/>
      <c r="K60" s="487"/>
      <c r="L60" s="478">
        <f t="shared" si="18"/>
        <v>0</v>
      </c>
      <c r="M60" s="487"/>
      <c r="N60" s="478">
        <f t="shared" si="19"/>
        <v>0</v>
      </c>
      <c r="O60" s="478">
        <f t="shared" si="20"/>
        <v>0</v>
      </c>
      <c r="P60" s="242"/>
    </row>
    <row r="61" spans="2:16" ht="12.5">
      <c r="B61" s="160" t="str">
        <f t="shared" si="6"/>
        <v/>
      </c>
      <c r="C61" s="472">
        <f>IF(D11="","-",+C60+1)</f>
        <v>2050</v>
      </c>
      <c r="D61" s="485">
        <f>IF(F60+SUM(E$17:E60)=D$10,F60,D$10-SUM(E$17:E60))</f>
        <v>12055.782997639544</v>
      </c>
      <c r="E61" s="484">
        <f>IF(+I14&lt;F60,I14,D61)</f>
        <v>9017.2558139534885</v>
      </c>
      <c r="F61" s="485">
        <f t="shared" si="14"/>
        <v>3038.5271836860557</v>
      </c>
      <c r="G61" s="488">
        <f t="shared" si="15"/>
        <v>9344.874834236145</v>
      </c>
      <c r="H61" s="455">
        <f t="shared" si="16"/>
        <v>9344.874834236145</v>
      </c>
      <c r="I61" s="475">
        <f t="shared" si="17"/>
        <v>0</v>
      </c>
      <c r="J61" s="475"/>
      <c r="K61" s="487"/>
      <c r="L61" s="478">
        <f t="shared" si="18"/>
        <v>0</v>
      </c>
      <c r="M61" s="487"/>
      <c r="N61" s="478">
        <f t="shared" si="19"/>
        <v>0</v>
      </c>
      <c r="O61" s="478">
        <f t="shared" si="20"/>
        <v>0</v>
      </c>
      <c r="P61" s="242"/>
    </row>
    <row r="62" spans="2:16" ht="12.5">
      <c r="B62" s="160" t="str">
        <f t="shared" si="6"/>
        <v/>
      </c>
      <c r="C62" s="472">
        <f>IF(D11="","-",+C61+1)</f>
        <v>2051</v>
      </c>
      <c r="D62" s="485">
        <f>IF(F61+SUM(E$17:E61)=D$10,F61,D$10-SUM(E$17:E61))</f>
        <v>3038.5271836860557</v>
      </c>
      <c r="E62" s="484">
        <f>IF(+I14&lt;F61,I14,D62)</f>
        <v>3038.5271836860557</v>
      </c>
      <c r="F62" s="485">
        <f t="shared" si="14"/>
        <v>0</v>
      </c>
      <c r="G62" s="488">
        <f t="shared" si="15"/>
        <v>3038.5271836860557</v>
      </c>
      <c r="H62" s="455">
        <f t="shared" si="16"/>
        <v>3038.5271836860557</v>
      </c>
      <c r="I62" s="475">
        <f t="shared" si="17"/>
        <v>0</v>
      </c>
      <c r="J62" s="475"/>
      <c r="K62" s="487"/>
      <c r="L62" s="478">
        <f t="shared" si="18"/>
        <v>0</v>
      </c>
      <c r="M62" s="487"/>
      <c r="N62" s="478">
        <f t="shared" si="19"/>
        <v>0</v>
      </c>
      <c r="O62" s="478">
        <f t="shared" si="20"/>
        <v>0</v>
      </c>
      <c r="P62" s="242"/>
    </row>
    <row r="63" spans="2:16" ht="12.5">
      <c r="B63" s="160" t="str">
        <f t="shared" si="6"/>
        <v/>
      </c>
      <c r="C63" s="472">
        <f>IF(D11="","-",+C62+1)</f>
        <v>2052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4"/>
        <v>0</v>
      </c>
      <c r="G63" s="488">
        <f t="shared" si="15"/>
        <v>0</v>
      </c>
      <c r="H63" s="455">
        <f t="shared" si="16"/>
        <v>0</v>
      </c>
      <c r="I63" s="475">
        <f t="shared" si="17"/>
        <v>0</v>
      </c>
      <c r="J63" s="475"/>
      <c r="K63" s="487"/>
      <c r="L63" s="478">
        <f t="shared" si="18"/>
        <v>0</v>
      </c>
      <c r="M63" s="487"/>
      <c r="N63" s="478">
        <f t="shared" si="19"/>
        <v>0</v>
      </c>
      <c r="O63" s="478">
        <f t="shared" si="20"/>
        <v>0</v>
      </c>
      <c r="P63" s="242"/>
    </row>
    <row r="64" spans="2:16" ht="12.5">
      <c r="B64" s="160" t="str">
        <f t="shared" si="6"/>
        <v/>
      </c>
      <c r="C64" s="472">
        <f>IF(D11="","-",+C63+1)</f>
        <v>2053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4"/>
        <v>0</v>
      </c>
      <c r="G64" s="488">
        <f t="shared" si="15"/>
        <v>0</v>
      </c>
      <c r="H64" s="455">
        <f t="shared" si="16"/>
        <v>0</v>
      </c>
      <c r="I64" s="475">
        <f t="shared" si="17"/>
        <v>0</v>
      </c>
      <c r="J64" s="475"/>
      <c r="K64" s="487"/>
      <c r="L64" s="478">
        <f t="shared" si="18"/>
        <v>0</v>
      </c>
      <c r="M64" s="487"/>
      <c r="N64" s="478">
        <f t="shared" si="19"/>
        <v>0</v>
      </c>
      <c r="O64" s="478">
        <f t="shared" si="20"/>
        <v>0</v>
      </c>
      <c r="P64" s="242"/>
    </row>
    <row r="65" spans="2:16" ht="12.5">
      <c r="B65" s="160" t="str">
        <f t="shared" si="6"/>
        <v/>
      </c>
      <c r="C65" s="472">
        <f>IF(D11="","-",+C64+1)</f>
        <v>2054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4"/>
        <v>0</v>
      </c>
      <c r="G65" s="488">
        <f t="shared" si="15"/>
        <v>0</v>
      </c>
      <c r="H65" s="455">
        <f t="shared" si="16"/>
        <v>0</v>
      </c>
      <c r="I65" s="475">
        <f t="shared" si="17"/>
        <v>0</v>
      </c>
      <c r="J65" s="475"/>
      <c r="K65" s="487"/>
      <c r="L65" s="478">
        <f t="shared" si="18"/>
        <v>0</v>
      </c>
      <c r="M65" s="487"/>
      <c r="N65" s="478">
        <f t="shared" si="19"/>
        <v>0</v>
      </c>
      <c r="O65" s="478">
        <f t="shared" si="20"/>
        <v>0</v>
      </c>
      <c r="P65" s="242"/>
    </row>
    <row r="66" spans="2:16" ht="12.5">
      <c r="B66" s="160" t="str">
        <f t="shared" si="6"/>
        <v/>
      </c>
      <c r="C66" s="472">
        <f>IF(D11="","-",+C65+1)</f>
        <v>2055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4"/>
        <v>0</v>
      </c>
      <c r="G66" s="488">
        <f t="shared" si="15"/>
        <v>0</v>
      </c>
      <c r="H66" s="455">
        <f t="shared" si="16"/>
        <v>0</v>
      </c>
      <c r="I66" s="475">
        <f t="shared" si="17"/>
        <v>0</v>
      </c>
      <c r="J66" s="475"/>
      <c r="K66" s="487"/>
      <c r="L66" s="478">
        <f t="shared" si="18"/>
        <v>0</v>
      </c>
      <c r="M66" s="487"/>
      <c r="N66" s="478">
        <f t="shared" si="19"/>
        <v>0</v>
      </c>
      <c r="O66" s="478">
        <f t="shared" si="20"/>
        <v>0</v>
      </c>
      <c r="P66" s="242"/>
    </row>
    <row r="67" spans="2:16" ht="12.5">
      <c r="B67" s="160" t="str">
        <f t="shared" si="6"/>
        <v/>
      </c>
      <c r="C67" s="472">
        <f>IF(D11="","-",+C66+1)</f>
        <v>2056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4"/>
        <v>0</v>
      </c>
      <c r="G67" s="488">
        <f t="shared" si="15"/>
        <v>0</v>
      </c>
      <c r="H67" s="455">
        <f t="shared" si="16"/>
        <v>0</v>
      </c>
      <c r="I67" s="475">
        <f t="shared" si="17"/>
        <v>0</v>
      </c>
      <c r="J67" s="475"/>
      <c r="K67" s="487"/>
      <c r="L67" s="478">
        <f t="shared" si="18"/>
        <v>0</v>
      </c>
      <c r="M67" s="487"/>
      <c r="N67" s="478">
        <f t="shared" si="19"/>
        <v>0</v>
      </c>
      <c r="O67" s="478">
        <f t="shared" si="20"/>
        <v>0</v>
      </c>
      <c r="P67" s="242"/>
    </row>
    <row r="68" spans="2:16" ht="12.5">
      <c r="B68" s="160" t="str">
        <f t="shared" si="6"/>
        <v/>
      </c>
      <c r="C68" s="472">
        <f>IF(D11="","-",+C67+1)</f>
        <v>2057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4"/>
        <v>0</v>
      </c>
      <c r="G68" s="488">
        <f t="shared" si="15"/>
        <v>0</v>
      </c>
      <c r="H68" s="455">
        <f t="shared" si="16"/>
        <v>0</v>
      </c>
      <c r="I68" s="475">
        <f t="shared" si="17"/>
        <v>0</v>
      </c>
      <c r="J68" s="475"/>
      <c r="K68" s="487"/>
      <c r="L68" s="478">
        <f t="shared" si="18"/>
        <v>0</v>
      </c>
      <c r="M68" s="487"/>
      <c r="N68" s="478">
        <f t="shared" si="19"/>
        <v>0</v>
      </c>
      <c r="O68" s="478">
        <f t="shared" si="20"/>
        <v>0</v>
      </c>
      <c r="P68" s="242"/>
    </row>
    <row r="69" spans="2:16" ht="12.5">
      <c r="B69" s="160" t="str">
        <f t="shared" si="6"/>
        <v/>
      </c>
      <c r="C69" s="472">
        <f>IF(D11="","-",+C68+1)</f>
        <v>2058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4"/>
        <v>0</v>
      </c>
      <c r="G69" s="488">
        <f t="shared" si="15"/>
        <v>0</v>
      </c>
      <c r="H69" s="455">
        <f t="shared" si="16"/>
        <v>0</v>
      </c>
      <c r="I69" s="475">
        <f t="shared" si="17"/>
        <v>0</v>
      </c>
      <c r="J69" s="475"/>
      <c r="K69" s="487"/>
      <c r="L69" s="478">
        <f t="shared" si="18"/>
        <v>0</v>
      </c>
      <c r="M69" s="487"/>
      <c r="N69" s="478">
        <f t="shared" si="19"/>
        <v>0</v>
      </c>
      <c r="O69" s="478">
        <f t="shared" si="20"/>
        <v>0</v>
      </c>
      <c r="P69" s="242"/>
    </row>
    <row r="70" spans="2:16" ht="12.5">
      <c r="B70" s="160" t="str">
        <f t="shared" si="6"/>
        <v/>
      </c>
      <c r="C70" s="472">
        <f>IF(D11="","-",+C69+1)</f>
        <v>2059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4"/>
        <v>0</v>
      </c>
      <c r="G70" s="488">
        <f t="shared" si="15"/>
        <v>0</v>
      </c>
      <c r="H70" s="455">
        <f t="shared" si="16"/>
        <v>0</v>
      </c>
      <c r="I70" s="475">
        <f t="shared" si="17"/>
        <v>0</v>
      </c>
      <c r="J70" s="475"/>
      <c r="K70" s="487"/>
      <c r="L70" s="478">
        <f t="shared" si="18"/>
        <v>0</v>
      </c>
      <c r="M70" s="487"/>
      <c r="N70" s="478">
        <f t="shared" si="19"/>
        <v>0</v>
      </c>
      <c r="O70" s="478">
        <f t="shared" si="20"/>
        <v>0</v>
      </c>
      <c r="P70" s="242"/>
    </row>
    <row r="71" spans="2:16" ht="12.5">
      <c r="B71" s="160" t="str">
        <f t="shared" si="6"/>
        <v/>
      </c>
      <c r="C71" s="472">
        <f>IF(D11="","-",+C70+1)</f>
        <v>2060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4"/>
        <v>0</v>
      </c>
      <c r="G71" s="488">
        <f t="shared" si="15"/>
        <v>0</v>
      </c>
      <c r="H71" s="455">
        <f t="shared" si="16"/>
        <v>0</v>
      </c>
      <c r="I71" s="475">
        <f t="shared" si="17"/>
        <v>0</v>
      </c>
      <c r="J71" s="475"/>
      <c r="K71" s="487"/>
      <c r="L71" s="478">
        <f t="shared" si="18"/>
        <v>0</v>
      </c>
      <c r="M71" s="487"/>
      <c r="N71" s="478">
        <f t="shared" si="19"/>
        <v>0</v>
      </c>
      <c r="O71" s="478">
        <f t="shared" si="20"/>
        <v>0</v>
      </c>
      <c r="P71" s="242"/>
    </row>
    <row r="72" spans="2:16" ht="13" thickBot="1">
      <c r="B72" s="160" t="str">
        <f t="shared" si="6"/>
        <v/>
      </c>
      <c r="C72" s="489">
        <f>IF(D11="","-",+C71+1)</f>
        <v>2061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4"/>
        <v>0</v>
      </c>
      <c r="G72" s="492">
        <f t="shared" si="15"/>
        <v>0</v>
      </c>
      <c r="H72" s="435">
        <f t="shared" si="16"/>
        <v>0</v>
      </c>
      <c r="I72" s="493">
        <f t="shared" si="17"/>
        <v>0</v>
      </c>
      <c r="J72" s="475"/>
      <c r="K72" s="494"/>
      <c r="L72" s="495">
        <f t="shared" si="18"/>
        <v>0</v>
      </c>
      <c r="M72" s="494"/>
      <c r="N72" s="495">
        <f t="shared" si="19"/>
        <v>0</v>
      </c>
      <c r="O72" s="495">
        <f t="shared" si="20"/>
        <v>0</v>
      </c>
      <c r="P72" s="242"/>
    </row>
    <row r="73" spans="2:16" ht="12.5">
      <c r="C73" s="346" t="s">
        <v>77</v>
      </c>
      <c r="D73" s="347"/>
      <c r="E73" s="347">
        <f>SUM(E17:E72)</f>
        <v>387741.99999999965</v>
      </c>
      <c r="F73" s="347"/>
      <c r="G73" s="347">
        <f>SUM(G17:G72)</f>
        <v>1444025.0264331624</v>
      </c>
      <c r="H73" s="347">
        <f>SUM(H17:H72)</f>
        <v>1444025.0264331624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5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41809.897213779383</v>
      </c>
      <c r="N87" s="508">
        <f>IF(J92&lt;D11,0,VLOOKUP(J92,C17:O72,11))</f>
        <v>41809.897213779383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39010.150115878176</v>
      </c>
      <c r="N88" s="512">
        <f>IF(J92&lt;D11,0,VLOOKUP(J92,C99:P154,7))</f>
        <v>39010.150115878176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Catoosa 138 kV Device (Cap. Bank)</v>
      </c>
      <c r="E89" s="232"/>
      <c r="F89" s="232"/>
      <c r="G89" s="232">
        <v>387742</v>
      </c>
      <c r="H89" s="232"/>
      <c r="I89" s="241"/>
      <c r="J89" s="241"/>
      <c r="K89" s="515"/>
      <c r="L89" s="516" t="s">
        <v>156</v>
      </c>
      <c r="M89" s="517">
        <f>+M88-M87</f>
        <v>-2799.7470979012069</v>
      </c>
      <c r="N89" s="517">
        <f>+N88-N87</f>
        <v>-2799.7470979012069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TP2005006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387742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2006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5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9457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101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2006</v>
      </c>
      <c r="D99" s="473">
        <f>IF(D93=C99,0,D92)</f>
        <v>0</v>
      </c>
      <c r="E99" s="480">
        <v>3801</v>
      </c>
      <c r="F99" s="479">
        <v>383941</v>
      </c>
      <c r="G99" s="537">
        <v>385841</v>
      </c>
      <c r="H99" s="538">
        <v>0</v>
      </c>
      <c r="I99" s="539">
        <v>0</v>
      </c>
      <c r="J99" s="478">
        <f t="shared" ref="J99:J130" si="21">+I99-H99</f>
        <v>0</v>
      </c>
      <c r="K99" s="478"/>
      <c r="L99" s="554">
        <v>0</v>
      </c>
      <c r="M99" s="562">
        <f>IF(L99&lt;&gt;0,+H99-L99,0)</f>
        <v>0</v>
      </c>
      <c r="N99" s="554">
        <v>0</v>
      </c>
      <c r="O99" s="477">
        <f>IF(N99&lt;&gt;0,+I99-N99,0)</f>
        <v>0</v>
      </c>
      <c r="P99" s="477">
        <f t="shared" ref="P99:P130" si="22">+O99-M99</f>
        <v>0</v>
      </c>
    </row>
    <row r="100" spans="1:16" ht="12.5">
      <c r="B100" s="160" t="str">
        <f t="shared" ref="B100:B154" si="23">IF(D100=F99,"","IU")</f>
        <v/>
      </c>
      <c r="C100" s="472">
        <f>IF(D93="","-",+C99+1)</f>
        <v>2007</v>
      </c>
      <c r="D100" s="473">
        <v>383941</v>
      </c>
      <c r="E100" s="561">
        <v>7603</v>
      </c>
      <c r="F100" s="479">
        <v>376338</v>
      </c>
      <c r="G100" s="479">
        <v>380140</v>
      </c>
      <c r="H100" s="480">
        <v>66528</v>
      </c>
      <c r="I100" s="481">
        <v>66528</v>
      </c>
      <c r="J100" s="478">
        <f t="shared" si="21"/>
        <v>0</v>
      </c>
      <c r="K100" s="478"/>
      <c r="L100" s="476">
        <v>0</v>
      </c>
      <c r="M100" s="550">
        <f>IF(L100&lt;&gt;0,+H100-L100,0)</f>
        <v>0</v>
      </c>
      <c r="N100" s="476">
        <v>0</v>
      </c>
      <c r="O100" s="478">
        <f>IF(N100&lt;&gt;0,+I100-N100,0)</f>
        <v>0</v>
      </c>
      <c r="P100" s="478">
        <f t="shared" si="22"/>
        <v>0</v>
      </c>
    </row>
    <row r="101" spans="1:16" ht="12.5">
      <c r="B101" s="160"/>
      <c r="C101" s="472">
        <f>IF(D93="","-",+C100+1)</f>
        <v>2008</v>
      </c>
      <c r="D101" s="473">
        <v>376159</v>
      </c>
      <c r="E101" s="561">
        <v>7316</v>
      </c>
      <c r="F101" s="479">
        <v>368843</v>
      </c>
      <c r="G101" s="479">
        <v>372501</v>
      </c>
      <c r="H101" s="480">
        <v>66486</v>
      </c>
      <c r="I101" s="481">
        <v>66486</v>
      </c>
      <c r="J101" s="478">
        <f t="shared" si="21"/>
        <v>0</v>
      </c>
      <c r="K101" s="478"/>
      <c r="L101" s="476">
        <v>66486</v>
      </c>
      <c r="M101" s="478">
        <f>IF(L101&lt;&gt;"",+H101-L101,0)</f>
        <v>0</v>
      </c>
      <c r="N101" s="476">
        <v>66486</v>
      </c>
      <c r="O101" s="478">
        <f>IF(N101&lt;&gt;"",+I101-N101,0)</f>
        <v>0</v>
      </c>
      <c r="P101" s="478">
        <f t="shared" si="22"/>
        <v>0</v>
      </c>
    </row>
    <row r="102" spans="1:16" ht="12.5">
      <c r="B102" s="160"/>
      <c r="C102" s="472">
        <f>IF(D93="","-",+C101+1)</f>
        <v>2009</v>
      </c>
      <c r="D102" s="473">
        <v>369022</v>
      </c>
      <c r="E102" s="480">
        <v>6924</v>
      </c>
      <c r="F102" s="479">
        <v>362098</v>
      </c>
      <c r="G102" s="479">
        <v>365560</v>
      </c>
      <c r="H102" s="480">
        <v>60371.899487403767</v>
      </c>
      <c r="I102" s="481">
        <v>60371.899487403767</v>
      </c>
      <c r="J102" s="478">
        <f t="shared" si="21"/>
        <v>0</v>
      </c>
      <c r="K102" s="478"/>
      <c r="L102" s="476">
        <f t="shared" ref="L102:L107" si="24">H102</f>
        <v>60371.899487403767</v>
      </c>
      <c r="M102" s="550">
        <f t="shared" ref="M102:M133" si="25">IF(L102&lt;&gt;0,+H102-L102,0)</f>
        <v>0</v>
      </c>
      <c r="N102" s="476">
        <f t="shared" ref="N102:N107" si="26">I102</f>
        <v>60371.899487403767</v>
      </c>
      <c r="O102" s="478">
        <f t="shared" ref="O102:O133" si="27">IF(N102&lt;&gt;0,+I102-N102,0)</f>
        <v>0</v>
      </c>
      <c r="P102" s="478">
        <f t="shared" si="22"/>
        <v>0</v>
      </c>
    </row>
    <row r="103" spans="1:16" ht="12.5">
      <c r="B103" s="160" t="str">
        <f t="shared" si="23"/>
        <v/>
      </c>
      <c r="C103" s="472">
        <f>IF(D93="","-",+C102+1)</f>
        <v>2010</v>
      </c>
      <c r="D103" s="473">
        <v>362098</v>
      </c>
      <c r="E103" s="480">
        <v>7603</v>
      </c>
      <c r="F103" s="479">
        <v>354495</v>
      </c>
      <c r="G103" s="479">
        <v>358296.5</v>
      </c>
      <c r="H103" s="480">
        <v>65222.531099646738</v>
      </c>
      <c r="I103" s="481">
        <v>65222.531099646738</v>
      </c>
      <c r="J103" s="478">
        <f t="shared" si="21"/>
        <v>0</v>
      </c>
      <c r="K103" s="478"/>
      <c r="L103" s="540">
        <f t="shared" si="24"/>
        <v>65222.531099646738</v>
      </c>
      <c r="M103" s="541">
        <f t="shared" si="25"/>
        <v>0</v>
      </c>
      <c r="N103" s="540">
        <f t="shared" si="26"/>
        <v>65222.531099646738</v>
      </c>
      <c r="O103" s="478">
        <f t="shared" si="27"/>
        <v>0</v>
      </c>
      <c r="P103" s="478">
        <f t="shared" si="22"/>
        <v>0</v>
      </c>
    </row>
    <row r="104" spans="1:16" ht="12.5">
      <c r="B104" s="160" t="str">
        <f t="shared" si="23"/>
        <v/>
      </c>
      <c r="C104" s="472">
        <f>IF(D93="","-",+C103+1)</f>
        <v>2011</v>
      </c>
      <c r="D104" s="473">
        <v>354495</v>
      </c>
      <c r="E104" s="480">
        <v>7457</v>
      </c>
      <c r="F104" s="479">
        <v>347038</v>
      </c>
      <c r="G104" s="479">
        <v>350766.5</v>
      </c>
      <c r="H104" s="480">
        <v>56498.870276795831</v>
      </c>
      <c r="I104" s="481">
        <v>56498.870276795831</v>
      </c>
      <c r="J104" s="478">
        <f t="shared" si="21"/>
        <v>0</v>
      </c>
      <c r="K104" s="478"/>
      <c r="L104" s="540">
        <f t="shared" si="24"/>
        <v>56498.870276795831</v>
      </c>
      <c r="M104" s="541">
        <f t="shared" si="25"/>
        <v>0</v>
      </c>
      <c r="N104" s="540">
        <f t="shared" si="26"/>
        <v>56498.870276795831</v>
      </c>
      <c r="O104" s="478">
        <f t="shared" si="27"/>
        <v>0</v>
      </c>
      <c r="P104" s="478">
        <f t="shared" si="22"/>
        <v>0</v>
      </c>
    </row>
    <row r="105" spans="1:16" ht="12.5">
      <c r="B105" s="160" t="str">
        <f t="shared" si="23"/>
        <v/>
      </c>
      <c r="C105" s="472">
        <f>IF(D93="","-",+C104+1)</f>
        <v>2012</v>
      </c>
      <c r="D105" s="473">
        <v>347038</v>
      </c>
      <c r="E105" s="480">
        <v>7457</v>
      </c>
      <c r="F105" s="479">
        <v>339581</v>
      </c>
      <c r="G105" s="479">
        <v>343309.5</v>
      </c>
      <c r="H105" s="480">
        <v>56843.953528154576</v>
      </c>
      <c r="I105" s="481">
        <v>56843.953528154576</v>
      </c>
      <c r="J105" s="478">
        <v>0</v>
      </c>
      <c r="K105" s="478"/>
      <c r="L105" s="540">
        <f t="shared" si="24"/>
        <v>56843.953528154576</v>
      </c>
      <c r="M105" s="541">
        <f t="shared" ref="M105:M110" si="28">IF(L105&lt;&gt;0,+H105-L105,0)</f>
        <v>0</v>
      </c>
      <c r="N105" s="540">
        <f t="shared" si="26"/>
        <v>56843.953528154576</v>
      </c>
      <c r="O105" s="478">
        <f t="shared" ref="O105:O110" si="29">IF(N105&lt;&gt;0,+I105-N105,0)</f>
        <v>0</v>
      </c>
      <c r="P105" s="478">
        <f t="shared" ref="P105:P110" si="30">+O105-M105</f>
        <v>0</v>
      </c>
    </row>
    <row r="106" spans="1:16" ht="12.5">
      <c r="B106" s="160" t="str">
        <f t="shared" si="23"/>
        <v/>
      </c>
      <c r="C106" s="472">
        <f>IF(D93="","-",+C105+1)</f>
        <v>2013</v>
      </c>
      <c r="D106" s="473">
        <v>339581</v>
      </c>
      <c r="E106" s="480">
        <v>7457</v>
      </c>
      <c r="F106" s="479">
        <v>332124</v>
      </c>
      <c r="G106" s="479">
        <v>335852.5</v>
      </c>
      <c r="H106" s="480">
        <v>55799.472473591821</v>
      </c>
      <c r="I106" s="481">
        <v>55799.472473591821</v>
      </c>
      <c r="J106" s="478">
        <v>0</v>
      </c>
      <c r="K106" s="478"/>
      <c r="L106" s="540">
        <f t="shared" si="24"/>
        <v>55799.472473591821</v>
      </c>
      <c r="M106" s="541">
        <f t="shared" si="28"/>
        <v>0</v>
      </c>
      <c r="N106" s="540">
        <f t="shared" si="26"/>
        <v>55799.472473591821</v>
      </c>
      <c r="O106" s="478">
        <f t="shared" si="29"/>
        <v>0</v>
      </c>
      <c r="P106" s="478">
        <f t="shared" si="30"/>
        <v>0</v>
      </c>
    </row>
    <row r="107" spans="1:16" ht="12.5">
      <c r="B107" s="160" t="str">
        <f t="shared" si="23"/>
        <v/>
      </c>
      <c r="C107" s="472">
        <f>IF(D93="","-",+C106+1)</f>
        <v>2014</v>
      </c>
      <c r="D107" s="473">
        <v>332124</v>
      </c>
      <c r="E107" s="480">
        <v>7457</v>
      </c>
      <c r="F107" s="479">
        <v>324667</v>
      </c>
      <c r="G107" s="479">
        <v>328395.5</v>
      </c>
      <c r="H107" s="480">
        <v>53628.064898886892</v>
      </c>
      <c r="I107" s="481">
        <v>53628.064898886892</v>
      </c>
      <c r="J107" s="478">
        <v>0</v>
      </c>
      <c r="K107" s="478"/>
      <c r="L107" s="540">
        <f t="shared" si="24"/>
        <v>53628.064898886892</v>
      </c>
      <c r="M107" s="541">
        <f t="shared" si="28"/>
        <v>0</v>
      </c>
      <c r="N107" s="540">
        <f t="shared" si="26"/>
        <v>53628.064898886892</v>
      </c>
      <c r="O107" s="478">
        <f t="shared" si="29"/>
        <v>0</v>
      </c>
      <c r="P107" s="478">
        <f t="shared" si="30"/>
        <v>0</v>
      </c>
    </row>
    <row r="108" spans="1:16" ht="12.5">
      <c r="B108" s="160" t="str">
        <f t="shared" si="23"/>
        <v/>
      </c>
      <c r="C108" s="472">
        <f>IF(D93="","-",+C107+1)</f>
        <v>2015</v>
      </c>
      <c r="D108" s="473">
        <v>324667</v>
      </c>
      <c r="E108" s="480">
        <v>7457</v>
      </c>
      <c r="F108" s="479">
        <v>317210</v>
      </c>
      <c r="G108" s="479">
        <v>320938.5</v>
      </c>
      <c r="H108" s="480">
        <v>51246.477852296055</v>
      </c>
      <c r="I108" s="481">
        <v>51246.477852296055</v>
      </c>
      <c r="J108" s="478">
        <f t="shared" si="21"/>
        <v>0</v>
      </c>
      <c r="K108" s="478"/>
      <c r="L108" s="540">
        <f>H108</f>
        <v>51246.477852296055</v>
      </c>
      <c r="M108" s="541">
        <f t="shared" si="28"/>
        <v>0</v>
      </c>
      <c r="N108" s="540">
        <f>I108</f>
        <v>51246.477852296055</v>
      </c>
      <c r="O108" s="478">
        <f t="shared" si="29"/>
        <v>0</v>
      </c>
      <c r="P108" s="478">
        <f t="shared" si="30"/>
        <v>0</v>
      </c>
    </row>
    <row r="109" spans="1:16" ht="12.5">
      <c r="B109" s="160" t="str">
        <f t="shared" si="23"/>
        <v/>
      </c>
      <c r="C109" s="472">
        <f>IF(D93="","-",+C108+1)</f>
        <v>2016</v>
      </c>
      <c r="D109" s="473">
        <v>317210</v>
      </c>
      <c r="E109" s="480">
        <v>8429</v>
      </c>
      <c r="F109" s="479">
        <v>308781</v>
      </c>
      <c r="G109" s="479">
        <v>312995.5</v>
      </c>
      <c r="H109" s="480">
        <v>48779.04927680167</v>
      </c>
      <c r="I109" s="481">
        <v>48779.04927680167</v>
      </c>
      <c r="J109" s="478">
        <f t="shared" si="21"/>
        <v>0</v>
      </c>
      <c r="K109" s="478"/>
      <c r="L109" s="540">
        <f>H109</f>
        <v>48779.04927680167</v>
      </c>
      <c r="M109" s="541">
        <f t="shared" si="28"/>
        <v>0</v>
      </c>
      <c r="N109" s="540">
        <f>I109</f>
        <v>48779.04927680167</v>
      </c>
      <c r="O109" s="478">
        <f t="shared" si="29"/>
        <v>0</v>
      </c>
      <c r="P109" s="478">
        <f t="shared" si="30"/>
        <v>0</v>
      </c>
    </row>
    <row r="110" spans="1:16" ht="12.5">
      <c r="B110" s="160" t="str">
        <f t="shared" si="23"/>
        <v/>
      </c>
      <c r="C110" s="472">
        <f>IF(D93="","-",+C109+1)</f>
        <v>2017</v>
      </c>
      <c r="D110" s="473">
        <v>308781</v>
      </c>
      <c r="E110" s="480">
        <v>8429</v>
      </c>
      <c r="F110" s="479">
        <v>300352</v>
      </c>
      <c r="G110" s="479">
        <v>304566.5</v>
      </c>
      <c r="H110" s="480">
        <v>47064.028489702585</v>
      </c>
      <c r="I110" s="481">
        <v>47064.028489702585</v>
      </c>
      <c r="J110" s="478">
        <f t="shared" si="21"/>
        <v>0</v>
      </c>
      <c r="K110" s="478"/>
      <c r="L110" s="540">
        <f>H110</f>
        <v>47064.028489702585</v>
      </c>
      <c r="M110" s="541">
        <f t="shared" si="28"/>
        <v>0</v>
      </c>
      <c r="N110" s="540">
        <f>I110</f>
        <v>47064.028489702585</v>
      </c>
      <c r="O110" s="478">
        <f t="shared" si="29"/>
        <v>0</v>
      </c>
      <c r="P110" s="478">
        <f t="shared" si="30"/>
        <v>0</v>
      </c>
    </row>
    <row r="111" spans="1:16" ht="12.5">
      <c r="B111" s="160" t="str">
        <f t="shared" si="23"/>
        <v/>
      </c>
      <c r="C111" s="472">
        <f>IF(D93="","-",+C110+1)</f>
        <v>2018</v>
      </c>
      <c r="D111" s="473">
        <v>300352</v>
      </c>
      <c r="E111" s="480">
        <v>9017</v>
      </c>
      <c r="F111" s="479">
        <v>291335</v>
      </c>
      <c r="G111" s="479">
        <v>295843.5</v>
      </c>
      <c r="H111" s="480">
        <v>39410.649664559314</v>
      </c>
      <c r="I111" s="481">
        <v>39410.649664559314</v>
      </c>
      <c r="J111" s="478">
        <f t="shared" si="21"/>
        <v>0</v>
      </c>
      <c r="K111" s="478"/>
      <c r="L111" s="540">
        <f>H111</f>
        <v>39410.649664559314</v>
      </c>
      <c r="M111" s="541">
        <f t="shared" ref="M111" si="31">IF(L111&lt;&gt;0,+H111-L111,0)</f>
        <v>0</v>
      </c>
      <c r="N111" s="540">
        <f>I111</f>
        <v>39410.649664559314</v>
      </c>
      <c r="O111" s="478">
        <f t="shared" ref="O111" si="32">IF(N111&lt;&gt;0,+I111-N111,0)</f>
        <v>0</v>
      </c>
      <c r="P111" s="478">
        <f t="shared" ref="P111" si="33">+O111-M111</f>
        <v>0</v>
      </c>
    </row>
    <row r="112" spans="1:16" ht="12.5">
      <c r="B112" s="160" t="str">
        <f t="shared" si="23"/>
        <v/>
      </c>
      <c r="C112" s="472">
        <f>IF(D93="","-",+C111+1)</f>
        <v>2019</v>
      </c>
      <c r="D112" s="346">
        <f>IF(F111+SUM(E$99:E111)=D$92,F111,D$92-SUM(E$99:E111))</f>
        <v>291335</v>
      </c>
      <c r="E112" s="486">
        <f>IF(+J96&lt;F111,J96,D112)</f>
        <v>9457</v>
      </c>
      <c r="F112" s="485">
        <f t="shared" ref="F112:F130" si="34">+D112-E112</f>
        <v>281878</v>
      </c>
      <c r="G112" s="485">
        <f t="shared" ref="G112:G130" si="35">+(F112+D112)/2</f>
        <v>286606.5</v>
      </c>
      <c r="H112" s="488">
        <f t="shared" ref="H112:H154" si="36">+J$94*G112+E112</f>
        <v>39010.150115878176</v>
      </c>
      <c r="I112" s="542">
        <f t="shared" ref="I112:I154" si="37">+J$95*G112+E112</f>
        <v>39010.150115878176</v>
      </c>
      <c r="J112" s="478">
        <f t="shared" si="21"/>
        <v>0</v>
      </c>
      <c r="K112" s="478"/>
      <c r="L112" s="487"/>
      <c r="M112" s="478">
        <f t="shared" si="25"/>
        <v>0</v>
      </c>
      <c r="N112" s="487"/>
      <c r="O112" s="478">
        <f t="shared" si="27"/>
        <v>0</v>
      </c>
      <c r="P112" s="478">
        <f t="shared" si="22"/>
        <v>0</v>
      </c>
    </row>
    <row r="113" spans="2:16" ht="12.5">
      <c r="B113" s="160" t="str">
        <f t="shared" si="23"/>
        <v/>
      </c>
      <c r="C113" s="472">
        <f>IF(D93="","-",+C112+1)</f>
        <v>2020</v>
      </c>
      <c r="D113" s="346">
        <f>IF(F112+SUM(E$99:E112)=D$92,F112,D$92-SUM(E$99:E112))</f>
        <v>281878</v>
      </c>
      <c r="E113" s="486">
        <f>IF(+J96&lt;F112,J96,D113)</f>
        <v>9457</v>
      </c>
      <c r="F113" s="485">
        <f t="shared" si="34"/>
        <v>272421</v>
      </c>
      <c r="G113" s="485">
        <f t="shared" si="35"/>
        <v>277149.5</v>
      </c>
      <c r="H113" s="488">
        <f t="shared" si="36"/>
        <v>38035.000771233652</v>
      </c>
      <c r="I113" s="542">
        <f t="shared" si="37"/>
        <v>38035.000771233652</v>
      </c>
      <c r="J113" s="478">
        <f t="shared" si="21"/>
        <v>0</v>
      </c>
      <c r="K113" s="478"/>
      <c r="L113" s="487"/>
      <c r="M113" s="478">
        <f t="shared" si="25"/>
        <v>0</v>
      </c>
      <c r="N113" s="487"/>
      <c r="O113" s="478">
        <f t="shared" si="27"/>
        <v>0</v>
      </c>
      <c r="P113" s="478">
        <f t="shared" si="22"/>
        <v>0</v>
      </c>
    </row>
    <row r="114" spans="2:16" ht="12.5">
      <c r="B114" s="160" t="str">
        <f t="shared" si="23"/>
        <v/>
      </c>
      <c r="C114" s="472">
        <f>IF(D93="","-",+C113+1)</f>
        <v>2021</v>
      </c>
      <c r="D114" s="346">
        <f>IF(F113+SUM(E$99:E113)=D$92,F113,D$92-SUM(E$99:E113))</f>
        <v>272421</v>
      </c>
      <c r="E114" s="486">
        <f>IF(+J96&lt;F113,J96,D114)</f>
        <v>9457</v>
      </c>
      <c r="F114" s="485">
        <f t="shared" si="34"/>
        <v>262964</v>
      </c>
      <c r="G114" s="485">
        <f t="shared" si="35"/>
        <v>267692.5</v>
      </c>
      <c r="H114" s="488">
        <f t="shared" si="36"/>
        <v>37059.851426589128</v>
      </c>
      <c r="I114" s="542">
        <f t="shared" si="37"/>
        <v>37059.851426589128</v>
      </c>
      <c r="J114" s="478">
        <f t="shared" si="21"/>
        <v>0</v>
      </c>
      <c r="K114" s="478"/>
      <c r="L114" s="487"/>
      <c r="M114" s="478">
        <f t="shared" si="25"/>
        <v>0</v>
      </c>
      <c r="N114" s="487"/>
      <c r="O114" s="478">
        <f t="shared" si="27"/>
        <v>0</v>
      </c>
      <c r="P114" s="478">
        <f t="shared" si="22"/>
        <v>0</v>
      </c>
    </row>
    <row r="115" spans="2:16" ht="12.5">
      <c r="B115" s="160" t="str">
        <f t="shared" si="23"/>
        <v/>
      </c>
      <c r="C115" s="472">
        <f>IF(D93="","-",+C114+1)</f>
        <v>2022</v>
      </c>
      <c r="D115" s="346">
        <f>IF(F114+SUM(E$99:E114)=D$92,F114,D$92-SUM(E$99:E114))</f>
        <v>262964</v>
      </c>
      <c r="E115" s="486">
        <f>IF(+J96&lt;F114,J96,D115)</f>
        <v>9457</v>
      </c>
      <c r="F115" s="485">
        <f t="shared" si="34"/>
        <v>253507</v>
      </c>
      <c r="G115" s="485">
        <f t="shared" si="35"/>
        <v>258235.5</v>
      </c>
      <c r="H115" s="488">
        <f t="shared" si="36"/>
        <v>36084.702081944612</v>
      </c>
      <c r="I115" s="542">
        <f t="shared" si="37"/>
        <v>36084.702081944612</v>
      </c>
      <c r="J115" s="478">
        <f t="shared" si="21"/>
        <v>0</v>
      </c>
      <c r="K115" s="478"/>
      <c r="L115" s="487"/>
      <c r="M115" s="478">
        <f t="shared" si="25"/>
        <v>0</v>
      </c>
      <c r="N115" s="487"/>
      <c r="O115" s="478">
        <f t="shared" si="27"/>
        <v>0</v>
      </c>
      <c r="P115" s="478">
        <f t="shared" si="22"/>
        <v>0</v>
      </c>
    </row>
    <row r="116" spans="2:16" ht="12.5">
      <c r="B116" s="160" t="str">
        <f t="shared" si="23"/>
        <v/>
      </c>
      <c r="C116" s="472">
        <f>IF(D93="","-",+C115+1)</f>
        <v>2023</v>
      </c>
      <c r="D116" s="346">
        <f>IF(F115+SUM(E$99:E115)=D$92,F115,D$92-SUM(E$99:E115))</f>
        <v>253507</v>
      </c>
      <c r="E116" s="486">
        <f>IF(+J96&lt;F115,J96,D116)</f>
        <v>9457</v>
      </c>
      <c r="F116" s="485">
        <f t="shared" si="34"/>
        <v>244050</v>
      </c>
      <c r="G116" s="485">
        <f t="shared" si="35"/>
        <v>248778.5</v>
      </c>
      <c r="H116" s="488">
        <f t="shared" si="36"/>
        <v>35109.552737300095</v>
      </c>
      <c r="I116" s="542">
        <f t="shared" si="37"/>
        <v>35109.552737300095</v>
      </c>
      <c r="J116" s="478">
        <f t="shared" si="21"/>
        <v>0</v>
      </c>
      <c r="K116" s="478"/>
      <c r="L116" s="487"/>
      <c r="M116" s="478">
        <f t="shared" si="25"/>
        <v>0</v>
      </c>
      <c r="N116" s="487"/>
      <c r="O116" s="478">
        <f t="shared" si="27"/>
        <v>0</v>
      </c>
      <c r="P116" s="478">
        <f t="shared" si="22"/>
        <v>0</v>
      </c>
    </row>
    <row r="117" spans="2:16" ht="12.5">
      <c r="B117" s="160" t="str">
        <f t="shared" si="23"/>
        <v/>
      </c>
      <c r="C117" s="472">
        <f>IF(D93="","-",+C116+1)</f>
        <v>2024</v>
      </c>
      <c r="D117" s="346">
        <f>IF(F116+SUM(E$99:E116)=D$92,F116,D$92-SUM(E$99:E116))</f>
        <v>244050</v>
      </c>
      <c r="E117" s="486">
        <f>IF(+J96&lt;F116,J96,D117)</f>
        <v>9457</v>
      </c>
      <c r="F117" s="485">
        <f t="shared" si="34"/>
        <v>234593</v>
      </c>
      <c r="G117" s="485">
        <f t="shared" si="35"/>
        <v>239321.5</v>
      </c>
      <c r="H117" s="488">
        <f t="shared" si="36"/>
        <v>34134.403392655571</v>
      </c>
      <c r="I117" s="542">
        <f t="shared" si="37"/>
        <v>34134.403392655571</v>
      </c>
      <c r="J117" s="478">
        <f t="shared" si="21"/>
        <v>0</v>
      </c>
      <c r="K117" s="478"/>
      <c r="L117" s="487"/>
      <c r="M117" s="478">
        <f t="shared" si="25"/>
        <v>0</v>
      </c>
      <c r="N117" s="487"/>
      <c r="O117" s="478">
        <f t="shared" si="27"/>
        <v>0</v>
      </c>
      <c r="P117" s="478">
        <f t="shared" si="22"/>
        <v>0</v>
      </c>
    </row>
    <row r="118" spans="2:16" ht="12.5">
      <c r="B118" s="160" t="str">
        <f t="shared" si="23"/>
        <v/>
      </c>
      <c r="C118" s="472">
        <f>IF(D93="","-",+C117+1)</f>
        <v>2025</v>
      </c>
      <c r="D118" s="346">
        <f>IF(F117+SUM(E$99:E117)=D$92,F117,D$92-SUM(E$99:E117))</f>
        <v>234593</v>
      </c>
      <c r="E118" s="486">
        <f>IF(+J96&lt;F117,J96,D118)</f>
        <v>9457</v>
      </c>
      <c r="F118" s="485">
        <f t="shared" si="34"/>
        <v>225136</v>
      </c>
      <c r="G118" s="485">
        <f t="shared" si="35"/>
        <v>229864.5</v>
      </c>
      <c r="H118" s="488">
        <f t="shared" si="36"/>
        <v>33159.254048011047</v>
      </c>
      <c r="I118" s="542">
        <f t="shared" si="37"/>
        <v>33159.254048011047</v>
      </c>
      <c r="J118" s="478">
        <f t="shared" si="21"/>
        <v>0</v>
      </c>
      <c r="K118" s="478"/>
      <c r="L118" s="487"/>
      <c r="M118" s="478">
        <f t="shared" si="25"/>
        <v>0</v>
      </c>
      <c r="N118" s="487"/>
      <c r="O118" s="478">
        <f t="shared" si="27"/>
        <v>0</v>
      </c>
      <c r="P118" s="478">
        <f t="shared" si="22"/>
        <v>0</v>
      </c>
    </row>
    <row r="119" spans="2:16" ht="12.5">
      <c r="B119" s="160" t="str">
        <f t="shared" si="23"/>
        <v/>
      </c>
      <c r="C119" s="472">
        <f>IF(D93="","-",+C118+1)</f>
        <v>2026</v>
      </c>
      <c r="D119" s="346">
        <f>IF(F118+SUM(E$99:E118)=D$92,F118,D$92-SUM(E$99:E118))</f>
        <v>225136</v>
      </c>
      <c r="E119" s="486">
        <f>IF(+J96&lt;F118,J96,D119)</f>
        <v>9457</v>
      </c>
      <c r="F119" s="485">
        <f t="shared" si="34"/>
        <v>215679</v>
      </c>
      <c r="G119" s="485">
        <f t="shared" si="35"/>
        <v>220407.5</v>
      </c>
      <c r="H119" s="488">
        <f t="shared" si="36"/>
        <v>32184.104703366527</v>
      </c>
      <c r="I119" s="542">
        <f t="shared" si="37"/>
        <v>32184.104703366527</v>
      </c>
      <c r="J119" s="478">
        <f t="shared" si="21"/>
        <v>0</v>
      </c>
      <c r="K119" s="478"/>
      <c r="L119" s="487"/>
      <c r="M119" s="478">
        <f t="shared" si="25"/>
        <v>0</v>
      </c>
      <c r="N119" s="487"/>
      <c r="O119" s="478">
        <f t="shared" si="27"/>
        <v>0</v>
      </c>
      <c r="P119" s="478">
        <f t="shared" si="22"/>
        <v>0</v>
      </c>
    </row>
    <row r="120" spans="2:16" ht="12.5">
      <c r="B120" s="160" t="str">
        <f t="shared" si="23"/>
        <v/>
      </c>
      <c r="C120" s="472">
        <f>IF(D93="","-",+C119+1)</f>
        <v>2027</v>
      </c>
      <c r="D120" s="346">
        <f>IF(F119+SUM(E$99:E119)=D$92,F119,D$92-SUM(E$99:E119))</f>
        <v>215679</v>
      </c>
      <c r="E120" s="486">
        <f>IF(+J96&lt;F119,J96,D120)</f>
        <v>9457</v>
      </c>
      <c r="F120" s="485">
        <f t="shared" si="34"/>
        <v>206222</v>
      </c>
      <c r="G120" s="485">
        <f t="shared" si="35"/>
        <v>210950.5</v>
      </c>
      <c r="H120" s="488">
        <f t="shared" si="36"/>
        <v>31208.955358722007</v>
      </c>
      <c r="I120" s="542">
        <f t="shared" si="37"/>
        <v>31208.955358722007</v>
      </c>
      <c r="J120" s="478">
        <f t="shared" si="21"/>
        <v>0</v>
      </c>
      <c r="K120" s="478"/>
      <c r="L120" s="487"/>
      <c r="M120" s="478">
        <f t="shared" si="25"/>
        <v>0</v>
      </c>
      <c r="N120" s="487"/>
      <c r="O120" s="478">
        <f t="shared" si="27"/>
        <v>0</v>
      </c>
      <c r="P120" s="478">
        <f t="shared" si="22"/>
        <v>0</v>
      </c>
    </row>
    <row r="121" spans="2:16" ht="12.5">
      <c r="B121" s="160" t="str">
        <f t="shared" si="23"/>
        <v/>
      </c>
      <c r="C121" s="472">
        <f>IF(D93="","-",+C120+1)</f>
        <v>2028</v>
      </c>
      <c r="D121" s="346">
        <f>IF(F120+SUM(E$99:E120)=D$92,F120,D$92-SUM(E$99:E120))</f>
        <v>206222</v>
      </c>
      <c r="E121" s="486">
        <f>IF(+J96&lt;F120,J96,D121)</f>
        <v>9457</v>
      </c>
      <c r="F121" s="485">
        <f t="shared" si="34"/>
        <v>196765</v>
      </c>
      <c r="G121" s="485">
        <f t="shared" si="35"/>
        <v>201493.5</v>
      </c>
      <c r="H121" s="488">
        <f t="shared" si="36"/>
        <v>30233.806014077487</v>
      </c>
      <c r="I121" s="542">
        <f t="shared" si="37"/>
        <v>30233.806014077487</v>
      </c>
      <c r="J121" s="478">
        <f t="shared" si="21"/>
        <v>0</v>
      </c>
      <c r="K121" s="478"/>
      <c r="L121" s="487"/>
      <c r="M121" s="478">
        <f t="shared" si="25"/>
        <v>0</v>
      </c>
      <c r="N121" s="487"/>
      <c r="O121" s="478">
        <f t="shared" si="27"/>
        <v>0</v>
      </c>
      <c r="P121" s="478">
        <f t="shared" si="22"/>
        <v>0</v>
      </c>
    </row>
    <row r="122" spans="2:16" ht="12.5">
      <c r="B122" s="160" t="str">
        <f t="shared" si="23"/>
        <v/>
      </c>
      <c r="C122" s="472">
        <f>IF(D93="","-",+C121+1)</f>
        <v>2029</v>
      </c>
      <c r="D122" s="346">
        <f>IF(F121+SUM(E$99:E121)=D$92,F121,D$92-SUM(E$99:E121))</f>
        <v>196765</v>
      </c>
      <c r="E122" s="486">
        <f>IF(+J96&lt;F121,J96,D122)</f>
        <v>9457</v>
      </c>
      <c r="F122" s="485">
        <f t="shared" si="34"/>
        <v>187308</v>
      </c>
      <c r="G122" s="485">
        <f t="shared" si="35"/>
        <v>192036.5</v>
      </c>
      <c r="H122" s="488">
        <f t="shared" si="36"/>
        <v>29258.656669432963</v>
      </c>
      <c r="I122" s="542">
        <f t="shared" si="37"/>
        <v>29258.656669432963</v>
      </c>
      <c r="J122" s="478">
        <f t="shared" si="21"/>
        <v>0</v>
      </c>
      <c r="K122" s="478"/>
      <c r="L122" s="487"/>
      <c r="M122" s="478">
        <f t="shared" si="25"/>
        <v>0</v>
      </c>
      <c r="N122" s="487"/>
      <c r="O122" s="478">
        <f t="shared" si="27"/>
        <v>0</v>
      </c>
      <c r="P122" s="478">
        <f t="shared" si="22"/>
        <v>0</v>
      </c>
    </row>
    <row r="123" spans="2:16" ht="12.5">
      <c r="B123" s="160" t="str">
        <f t="shared" si="23"/>
        <v/>
      </c>
      <c r="C123" s="472">
        <f>IF(D93="","-",+C122+1)</f>
        <v>2030</v>
      </c>
      <c r="D123" s="346">
        <f>IF(F122+SUM(E$99:E122)=D$92,F122,D$92-SUM(E$99:E122))</f>
        <v>187308</v>
      </c>
      <c r="E123" s="486">
        <f>IF(+J96&lt;F122,J96,D123)</f>
        <v>9457</v>
      </c>
      <c r="F123" s="485">
        <f t="shared" si="34"/>
        <v>177851</v>
      </c>
      <c r="G123" s="485">
        <f t="shared" si="35"/>
        <v>182579.5</v>
      </c>
      <c r="H123" s="488">
        <f t="shared" si="36"/>
        <v>28283.507324788443</v>
      </c>
      <c r="I123" s="542">
        <f t="shared" si="37"/>
        <v>28283.507324788443</v>
      </c>
      <c r="J123" s="478">
        <f t="shared" si="21"/>
        <v>0</v>
      </c>
      <c r="K123" s="478"/>
      <c r="L123" s="487"/>
      <c r="M123" s="478">
        <f t="shared" si="25"/>
        <v>0</v>
      </c>
      <c r="N123" s="487"/>
      <c r="O123" s="478">
        <f t="shared" si="27"/>
        <v>0</v>
      </c>
      <c r="P123" s="478">
        <f t="shared" si="22"/>
        <v>0</v>
      </c>
    </row>
    <row r="124" spans="2:16" ht="12.5">
      <c r="B124" s="160" t="str">
        <f t="shared" si="23"/>
        <v/>
      </c>
      <c r="C124" s="472">
        <f>IF(D93="","-",+C123+1)</f>
        <v>2031</v>
      </c>
      <c r="D124" s="346">
        <f>IF(F123+SUM(E$99:E123)=D$92,F123,D$92-SUM(E$99:E123))</f>
        <v>177851</v>
      </c>
      <c r="E124" s="486">
        <f>IF(+J96&lt;F123,J96,D124)</f>
        <v>9457</v>
      </c>
      <c r="F124" s="485">
        <f t="shared" si="34"/>
        <v>168394</v>
      </c>
      <c r="G124" s="485">
        <f t="shared" si="35"/>
        <v>173122.5</v>
      </c>
      <c r="H124" s="488">
        <f t="shared" si="36"/>
        <v>27308.357980143923</v>
      </c>
      <c r="I124" s="542">
        <f t="shared" si="37"/>
        <v>27308.357980143923</v>
      </c>
      <c r="J124" s="478">
        <f t="shared" si="21"/>
        <v>0</v>
      </c>
      <c r="K124" s="478"/>
      <c r="L124" s="487"/>
      <c r="M124" s="478">
        <f t="shared" si="25"/>
        <v>0</v>
      </c>
      <c r="N124" s="487"/>
      <c r="O124" s="478">
        <f t="shared" si="27"/>
        <v>0</v>
      </c>
      <c r="P124" s="478">
        <f t="shared" si="22"/>
        <v>0</v>
      </c>
    </row>
    <row r="125" spans="2:16" ht="12.5">
      <c r="B125" s="160" t="str">
        <f t="shared" si="23"/>
        <v/>
      </c>
      <c r="C125" s="472">
        <f>IF(D93="","-",+C124+1)</f>
        <v>2032</v>
      </c>
      <c r="D125" s="346">
        <f>IF(F124+SUM(E$99:E124)=D$92,F124,D$92-SUM(E$99:E124))</f>
        <v>168394</v>
      </c>
      <c r="E125" s="486">
        <f>IF(+J96&lt;F124,J96,D125)</f>
        <v>9457</v>
      </c>
      <c r="F125" s="485">
        <f t="shared" si="34"/>
        <v>158937</v>
      </c>
      <c r="G125" s="485">
        <f t="shared" si="35"/>
        <v>163665.5</v>
      </c>
      <c r="H125" s="488">
        <f t="shared" si="36"/>
        <v>26333.208635499403</v>
      </c>
      <c r="I125" s="542">
        <f t="shared" si="37"/>
        <v>26333.208635499403</v>
      </c>
      <c r="J125" s="478">
        <f t="shared" si="21"/>
        <v>0</v>
      </c>
      <c r="K125" s="478"/>
      <c r="L125" s="487"/>
      <c r="M125" s="478">
        <f t="shared" si="25"/>
        <v>0</v>
      </c>
      <c r="N125" s="487"/>
      <c r="O125" s="478">
        <f t="shared" si="27"/>
        <v>0</v>
      </c>
      <c r="P125" s="478">
        <f t="shared" si="22"/>
        <v>0</v>
      </c>
    </row>
    <row r="126" spans="2:16" ht="12.5">
      <c r="B126" s="160" t="str">
        <f t="shared" si="23"/>
        <v/>
      </c>
      <c r="C126" s="472">
        <f>IF(D93="","-",+C125+1)</f>
        <v>2033</v>
      </c>
      <c r="D126" s="346">
        <f>IF(F125+SUM(E$99:E125)=D$92,F125,D$92-SUM(E$99:E125))</f>
        <v>158937</v>
      </c>
      <c r="E126" s="486">
        <f>IF(+J96&lt;F125,J96,D126)</f>
        <v>9457</v>
      </c>
      <c r="F126" s="485">
        <f t="shared" si="34"/>
        <v>149480</v>
      </c>
      <c r="G126" s="485">
        <f t="shared" si="35"/>
        <v>154208.5</v>
      </c>
      <c r="H126" s="488">
        <f t="shared" si="36"/>
        <v>25358.059290854879</v>
      </c>
      <c r="I126" s="542">
        <f t="shared" si="37"/>
        <v>25358.059290854879</v>
      </c>
      <c r="J126" s="478">
        <f t="shared" si="21"/>
        <v>0</v>
      </c>
      <c r="K126" s="478"/>
      <c r="L126" s="487"/>
      <c r="M126" s="478">
        <f t="shared" si="25"/>
        <v>0</v>
      </c>
      <c r="N126" s="487"/>
      <c r="O126" s="478">
        <f t="shared" si="27"/>
        <v>0</v>
      </c>
      <c r="P126" s="478">
        <f t="shared" si="22"/>
        <v>0</v>
      </c>
    </row>
    <row r="127" spans="2:16" ht="12.5">
      <c r="B127" s="160" t="str">
        <f t="shared" si="23"/>
        <v/>
      </c>
      <c r="C127" s="472">
        <f>IF(D93="","-",+C126+1)</f>
        <v>2034</v>
      </c>
      <c r="D127" s="346">
        <f>IF(F126+SUM(E$99:E126)=D$92,F126,D$92-SUM(E$99:E126))</f>
        <v>149480</v>
      </c>
      <c r="E127" s="486">
        <f>IF(+J96&lt;F126,J96,D127)</f>
        <v>9457</v>
      </c>
      <c r="F127" s="485">
        <f t="shared" si="34"/>
        <v>140023</v>
      </c>
      <c r="G127" s="485">
        <f t="shared" si="35"/>
        <v>144751.5</v>
      </c>
      <c r="H127" s="488">
        <f t="shared" si="36"/>
        <v>24382.909946210362</v>
      </c>
      <c r="I127" s="542">
        <f t="shared" si="37"/>
        <v>24382.909946210362</v>
      </c>
      <c r="J127" s="478">
        <f t="shared" si="21"/>
        <v>0</v>
      </c>
      <c r="K127" s="478"/>
      <c r="L127" s="487"/>
      <c r="M127" s="478">
        <f t="shared" si="25"/>
        <v>0</v>
      </c>
      <c r="N127" s="487"/>
      <c r="O127" s="478">
        <f t="shared" si="27"/>
        <v>0</v>
      </c>
      <c r="P127" s="478">
        <f t="shared" si="22"/>
        <v>0</v>
      </c>
    </row>
    <row r="128" spans="2:16" ht="12.5">
      <c r="B128" s="160" t="str">
        <f t="shared" si="23"/>
        <v/>
      </c>
      <c r="C128" s="472">
        <f>IF(D93="","-",+C127+1)</f>
        <v>2035</v>
      </c>
      <c r="D128" s="346">
        <f>IF(F127+SUM(E$99:E127)=D$92,F127,D$92-SUM(E$99:E127))</f>
        <v>140023</v>
      </c>
      <c r="E128" s="486">
        <f>IF(+J96&lt;F127,J96,D128)</f>
        <v>9457</v>
      </c>
      <c r="F128" s="485">
        <f t="shared" si="34"/>
        <v>130566</v>
      </c>
      <c r="G128" s="485">
        <f t="shared" si="35"/>
        <v>135294.5</v>
      </c>
      <c r="H128" s="488">
        <f t="shared" si="36"/>
        <v>23407.760601565838</v>
      </c>
      <c r="I128" s="542">
        <f t="shared" si="37"/>
        <v>23407.760601565838</v>
      </c>
      <c r="J128" s="478">
        <f t="shared" si="21"/>
        <v>0</v>
      </c>
      <c r="K128" s="478"/>
      <c r="L128" s="487"/>
      <c r="M128" s="478">
        <f t="shared" si="25"/>
        <v>0</v>
      </c>
      <c r="N128" s="487"/>
      <c r="O128" s="478">
        <f t="shared" si="27"/>
        <v>0</v>
      </c>
      <c r="P128" s="478">
        <f t="shared" si="22"/>
        <v>0</v>
      </c>
    </row>
    <row r="129" spans="2:16" ht="12.5">
      <c r="B129" s="160" t="str">
        <f t="shared" si="23"/>
        <v/>
      </c>
      <c r="C129" s="472">
        <f>IF(D93="","-",+C128+1)</f>
        <v>2036</v>
      </c>
      <c r="D129" s="346">
        <f>IF(F128+SUM(E$99:E128)=D$92,F128,D$92-SUM(E$99:E128))</f>
        <v>130566</v>
      </c>
      <c r="E129" s="486">
        <f>IF(+J96&lt;F128,J96,D129)</f>
        <v>9457</v>
      </c>
      <c r="F129" s="485">
        <f t="shared" si="34"/>
        <v>121109</v>
      </c>
      <c r="G129" s="485">
        <f t="shared" si="35"/>
        <v>125837.5</v>
      </c>
      <c r="H129" s="488">
        <f t="shared" si="36"/>
        <v>22432.611256921318</v>
      </c>
      <c r="I129" s="542">
        <f t="shared" si="37"/>
        <v>22432.611256921318</v>
      </c>
      <c r="J129" s="478">
        <f t="shared" si="21"/>
        <v>0</v>
      </c>
      <c r="K129" s="478"/>
      <c r="L129" s="487"/>
      <c r="M129" s="478">
        <f t="shared" si="25"/>
        <v>0</v>
      </c>
      <c r="N129" s="487"/>
      <c r="O129" s="478">
        <f t="shared" si="27"/>
        <v>0</v>
      </c>
      <c r="P129" s="478">
        <f t="shared" si="22"/>
        <v>0</v>
      </c>
    </row>
    <row r="130" spans="2:16" ht="12.5">
      <c r="B130" s="160" t="str">
        <f t="shared" si="23"/>
        <v/>
      </c>
      <c r="C130" s="472">
        <f>IF(D93="","-",+C129+1)</f>
        <v>2037</v>
      </c>
      <c r="D130" s="346">
        <f>IF(F129+SUM(E$99:E129)=D$92,F129,D$92-SUM(E$99:E129))</f>
        <v>121109</v>
      </c>
      <c r="E130" s="486">
        <f>IF(+J96&lt;F129,J96,D130)</f>
        <v>9457</v>
      </c>
      <c r="F130" s="485">
        <f t="shared" si="34"/>
        <v>111652</v>
      </c>
      <c r="G130" s="485">
        <f t="shared" si="35"/>
        <v>116380.5</v>
      </c>
      <c r="H130" s="488">
        <f t="shared" si="36"/>
        <v>21457.461912276798</v>
      </c>
      <c r="I130" s="542">
        <f t="shared" si="37"/>
        <v>21457.461912276798</v>
      </c>
      <c r="J130" s="478">
        <f t="shared" si="21"/>
        <v>0</v>
      </c>
      <c r="K130" s="478"/>
      <c r="L130" s="487"/>
      <c r="M130" s="478">
        <f t="shared" si="25"/>
        <v>0</v>
      </c>
      <c r="N130" s="487"/>
      <c r="O130" s="478">
        <f t="shared" si="27"/>
        <v>0</v>
      </c>
      <c r="P130" s="478">
        <f t="shared" si="22"/>
        <v>0</v>
      </c>
    </row>
    <row r="131" spans="2:16" ht="12.5">
      <c r="B131" s="160" t="str">
        <f t="shared" si="23"/>
        <v/>
      </c>
      <c r="C131" s="472">
        <f>IF(D93="","-",+C130+1)</f>
        <v>2038</v>
      </c>
      <c r="D131" s="346">
        <f>IF(F130+SUM(E$99:E130)=D$92,F130,D$92-SUM(E$99:E130))</f>
        <v>111652</v>
      </c>
      <c r="E131" s="486">
        <f>IF(+J96&lt;F130,J96,D131)</f>
        <v>9457</v>
      </c>
      <c r="F131" s="485">
        <f t="shared" ref="F131:F154" si="38">+D131-E131</f>
        <v>102195</v>
      </c>
      <c r="G131" s="485">
        <f t="shared" ref="G131:G154" si="39">+(F131+D131)/2</f>
        <v>106923.5</v>
      </c>
      <c r="H131" s="488">
        <f t="shared" si="36"/>
        <v>20482.312567632274</v>
      </c>
      <c r="I131" s="542">
        <f t="shared" si="37"/>
        <v>20482.312567632274</v>
      </c>
      <c r="J131" s="478">
        <f t="shared" ref="J131:J154" si="40">+I131-H131</f>
        <v>0</v>
      </c>
      <c r="K131" s="478"/>
      <c r="L131" s="487"/>
      <c r="M131" s="478">
        <f t="shared" si="25"/>
        <v>0</v>
      </c>
      <c r="N131" s="487"/>
      <c r="O131" s="478">
        <f t="shared" si="27"/>
        <v>0</v>
      </c>
      <c r="P131" s="478">
        <f t="shared" ref="P131:P154" si="41">+O131-M131</f>
        <v>0</v>
      </c>
    </row>
    <row r="132" spans="2:16" ht="12.5">
      <c r="B132" s="160" t="str">
        <f t="shared" si="23"/>
        <v/>
      </c>
      <c r="C132" s="472">
        <f>IF(D93="","-",+C131+1)</f>
        <v>2039</v>
      </c>
      <c r="D132" s="346">
        <f>IF(F131+SUM(E$99:E131)=D$92,F131,D$92-SUM(E$99:E131))</f>
        <v>102195</v>
      </c>
      <c r="E132" s="486">
        <f>IF(+J96&lt;F131,J96,D132)</f>
        <v>9457</v>
      </c>
      <c r="F132" s="485">
        <f t="shared" si="38"/>
        <v>92738</v>
      </c>
      <c r="G132" s="485">
        <f t="shared" si="39"/>
        <v>97466.5</v>
      </c>
      <c r="H132" s="488">
        <f t="shared" si="36"/>
        <v>19507.163222987754</v>
      </c>
      <c r="I132" s="542">
        <f t="shared" si="37"/>
        <v>19507.163222987754</v>
      </c>
      <c r="J132" s="478">
        <f t="shared" si="40"/>
        <v>0</v>
      </c>
      <c r="K132" s="478"/>
      <c r="L132" s="487"/>
      <c r="M132" s="478">
        <f t="shared" si="25"/>
        <v>0</v>
      </c>
      <c r="N132" s="487"/>
      <c r="O132" s="478">
        <f t="shared" si="27"/>
        <v>0</v>
      </c>
      <c r="P132" s="478">
        <f t="shared" si="41"/>
        <v>0</v>
      </c>
    </row>
    <row r="133" spans="2:16" ht="12.5">
      <c r="B133" s="160" t="str">
        <f t="shared" si="23"/>
        <v/>
      </c>
      <c r="C133" s="472">
        <f>IF(D93="","-",+C132+1)</f>
        <v>2040</v>
      </c>
      <c r="D133" s="346">
        <f>IF(F132+SUM(E$99:E132)=D$92,F132,D$92-SUM(E$99:E132))</f>
        <v>92738</v>
      </c>
      <c r="E133" s="486">
        <f>IF(+J96&lt;F132,J96,D133)</f>
        <v>9457</v>
      </c>
      <c r="F133" s="485">
        <f t="shared" si="38"/>
        <v>83281</v>
      </c>
      <c r="G133" s="485">
        <f t="shared" si="39"/>
        <v>88009.5</v>
      </c>
      <c r="H133" s="488">
        <f t="shared" si="36"/>
        <v>18532.013878343234</v>
      </c>
      <c r="I133" s="542">
        <f t="shared" si="37"/>
        <v>18532.013878343234</v>
      </c>
      <c r="J133" s="478">
        <f t="shared" si="40"/>
        <v>0</v>
      </c>
      <c r="K133" s="478"/>
      <c r="L133" s="487"/>
      <c r="M133" s="478">
        <f t="shared" si="25"/>
        <v>0</v>
      </c>
      <c r="N133" s="487"/>
      <c r="O133" s="478">
        <f t="shared" si="27"/>
        <v>0</v>
      </c>
      <c r="P133" s="478">
        <f t="shared" si="41"/>
        <v>0</v>
      </c>
    </row>
    <row r="134" spans="2:16" ht="12.5">
      <c r="B134" s="160" t="str">
        <f t="shared" si="23"/>
        <v/>
      </c>
      <c r="C134" s="472">
        <f>IF(D93="","-",+C133+1)</f>
        <v>2041</v>
      </c>
      <c r="D134" s="346">
        <f>IF(F133+SUM(E$99:E133)=D$92,F133,D$92-SUM(E$99:E133))</f>
        <v>83281</v>
      </c>
      <c r="E134" s="486">
        <f>IF(+J96&lt;F133,J96,D134)</f>
        <v>9457</v>
      </c>
      <c r="F134" s="485">
        <f t="shared" si="38"/>
        <v>73824</v>
      </c>
      <c r="G134" s="485">
        <f t="shared" si="39"/>
        <v>78552.5</v>
      </c>
      <c r="H134" s="488">
        <f t="shared" si="36"/>
        <v>17556.864533698714</v>
      </c>
      <c r="I134" s="542">
        <f t="shared" si="37"/>
        <v>17556.864533698714</v>
      </c>
      <c r="J134" s="478">
        <f t="shared" si="40"/>
        <v>0</v>
      </c>
      <c r="K134" s="478"/>
      <c r="L134" s="487"/>
      <c r="M134" s="478">
        <f t="shared" ref="M134:M154" si="42">IF(L134&lt;&gt;0,+H134-L134,0)</f>
        <v>0</v>
      </c>
      <c r="N134" s="487"/>
      <c r="O134" s="478">
        <f t="shared" ref="O134:O154" si="43">IF(N134&lt;&gt;0,+I134-N134,0)</f>
        <v>0</v>
      </c>
      <c r="P134" s="478">
        <f t="shared" si="41"/>
        <v>0</v>
      </c>
    </row>
    <row r="135" spans="2:16" ht="12.5">
      <c r="B135" s="160" t="str">
        <f t="shared" si="23"/>
        <v/>
      </c>
      <c r="C135" s="472">
        <f>IF(D93="","-",+C134+1)</f>
        <v>2042</v>
      </c>
      <c r="D135" s="346">
        <f>IF(F134+SUM(E$99:E134)=D$92,F134,D$92-SUM(E$99:E134))</f>
        <v>73824</v>
      </c>
      <c r="E135" s="486">
        <f>IF(+J96&lt;F134,J96,D135)</f>
        <v>9457</v>
      </c>
      <c r="F135" s="485">
        <f t="shared" si="38"/>
        <v>64367</v>
      </c>
      <c r="G135" s="485">
        <f t="shared" si="39"/>
        <v>69095.5</v>
      </c>
      <c r="H135" s="488">
        <f t="shared" si="36"/>
        <v>16581.715189054194</v>
      </c>
      <c r="I135" s="542">
        <f t="shared" si="37"/>
        <v>16581.715189054194</v>
      </c>
      <c r="J135" s="478">
        <f t="shared" si="40"/>
        <v>0</v>
      </c>
      <c r="K135" s="478"/>
      <c r="L135" s="487"/>
      <c r="M135" s="478">
        <f t="shared" si="42"/>
        <v>0</v>
      </c>
      <c r="N135" s="487"/>
      <c r="O135" s="478">
        <f t="shared" si="43"/>
        <v>0</v>
      </c>
      <c r="P135" s="478">
        <f t="shared" si="41"/>
        <v>0</v>
      </c>
    </row>
    <row r="136" spans="2:16" ht="12.5">
      <c r="B136" s="160" t="str">
        <f t="shared" si="23"/>
        <v/>
      </c>
      <c r="C136" s="472">
        <f>IF(D93="","-",+C135+1)</f>
        <v>2043</v>
      </c>
      <c r="D136" s="346">
        <f>IF(F135+SUM(E$99:E135)=D$92,F135,D$92-SUM(E$99:E135))</f>
        <v>64367</v>
      </c>
      <c r="E136" s="486">
        <f>IF(+J96&lt;F135,J96,D136)</f>
        <v>9457</v>
      </c>
      <c r="F136" s="485">
        <f t="shared" si="38"/>
        <v>54910</v>
      </c>
      <c r="G136" s="485">
        <f t="shared" si="39"/>
        <v>59638.5</v>
      </c>
      <c r="H136" s="488">
        <f t="shared" si="36"/>
        <v>15606.565844409672</v>
      </c>
      <c r="I136" s="542">
        <f t="shared" si="37"/>
        <v>15606.565844409672</v>
      </c>
      <c r="J136" s="478">
        <f t="shared" si="40"/>
        <v>0</v>
      </c>
      <c r="K136" s="478"/>
      <c r="L136" s="487"/>
      <c r="M136" s="478">
        <f t="shared" si="42"/>
        <v>0</v>
      </c>
      <c r="N136" s="487"/>
      <c r="O136" s="478">
        <f t="shared" si="43"/>
        <v>0</v>
      </c>
      <c r="P136" s="478">
        <f t="shared" si="41"/>
        <v>0</v>
      </c>
    </row>
    <row r="137" spans="2:16" ht="12.5">
      <c r="B137" s="160" t="str">
        <f t="shared" si="23"/>
        <v/>
      </c>
      <c r="C137" s="472">
        <f>IF(D93="","-",+C136+1)</f>
        <v>2044</v>
      </c>
      <c r="D137" s="346">
        <f>IF(F136+SUM(E$99:E136)=D$92,F136,D$92-SUM(E$99:E136))</f>
        <v>54910</v>
      </c>
      <c r="E137" s="486">
        <f>IF(+J96&lt;F136,J96,D137)</f>
        <v>9457</v>
      </c>
      <c r="F137" s="485">
        <f t="shared" si="38"/>
        <v>45453</v>
      </c>
      <c r="G137" s="485">
        <f t="shared" si="39"/>
        <v>50181.5</v>
      </c>
      <c r="H137" s="488">
        <f t="shared" si="36"/>
        <v>14631.41649976515</v>
      </c>
      <c r="I137" s="542">
        <f t="shared" si="37"/>
        <v>14631.41649976515</v>
      </c>
      <c r="J137" s="478">
        <f t="shared" si="40"/>
        <v>0</v>
      </c>
      <c r="K137" s="478"/>
      <c r="L137" s="487"/>
      <c r="M137" s="478">
        <f t="shared" si="42"/>
        <v>0</v>
      </c>
      <c r="N137" s="487"/>
      <c r="O137" s="478">
        <f t="shared" si="43"/>
        <v>0</v>
      </c>
      <c r="P137" s="478">
        <f t="shared" si="41"/>
        <v>0</v>
      </c>
    </row>
    <row r="138" spans="2:16" ht="12.5">
      <c r="B138" s="160" t="str">
        <f t="shared" si="23"/>
        <v/>
      </c>
      <c r="C138" s="472">
        <f>IF(D93="","-",+C137+1)</f>
        <v>2045</v>
      </c>
      <c r="D138" s="346">
        <f>IF(F137+SUM(E$99:E137)=D$92,F137,D$92-SUM(E$99:E137))</f>
        <v>45453</v>
      </c>
      <c r="E138" s="486">
        <f>IF(+J96&lt;F137,J96,D138)</f>
        <v>9457</v>
      </c>
      <c r="F138" s="485">
        <f t="shared" si="38"/>
        <v>35996</v>
      </c>
      <c r="G138" s="485">
        <f t="shared" si="39"/>
        <v>40724.5</v>
      </c>
      <c r="H138" s="488">
        <f t="shared" si="36"/>
        <v>13656.267155120629</v>
      </c>
      <c r="I138" s="542">
        <f t="shared" si="37"/>
        <v>13656.267155120629</v>
      </c>
      <c r="J138" s="478">
        <f t="shared" si="40"/>
        <v>0</v>
      </c>
      <c r="K138" s="478"/>
      <c r="L138" s="487"/>
      <c r="M138" s="478">
        <f t="shared" si="42"/>
        <v>0</v>
      </c>
      <c r="N138" s="487"/>
      <c r="O138" s="478">
        <f t="shared" si="43"/>
        <v>0</v>
      </c>
      <c r="P138" s="478">
        <f t="shared" si="41"/>
        <v>0</v>
      </c>
    </row>
    <row r="139" spans="2:16" ht="12.5">
      <c r="B139" s="160" t="str">
        <f t="shared" si="23"/>
        <v/>
      </c>
      <c r="C139" s="472">
        <f>IF(D93="","-",+C138+1)</f>
        <v>2046</v>
      </c>
      <c r="D139" s="346">
        <f>IF(F138+SUM(E$99:E138)=D$92,F138,D$92-SUM(E$99:E138))</f>
        <v>35996</v>
      </c>
      <c r="E139" s="486">
        <f>IF(+J96&lt;F138,J96,D139)</f>
        <v>9457</v>
      </c>
      <c r="F139" s="485">
        <f t="shared" si="38"/>
        <v>26539</v>
      </c>
      <c r="G139" s="485">
        <f t="shared" si="39"/>
        <v>31267.5</v>
      </c>
      <c r="H139" s="488">
        <f t="shared" si="36"/>
        <v>12681.117810476109</v>
      </c>
      <c r="I139" s="542">
        <f t="shared" si="37"/>
        <v>12681.117810476109</v>
      </c>
      <c r="J139" s="478">
        <f t="shared" si="40"/>
        <v>0</v>
      </c>
      <c r="K139" s="478"/>
      <c r="L139" s="487"/>
      <c r="M139" s="478">
        <f t="shared" si="42"/>
        <v>0</v>
      </c>
      <c r="N139" s="487"/>
      <c r="O139" s="478">
        <f t="shared" si="43"/>
        <v>0</v>
      </c>
      <c r="P139" s="478">
        <f t="shared" si="41"/>
        <v>0</v>
      </c>
    </row>
    <row r="140" spans="2:16" ht="12.5">
      <c r="B140" s="160" t="str">
        <f t="shared" si="23"/>
        <v/>
      </c>
      <c r="C140" s="472">
        <f>IF(D93="","-",+C139+1)</f>
        <v>2047</v>
      </c>
      <c r="D140" s="346">
        <f>IF(F139+SUM(E$99:E139)=D$92,F139,D$92-SUM(E$99:E139))</f>
        <v>26539</v>
      </c>
      <c r="E140" s="486">
        <f>IF(+J96&lt;F139,J96,D140)</f>
        <v>9457</v>
      </c>
      <c r="F140" s="485">
        <f t="shared" si="38"/>
        <v>17082</v>
      </c>
      <c r="G140" s="485">
        <f t="shared" si="39"/>
        <v>21810.5</v>
      </c>
      <c r="H140" s="488">
        <f t="shared" si="36"/>
        <v>11705.968465831587</v>
      </c>
      <c r="I140" s="542">
        <f t="shared" si="37"/>
        <v>11705.968465831587</v>
      </c>
      <c r="J140" s="478">
        <f t="shared" si="40"/>
        <v>0</v>
      </c>
      <c r="K140" s="478"/>
      <c r="L140" s="487"/>
      <c r="M140" s="478">
        <f t="shared" si="42"/>
        <v>0</v>
      </c>
      <c r="N140" s="487"/>
      <c r="O140" s="478">
        <f t="shared" si="43"/>
        <v>0</v>
      </c>
      <c r="P140" s="478">
        <f t="shared" si="41"/>
        <v>0</v>
      </c>
    </row>
    <row r="141" spans="2:16" ht="12.5">
      <c r="B141" s="160" t="str">
        <f t="shared" si="23"/>
        <v/>
      </c>
      <c r="C141" s="472">
        <f>IF(D93="","-",+C140+1)</f>
        <v>2048</v>
      </c>
      <c r="D141" s="346">
        <f>IF(F140+SUM(E$99:E140)=D$92,F140,D$92-SUM(E$99:E140))</f>
        <v>17082</v>
      </c>
      <c r="E141" s="486">
        <f>IF(+J96&lt;F140,J96,D141)</f>
        <v>9457</v>
      </c>
      <c r="F141" s="485">
        <f t="shared" si="38"/>
        <v>7625</v>
      </c>
      <c r="G141" s="485">
        <f t="shared" si="39"/>
        <v>12353.5</v>
      </c>
      <c r="H141" s="488">
        <f t="shared" si="36"/>
        <v>10730.819121187067</v>
      </c>
      <c r="I141" s="542">
        <f t="shared" si="37"/>
        <v>10730.819121187067</v>
      </c>
      <c r="J141" s="478">
        <f t="shared" si="40"/>
        <v>0</v>
      </c>
      <c r="K141" s="478"/>
      <c r="L141" s="487"/>
      <c r="M141" s="478">
        <f t="shared" si="42"/>
        <v>0</v>
      </c>
      <c r="N141" s="487"/>
      <c r="O141" s="478">
        <f t="shared" si="43"/>
        <v>0</v>
      </c>
      <c r="P141" s="478">
        <f t="shared" si="41"/>
        <v>0</v>
      </c>
    </row>
    <row r="142" spans="2:16" ht="12.5">
      <c r="B142" s="160" t="str">
        <f t="shared" si="23"/>
        <v/>
      </c>
      <c r="C142" s="472">
        <f>IF(D93="","-",+C141+1)</f>
        <v>2049</v>
      </c>
      <c r="D142" s="346">
        <f>IF(F141+SUM(E$99:E141)=D$92,F141,D$92-SUM(E$99:E141))</f>
        <v>7625</v>
      </c>
      <c r="E142" s="486">
        <f>IF(+J96&lt;F141,J96,D142)</f>
        <v>7625</v>
      </c>
      <c r="F142" s="485">
        <f t="shared" si="38"/>
        <v>0</v>
      </c>
      <c r="G142" s="485">
        <f t="shared" si="39"/>
        <v>3812.5</v>
      </c>
      <c r="H142" s="488">
        <f t="shared" si="36"/>
        <v>8018.1222244324035</v>
      </c>
      <c r="I142" s="542">
        <f t="shared" si="37"/>
        <v>8018.1222244324035</v>
      </c>
      <c r="J142" s="478">
        <f t="shared" si="40"/>
        <v>0</v>
      </c>
      <c r="K142" s="478"/>
      <c r="L142" s="487"/>
      <c r="M142" s="478">
        <f t="shared" si="42"/>
        <v>0</v>
      </c>
      <c r="N142" s="487"/>
      <c r="O142" s="478">
        <f t="shared" si="43"/>
        <v>0</v>
      </c>
      <c r="P142" s="478">
        <f t="shared" si="41"/>
        <v>0</v>
      </c>
    </row>
    <row r="143" spans="2:16" ht="12.5">
      <c r="B143" s="160" t="str">
        <f t="shared" si="23"/>
        <v/>
      </c>
      <c r="C143" s="472">
        <f>IF(D93="","-",+C142+1)</f>
        <v>2050</v>
      </c>
      <c r="D143" s="346">
        <f>IF(F142+SUM(E$99:E142)=D$92,F142,D$92-SUM(E$99:E142))</f>
        <v>0</v>
      </c>
      <c r="E143" s="486">
        <f>IF(+J96&lt;F142,J96,D143)</f>
        <v>0</v>
      </c>
      <c r="F143" s="485">
        <f t="shared" si="38"/>
        <v>0</v>
      </c>
      <c r="G143" s="485">
        <f t="shared" si="39"/>
        <v>0</v>
      </c>
      <c r="H143" s="488">
        <f t="shared" si="36"/>
        <v>0</v>
      </c>
      <c r="I143" s="542">
        <f t="shared" si="37"/>
        <v>0</v>
      </c>
      <c r="J143" s="478">
        <f t="shared" si="40"/>
        <v>0</v>
      </c>
      <c r="K143" s="478"/>
      <c r="L143" s="487"/>
      <c r="M143" s="478">
        <f t="shared" si="42"/>
        <v>0</v>
      </c>
      <c r="N143" s="487"/>
      <c r="O143" s="478">
        <f t="shared" si="43"/>
        <v>0</v>
      </c>
      <c r="P143" s="478">
        <f t="shared" si="41"/>
        <v>0</v>
      </c>
    </row>
    <row r="144" spans="2:16" ht="12.5">
      <c r="B144" s="160" t="str">
        <f t="shared" si="23"/>
        <v/>
      </c>
      <c r="C144" s="472">
        <f>IF(D93="","-",+C143+1)</f>
        <v>2051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38"/>
        <v>0</v>
      </c>
      <c r="G144" s="485">
        <f t="shared" si="39"/>
        <v>0</v>
      </c>
      <c r="H144" s="488">
        <f t="shared" si="36"/>
        <v>0</v>
      </c>
      <c r="I144" s="542">
        <f t="shared" si="37"/>
        <v>0</v>
      </c>
      <c r="J144" s="478">
        <f t="shared" si="40"/>
        <v>0</v>
      </c>
      <c r="K144" s="478"/>
      <c r="L144" s="487"/>
      <c r="M144" s="478">
        <f t="shared" si="42"/>
        <v>0</v>
      </c>
      <c r="N144" s="487"/>
      <c r="O144" s="478">
        <f t="shared" si="43"/>
        <v>0</v>
      </c>
      <c r="P144" s="478">
        <f t="shared" si="41"/>
        <v>0</v>
      </c>
    </row>
    <row r="145" spans="2:16" ht="12.5">
      <c r="B145" s="160" t="str">
        <f t="shared" si="23"/>
        <v/>
      </c>
      <c r="C145" s="472">
        <f>IF(D93="","-",+C144+1)</f>
        <v>2052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38"/>
        <v>0</v>
      </c>
      <c r="G145" s="485">
        <f t="shared" si="39"/>
        <v>0</v>
      </c>
      <c r="H145" s="488">
        <f t="shared" si="36"/>
        <v>0</v>
      </c>
      <c r="I145" s="542">
        <f t="shared" si="37"/>
        <v>0</v>
      </c>
      <c r="J145" s="478">
        <f t="shared" si="40"/>
        <v>0</v>
      </c>
      <c r="K145" s="478"/>
      <c r="L145" s="487"/>
      <c r="M145" s="478">
        <f t="shared" si="42"/>
        <v>0</v>
      </c>
      <c r="N145" s="487"/>
      <c r="O145" s="478">
        <f t="shared" si="43"/>
        <v>0</v>
      </c>
      <c r="P145" s="478">
        <f t="shared" si="41"/>
        <v>0</v>
      </c>
    </row>
    <row r="146" spans="2:16" ht="12.5">
      <c r="B146" s="160" t="str">
        <f t="shared" si="23"/>
        <v/>
      </c>
      <c r="C146" s="472">
        <f>IF(D93="","-",+C145+1)</f>
        <v>2053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38"/>
        <v>0</v>
      </c>
      <c r="G146" s="485">
        <f t="shared" si="39"/>
        <v>0</v>
      </c>
      <c r="H146" s="488">
        <f t="shared" si="36"/>
        <v>0</v>
      </c>
      <c r="I146" s="542">
        <f t="shared" si="37"/>
        <v>0</v>
      </c>
      <c r="J146" s="478">
        <f t="shared" si="40"/>
        <v>0</v>
      </c>
      <c r="K146" s="478"/>
      <c r="L146" s="487"/>
      <c r="M146" s="478">
        <f t="shared" si="42"/>
        <v>0</v>
      </c>
      <c r="N146" s="487"/>
      <c r="O146" s="478">
        <f t="shared" si="43"/>
        <v>0</v>
      </c>
      <c r="P146" s="478">
        <f t="shared" si="41"/>
        <v>0</v>
      </c>
    </row>
    <row r="147" spans="2:16" ht="12.5">
      <c r="B147" s="160" t="str">
        <f t="shared" si="23"/>
        <v/>
      </c>
      <c r="C147" s="472">
        <f>IF(D93="","-",+C146+1)</f>
        <v>2054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38"/>
        <v>0</v>
      </c>
      <c r="G147" s="485">
        <f t="shared" si="39"/>
        <v>0</v>
      </c>
      <c r="H147" s="488">
        <f t="shared" si="36"/>
        <v>0</v>
      </c>
      <c r="I147" s="542">
        <f t="shared" si="37"/>
        <v>0</v>
      </c>
      <c r="J147" s="478">
        <f t="shared" si="40"/>
        <v>0</v>
      </c>
      <c r="K147" s="478"/>
      <c r="L147" s="487"/>
      <c r="M147" s="478">
        <f t="shared" si="42"/>
        <v>0</v>
      </c>
      <c r="N147" s="487"/>
      <c r="O147" s="478">
        <f t="shared" si="43"/>
        <v>0</v>
      </c>
      <c r="P147" s="478">
        <f t="shared" si="41"/>
        <v>0</v>
      </c>
    </row>
    <row r="148" spans="2:16" ht="12.5">
      <c r="B148" s="160" t="str">
        <f t="shared" si="23"/>
        <v/>
      </c>
      <c r="C148" s="472">
        <f>IF(D93="","-",+C147+1)</f>
        <v>2055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38"/>
        <v>0</v>
      </c>
      <c r="G148" s="485">
        <f t="shared" si="39"/>
        <v>0</v>
      </c>
      <c r="H148" s="488">
        <f t="shared" si="36"/>
        <v>0</v>
      </c>
      <c r="I148" s="542">
        <f t="shared" si="37"/>
        <v>0</v>
      </c>
      <c r="J148" s="478">
        <f t="shared" si="40"/>
        <v>0</v>
      </c>
      <c r="K148" s="478"/>
      <c r="L148" s="487"/>
      <c r="M148" s="478">
        <f t="shared" si="42"/>
        <v>0</v>
      </c>
      <c r="N148" s="487"/>
      <c r="O148" s="478">
        <f t="shared" si="43"/>
        <v>0</v>
      </c>
      <c r="P148" s="478">
        <f t="shared" si="41"/>
        <v>0</v>
      </c>
    </row>
    <row r="149" spans="2:16" ht="12.5">
      <c r="B149" s="160" t="str">
        <f t="shared" si="23"/>
        <v/>
      </c>
      <c r="C149" s="472">
        <f>IF(D93="","-",+C148+1)</f>
        <v>2056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38"/>
        <v>0</v>
      </c>
      <c r="G149" s="485">
        <f t="shared" si="39"/>
        <v>0</v>
      </c>
      <c r="H149" s="488">
        <f t="shared" si="36"/>
        <v>0</v>
      </c>
      <c r="I149" s="542">
        <f t="shared" si="37"/>
        <v>0</v>
      </c>
      <c r="J149" s="478">
        <f t="shared" si="40"/>
        <v>0</v>
      </c>
      <c r="K149" s="478"/>
      <c r="L149" s="487"/>
      <c r="M149" s="478">
        <f t="shared" si="42"/>
        <v>0</v>
      </c>
      <c r="N149" s="487"/>
      <c r="O149" s="478">
        <f t="shared" si="43"/>
        <v>0</v>
      </c>
      <c r="P149" s="478">
        <f t="shared" si="41"/>
        <v>0</v>
      </c>
    </row>
    <row r="150" spans="2:16" ht="12.5">
      <c r="B150" s="160" t="str">
        <f t="shared" si="23"/>
        <v/>
      </c>
      <c r="C150" s="472">
        <f>IF(D93="","-",+C149+1)</f>
        <v>2057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38"/>
        <v>0</v>
      </c>
      <c r="G150" s="485">
        <f t="shared" si="39"/>
        <v>0</v>
      </c>
      <c r="H150" s="488">
        <f t="shared" si="36"/>
        <v>0</v>
      </c>
      <c r="I150" s="542">
        <f t="shared" si="37"/>
        <v>0</v>
      </c>
      <c r="J150" s="478">
        <f t="shared" si="40"/>
        <v>0</v>
      </c>
      <c r="K150" s="478"/>
      <c r="L150" s="487"/>
      <c r="M150" s="478">
        <f t="shared" si="42"/>
        <v>0</v>
      </c>
      <c r="N150" s="487"/>
      <c r="O150" s="478">
        <f t="shared" si="43"/>
        <v>0</v>
      </c>
      <c r="P150" s="478">
        <f t="shared" si="41"/>
        <v>0</v>
      </c>
    </row>
    <row r="151" spans="2:16" ht="12.5">
      <c r="B151" s="160" t="str">
        <f t="shared" si="23"/>
        <v/>
      </c>
      <c r="C151" s="472">
        <f>IF(D93="","-",+C150+1)</f>
        <v>2058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38"/>
        <v>0</v>
      </c>
      <c r="G151" s="485">
        <f t="shared" si="39"/>
        <v>0</v>
      </c>
      <c r="H151" s="488">
        <f t="shared" si="36"/>
        <v>0</v>
      </c>
      <c r="I151" s="542">
        <f t="shared" si="37"/>
        <v>0</v>
      </c>
      <c r="J151" s="478">
        <f t="shared" si="40"/>
        <v>0</v>
      </c>
      <c r="K151" s="478"/>
      <c r="L151" s="487"/>
      <c r="M151" s="478">
        <f t="shared" si="42"/>
        <v>0</v>
      </c>
      <c r="N151" s="487"/>
      <c r="O151" s="478">
        <f t="shared" si="43"/>
        <v>0</v>
      </c>
      <c r="P151" s="478">
        <f t="shared" si="41"/>
        <v>0</v>
      </c>
    </row>
    <row r="152" spans="2:16" ht="12.5">
      <c r="B152" s="160" t="str">
        <f t="shared" si="23"/>
        <v/>
      </c>
      <c r="C152" s="472">
        <f>IF(D93="","-",+C151+1)</f>
        <v>2059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38"/>
        <v>0</v>
      </c>
      <c r="G152" s="485">
        <f t="shared" si="39"/>
        <v>0</v>
      </c>
      <c r="H152" s="488">
        <f t="shared" si="36"/>
        <v>0</v>
      </c>
      <c r="I152" s="542">
        <f t="shared" si="37"/>
        <v>0</v>
      </c>
      <c r="J152" s="478">
        <f t="shared" si="40"/>
        <v>0</v>
      </c>
      <c r="K152" s="478"/>
      <c r="L152" s="487"/>
      <c r="M152" s="478">
        <f t="shared" si="42"/>
        <v>0</v>
      </c>
      <c r="N152" s="487"/>
      <c r="O152" s="478">
        <f t="shared" si="43"/>
        <v>0</v>
      </c>
      <c r="P152" s="478">
        <f t="shared" si="41"/>
        <v>0</v>
      </c>
    </row>
    <row r="153" spans="2:16" ht="12.5">
      <c r="B153" s="160" t="str">
        <f t="shared" si="23"/>
        <v/>
      </c>
      <c r="C153" s="472">
        <f>IF(D93="","-",+C152+1)</f>
        <v>2060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38"/>
        <v>0</v>
      </c>
      <c r="G153" s="485">
        <f t="shared" si="39"/>
        <v>0</v>
      </c>
      <c r="H153" s="488">
        <f t="shared" si="36"/>
        <v>0</v>
      </c>
      <c r="I153" s="542">
        <f t="shared" si="37"/>
        <v>0</v>
      </c>
      <c r="J153" s="478">
        <f t="shared" si="40"/>
        <v>0</v>
      </c>
      <c r="K153" s="478"/>
      <c r="L153" s="487"/>
      <c r="M153" s="478">
        <f t="shared" si="42"/>
        <v>0</v>
      </c>
      <c r="N153" s="487"/>
      <c r="O153" s="478">
        <f t="shared" si="43"/>
        <v>0</v>
      </c>
      <c r="P153" s="478">
        <f t="shared" si="41"/>
        <v>0</v>
      </c>
    </row>
    <row r="154" spans="2:16" ht="13" thickBot="1">
      <c r="B154" s="160" t="str">
        <f t="shared" si="23"/>
        <v/>
      </c>
      <c r="C154" s="489">
        <f>IF(D93="","-",+C153+1)</f>
        <v>2061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38"/>
        <v>0</v>
      </c>
      <c r="G154" s="490">
        <f t="shared" si="39"/>
        <v>0</v>
      </c>
      <c r="H154" s="492">
        <f t="shared" si="36"/>
        <v>0</v>
      </c>
      <c r="I154" s="545">
        <f t="shared" si="37"/>
        <v>0</v>
      </c>
      <c r="J154" s="495">
        <f t="shared" si="40"/>
        <v>0</v>
      </c>
      <c r="K154" s="478"/>
      <c r="L154" s="494"/>
      <c r="M154" s="495">
        <f t="shared" si="42"/>
        <v>0</v>
      </c>
      <c r="N154" s="494"/>
      <c r="O154" s="495">
        <f t="shared" si="43"/>
        <v>0</v>
      </c>
      <c r="P154" s="495">
        <f t="shared" si="41"/>
        <v>0</v>
      </c>
    </row>
    <row r="155" spans="2:16" ht="12.5">
      <c r="C155" s="346" t="s">
        <v>77</v>
      </c>
      <c r="D155" s="347"/>
      <c r="E155" s="347">
        <f>SUM(E99:E154)</f>
        <v>387742</v>
      </c>
      <c r="F155" s="347"/>
      <c r="G155" s="347"/>
      <c r="H155" s="347">
        <f>SUM(H99:H154)</f>
        <v>1422011.6578282502</v>
      </c>
      <c r="I155" s="347">
        <f>SUM(I99:I154)</f>
        <v>1422011.6578282502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148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52" priority="1" stopIfTrue="1" operator="equal">
      <formula>$I$10</formula>
    </cfRule>
  </conditionalFormatting>
  <conditionalFormatting sqref="C99:C154">
    <cfRule type="cellIs" dxfId="51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ignoredErrors>
    <ignoredError sqref="M101 O10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4"/>
  <dimension ref="A1:P162"/>
  <sheetViews>
    <sheetView view="pageBreakPreview" topLeftCell="B1" zoomScale="75" zoomScaleNormal="100" workbookViewId="0">
      <selection activeCell="E9" sqref="E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6 of 28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153220.62710843381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153220.62710843381</v>
      </c>
      <c r="O6" s="232"/>
      <c r="P6" s="232"/>
    </row>
    <row r="7" spans="1:16" ht="13.5" thickBot="1">
      <c r="C7" s="431" t="s">
        <v>46</v>
      </c>
      <c r="D7" s="564" t="s">
        <v>84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85</v>
      </c>
      <c r="E9" s="577" t="s">
        <v>350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1520502</v>
      </c>
      <c r="E10" s="324" t="s">
        <v>51</v>
      </c>
      <c r="F10" s="445"/>
      <c r="G10" s="448"/>
      <c r="H10" s="448"/>
      <c r="I10" s="449">
        <f>+PSO.WS.F.BPU.ATRR.Projected!L19</f>
        <v>2021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2008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4</v>
      </c>
      <c r="E12" s="450" t="s">
        <v>56</v>
      </c>
      <c r="F12" s="448"/>
      <c r="G12" s="195"/>
      <c r="H12" s="195"/>
      <c r="I12" s="454">
        <f>PSO.WS.F.BPU.ATRR.Projected!$F$81</f>
        <v>0.10782165189821359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+PSO.WS.F.BPU.ATRR.Projected!F$93</f>
        <v>43</v>
      </c>
      <c r="E13" s="450" t="s">
        <v>59</v>
      </c>
      <c r="F13" s="448"/>
      <c r="G13" s="195"/>
      <c r="H13" s="195"/>
      <c r="I13" s="454">
        <f>IF(G5="",I12,PSO.WS.F.BPU.ATRR.Projected!$F$80)</f>
        <v>0.10782165189821359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35360.511627906977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2008</v>
      </c>
      <c r="D17" s="473">
        <v>1520473</v>
      </c>
      <c r="E17" s="474">
        <v>19125</v>
      </c>
      <c r="F17" s="473">
        <v>1501348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2009</v>
      </c>
      <c r="D18" s="479">
        <v>1501348</v>
      </c>
      <c r="E18" s="480">
        <v>28688</v>
      </c>
      <c r="F18" s="479">
        <v>1472660</v>
      </c>
      <c r="G18" s="480">
        <v>254309</v>
      </c>
      <c r="H18" s="481">
        <v>254309</v>
      </c>
      <c r="I18" s="475">
        <f t="shared" si="0"/>
        <v>0</v>
      </c>
      <c r="J18" s="475"/>
      <c r="K18" s="476">
        <v>254309</v>
      </c>
      <c r="L18" s="478">
        <f t="shared" si="1"/>
        <v>0</v>
      </c>
      <c r="M18" s="476">
        <v>254309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2010</v>
      </c>
      <c r="D19" s="479">
        <v>1472689</v>
      </c>
      <c r="E19" s="480">
        <v>27151.821428571428</v>
      </c>
      <c r="F19" s="479">
        <v>1445537.1785714286</v>
      </c>
      <c r="G19" s="480">
        <v>235737.79751815079</v>
      </c>
      <c r="H19" s="481">
        <v>235737.79751815079</v>
      </c>
      <c r="I19" s="475">
        <f t="shared" si="0"/>
        <v>0</v>
      </c>
      <c r="J19" s="475"/>
      <c r="K19" s="540">
        <f t="shared" ref="K19:K24" si="4">G19</f>
        <v>235737.79751815079</v>
      </c>
      <c r="L19" s="541">
        <f t="shared" si="1"/>
        <v>0</v>
      </c>
      <c r="M19" s="540">
        <f t="shared" ref="M19:M24" si="5">H19</f>
        <v>235737.79751815079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6">IF(D20=F19,"","IU")</f>
        <v/>
      </c>
      <c r="C20" s="472">
        <f>IF(D11="","-",+C19+1)</f>
        <v>2011</v>
      </c>
      <c r="D20" s="479">
        <v>1445537.1785714286</v>
      </c>
      <c r="E20" s="480">
        <v>29813.764705882353</v>
      </c>
      <c r="F20" s="479">
        <v>1415723.4138655462</v>
      </c>
      <c r="G20" s="480">
        <v>251435.83921239444</v>
      </c>
      <c r="H20" s="481">
        <v>251435.83921239444</v>
      </c>
      <c r="I20" s="475">
        <f t="shared" si="0"/>
        <v>0</v>
      </c>
      <c r="J20" s="475"/>
      <c r="K20" s="476">
        <f t="shared" si="4"/>
        <v>251435.83921239444</v>
      </c>
      <c r="L20" s="550">
        <f t="shared" si="1"/>
        <v>0</v>
      </c>
      <c r="M20" s="476">
        <f t="shared" si="5"/>
        <v>251435.83921239444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6"/>
        <v/>
      </c>
      <c r="C21" s="472">
        <f>IF(D11="","-",+C20+1)</f>
        <v>2012</v>
      </c>
      <c r="D21" s="479">
        <v>1415723.4138655462</v>
      </c>
      <c r="E21" s="480">
        <v>29240.423076923078</v>
      </c>
      <c r="F21" s="479">
        <v>1386482.9907886232</v>
      </c>
      <c r="G21" s="480">
        <v>222248.1918516063</v>
      </c>
      <c r="H21" s="481">
        <v>222248.1918516063</v>
      </c>
      <c r="I21" s="475">
        <f t="shared" si="0"/>
        <v>0</v>
      </c>
      <c r="J21" s="475"/>
      <c r="K21" s="476">
        <f t="shared" si="4"/>
        <v>222248.1918516063</v>
      </c>
      <c r="L21" s="550">
        <f t="shared" si="1"/>
        <v>0</v>
      </c>
      <c r="M21" s="476">
        <f t="shared" si="5"/>
        <v>222248.1918516063</v>
      </c>
      <c r="N21" s="478">
        <f t="shared" si="2"/>
        <v>0</v>
      </c>
      <c r="O21" s="478">
        <f t="shared" si="3"/>
        <v>0</v>
      </c>
      <c r="P21" s="242"/>
    </row>
    <row r="22" spans="2:16" ht="12.5">
      <c r="B22" s="160" t="str">
        <f t="shared" si="6"/>
        <v/>
      </c>
      <c r="C22" s="472">
        <f>IF(D11="","-",+C21+1)</f>
        <v>2013</v>
      </c>
      <c r="D22" s="479">
        <v>1386482.9907886232</v>
      </c>
      <c r="E22" s="480">
        <v>29240.423076923078</v>
      </c>
      <c r="F22" s="479">
        <v>1357242.5677117002</v>
      </c>
      <c r="G22" s="480">
        <v>223063.83719618269</v>
      </c>
      <c r="H22" s="481">
        <v>223063.83719618269</v>
      </c>
      <c r="I22" s="475">
        <v>0</v>
      </c>
      <c r="J22" s="475"/>
      <c r="K22" s="476">
        <f t="shared" si="4"/>
        <v>223063.83719618269</v>
      </c>
      <c r="L22" s="550">
        <f t="shared" ref="L22:L27" si="7">IF(K22&lt;&gt;0,+G22-K22,0)</f>
        <v>0</v>
      </c>
      <c r="M22" s="476">
        <f t="shared" si="5"/>
        <v>223063.83719618269</v>
      </c>
      <c r="N22" s="478">
        <f t="shared" ref="N22:N27" si="8">IF(M22&lt;&gt;0,+H22-M22,0)</f>
        <v>0</v>
      </c>
      <c r="O22" s="478">
        <f t="shared" ref="O22:O27" si="9">+N22-L22</f>
        <v>0</v>
      </c>
      <c r="P22" s="242"/>
    </row>
    <row r="23" spans="2:16" ht="12.5">
      <c r="B23" s="160" t="str">
        <f t="shared" si="6"/>
        <v/>
      </c>
      <c r="C23" s="472">
        <f>IF(D11="","-",+C22+1)</f>
        <v>2014</v>
      </c>
      <c r="D23" s="479">
        <v>1357242.5677117002</v>
      </c>
      <c r="E23" s="480">
        <v>29240.423076923078</v>
      </c>
      <c r="F23" s="479">
        <v>1328002.1446347772</v>
      </c>
      <c r="G23" s="480">
        <v>212051.56179808528</v>
      </c>
      <c r="H23" s="481">
        <v>212051.56179808528</v>
      </c>
      <c r="I23" s="475">
        <v>0</v>
      </c>
      <c r="J23" s="475"/>
      <c r="K23" s="476">
        <f t="shared" si="4"/>
        <v>212051.56179808528</v>
      </c>
      <c r="L23" s="550">
        <f t="shared" si="7"/>
        <v>0</v>
      </c>
      <c r="M23" s="476">
        <f t="shared" si="5"/>
        <v>212051.56179808528</v>
      </c>
      <c r="N23" s="478">
        <f t="shared" si="8"/>
        <v>0</v>
      </c>
      <c r="O23" s="478">
        <f t="shared" si="9"/>
        <v>0</v>
      </c>
      <c r="P23" s="242"/>
    </row>
    <row r="24" spans="2:16" ht="12.5">
      <c r="B24" s="160" t="str">
        <f t="shared" si="6"/>
        <v/>
      </c>
      <c r="C24" s="472">
        <f>IF(D11="","-",+C23+1)</f>
        <v>2015</v>
      </c>
      <c r="D24" s="479">
        <v>1328002.1446347772</v>
      </c>
      <c r="E24" s="480">
        <v>29240.423076923078</v>
      </c>
      <c r="F24" s="479">
        <v>1298761.7215578542</v>
      </c>
      <c r="G24" s="480">
        <v>208302.85337289202</v>
      </c>
      <c r="H24" s="481">
        <v>208302.85337289202</v>
      </c>
      <c r="I24" s="475">
        <v>0</v>
      </c>
      <c r="J24" s="475"/>
      <c r="K24" s="476">
        <f t="shared" si="4"/>
        <v>208302.85337289202</v>
      </c>
      <c r="L24" s="550">
        <f t="shared" si="7"/>
        <v>0</v>
      </c>
      <c r="M24" s="476">
        <f t="shared" si="5"/>
        <v>208302.85337289202</v>
      </c>
      <c r="N24" s="478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6"/>
        <v/>
      </c>
      <c r="C25" s="472">
        <f>IF(D11="","-",+C24+1)</f>
        <v>2016</v>
      </c>
      <c r="D25" s="479">
        <v>1298761.7215578542</v>
      </c>
      <c r="E25" s="480">
        <v>29240.423076923078</v>
      </c>
      <c r="F25" s="479">
        <v>1269521.2984809312</v>
      </c>
      <c r="G25" s="480">
        <v>195750.37197477801</v>
      </c>
      <c r="H25" s="481">
        <v>195750.37197477801</v>
      </c>
      <c r="I25" s="475">
        <f t="shared" si="0"/>
        <v>0</v>
      </c>
      <c r="J25" s="475"/>
      <c r="K25" s="476">
        <f>G25</f>
        <v>195750.37197477801</v>
      </c>
      <c r="L25" s="550">
        <f t="shared" si="7"/>
        <v>0</v>
      </c>
      <c r="M25" s="476">
        <f>H25</f>
        <v>195750.37197477801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6"/>
        <v/>
      </c>
      <c r="C26" s="472">
        <f>IF(D11="","-",+C25+1)</f>
        <v>2017</v>
      </c>
      <c r="D26" s="479">
        <v>1269521.2984809312</v>
      </c>
      <c r="E26" s="480">
        <v>33054.391304347824</v>
      </c>
      <c r="F26" s="479">
        <v>1236466.9071765833</v>
      </c>
      <c r="G26" s="480">
        <v>190407.97943741584</v>
      </c>
      <c r="H26" s="481">
        <v>190407.97943741584</v>
      </c>
      <c r="I26" s="475">
        <f t="shared" si="0"/>
        <v>0</v>
      </c>
      <c r="J26" s="475"/>
      <c r="K26" s="476">
        <f>G26</f>
        <v>190407.97943741584</v>
      </c>
      <c r="L26" s="550">
        <f t="shared" si="7"/>
        <v>0</v>
      </c>
      <c r="M26" s="476">
        <f>H26</f>
        <v>190407.97943741584</v>
      </c>
      <c r="N26" s="478">
        <f t="shared" si="8"/>
        <v>0</v>
      </c>
      <c r="O26" s="478">
        <f t="shared" si="9"/>
        <v>0</v>
      </c>
      <c r="P26" s="242"/>
    </row>
    <row r="27" spans="2:16" ht="12.5">
      <c r="B27" s="160" t="str">
        <f t="shared" si="6"/>
        <v/>
      </c>
      <c r="C27" s="472">
        <f>IF(D11="","-",+C26+1)</f>
        <v>2018</v>
      </c>
      <c r="D27" s="479">
        <v>1236466.9071765833</v>
      </c>
      <c r="E27" s="480">
        <v>33788.933333333334</v>
      </c>
      <c r="F27" s="479">
        <v>1202677.97384325</v>
      </c>
      <c r="G27" s="480">
        <v>179843.63692519162</v>
      </c>
      <c r="H27" s="481">
        <v>179843.63692519162</v>
      </c>
      <c r="I27" s="475">
        <f t="shared" si="0"/>
        <v>0</v>
      </c>
      <c r="J27" s="475"/>
      <c r="K27" s="476">
        <f>G27</f>
        <v>179843.63692519162</v>
      </c>
      <c r="L27" s="550">
        <f t="shared" si="7"/>
        <v>0</v>
      </c>
      <c r="M27" s="476">
        <f>H27</f>
        <v>179843.63692519162</v>
      </c>
      <c r="N27" s="478">
        <f t="shared" si="8"/>
        <v>0</v>
      </c>
      <c r="O27" s="478">
        <f t="shared" si="9"/>
        <v>0</v>
      </c>
      <c r="P27" s="242"/>
    </row>
    <row r="28" spans="2:16" ht="12.5">
      <c r="B28" s="160" t="str">
        <f t="shared" si="6"/>
        <v/>
      </c>
      <c r="C28" s="472">
        <f>IF(D11="","-",+C27+1)</f>
        <v>2019</v>
      </c>
      <c r="D28" s="479">
        <v>1202677.97384325</v>
      </c>
      <c r="E28" s="480">
        <v>38012.550000000003</v>
      </c>
      <c r="F28" s="479">
        <v>1164665.4238432499</v>
      </c>
      <c r="G28" s="480">
        <v>170177.34445508715</v>
      </c>
      <c r="H28" s="481">
        <v>170177.34445508715</v>
      </c>
      <c r="I28" s="475">
        <f t="shared" si="0"/>
        <v>0</v>
      </c>
      <c r="J28" s="475"/>
      <c r="K28" s="476">
        <f>G28</f>
        <v>170177.34445508715</v>
      </c>
      <c r="L28" s="550">
        <f t="shared" ref="L28" si="10">IF(K28&lt;&gt;0,+G28-K28,0)</f>
        <v>0</v>
      </c>
      <c r="M28" s="476">
        <f>H28</f>
        <v>170177.34445508715</v>
      </c>
      <c r="N28" s="478">
        <f t="shared" ref="N28" si="11">IF(M28&lt;&gt;0,+H28-M28,0)</f>
        <v>0</v>
      </c>
      <c r="O28" s="478">
        <f t="shared" ref="O28" si="12">+N28-L28</f>
        <v>0</v>
      </c>
      <c r="P28" s="242"/>
    </row>
    <row r="29" spans="2:16" ht="12.5">
      <c r="B29" s="160" t="str">
        <f t="shared" si="6"/>
        <v>IU</v>
      </c>
      <c r="C29" s="472">
        <f>IF(D11="","-",+C28+1)</f>
        <v>2020</v>
      </c>
      <c r="D29" s="479">
        <v>1168889.0405099166</v>
      </c>
      <c r="E29" s="480">
        <v>36202.428571428572</v>
      </c>
      <c r="F29" s="479">
        <v>1132686.611938488</v>
      </c>
      <c r="G29" s="480">
        <v>160493.01101346352</v>
      </c>
      <c r="H29" s="481">
        <v>160493.01101346352</v>
      </c>
      <c r="I29" s="475">
        <f t="shared" si="0"/>
        <v>0</v>
      </c>
      <c r="J29" s="475"/>
      <c r="K29" s="476">
        <f>G29</f>
        <v>160493.01101346352</v>
      </c>
      <c r="L29" s="550">
        <f t="shared" ref="L29" si="13">IF(K29&lt;&gt;0,+G29-K29,0)</f>
        <v>0</v>
      </c>
      <c r="M29" s="476">
        <f>H29</f>
        <v>160493.01101346352</v>
      </c>
      <c r="N29" s="478">
        <f t="shared" si="2"/>
        <v>0</v>
      </c>
      <c r="O29" s="478">
        <f t="shared" si="3"/>
        <v>0</v>
      </c>
      <c r="P29" s="242"/>
    </row>
    <row r="30" spans="2:16" ht="12.5">
      <c r="B30" s="160" t="str">
        <f t="shared" si="6"/>
        <v>IU</v>
      </c>
      <c r="C30" s="472">
        <f>IF(D11="","-",+C29+1)</f>
        <v>2021</v>
      </c>
      <c r="D30" s="485">
        <f>IF(F29+SUM(E$17:E29)=D$10,F29,D$10-SUM(E$17:E29))</f>
        <v>1128462.995271821</v>
      </c>
      <c r="E30" s="484">
        <f>IF(+I14&lt;F29,I14,D30)</f>
        <v>35360.511627906977</v>
      </c>
      <c r="F30" s="485">
        <f t="shared" ref="F30:F48" si="14">+D30-E30</f>
        <v>1093102.4836439141</v>
      </c>
      <c r="G30" s="486">
        <f t="shared" ref="G30:G72" si="15">+I$12*F30+E30</f>
        <v>153220.62710843381</v>
      </c>
      <c r="H30" s="455">
        <f t="shared" ref="H30:H72" si="16">+I$13*F30+E30</f>
        <v>153220.62710843381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2"/>
    </row>
    <row r="31" spans="2:16" ht="12.5">
      <c r="B31" s="160" t="str">
        <f t="shared" si="6"/>
        <v/>
      </c>
      <c r="C31" s="472">
        <f>IF(D11="","-",+C30+1)</f>
        <v>2022</v>
      </c>
      <c r="D31" s="485">
        <f>IF(F30+SUM(E$17:E30)=D$10,F30,D$10-SUM(E$17:E30))</f>
        <v>1093102.4836439141</v>
      </c>
      <c r="E31" s="484">
        <f>IF(+I14&lt;F30,I14,D31)</f>
        <v>35360.511627906977</v>
      </c>
      <c r="F31" s="485">
        <f t="shared" si="14"/>
        <v>1057741.9720160072</v>
      </c>
      <c r="G31" s="486">
        <f t="shared" si="15"/>
        <v>149407.99833274688</v>
      </c>
      <c r="H31" s="455">
        <f t="shared" si="16"/>
        <v>149407.99833274688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6"/>
        <v/>
      </c>
      <c r="C32" s="472">
        <f>IF(D11="","-",+C31+1)</f>
        <v>2023</v>
      </c>
      <c r="D32" s="485">
        <f>IF(F31+SUM(E$17:E31)=D$10,F31,D$10-SUM(E$17:E31))</f>
        <v>1057741.9720160072</v>
      </c>
      <c r="E32" s="484">
        <f>IF(+I14&lt;F31,I14,D32)</f>
        <v>35360.511627906977</v>
      </c>
      <c r="F32" s="485">
        <f t="shared" si="14"/>
        <v>1022381.4603881002</v>
      </c>
      <c r="G32" s="486">
        <f t="shared" si="15"/>
        <v>145595.36955705995</v>
      </c>
      <c r="H32" s="455">
        <f t="shared" si="16"/>
        <v>145595.36955705995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6"/>
        <v/>
      </c>
      <c r="C33" s="472">
        <f>IF(D11="","-",+C32+1)</f>
        <v>2024</v>
      </c>
      <c r="D33" s="485">
        <f>IF(F32+SUM(E$17:E32)=D$10,F32,D$10-SUM(E$17:E32))</f>
        <v>1022381.4603881002</v>
      </c>
      <c r="E33" s="484">
        <f>IF(+I14&lt;F32,I14,D33)</f>
        <v>35360.511627906977</v>
      </c>
      <c r="F33" s="485">
        <f t="shared" si="14"/>
        <v>987020.94876019331</v>
      </c>
      <c r="G33" s="486">
        <f t="shared" si="15"/>
        <v>141782.74078137305</v>
      </c>
      <c r="H33" s="455">
        <f t="shared" si="16"/>
        <v>141782.74078137305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6"/>
        <v/>
      </c>
      <c r="C34" s="472">
        <f>IF(D11="","-",+C33+1)</f>
        <v>2025</v>
      </c>
      <c r="D34" s="485">
        <f>IF(F33+SUM(E$17:E33)=D$10,F33,D$10-SUM(E$17:E33))</f>
        <v>987020.94876019331</v>
      </c>
      <c r="E34" s="484">
        <f>IF(+I14&lt;F33,I14,D34)</f>
        <v>35360.511627906977</v>
      </c>
      <c r="F34" s="485">
        <f t="shared" si="14"/>
        <v>951660.43713228637</v>
      </c>
      <c r="G34" s="486">
        <f t="shared" si="15"/>
        <v>137970.11200568615</v>
      </c>
      <c r="H34" s="455">
        <f t="shared" si="16"/>
        <v>137970.11200568615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6"/>
        <v/>
      </c>
      <c r="C35" s="472">
        <f>IF(D11="","-",+C34+1)</f>
        <v>2026</v>
      </c>
      <c r="D35" s="485">
        <f>IF(F34+SUM(E$17:E34)=D$10,F34,D$10-SUM(E$17:E34))</f>
        <v>951660.43713228637</v>
      </c>
      <c r="E35" s="484">
        <f>IF(+I14&lt;F34,I14,D35)</f>
        <v>35360.511627906977</v>
      </c>
      <c r="F35" s="485">
        <f t="shared" si="14"/>
        <v>916299.92550437944</v>
      </c>
      <c r="G35" s="486">
        <f t="shared" si="15"/>
        <v>134157.48322999923</v>
      </c>
      <c r="H35" s="455">
        <f t="shared" si="16"/>
        <v>134157.48322999923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6"/>
        <v/>
      </c>
      <c r="C36" s="472">
        <f>IF(D11="","-",+C35+1)</f>
        <v>2027</v>
      </c>
      <c r="D36" s="485">
        <f>IF(F35+SUM(E$17:E35)=D$10,F35,D$10-SUM(E$17:E35))</f>
        <v>916299.92550437944</v>
      </c>
      <c r="E36" s="484">
        <f>IF(+I14&lt;F35,I14,D36)</f>
        <v>35360.511627906977</v>
      </c>
      <c r="F36" s="485">
        <f t="shared" si="14"/>
        <v>880939.41387647251</v>
      </c>
      <c r="G36" s="486">
        <f t="shared" si="15"/>
        <v>130344.85445431231</v>
      </c>
      <c r="H36" s="455">
        <f t="shared" si="16"/>
        <v>130344.85445431231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6"/>
        <v/>
      </c>
      <c r="C37" s="472">
        <f>IF(D11="","-",+C36+1)</f>
        <v>2028</v>
      </c>
      <c r="D37" s="485">
        <f>IF(F36+SUM(E$17:E36)=D$10,F36,D$10-SUM(E$17:E36))</f>
        <v>880939.41387647251</v>
      </c>
      <c r="E37" s="484">
        <f>IF(+I14&lt;F36,I14,D37)</f>
        <v>35360.511627906977</v>
      </c>
      <c r="F37" s="485">
        <f t="shared" si="14"/>
        <v>845578.90224856557</v>
      </c>
      <c r="G37" s="486">
        <f t="shared" si="15"/>
        <v>126532.22567862539</v>
      </c>
      <c r="H37" s="455">
        <f t="shared" si="16"/>
        <v>126532.22567862539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6"/>
        <v/>
      </c>
      <c r="C38" s="472">
        <f>IF(D11="","-",+C37+1)</f>
        <v>2029</v>
      </c>
      <c r="D38" s="485">
        <f>IF(F37+SUM(E$17:E37)=D$10,F37,D$10-SUM(E$17:E37))</f>
        <v>845578.90224856557</v>
      </c>
      <c r="E38" s="484">
        <f>IF(+I14&lt;F37,I14,D38)</f>
        <v>35360.511627906977</v>
      </c>
      <c r="F38" s="485">
        <f t="shared" si="14"/>
        <v>810218.39062065864</v>
      </c>
      <c r="G38" s="486">
        <f t="shared" si="15"/>
        <v>122719.59690293847</v>
      </c>
      <c r="H38" s="455">
        <f t="shared" si="16"/>
        <v>122719.59690293847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6"/>
        <v/>
      </c>
      <c r="C39" s="472">
        <f>IF(D11="","-",+C38+1)</f>
        <v>2030</v>
      </c>
      <c r="D39" s="485">
        <f>IF(F38+SUM(E$17:E38)=D$10,F38,D$10-SUM(E$17:E38))</f>
        <v>810218.39062065864</v>
      </c>
      <c r="E39" s="484">
        <f>IF(+I14&lt;F38,I14,D39)</f>
        <v>35360.511627906977</v>
      </c>
      <c r="F39" s="485">
        <f t="shared" si="14"/>
        <v>774857.87899275171</v>
      </c>
      <c r="G39" s="486">
        <f t="shared" si="15"/>
        <v>118906.96812725156</v>
      </c>
      <c r="H39" s="455">
        <f t="shared" si="16"/>
        <v>118906.96812725156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6"/>
        <v/>
      </c>
      <c r="C40" s="472">
        <f>IF(D11="","-",+C39+1)</f>
        <v>2031</v>
      </c>
      <c r="D40" s="485">
        <f>IF(F39+SUM(E$17:E39)=D$10,F39,D$10-SUM(E$17:E39))</f>
        <v>774857.87899275171</v>
      </c>
      <c r="E40" s="484">
        <f>IF(+I14&lt;F39,I14,D40)</f>
        <v>35360.511627906977</v>
      </c>
      <c r="F40" s="485">
        <f t="shared" si="14"/>
        <v>739497.36736484477</v>
      </c>
      <c r="G40" s="486">
        <f t="shared" si="15"/>
        <v>115094.33935156465</v>
      </c>
      <c r="H40" s="455">
        <f t="shared" si="16"/>
        <v>115094.33935156465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6"/>
        <v/>
      </c>
      <c r="C41" s="472">
        <f>IF(D11="","-",+C40+1)</f>
        <v>2032</v>
      </c>
      <c r="D41" s="485">
        <f>IF(F40+SUM(E$17:E40)=D$10,F40,D$10-SUM(E$17:E40))</f>
        <v>739497.36736484477</v>
      </c>
      <c r="E41" s="484">
        <f>IF(+I14&lt;F40,I14,D41)</f>
        <v>35360.511627906977</v>
      </c>
      <c r="F41" s="485">
        <f t="shared" si="14"/>
        <v>704136.85573693784</v>
      </c>
      <c r="G41" s="486">
        <f t="shared" si="15"/>
        <v>111281.71057587773</v>
      </c>
      <c r="H41" s="455">
        <f t="shared" si="16"/>
        <v>111281.71057587773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6"/>
        <v/>
      </c>
      <c r="C42" s="472">
        <f>IF(D11="","-",+C41+1)</f>
        <v>2033</v>
      </c>
      <c r="D42" s="485">
        <f>IF(F41+SUM(E$17:E41)=D$10,F41,D$10-SUM(E$17:E41))</f>
        <v>704136.85573693784</v>
      </c>
      <c r="E42" s="484">
        <f>IF(+I14&lt;F41,I14,D42)</f>
        <v>35360.511627906977</v>
      </c>
      <c r="F42" s="485">
        <f t="shared" si="14"/>
        <v>668776.34410903091</v>
      </c>
      <c r="G42" s="486">
        <f t="shared" si="15"/>
        <v>107469.08180019082</v>
      </c>
      <c r="H42" s="455">
        <f t="shared" si="16"/>
        <v>107469.08180019082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6"/>
        <v/>
      </c>
      <c r="C43" s="472">
        <f>IF(D11="","-",+C42+1)</f>
        <v>2034</v>
      </c>
      <c r="D43" s="485">
        <f>IF(F42+SUM(E$17:E42)=D$10,F42,D$10-SUM(E$17:E42))</f>
        <v>668776.34410903091</v>
      </c>
      <c r="E43" s="484">
        <f>IF(+I14&lt;F42,I14,D43)</f>
        <v>35360.511627906977</v>
      </c>
      <c r="F43" s="485">
        <f t="shared" si="14"/>
        <v>633415.83248112397</v>
      </c>
      <c r="G43" s="486">
        <f t="shared" si="15"/>
        <v>103656.45302450391</v>
      </c>
      <c r="H43" s="455">
        <f t="shared" si="16"/>
        <v>103656.45302450391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6"/>
        <v/>
      </c>
      <c r="C44" s="472">
        <f>IF(D11="","-",+C43+1)</f>
        <v>2035</v>
      </c>
      <c r="D44" s="485">
        <f>IF(F43+SUM(E$17:E43)=D$10,F43,D$10-SUM(E$17:E43))</f>
        <v>633415.83248112397</v>
      </c>
      <c r="E44" s="484">
        <f>IF(+I14&lt;F43,I14,D44)</f>
        <v>35360.511627906977</v>
      </c>
      <c r="F44" s="485">
        <f t="shared" si="14"/>
        <v>598055.32085321704</v>
      </c>
      <c r="G44" s="486">
        <f t="shared" si="15"/>
        <v>99843.824248816993</v>
      </c>
      <c r="H44" s="455">
        <f t="shared" si="16"/>
        <v>99843.824248816993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6"/>
        <v/>
      </c>
      <c r="C45" s="472">
        <f>IF(D11="","-",+C44+1)</f>
        <v>2036</v>
      </c>
      <c r="D45" s="485">
        <f>IF(F44+SUM(E$17:E44)=D$10,F44,D$10-SUM(E$17:E44))</f>
        <v>598055.32085321704</v>
      </c>
      <c r="E45" s="484">
        <f>IF(+I14&lt;F44,I14,D45)</f>
        <v>35360.511627906977</v>
      </c>
      <c r="F45" s="485">
        <f t="shared" si="14"/>
        <v>562694.80922531011</v>
      </c>
      <c r="G45" s="486">
        <f t="shared" si="15"/>
        <v>96031.195473130065</v>
      </c>
      <c r="H45" s="455">
        <f t="shared" si="16"/>
        <v>96031.195473130065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6"/>
        <v/>
      </c>
      <c r="C46" s="472">
        <f>IF(D11="","-",+C45+1)</f>
        <v>2037</v>
      </c>
      <c r="D46" s="485">
        <f>IF(F45+SUM(E$17:E45)=D$10,F45,D$10-SUM(E$17:E45))</f>
        <v>562694.80922531011</v>
      </c>
      <c r="E46" s="484">
        <f>IF(+I14&lt;F45,I14,D46)</f>
        <v>35360.511627906977</v>
      </c>
      <c r="F46" s="485">
        <f t="shared" si="14"/>
        <v>527334.29759740317</v>
      </c>
      <c r="G46" s="486">
        <f t="shared" si="15"/>
        <v>92218.566697443151</v>
      </c>
      <c r="H46" s="455">
        <f t="shared" si="16"/>
        <v>92218.566697443151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6"/>
        <v/>
      </c>
      <c r="C47" s="472">
        <f>IF(D11="","-",+C46+1)</f>
        <v>2038</v>
      </c>
      <c r="D47" s="485">
        <f>IF(F46+SUM(E$17:E46)=D$10,F46,D$10-SUM(E$17:E46))</f>
        <v>527334.29759740317</v>
      </c>
      <c r="E47" s="484">
        <f>IF(+I14&lt;F46,I14,D47)</f>
        <v>35360.511627906977</v>
      </c>
      <c r="F47" s="485">
        <f t="shared" si="14"/>
        <v>491973.78596949618</v>
      </c>
      <c r="G47" s="486">
        <f t="shared" si="15"/>
        <v>88405.937921756238</v>
      </c>
      <c r="H47" s="455">
        <f t="shared" si="16"/>
        <v>88405.937921756238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6"/>
        <v/>
      </c>
      <c r="C48" s="472">
        <f>IF(D11="","-",+C47+1)</f>
        <v>2039</v>
      </c>
      <c r="D48" s="485">
        <f>IF(F47+SUM(E$17:E47)=D$10,F47,D$10-SUM(E$17:E47))</f>
        <v>491973.78596949618</v>
      </c>
      <c r="E48" s="484">
        <f>IF(+I14&lt;F47,I14,D48)</f>
        <v>35360.511627906977</v>
      </c>
      <c r="F48" s="485">
        <f t="shared" si="14"/>
        <v>456613.27434158919</v>
      </c>
      <c r="G48" s="486">
        <f t="shared" si="15"/>
        <v>84593.30914606931</v>
      </c>
      <c r="H48" s="455">
        <f t="shared" si="16"/>
        <v>84593.30914606931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6"/>
        <v/>
      </c>
      <c r="C49" s="472">
        <f>IF(D11="","-",+C48+1)</f>
        <v>2040</v>
      </c>
      <c r="D49" s="485">
        <f>IF(F48+SUM(E$17:E48)=D$10,F48,D$10-SUM(E$17:E48))</f>
        <v>456613.27434158919</v>
      </c>
      <c r="E49" s="484">
        <f>IF(+I14&lt;F48,I14,D49)</f>
        <v>35360.511627906977</v>
      </c>
      <c r="F49" s="485">
        <f t="shared" ref="F49:F72" si="17">+D49-E49</f>
        <v>421252.7627136822</v>
      </c>
      <c r="G49" s="486">
        <f t="shared" si="15"/>
        <v>80780.680370382383</v>
      </c>
      <c r="H49" s="455">
        <f t="shared" si="16"/>
        <v>80780.680370382383</v>
      </c>
      <c r="I49" s="475">
        <f t="shared" ref="I49:I72" si="18">H49-G49</f>
        <v>0</v>
      </c>
      <c r="J49" s="475"/>
      <c r="K49" s="487"/>
      <c r="L49" s="478">
        <f t="shared" ref="L49:L72" si="19">IF(K49&lt;&gt;0,+G49-K49,0)</f>
        <v>0</v>
      </c>
      <c r="M49" s="487"/>
      <c r="N49" s="478">
        <f t="shared" ref="N49:N72" si="20">IF(M49&lt;&gt;0,+H49-M49,0)</f>
        <v>0</v>
      </c>
      <c r="O49" s="478">
        <f t="shared" ref="O49:O72" si="21">+N49-L49</f>
        <v>0</v>
      </c>
      <c r="P49" s="242"/>
    </row>
    <row r="50" spans="2:16" ht="12.5">
      <c r="B50" s="160" t="str">
        <f t="shared" si="6"/>
        <v/>
      </c>
      <c r="C50" s="472">
        <f>IF(D11="","-",+C49+1)</f>
        <v>2041</v>
      </c>
      <c r="D50" s="485">
        <f>IF(F49+SUM(E$17:E49)=D$10,F49,D$10-SUM(E$17:E49))</f>
        <v>421252.7627136822</v>
      </c>
      <c r="E50" s="484">
        <f>IF(+I14&lt;F49,I14,D50)</f>
        <v>35360.511627906977</v>
      </c>
      <c r="F50" s="485">
        <f t="shared" si="17"/>
        <v>385892.25108577521</v>
      </c>
      <c r="G50" s="486">
        <f t="shared" si="15"/>
        <v>76968.051594695469</v>
      </c>
      <c r="H50" s="455">
        <f t="shared" si="16"/>
        <v>76968.051594695469</v>
      </c>
      <c r="I50" s="475">
        <f t="shared" si="18"/>
        <v>0</v>
      </c>
      <c r="J50" s="475"/>
      <c r="K50" s="487"/>
      <c r="L50" s="478">
        <f t="shared" si="19"/>
        <v>0</v>
      </c>
      <c r="M50" s="487"/>
      <c r="N50" s="478">
        <f t="shared" si="20"/>
        <v>0</v>
      </c>
      <c r="O50" s="478">
        <f t="shared" si="21"/>
        <v>0</v>
      </c>
      <c r="P50" s="242"/>
    </row>
    <row r="51" spans="2:16" ht="12.5">
      <c r="B51" s="160" t="str">
        <f t="shared" si="6"/>
        <v/>
      </c>
      <c r="C51" s="472">
        <f>IF(D11="","-",+C50+1)</f>
        <v>2042</v>
      </c>
      <c r="D51" s="485">
        <f>IF(F50+SUM(E$17:E50)=D$10,F50,D$10-SUM(E$17:E50))</f>
        <v>385892.25108577521</v>
      </c>
      <c r="E51" s="484">
        <f>IF(+I14&lt;F50,I14,D51)</f>
        <v>35360.511627906977</v>
      </c>
      <c r="F51" s="485">
        <f t="shared" si="17"/>
        <v>350531.73945786821</v>
      </c>
      <c r="G51" s="486">
        <f t="shared" si="15"/>
        <v>73155.422819008556</v>
      </c>
      <c r="H51" s="455">
        <f t="shared" si="16"/>
        <v>73155.422819008556</v>
      </c>
      <c r="I51" s="475">
        <f t="shared" si="18"/>
        <v>0</v>
      </c>
      <c r="J51" s="475"/>
      <c r="K51" s="487"/>
      <c r="L51" s="478">
        <f t="shared" si="19"/>
        <v>0</v>
      </c>
      <c r="M51" s="487"/>
      <c r="N51" s="478">
        <f t="shared" si="20"/>
        <v>0</v>
      </c>
      <c r="O51" s="478">
        <f t="shared" si="21"/>
        <v>0</v>
      </c>
      <c r="P51" s="242"/>
    </row>
    <row r="52" spans="2:16" ht="12.5">
      <c r="B52" s="160" t="str">
        <f t="shared" si="6"/>
        <v/>
      </c>
      <c r="C52" s="472">
        <f>IF(D11="","-",+C51+1)</f>
        <v>2043</v>
      </c>
      <c r="D52" s="485">
        <f>IF(F51+SUM(E$17:E51)=D$10,F51,D$10-SUM(E$17:E51))</f>
        <v>350531.73945786821</v>
      </c>
      <c r="E52" s="484">
        <f>IF(+I14&lt;F51,I14,D52)</f>
        <v>35360.511627906977</v>
      </c>
      <c r="F52" s="485">
        <f t="shared" si="17"/>
        <v>315171.22782996122</v>
      </c>
      <c r="G52" s="486">
        <f t="shared" si="15"/>
        <v>69342.794043321628</v>
      </c>
      <c r="H52" s="455">
        <f t="shared" si="16"/>
        <v>69342.794043321628</v>
      </c>
      <c r="I52" s="475">
        <f t="shared" si="18"/>
        <v>0</v>
      </c>
      <c r="J52" s="475"/>
      <c r="K52" s="487"/>
      <c r="L52" s="478">
        <f t="shared" si="19"/>
        <v>0</v>
      </c>
      <c r="M52" s="487"/>
      <c r="N52" s="478">
        <f t="shared" si="20"/>
        <v>0</v>
      </c>
      <c r="O52" s="478">
        <f t="shared" si="21"/>
        <v>0</v>
      </c>
      <c r="P52" s="242"/>
    </row>
    <row r="53" spans="2:16" ht="12.5">
      <c r="B53" s="160" t="str">
        <f t="shared" si="6"/>
        <v/>
      </c>
      <c r="C53" s="472">
        <f>IF(D11="","-",+C52+1)</f>
        <v>2044</v>
      </c>
      <c r="D53" s="485">
        <f>IF(F52+SUM(E$17:E52)=D$10,F52,D$10-SUM(E$17:E52))</f>
        <v>315171.22782996122</v>
      </c>
      <c r="E53" s="484">
        <f>IF(+I14&lt;F52,I14,D53)</f>
        <v>35360.511627906977</v>
      </c>
      <c r="F53" s="485">
        <f t="shared" si="17"/>
        <v>279810.71620205423</v>
      </c>
      <c r="G53" s="486">
        <f t="shared" si="15"/>
        <v>65530.1652676347</v>
      </c>
      <c r="H53" s="455">
        <f t="shared" si="16"/>
        <v>65530.1652676347</v>
      </c>
      <c r="I53" s="475">
        <f t="shared" si="18"/>
        <v>0</v>
      </c>
      <c r="J53" s="475"/>
      <c r="K53" s="487"/>
      <c r="L53" s="478">
        <f t="shared" si="19"/>
        <v>0</v>
      </c>
      <c r="M53" s="487"/>
      <c r="N53" s="478">
        <f t="shared" si="20"/>
        <v>0</v>
      </c>
      <c r="O53" s="478">
        <f t="shared" si="21"/>
        <v>0</v>
      </c>
      <c r="P53" s="242"/>
    </row>
    <row r="54" spans="2:16" ht="12.5">
      <c r="B54" s="160" t="str">
        <f t="shared" si="6"/>
        <v/>
      </c>
      <c r="C54" s="472">
        <f>IF(D11="","-",+C53+1)</f>
        <v>2045</v>
      </c>
      <c r="D54" s="485">
        <f>IF(F53+SUM(E$17:E53)=D$10,F53,D$10-SUM(E$17:E53))</f>
        <v>279810.71620205423</v>
      </c>
      <c r="E54" s="484">
        <f>IF(+I14&lt;F53,I14,D54)</f>
        <v>35360.511627906977</v>
      </c>
      <c r="F54" s="485">
        <f t="shared" si="17"/>
        <v>244450.20457414724</v>
      </c>
      <c r="G54" s="486">
        <f t="shared" si="15"/>
        <v>61717.53649194778</v>
      </c>
      <c r="H54" s="455">
        <f t="shared" si="16"/>
        <v>61717.53649194778</v>
      </c>
      <c r="I54" s="475">
        <f t="shared" si="18"/>
        <v>0</v>
      </c>
      <c r="J54" s="475"/>
      <c r="K54" s="487"/>
      <c r="L54" s="478">
        <f t="shared" si="19"/>
        <v>0</v>
      </c>
      <c r="M54" s="487"/>
      <c r="N54" s="478">
        <f t="shared" si="20"/>
        <v>0</v>
      </c>
      <c r="O54" s="478">
        <f t="shared" si="21"/>
        <v>0</v>
      </c>
      <c r="P54" s="242"/>
    </row>
    <row r="55" spans="2:16" ht="12.5">
      <c r="B55" s="160" t="str">
        <f t="shared" si="6"/>
        <v/>
      </c>
      <c r="C55" s="472">
        <f>IF(D11="","-",+C54+1)</f>
        <v>2046</v>
      </c>
      <c r="D55" s="485">
        <f>IF(F54+SUM(E$17:E54)=D$10,F54,D$10-SUM(E$17:E54))</f>
        <v>244450.20457414724</v>
      </c>
      <c r="E55" s="484">
        <f>IF(+I14&lt;F54,I14,D55)</f>
        <v>35360.511627906977</v>
      </c>
      <c r="F55" s="485">
        <f t="shared" si="17"/>
        <v>209089.69294624025</v>
      </c>
      <c r="G55" s="486">
        <f t="shared" si="15"/>
        <v>57904.907716260859</v>
      </c>
      <c r="H55" s="455">
        <f t="shared" si="16"/>
        <v>57904.907716260859</v>
      </c>
      <c r="I55" s="475">
        <f t="shared" si="18"/>
        <v>0</v>
      </c>
      <c r="J55" s="475"/>
      <c r="K55" s="487"/>
      <c r="L55" s="478">
        <f t="shared" si="19"/>
        <v>0</v>
      </c>
      <c r="M55" s="487"/>
      <c r="N55" s="478">
        <f t="shared" si="20"/>
        <v>0</v>
      </c>
      <c r="O55" s="478">
        <f t="shared" si="21"/>
        <v>0</v>
      </c>
      <c r="P55" s="242"/>
    </row>
    <row r="56" spans="2:16" ht="12.5">
      <c r="B56" s="160" t="str">
        <f t="shared" si="6"/>
        <v/>
      </c>
      <c r="C56" s="472">
        <f>IF(D11="","-",+C55+1)</f>
        <v>2047</v>
      </c>
      <c r="D56" s="485">
        <f>IF(F55+SUM(E$17:E55)=D$10,F55,D$10-SUM(E$17:E55))</f>
        <v>209089.69294624025</v>
      </c>
      <c r="E56" s="484">
        <f>IF(+I14&lt;F55,I14,D56)</f>
        <v>35360.511627906977</v>
      </c>
      <c r="F56" s="485">
        <f t="shared" si="17"/>
        <v>173729.18131833326</v>
      </c>
      <c r="G56" s="486">
        <f t="shared" si="15"/>
        <v>54092.278940573939</v>
      </c>
      <c r="H56" s="455">
        <f t="shared" si="16"/>
        <v>54092.278940573939</v>
      </c>
      <c r="I56" s="475">
        <f t="shared" si="18"/>
        <v>0</v>
      </c>
      <c r="J56" s="475"/>
      <c r="K56" s="487"/>
      <c r="L56" s="478">
        <f t="shared" si="19"/>
        <v>0</v>
      </c>
      <c r="M56" s="487"/>
      <c r="N56" s="478">
        <f t="shared" si="20"/>
        <v>0</v>
      </c>
      <c r="O56" s="478">
        <f t="shared" si="21"/>
        <v>0</v>
      </c>
      <c r="P56" s="242"/>
    </row>
    <row r="57" spans="2:16" ht="12.5">
      <c r="B57" s="160" t="str">
        <f t="shared" si="6"/>
        <v/>
      </c>
      <c r="C57" s="472">
        <f>IF(D11="","-",+C56+1)</f>
        <v>2048</v>
      </c>
      <c r="D57" s="485">
        <f>IF(F56+SUM(E$17:E56)=D$10,F56,D$10-SUM(E$17:E56))</f>
        <v>173729.18131833326</v>
      </c>
      <c r="E57" s="484">
        <f>IF(+I14&lt;F56,I14,D57)</f>
        <v>35360.511627906977</v>
      </c>
      <c r="F57" s="485">
        <f t="shared" si="17"/>
        <v>138368.66969042626</v>
      </c>
      <c r="G57" s="486">
        <f t="shared" si="15"/>
        <v>50279.650164887018</v>
      </c>
      <c r="H57" s="455">
        <f t="shared" si="16"/>
        <v>50279.650164887018</v>
      </c>
      <c r="I57" s="475">
        <f t="shared" si="18"/>
        <v>0</v>
      </c>
      <c r="J57" s="475"/>
      <c r="K57" s="487"/>
      <c r="L57" s="478">
        <f t="shared" si="19"/>
        <v>0</v>
      </c>
      <c r="M57" s="487"/>
      <c r="N57" s="478">
        <f t="shared" si="20"/>
        <v>0</v>
      </c>
      <c r="O57" s="478">
        <f t="shared" si="21"/>
        <v>0</v>
      </c>
      <c r="P57" s="242"/>
    </row>
    <row r="58" spans="2:16" ht="12.5">
      <c r="B58" s="160" t="str">
        <f t="shared" si="6"/>
        <v/>
      </c>
      <c r="C58" s="472">
        <f>IF(D11="","-",+C57+1)</f>
        <v>2049</v>
      </c>
      <c r="D58" s="485">
        <f>IF(F57+SUM(E$17:E57)=D$10,F57,D$10-SUM(E$17:E57))</f>
        <v>138368.66969042626</v>
      </c>
      <c r="E58" s="484">
        <f>IF(+I14&lt;F57,I14,D58)</f>
        <v>35360.511627906977</v>
      </c>
      <c r="F58" s="485">
        <f t="shared" si="17"/>
        <v>103008.15806251929</v>
      </c>
      <c r="G58" s="486">
        <f t="shared" si="15"/>
        <v>46467.021389200097</v>
      </c>
      <c r="H58" s="455">
        <f t="shared" si="16"/>
        <v>46467.021389200097</v>
      </c>
      <c r="I58" s="475">
        <f t="shared" si="18"/>
        <v>0</v>
      </c>
      <c r="J58" s="475"/>
      <c r="K58" s="487"/>
      <c r="L58" s="478">
        <f t="shared" si="19"/>
        <v>0</v>
      </c>
      <c r="M58" s="487"/>
      <c r="N58" s="478">
        <f t="shared" si="20"/>
        <v>0</v>
      </c>
      <c r="O58" s="478">
        <f t="shared" si="21"/>
        <v>0</v>
      </c>
      <c r="P58" s="242"/>
    </row>
    <row r="59" spans="2:16" ht="12.5">
      <c r="B59" s="160" t="str">
        <f t="shared" si="6"/>
        <v/>
      </c>
      <c r="C59" s="472">
        <f>IF(D11="","-",+C58+1)</f>
        <v>2050</v>
      </c>
      <c r="D59" s="485">
        <f>IF(F58+SUM(E$17:E58)=D$10,F58,D$10-SUM(E$17:E58))</f>
        <v>103008.15806251929</v>
      </c>
      <c r="E59" s="484">
        <f>IF(+I14&lt;F58,I14,D59)</f>
        <v>35360.511627906977</v>
      </c>
      <c r="F59" s="485">
        <f t="shared" si="17"/>
        <v>67647.64643461231</v>
      </c>
      <c r="G59" s="486">
        <f t="shared" si="15"/>
        <v>42654.392613513177</v>
      </c>
      <c r="H59" s="455">
        <f t="shared" si="16"/>
        <v>42654.392613513177</v>
      </c>
      <c r="I59" s="475">
        <f t="shared" si="18"/>
        <v>0</v>
      </c>
      <c r="J59" s="475"/>
      <c r="K59" s="487"/>
      <c r="L59" s="478">
        <f t="shared" si="19"/>
        <v>0</v>
      </c>
      <c r="M59" s="487"/>
      <c r="N59" s="478">
        <f t="shared" si="20"/>
        <v>0</v>
      </c>
      <c r="O59" s="478">
        <f t="shared" si="21"/>
        <v>0</v>
      </c>
      <c r="P59" s="242"/>
    </row>
    <row r="60" spans="2:16" ht="12.5">
      <c r="B60" s="160" t="str">
        <f t="shared" si="6"/>
        <v/>
      </c>
      <c r="C60" s="472">
        <f>IF(D11="","-",+C59+1)</f>
        <v>2051</v>
      </c>
      <c r="D60" s="485">
        <f>IF(F59+SUM(E$17:E59)=D$10,F59,D$10-SUM(E$17:E59))</f>
        <v>67647.64643461231</v>
      </c>
      <c r="E60" s="484">
        <f>IF(+I14&lt;F59,I14,D60)</f>
        <v>35360.511627906977</v>
      </c>
      <c r="F60" s="485">
        <f t="shared" si="17"/>
        <v>32287.134806705333</v>
      </c>
      <c r="G60" s="486">
        <f t="shared" si="15"/>
        <v>38841.763837826256</v>
      </c>
      <c r="H60" s="455">
        <f t="shared" si="16"/>
        <v>38841.763837826256</v>
      </c>
      <c r="I60" s="475">
        <f t="shared" si="18"/>
        <v>0</v>
      </c>
      <c r="J60" s="475"/>
      <c r="K60" s="487"/>
      <c r="L60" s="478">
        <f t="shared" si="19"/>
        <v>0</v>
      </c>
      <c r="M60" s="487"/>
      <c r="N60" s="478">
        <f t="shared" si="20"/>
        <v>0</v>
      </c>
      <c r="O60" s="478">
        <f t="shared" si="21"/>
        <v>0</v>
      </c>
      <c r="P60" s="242"/>
    </row>
    <row r="61" spans="2:16" ht="12.5">
      <c r="B61" s="160" t="str">
        <f t="shared" si="6"/>
        <v/>
      </c>
      <c r="C61" s="472">
        <f>IF(D11="","-",+C60+1)</f>
        <v>2052</v>
      </c>
      <c r="D61" s="485">
        <f>IF(F60+SUM(E$17:E60)=D$10,F60,D$10-SUM(E$17:E60))</f>
        <v>32287.134806705333</v>
      </c>
      <c r="E61" s="484">
        <f>IF(+I14&lt;F60,I14,D61)</f>
        <v>32287.134806705333</v>
      </c>
      <c r="F61" s="485">
        <f t="shared" si="17"/>
        <v>0</v>
      </c>
      <c r="G61" s="488">
        <f t="shared" si="15"/>
        <v>32287.134806705333</v>
      </c>
      <c r="H61" s="455">
        <f t="shared" si="16"/>
        <v>32287.134806705333</v>
      </c>
      <c r="I61" s="475">
        <f t="shared" si="18"/>
        <v>0</v>
      </c>
      <c r="J61" s="475"/>
      <c r="K61" s="487"/>
      <c r="L61" s="478">
        <f t="shared" si="19"/>
        <v>0</v>
      </c>
      <c r="M61" s="487"/>
      <c r="N61" s="478">
        <f t="shared" si="20"/>
        <v>0</v>
      </c>
      <c r="O61" s="478">
        <f t="shared" si="21"/>
        <v>0</v>
      </c>
      <c r="P61" s="242"/>
    </row>
    <row r="62" spans="2:16" ht="12.5">
      <c r="B62" s="160" t="str">
        <f t="shared" si="6"/>
        <v/>
      </c>
      <c r="C62" s="472">
        <f>IF(D11="","-",+C61+1)</f>
        <v>2053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17"/>
        <v>0</v>
      </c>
      <c r="G62" s="488">
        <f t="shared" si="15"/>
        <v>0</v>
      </c>
      <c r="H62" s="455">
        <f t="shared" si="16"/>
        <v>0</v>
      </c>
      <c r="I62" s="475">
        <f t="shared" si="18"/>
        <v>0</v>
      </c>
      <c r="J62" s="475"/>
      <c r="K62" s="487"/>
      <c r="L62" s="478">
        <f t="shared" si="19"/>
        <v>0</v>
      </c>
      <c r="M62" s="487"/>
      <c r="N62" s="478">
        <f t="shared" si="20"/>
        <v>0</v>
      </c>
      <c r="O62" s="478">
        <f t="shared" si="21"/>
        <v>0</v>
      </c>
      <c r="P62" s="242"/>
    </row>
    <row r="63" spans="2:16" ht="12.5">
      <c r="B63" s="160" t="str">
        <f t="shared" si="6"/>
        <v/>
      </c>
      <c r="C63" s="472">
        <f>IF(D11="","-",+C62+1)</f>
        <v>2054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7"/>
        <v>0</v>
      </c>
      <c r="G63" s="488">
        <f t="shared" si="15"/>
        <v>0</v>
      </c>
      <c r="H63" s="455">
        <f t="shared" si="16"/>
        <v>0</v>
      </c>
      <c r="I63" s="475">
        <f t="shared" si="18"/>
        <v>0</v>
      </c>
      <c r="J63" s="475"/>
      <c r="K63" s="487"/>
      <c r="L63" s="478">
        <f t="shared" si="19"/>
        <v>0</v>
      </c>
      <c r="M63" s="487"/>
      <c r="N63" s="478">
        <f t="shared" si="20"/>
        <v>0</v>
      </c>
      <c r="O63" s="478">
        <f t="shared" si="21"/>
        <v>0</v>
      </c>
      <c r="P63" s="242"/>
    </row>
    <row r="64" spans="2:16" ht="12.5">
      <c r="B64" s="160" t="str">
        <f t="shared" si="6"/>
        <v/>
      </c>
      <c r="C64" s="472">
        <f>IF(D11="","-",+C63+1)</f>
        <v>2055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7"/>
        <v>0</v>
      </c>
      <c r="G64" s="488">
        <f t="shared" si="15"/>
        <v>0</v>
      </c>
      <c r="H64" s="455">
        <f t="shared" si="16"/>
        <v>0</v>
      </c>
      <c r="I64" s="475">
        <f t="shared" si="18"/>
        <v>0</v>
      </c>
      <c r="J64" s="475"/>
      <c r="K64" s="487"/>
      <c r="L64" s="478">
        <f t="shared" si="19"/>
        <v>0</v>
      </c>
      <c r="M64" s="487"/>
      <c r="N64" s="478">
        <f t="shared" si="20"/>
        <v>0</v>
      </c>
      <c r="O64" s="478">
        <f t="shared" si="21"/>
        <v>0</v>
      </c>
      <c r="P64" s="242"/>
    </row>
    <row r="65" spans="2:16" ht="12.5">
      <c r="B65" s="160" t="str">
        <f t="shared" si="6"/>
        <v/>
      </c>
      <c r="C65" s="472">
        <f>IF(D11="","-",+C64+1)</f>
        <v>2056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7"/>
        <v>0</v>
      </c>
      <c r="G65" s="488">
        <f t="shared" si="15"/>
        <v>0</v>
      </c>
      <c r="H65" s="455">
        <f t="shared" si="16"/>
        <v>0</v>
      </c>
      <c r="I65" s="475">
        <f t="shared" si="18"/>
        <v>0</v>
      </c>
      <c r="J65" s="475"/>
      <c r="K65" s="487"/>
      <c r="L65" s="478">
        <f t="shared" si="19"/>
        <v>0</v>
      </c>
      <c r="M65" s="487"/>
      <c r="N65" s="478">
        <f t="shared" si="20"/>
        <v>0</v>
      </c>
      <c r="O65" s="478">
        <f t="shared" si="21"/>
        <v>0</v>
      </c>
      <c r="P65" s="242"/>
    </row>
    <row r="66" spans="2:16" ht="12.5">
      <c r="B66" s="160" t="str">
        <f t="shared" si="6"/>
        <v/>
      </c>
      <c r="C66" s="472">
        <f>IF(D11="","-",+C65+1)</f>
        <v>2057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7"/>
        <v>0</v>
      </c>
      <c r="G66" s="488">
        <f t="shared" si="15"/>
        <v>0</v>
      </c>
      <c r="H66" s="455">
        <f t="shared" si="16"/>
        <v>0</v>
      </c>
      <c r="I66" s="475">
        <f t="shared" si="18"/>
        <v>0</v>
      </c>
      <c r="J66" s="475"/>
      <c r="K66" s="487"/>
      <c r="L66" s="478">
        <f t="shared" si="19"/>
        <v>0</v>
      </c>
      <c r="M66" s="487"/>
      <c r="N66" s="478">
        <f t="shared" si="20"/>
        <v>0</v>
      </c>
      <c r="O66" s="478">
        <f t="shared" si="21"/>
        <v>0</v>
      </c>
      <c r="P66" s="242"/>
    </row>
    <row r="67" spans="2:16" ht="12.5">
      <c r="B67" s="160" t="str">
        <f t="shared" si="6"/>
        <v/>
      </c>
      <c r="C67" s="472">
        <f>IF(D11="","-",+C66+1)</f>
        <v>2058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7"/>
        <v>0</v>
      </c>
      <c r="G67" s="488">
        <f t="shared" si="15"/>
        <v>0</v>
      </c>
      <c r="H67" s="455">
        <f t="shared" si="16"/>
        <v>0</v>
      </c>
      <c r="I67" s="475">
        <f t="shared" si="18"/>
        <v>0</v>
      </c>
      <c r="J67" s="475"/>
      <c r="K67" s="487"/>
      <c r="L67" s="478">
        <f t="shared" si="19"/>
        <v>0</v>
      </c>
      <c r="M67" s="487"/>
      <c r="N67" s="478">
        <f t="shared" si="20"/>
        <v>0</v>
      </c>
      <c r="O67" s="478">
        <f t="shared" si="21"/>
        <v>0</v>
      </c>
      <c r="P67" s="242"/>
    </row>
    <row r="68" spans="2:16" ht="12.5">
      <c r="B68" s="160" t="str">
        <f t="shared" si="6"/>
        <v/>
      </c>
      <c r="C68" s="472">
        <f>IF(D11="","-",+C67+1)</f>
        <v>2059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7"/>
        <v>0</v>
      </c>
      <c r="G68" s="488">
        <f t="shared" si="15"/>
        <v>0</v>
      </c>
      <c r="H68" s="455">
        <f t="shared" si="16"/>
        <v>0</v>
      </c>
      <c r="I68" s="475">
        <f t="shared" si="18"/>
        <v>0</v>
      </c>
      <c r="J68" s="475"/>
      <c r="K68" s="487"/>
      <c r="L68" s="478">
        <f t="shared" si="19"/>
        <v>0</v>
      </c>
      <c r="M68" s="487"/>
      <c r="N68" s="478">
        <f t="shared" si="20"/>
        <v>0</v>
      </c>
      <c r="O68" s="478">
        <f t="shared" si="21"/>
        <v>0</v>
      </c>
      <c r="P68" s="242"/>
    </row>
    <row r="69" spans="2:16" ht="12.5">
      <c r="B69" s="160" t="str">
        <f t="shared" si="6"/>
        <v/>
      </c>
      <c r="C69" s="472">
        <f>IF(D11="","-",+C68+1)</f>
        <v>2060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7"/>
        <v>0</v>
      </c>
      <c r="G69" s="488">
        <f t="shared" si="15"/>
        <v>0</v>
      </c>
      <c r="H69" s="455">
        <f t="shared" si="16"/>
        <v>0</v>
      </c>
      <c r="I69" s="475">
        <f t="shared" si="18"/>
        <v>0</v>
      </c>
      <c r="J69" s="475"/>
      <c r="K69" s="487"/>
      <c r="L69" s="478">
        <f t="shared" si="19"/>
        <v>0</v>
      </c>
      <c r="M69" s="487"/>
      <c r="N69" s="478">
        <f t="shared" si="20"/>
        <v>0</v>
      </c>
      <c r="O69" s="478">
        <f t="shared" si="21"/>
        <v>0</v>
      </c>
      <c r="P69" s="242"/>
    </row>
    <row r="70" spans="2:16" ht="12.5">
      <c r="B70" s="160" t="str">
        <f t="shared" si="6"/>
        <v/>
      </c>
      <c r="C70" s="472">
        <f>IF(D11="","-",+C69+1)</f>
        <v>2061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7"/>
        <v>0</v>
      </c>
      <c r="G70" s="488">
        <f t="shared" si="15"/>
        <v>0</v>
      </c>
      <c r="H70" s="455">
        <f t="shared" si="16"/>
        <v>0</v>
      </c>
      <c r="I70" s="475">
        <f t="shared" si="18"/>
        <v>0</v>
      </c>
      <c r="J70" s="475"/>
      <c r="K70" s="487"/>
      <c r="L70" s="478">
        <f t="shared" si="19"/>
        <v>0</v>
      </c>
      <c r="M70" s="487"/>
      <c r="N70" s="478">
        <f t="shared" si="20"/>
        <v>0</v>
      </c>
      <c r="O70" s="478">
        <f t="shared" si="21"/>
        <v>0</v>
      </c>
      <c r="P70" s="242"/>
    </row>
    <row r="71" spans="2:16" ht="12.5">
      <c r="B71" s="160" t="str">
        <f t="shared" si="6"/>
        <v/>
      </c>
      <c r="C71" s="472">
        <f>IF(D11="","-",+C70+1)</f>
        <v>2062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7"/>
        <v>0</v>
      </c>
      <c r="G71" s="488">
        <f t="shared" si="15"/>
        <v>0</v>
      </c>
      <c r="H71" s="455">
        <f t="shared" si="16"/>
        <v>0</v>
      </c>
      <c r="I71" s="475">
        <f t="shared" si="18"/>
        <v>0</v>
      </c>
      <c r="J71" s="475"/>
      <c r="K71" s="487"/>
      <c r="L71" s="478">
        <f t="shared" si="19"/>
        <v>0</v>
      </c>
      <c r="M71" s="487"/>
      <c r="N71" s="478">
        <f t="shared" si="20"/>
        <v>0</v>
      </c>
      <c r="O71" s="478">
        <f t="shared" si="21"/>
        <v>0</v>
      </c>
      <c r="P71" s="242"/>
    </row>
    <row r="72" spans="2:16" ht="13" thickBot="1">
      <c r="B72" s="160" t="str">
        <f t="shared" si="6"/>
        <v/>
      </c>
      <c r="C72" s="489">
        <f>IF(D11="","-",+C71+1)</f>
        <v>2063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7"/>
        <v>0</v>
      </c>
      <c r="G72" s="492">
        <f t="shared" si="15"/>
        <v>0</v>
      </c>
      <c r="H72" s="435">
        <f t="shared" si="16"/>
        <v>0</v>
      </c>
      <c r="I72" s="493">
        <f t="shared" si="18"/>
        <v>0</v>
      </c>
      <c r="J72" s="475"/>
      <c r="K72" s="494"/>
      <c r="L72" s="495">
        <f t="shared" si="19"/>
        <v>0</v>
      </c>
      <c r="M72" s="494"/>
      <c r="N72" s="495">
        <f t="shared" si="20"/>
        <v>0</v>
      </c>
      <c r="O72" s="495">
        <f t="shared" si="21"/>
        <v>0</v>
      </c>
      <c r="P72" s="242"/>
    </row>
    <row r="73" spans="2:16" ht="12.5">
      <c r="C73" s="346" t="s">
        <v>77</v>
      </c>
      <c r="D73" s="347"/>
      <c r="E73" s="347">
        <f>SUM(E17:E72)</f>
        <v>1520501.9999999995</v>
      </c>
      <c r="F73" s="347"/>
      <c r="G73" s="347">
        <f>SUM(G17:G72)</f>
        <v>5513075.6192289852</v>
      </c>
      <c r="H73" s="347">
        <f>SUM(H17:H72)</f>
        <v>5513075.6192289852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6 of 28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2019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170177.34445508715</v>
      </c>
      <c r="N87" s="508">
        <f>IF(J92&lt;D11,0,VLOOKUP(J92,C17:O72,11))</f>
        <v>170177.34445508715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158573.89397118561</v>
      </c>
      <c r="N88" s="512">
        <f>IF(J92&lt;D11,0,VLOOKUP(J92,C99:P154,7))</f>
        <v>158573.89397118561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Pryor Junction 138/69 Upgrade Transf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-11603.450483901543</v>
      </c>
      <c r="N89" s="517">
        <f>+N88-N87</f>
        <v>-11603.450483901543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TP2006090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1520502</v>
      </c>
      <c r="E92" s="311" t="s">
        <v>94</v>
      </c>
      <c r="H92" s="448"/>
      <c r="I92" s="448"/>
      <c r="J92" s="449">
        <f>+'PSO.WS.G.BPU.ATRR.True-up'!M16</f>
        <v>2019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2008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4</v>
      </c>
      <c r="E94" s="450" t="s">
        <v>56</v>
      </c>
      <c r="F94" s="448"/>
      <c r="G94" s="448"/>
      <c r="J94" s="454">
        <f>'PSO.WS.G.BPU.ATRR.True-up'!$F$81</f>
        <v>0.10311402608063032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0.10311402608063032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37085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101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2008</v>
      </c>
      <c r="D99" s="473">
        <v>0</v>
      </c>
      <c r="E99" s="480">
        <v>19125</v>
      </c>
      <c r="F99" s="479">
        <v>1501348</v>
      </c>
      <c r="G99" s="537">
        <v>750764</v>
      </c>
      <c r="H99" s="538">
        <v>138367</v>
      </c>
      <c r="I99" s="539">
        <v>138367</v>
      </c>
      <c r="J99" s="478">
        <f t="shared" ref="J99:J130" si="22">+I99-H99</f>
        <v>0</v>
      </c>
      <c r="K99" s="478"/>
      <c r="L99" s="554">
        <v>138367</v>
      </c>
      <c r="M99" s="477">
        <f t="shared" ref="M99:M130" si="23">IF(L99&lt;&gt;0,+H99-L99,0)</f>
        <v>0</v>
      </c>
      <c r="N99" s="554">
        <v>138367</v>
      </c>
      <c r="O99" s="477">
        <f t="shared" ref="O99:O130" si="24">IF(N99&lt;&gt;0,+I99-N99,0)</f>
        <v>0</v>
      </c>
      <c r="P99" s="477">
        <f t="shared" ref="P99:P130" si="25">+O99-M99</f>
        <v>0</v>
      </c>
    </row>
    <row r="100" spans="1:16" ht="12.5">
      <c r="B100" s="160" t="str">
        <f>IF(D100=F99,"","IU")</f>
        <v>IU</v>
      </c>
      <c r="C100" s="472">
        <f>IF(D93="","-",+C99+1)</f>
        <v>2009</v>
      </c>
      <c r="D100" s="473">
        <v>1501377</v>
      </c>
      <c r="E100" s="480">
        <v>27152</v>
      </c>
      <c r="F100" s="479">
        <v>1474225</v>
      </c>
      <c r="G100" s="479">
        <v>1487801</v>
      </c>
      <c r="H100" s="480">
        <v>244680.82784018715</v>
      </c>
      <c r="I100" s="481">
        <v>244680.82784018715</v>
      </c>
      <c r="J100" s="478">
        <f t="shared" si="22"/>
        <v>0</v>
      </c>
      <c r="K100" s="478"/>
      <c r="L100" s="540">
        <f t="shared" ref="L100:L105" si="26">H100</f>
        <v>244680.82784018715</v>
      </c>
      <c r="M100" s="541">
        <f t="shared" si="23"/>
        <v>0</v>
      </c>
      <c r="N100" s="540">
        <f t="shared" ref="N100:N105" si="27">I100</f>
        <v>244680.82784018715</v>
      </c>
      <c r="O100" s="478">
        <f t="shared" si="24"/>
        <v>0</v>
      </c>
      <c r="P100" s="478">
        <f t="shared" si="25"/>
        <v>0</v>
      </c>
    </row>
    <row r="101" spans="1:16" ht="12.5">
      <c r="B101" s="160" t="str">
        <f t="shared" ref="B101:B154" si="28">IF(D101=F100,"","IU")</f>
        <v/>
      </c>
      <c r="C101" s="472">
        <f>IF(D93="","-",+C100+1)</f>
        <v>2010</v>
      </c>
      <c r="D101" s="473">
        <v>1474225</v>
      </c>
      <c r="E101" s="480">
        <v>29814</v>
      </c>
      <c r="F101" s="479">
        <v>1444411</v>
      </c>
      <c r="G101" s="479">
        <v>1459318</v>
      </c>
      <c r="H101" s="480">
        <v>264494.5477733505</v>
      </c>
      <c r="I101" s="481">
        <v>264494.5477733505</v>
      </c>
      <c r="J101" s="478">
        <f t="shared" si="22"/>
        <v>0</v>
      </c>
      <c r="K101" s="478"/>
      <c r="L101" s="540">
        <f t="shared" si="26"/>
        <v>264494.5477733505</v>
      </c>
      <c r="M101" s="541">
        <f t="shared" si="23"/>
        <v>0</v>
      </c>
      <c r="N101" s="540">
        <f t="shared" si="27"/>
        <v>264494.5477733505</v>
      </c>
      <c r="O101" s="478">
        <f t="shared" si="24"/>
        <v>0</v>
      </c>
      <c r="P101" s="478">
        <f t="shared" si="25"/>
        <v>0</v>
      </c>
    </row>
    <row r="102" spans="1:16" ht="12.5">
      <c r="B102" s="160" t="str">
        <f t="shared" si="28"/>
        <v/>
      </c>
      <c r="C102" s="472">
        <f>IF(D93="","-",+C101+1)</f>
        <v>2011</v>
      </c>
      <c r="D102" s="473">
        <v>1444411</v>
      </c>
      <c r="E102" s="480">
        <v>29240</v>
      </c>
      <c r="F102" s="479">
        <v>1415171</v>
      </c>
      <c r="G102" s="479">
        <v>1429791</v>
      </c>
      <c r="H102" s="480">
        <v>229143.9952359481</v>
      </c>
      <c r="I102" s="481">
        <v>229143.9952359481</v>
      </c>
      <c r="J102" s="478">
        <f t="shared" si="22"/>
        <v>0</v>
      </c>
      <c r="K102" s="478"/>
      <c r="L102" s="540">
        <f t="shared" si="26"/>
        <v>229143.9952359481</v>
      </c>
      <c r="M102" s="541">
        <f t="shared" si="23"/>
        <v>0</v>
      </c>
      <c r="N102" s="540">
        <f t="shared" si="27"/>
        <v>229143.9952359481</v>
      </c>
      <c r="O102" s="478">
        <f t="shared" si="24"/>
        <v>0</v>
      </c>
      <c r="P102" s="478">
        <f t="shared" si="25"/>
        <v>0</v>
      </c>
    </row>
    <row r="103" spans="1:16" ht="12.5">
      <c r="B103" s="160" t="str">
        <f t="shared" si="28"/>
        <v/>
      </c>
      <c r="C103" s="472">
        <f>IF(D93="","-",+C102+1)</f>
        <v>2012</v>
      </c>
      <c r="D103" s="473">
        <v>1415171</v>
      </c>
      <c r="E103" s="480">
        <v>29240</v>
      </c>
      <c r="F103" s="479">
        <v>1385931</v>
      </c>
      <c r="G103" s="479">
        <v>1400551</v>
      </c>
      <c r="H103" s="480">
        <v>230716.93888695308</v>
      </c>
      <c r="I103" s="481">
        <v>230716.93888695308</v>
      </c>
      <c r="J103" s="478">
        <v>0</v>
      </c>
      <c r="K103" s="478"/>
      <c r="L103" s="540">
        <f t="shared" si="26"/>
        <v>230716.93888695308</v>
      </c>
      <c r="M103" s="541">
        <f t="shared" ref="M103:M108" si="29">IF(L103&lt;&gt;0,+H103-L103,0)</f>
        <v>0</v>
      </c>
      <c r="N103" s="540">
        <f t="shared" si="27"/>
        <v>230716.93888695308</v>
      </c>
      <c r="O103" s="478">
        <f t="shared" ref="O103:O108" si="30">IF(N103&lt;&gt;0,+I103-N103,0)</f>
        <v>0</v>
      </c>
      <c r="P103" s="478">
        <f t="shared" ref="P103:P108" si="31">+O103-M103</f>
        <v>0</v>
      </c>
    </row>
    <row r="104" spans="1:16" ht="12.5">
      <c r="B104" s="160" t="str">
        <f t="shared" si="28"/>
        <v/>
      </c>
      <c r="C104" s="472">
        <f>IF(D93="","-",+C103+1)</f>
        <v>2013</v>
      </c>
      <c r="D104" s="473">
        <v>1385931</v>
      </c>
      <c r="E104" s="480">
        <v>29240</v>
      </c>
      <c r="F104" s="479">
        <v>1356691</v>
      </c>
      <c r="G104" s="479">
        <v>1371311</v>
      </c>
      <c r="H104" s="480">
        <v>226625.94850487544</v>
      </c>
      <c r="I104" s="481">
        <v>226625.94850487544</v>
      </c>
      <c r="J104" s="478">
        <v>0</v>
      </c>
      <c r="K104" s="478"/>
      <c r="L104" s="540">
        <f t="shared" si="26"/>
        <v>226625.94850487544</v>
      </c>
      <c r="M104" s="541">
        <f t="shared" si="29"/>
        <v>0</v>
      </c>
      <c r="N104" s="540">
        <f t="shared" si="27"/>
        <v>226625.94850487544</v>
      </c>
      <c r="O104" s="478">
        <f t="shared" si="30"/>
        <v>0</v>
      </c>
      <c r="P104" s="478">
        <f t="shared" si="31"/>
        <v>0</v>
      </c>
    </row>
    <row r="105" spans="1:16" ht="12.5">
      <c r="B105" s="160" t="str">
        <f t="shared" si="28"/>
        <v/>
      </c>
      <c r="C105" s="472">
        <f>IF(D93="","-",+C104+1)</f>
        <v>2014</v>
      </c>
      <c r="D105" s="473">
        <v>1356691</v>
      </c>
      <c r="E105" s="480">
        <v>29240</v>
      </c>
      <c r="F105" s="479">
        <v>1327451</v>
      </c>
      <c r="G105" s="479">
        <v>1342071</v>
      </c>
      <c r="H105" s="480">
        <v>217929.69653942893</v>
      </c>
      <c r="I105" s="481">
        <v>217929.69653942893</v>
      </c>
      <c r="J105" s="478">
        <v>0</v>
      </c>
      <c r="K105" s="478"/>
      <c r="L105" s="540">
        <f t="shared" si="26"/>
        <v>217929.69653942893</v>
      </c>
      <c r="M105" s="541">
        <f t="shared" si="29"/>
        <v>0</v>
      </c>
      <c r="N105" s="540">
        <f t="shared" si="27"/>
        <v>217929.69653942893</v>
      </c>
      <c r="O105" s="478">
        <f t="shared" si="30"/>
        <v>0</v>
      </c>
      <c r="P105" s="478">
        <f t="shared" si="31"/>
        <v>0</v>
      </c>
    </row>
    <row r="106" spans="1:16" ht="12.5">
      <c r="B106" s="160" t="str">
        <f t="shared" si="28"/>
        <v/>
      </c>
      <c r="C106" s="472">
        <f>IF(D93="","-",+C105+1)</f>
        <v>2015</v>
      </c>
      <c r="D106" s="473">
        <v>1327451</v>
      </c>
      <c r="E106" s="480">
        <v>29240</v>
      </c>
      <c r="F106" s="479">
        <v>1298211</v>
      </c>
      <c r="G106" s="479">
        <v>1312831</v>
      </c>
      <c r="H106" s="480">
        <v>208365.23426858318</v>
      </c>
      <c r="I106" s="481">
        <v>208365.23426858318</v>
      </c>
      <c r="J106" s="478">
        <f t="shared" si="22"/>
        <v>0</v>
      </c>
      <c r="K106" s="478"/>
      <c r="L106" s="540">
        <f>H106</f>
        <v>208365.23426858318</v>
      </c>
      <c r="M106" s="541">
        <f t="shared" si="29"/>
        <v>0</v>
      </c>
      <c r="N106" s="540">
        <f>I106</f>
        <v>208365.23426858318</v>
      </c>
      <c r="O106" s="478">
        <f t="shared" si="30"/>
        <v>0</v>
      </c>
      <c r="P106" s="478">
        <f t="shared" si="31"/>
        <v>0</v>
      </c>
    </row>
    <row r="107" spans="1:16" ht="12.5">
      <c r="B107" s="160" t="str">
        <f t="shared" si="28"/>
        <v/>
      </c>
      <c r="C107" s="472">
        <f>IF(D93="","-",+C106+1)</f>
        <v>2016</v>
      </c>
      <c r="D107" s="473">
        <v>1298211</v>
      </c>
      <c r="E107" s="480">
        <v>33054</v>
      </c>
      <c r="F107" s="479">
        <v>1265157</v>
      </c>
      <c r="G107" s="479">
        <v>1281684</v>
      </c>
      <c r="H107" s="480">
        <v>198283.25268027262</v>
      </c>
      <c r="I107" s="481">
        <v>198283.25268027262</v>
      </c>
      <c r="J107" s="478">
        <f t="shared" si="22"/>
        <v>0</v>
      </c>
      <c r="K107" s="478"/>
      <c r="L107" s="540">
        <f>H107</f>
        <v>198283.25268027262</v>
      </c>
      <c r="M107" s="541">
        <f t="shared" si="29"/>
        <v>0</v>
      </c>
      <c r="N107" s="540">
        <f>I107</f>
        <v>198283.25268027262</v>
      </c>
      <c r="O107" s="478">
        <f t="shared" si="30"/>
        <v>0</v>
      </c>
      <c r="P107" s="478">
        <f t="shared" si="31"/>
        <v>0</v>
      </c>
    </row>
    <row r="108" spans="1:16" ht="12.5">
      <c r="B108" s="160" t="str">
        <f t="shared" si="28"/>
        <v/>
      </c>
      <c r="C108" s="472">
        <f>IF(D93="","-",+C107+1)</f>
        <v>2017</v>
      </c>
      <c r="D108" s="473">
        <v>1265157</v>
      </c>
      <c r="E108" s="480">
        <v>33054</v>
      </c>
      <c r="F108" s="479">
        <v>1232103</v>
      </c>
      <c r="G108" s="479">
        <v>1248630</v>
      </c>
      <c r="H108" s="480">
        <v>191445.86392166355</v>
      </c>
      <c r="I108" s="481">
        <v>191445.86392166355</v>
      </c>
      <c r="J108" s="478">
        <f t="shared" si="22"/>
        <v>0</v>
      </c>
      <c r="K108" s="478"/>
      <c r="L108" s="540">
        <f>H108</f>
        <v>191445.86392166355</v>
      </c>
      <c r="M108" s="541">
        <f t="shared" si="29"/>
        <v>0</v>
      </c>
      <c r="N108" s="540">
        <f>I108</f>
        <v>191445.86392166355</v>
      </c>
      <c r="O108" s="478">
        <f t="shared" si="30"/>
        <v>0</v>
      </c>
      <c r="P108" s="478">
        <f t="shared" si="31"/>
        <v>0</v>
      </c>
    </row>
    <row r="109" spans="1:16" ht="12.5">
      <c r="B109" s="160" t="str">
        <f t="shared" si="28"/>
        <v/>
      </c>
      <c r="C109" s="472">
        <f>IF(D93="","-",+C108+1)</f>
        <v>2018</v>
      </c>
      <c r="D109" s="473">
        <v>1232103</v>
      </c>
      <c r="E109" s="480">
        <v>35361</v>
      </c>
      <c r="F109" s="479">
        <v>1196742</v>
      </c>
      <c r="G109" s="479">
        <v>1214422.5</v>
      </c>
      <c r="H109" s="480">
        <v>160125.3839048628</v>
      </c>
      <c r="I109" s="481">
        <v>160125.3839048628</v>
      </c>
      <c r="J109" s="478">
        <f t="shared" si="22"/>
        <v>0</v>
      </c>
      <c r="K109" s="478"/>
      <c r="L109" s="540">
        <f>H109</f>
        <v>160125.3839048628</v>
      </c>
      <c r="M109" s="541">
        <f t="shared" ref="M109" si="32">IF(L109&lt;&gt;0,+H109-L109,0)</f>
        <v>0</v>
      </c>
      <c r="N109" s="540">
        <f>I109</f>
        <v>160125.3839048628</v>
      </c>
      <c r="O109" s="478">
        <f t="shared" ref="O109" si="33">IF(N109&lt;&gt;0,+I109-N109,0)</f>
        <v>0</v>
      </c>
      <c r="P109" s="478">
        <f t="shared" ref="P109" si="34">+O109-M109</f>
        <v>0</v>
      </c>
    </row>
    <row r="110" spans="1:16" ht="12.5">
      <c r="B110" s="160" t="str">
        <f t="shared" si="28"/>
        <v/>
      </c>
      <c r="C110" s="472">
        <f>IF(D93="","-",+C109+1)</f>
        <v>2019</v>
      </c>
      <c r="D110" s="346">
        <f>IF(F109+SUM(E$99:E109)=D$92,F109,D$92-SUM(E$99:E109))</f>
        <v>1196742</v>
      </c>
      <c r="E110" s="486">
        <f>IF(+J96&lt;F109,J96,D110)</f>
        <v>37085</v>
      </c>
      <c r="F110" s="485">
        <f t="shared" ref="F110:F130" si="35">+D110-E110</f>
        <v>1159657</v>
      </c>
      <c r="G110" s="485">
        <f t="shared" ref="G110:G130" si="36">+(F110+D110)/2</f>
        <v>1178199.5</v>
      </c>
      <c r="H110" s="488">
        <f t="shared" ref="H110:H154" si="37">+J$94*G110+E110</f>
        <v>158573.89397118561</v>
      </c>
      <c r="I110" s="542">
        <f t="shared" ref="I110:I154" si="38">+J$95*G110+E110</f>
        <v>158573.89397118561</v>
      </c>
      <c r="J110" s="478">
        <f t="shared" si="22"/>
        <v>0</v>
      </c>
      <c r="K110" s="478"/>
      <c r="L110" s="487"/>
      <c r="M110" s="478">
        <f t="shared" si="23"/>
        <v>0</v>
      </c>
      <c r="N110" s="487"/>
      <c r="O110" s="478">
        <f t="shared" si="24"/>
        <v>0</v>
      </c>
      <c r="P110" s="478">
        <f t="shared" si="25"/>
        <v>0</v>
      </c>
    </row>
    <row r="111" spans="1:16" ht="12.5">
      <c r="B111" s="160" t="str">
        <f t="shared" si="28"/>
        <v/>
      </c>
      <c r="C111" s="472">
        <f>IF(D93="","-",+C110+1)</f>
        <v>2020</v>
      </c>
      <c r="D111" s="346">
        <f>IF(F110+SUM(E$99:E110)=D$92,F110,D$92-SUM(E$99:E110))</f>
        <v>1159657</v>
      </c>
      <c r="E111" s="486">
        <f>IF(+J96&lt;F110,J96,D111)</f>
        <v>37085</v>
      </c>
      <c r="F111" s="485">
        <f t="shared" si="35"/>
        <v>1122572</v>
      </c>
      <c r="G111" s="485">
        <f t="shared" si="36"/>
        <v>1141114.5</v>
      </c>
      <c r="H111" s="488">
        <f t="shared" si="37"/>
        <v>154749.91031398543</v>
      </c>
      <c r="I111" s="542">
        <f t="shared" si="38"/>
        <v>154749.91031398543</v>
      </c>
      <c r="J111" s="478">
        <f t="shared" si="22"/>
        <v>0</v>
      </c>
      <c r="K111" s="478"/>
      <c r="L111" s="487"/>
      <c r="M111" s="478">
        <f t="shared" si="23"/>
        <v>0</v>
      </c>
      <c r="N111" s="487"/>
      <c r="O111" s="478">
        <f t="shared" si="24"/>
        <v>0</v>
      </c>
      <c r="P111" s="478">
        <f t="shared" si="25"/>
        <v>0</v>
      </c>
    </row>
    <row r="112" spans="1:16" ht="12.5">
      <c r="B112" s="160" t="str">
        <f t="shared" si="28"/>
        <v/>
      </c>
      <c r="C112" s="472">
        <f>IF(D93="","-",+C111+1)</f>
        <v>2021</v>
      </c>
      <c r="D112" s="346">
        <f>IF(F111+SUM(E$99:E111)=D$92,F111,D$92-SUM(E$99:E111))</f>
        <v>1122572</v>
      </c>
      <c r="E112" s="486">
        <f>IF(+J96&lt;F111,J96,D112)</f>
        <v>37085</v>
      </c>
      <c r="F112" s="485">
        <f t="shared" si="35"/>
        <v>1085487</v>
      </c>
      <c r="G112" s="485">
        <f t="shared" si="36"/>
        <v>1104029.5</v>
      </c>
      <c r="H112" s="488">
        <f t="shared" si="37"/>
        <v>150925.92665678525</v>
      </c>
      <c r="I112" s="542">
        <f t="shared" si="38"/>
        <v>150925.92665678525</v>
      </c>
      <c r="J112" s="478">
        <f t="shared" si="22"/>
        <v>0</v>
      </c>
      <c r="K112" s="478"/>
      <c r="L112" s="487"/>
      <c r="M112" s="478">
        <f t="shared" si="23"/>
        <v>0</v>
      </c>
      <c r="N112" s="487"/>
      <c r="O112" s="478">
        <f t="shared" si="24"/>
        <v>0</v>
      </c>
      <c r="P112" s="478">
        <f t="shared" si="25"/>
        <v>0</v>
      </c>
    </row>
    <row r="113" spans="2:16" ht="12.5">
      <c r="B113" s="160" t="str">
        <f t="shared" si="28"/>
        <v/>
      </c>
      <c r="C113" s="472">
        <f>IF(D93="","-",+C112+1)</f>
        <v>2022</v>
      </c>
      <c r="D113" s="346">
        <f>IF(F112+SUM(E$99:E112)=D$92,F112,D$92-SUM(E$99:E112))</f>
        <v>1085487</v>
      </c>
      <c r="E113" s="486">
        <f>IF(+J96&lt;F112,J96,D113)</f>
        <v>37085</v>
      </c>
      <c r="F113" s="485">
        <f t="shared" si="35"/>
        <v>1048402</v>
      </c>
      <c r="G113" s="485">
        <f t="shared" si="36"/>
        <v>1066944.5</v>
      </c>
      <c r="H113" s="488">
        <f t="shared" si="37"/>
        <v>147101.94299958507</v>
      </c>
      <c r="I113" s="542">
        <f t="shared" si="38"/>
        <v>147101.94299958507</v>
      </c>
      <c r="J113" s="478">
        <f t="shared" si="22"/>
        <v>0</v>
      </c>
      <c r="K113" s="478"/>
      <c r="L113" s="487"/>
      <c r="M113" s="478">
        <f t="shared" si="23"/>
        <v>0</v>
      </c>
      <c r="N113" s="487"/>
      <c r="O113" s="478">
        <f t="shared" si="24"/>
        <v>0</v>
      </c>
      <c r="P113" s="478">
        <f t="shared" si="25"/>
        <v>0</v>
      </c>
    </row>
    <row r="114" spans="2:16" ht="12.5">
      <c r="B114" s="160" t="str">
        <f t="shared" si="28"/>
        <v/>
      </c>
      <c r="C114" s="472">
        <f>IF(D93="","-",+C113+1)</f>
        <v>2023</v>
      </c>
      <c r="D114" s="346">
        <f>IF(F113+SUM(E$99:E113)=D$92,F113,D$92-SUM(E$99:E113))</f>
        <v>1048402</v>
      </c>
      <c r="E114" s="486">
        <f>IF(+J96&lt;F113,J96,D114)</f>
        <v>37085</v>
      </c>
      <c r="F114" s="485">
        <f t="shared" si="35"/>
        <v>1011317</v>
      </c>
      <c r="G114" s="485">
        <f t="shared" si="36"/>
        <v>1029859.5</v>
      </c>
      <c r="H114" s="488">
        <f t="shared" si="37"/>
        <v>143277.95934238489</v>
      </c>
      <c r="I114" s="542">
        <f t="shared" si="38"/>
        <v>143277.95934238489</v>
      </c>
      <c r="J114" s="478">
        <f t="shared" si="22"/>
        <v>0</v>
      </c>
      <c r="K114" s="478"/>
      <c r="L114" s="487"/>
      <c r="M114" s="478">
        <f t="shared" si="23"/>
        <v>0</v>
      </c>
      <c r="N114" s="487"/>
      <c r="O114" s="478">
        <f t="shared" si="24"/>
        <v>0</v>
      </c>
      <c r="P114" s="478">
        <f t="shared" si="25"/>
        <v>0</v>
      </c>
    </row>
    <row r="115" spans="2:16" ht="12.5">
      <c r="B115" s="160" t="str">
        <f t="shared" si="28"/>
        <v/>
      </c>
      <c r="C115" s="472">
        <f>IF(D93="","-",+C114+1)</f>
        <v>2024</v>
      </c>
      <c r="D115" s="346">
        <f>IF(F114+SUM(E$99:E114)=D$92,F114,D$92-SUM(E$99:E114))</f>
        <v>1011317</v>
      </c>
      <c r="E115" s="486">
        <f>IF(+J96&lt;F114,J96,D115)</f>
        <v>37085</v>
      </c>
      <c r="F115" s="485">
        <f t="shared" si="35"/>
        <v>974232</v>
      </c>
      <c r="G115" s="485">
        <f t="shared" si="36"/>
        <v>992774.5</v>
      </c>
      <c r="H115" s="488">
        <f t="shared" si="37"/>
        <v>139453.97568518471</v>
      </c>
      <c r="I115" s="542">
        <f t="shared" si="38"/>
        <v>139453.97568518471</v>
      </c>
      <c r="J115" s="478">
        <f t="shared" si="22"/>
        <v>0</v>
      </c>
      <c r="K115" s="478"/>
      <c r="L115" s="487"/>
      <c r="M115" s="478">
        <f t="shared" si="23"/>
        <v>0</v>
      </c>
      <c r="N115" s="487"/>
      <c r="O115" s="478">
        <f t="shared" si="24"/>
        <v>0</v>
      </c>
      <c r="P115" s="478">
        <f t="shared" si="25"/>
        <v>0</v>
      </c>
    </row>
    <row r="116" spans="2:16" ht="12.5">
      <c r="B116" s="160" t="str">
        <f t="shared" si="28"/>
        <v/>
      </c>
      <c r="C116" s="472">
        <f>IF(D93="","-",+C115+1)</f>
        <v>2025</v>
      </c>
      <c r="D116" s="346">
        <f>IF(F115+SUM(E$99:E115)=D$92,F115,D$92-SUM(E$99:E115))</f>
        <v>974232</v>
      </c>
      <c r="E116" s="486">
        <f>IF(+J96&lt;F115,J96,D116)</f>
        <v>37085</v>
      </c>
      <c r="F116" s="485">
        <f t="shared" si="35"/>
        <v>937147</v>
      </c>
      <c r="G116" s="485">
        <f t="shared" si="36"/>
        <v>955689.5</v>
      </c>
      <c r="H116" s="488">
        <f t="shared" si="37"/>
        <v>135629.99202798455</v>
      </c>
      <c r="I116" s="542">
        <f t="shared" si="38"/>
        <v>135629.99202798455</v>
      </c>
      <c r="J116" s="478">
        <f t="shared" si="22"/>
        <v>0</v>
      </c>
      <c r="K116" s="478"/>
      <c r="L116" s="487"/>
      <c r="M116" s="478">
        <f t="shared" si="23"/>
        <v>0</v>
      </c>
      <c r="N116" s="487"/>
      <c r="O116" s="478">
        <f t="shared" si="24"/>
        <v>0</v>
      </c>
      <c r="P116" s="478">
        <f t="shared" si="25"/>
        <v>0</v>
      </c>
    </row>
    <row r="117" spans="2:16" ht="12.5">
      <c r="B117" s="160" t="str">
        <f t="shared" si="28"/>
        <v/>
      </c>
      <c r="C117" s="472">
        <f>IF(D93="","-",+C116+1)</f>
        <v>2026</v>
      </c>
      <c r="D117" s="346">
        <f>IF(F116+SUM(E$99:E116)=D$92,F116,D$92-SUM(E$99:E116))</f>
        <v>937147</v>
      </c>
      <c r="E117" s="486">
        <f>IF(+J96&lt;F116,J96,D117)</f>
        <v>37085</v>
      </c>
      <c r="F117" s="485">
        <f t="shared" si="35"/>
        <v>900062</v>
      </c>
      <c r="G117" s="485">
        <f t="shared" si="36"/>
        <v>918604.5</v>
      </c>
      <c r="H117" s="488">
        <f t="shared" si="37"/>
        <v>131806.00837078437</v>
      </c>
      <c r="I117" s="542">
        <f t="shared" si="38"/>
        <v>131806.00837078437</v>
      </c>
      <c r="J117" s="478">
        <f t="shared" si="22"/>
        <v>0</v>
      </c>
      <c r="K117" s="478"/>
      <c r="L117" s="487"/>
      <c r="M117" s="478">
        <f t="shared" si="23"/>
        <v>0</v>
      </c>
      <c r="N117" s="487"/>
      <c r="O117" s="478">
        <f t="shared" si="24"/>
        <v>0</v>
      </c>
      <c r="P117" s="478">
        <f t="shared" si="25"/>
        <v>0</v>
      </c>
    </row>
    <row r="118" spans="2:16" ht="12.5">
      <c r="B118" s="160" t="str">
        <f t="shared" si="28"/>
        <v/>
      </c>
      <c r="C118" s="472">
        <f>IF(D93="","-",+C117+1)</f>
        <v>2027</v>
      </c>
      <c r="D118" s="346">
        <f>IF(F117+SUM(E$99:E117)=D$92,F117,D$92-SUM(E$99:E117))</f>
        <v>900062</v>
      </c>
      <c r="E118" s="486">
        <f>IF(+J96&lt;F117,J96,D118)</f>
        <v>37085</v>
      </c>
      <c r="F118" s="485">
        <f t="shared" si="35"/>
        <v>862977</v>
      </c>
      <c r="G118" s="485">
        <f t="shared" si="36"/>
        <v>881519.5</v>
      </c>
      <c r="H118" s="488">
        <f t="shared" si="37"/>
        <v>127982.02471358419</v>
      </c>
      <c r="I118" s="542">
        <f t="shared" si="38"/>
        <v>127982.02471358419</v>
      </c>
      <c r="J118" s="478">
        <f t="shared" si="22"/>
        <v>0</v>
      </c>
      <c r="K118" s="478"/>
      <c r="L118" s="487"/>
      <c r="M118" s="478">
        <f t="shared" si="23"/>
        <v>0</v>
      </c>
      <c r="N118" s="487"/>
      <c r="O118" s="478">
        <f t="shared" si="24"/>
        <v>0</v>
      </c>
      <c r="P118" s="478">
        <f t="shared" si="25"/>
        <v>0</v>
      </c>
    </row>
    <row r="119" spans="2:16" ht="12.5">
      <c r="B119" s="160" t="str">
        <f t="shared" si="28"/>
        <v/>
      </c>
      <c r="C119" s="472">
        <f>IF(D93="","-",+C118+1)</f>
        <v>2028</v>
      </c>
      <c r="D119" s="346">
        <f>IF(F118+SUM(E$99:E118)=D$92,F118,D$92-SUM(E$99:E118))</f>
        <v>862977</v>
      </c>
      <c r="E119" s="486">
        <f>IF(+J96&lt;F118,J96,D119)</f>
        <v>37085</v>
      </c>
      <c r="F119" s="485">
        <f t="shared" si="35"/>
        <v>825892</v>
      </c>
      <c r="G119" s="485">
        <f t="shared" si="36"/>
        <v>844434.5</v>
      </c>
      <c r="H119" s="488">
        <f t="shared" si="37"/>
        <v>124158.04105638403</v>
      </c>
      <c r="I119" s="542">
        <f t="shared" si="38"/>
        <v>124158.04105638403</v>
      </c>
      <c r="J119" s="478">
        <f t="shared" si="22"/>
        <v>0</v>
      </c>
      <c r="K119" s="478"/>
      <c r="L119" s="487"/>
      <c r="M119" s="478">
        <f t="shared" si="23"/>
        <v>0</v>
      </c>
      <c r="N119" s="487"/>
      <c r="O119" s="478">
        <f t="shared" si="24"/>
        <v>0</v>
      </c>
      <c r="P119" s="478">
        <f t="shared" si="25"/>
        <v>0</v>
      </c>
    </row>
    <row r="120" spans="2:16" ht="12.5">
      <c r="B120" s="160" t="str">
        <f t="shared" si="28"/>
        <v/>
      </c>
      <c r="C120" s="472">
        <f>IF(D93="","-",+C119+1)</f>
        <v>2029</v>
      </c>
      <c r="D120" s="346">
        <f>IF(F119+SUM(E$99:E119)=D$92,F119,D$92-SUM(E$99:E119))</f>
        <v>825892</v>
      </c>
      <c r="E120" s="486">
        <f>IF(+J96&lt;F119,J96,D120)</f>
        <v>37085</v>
      </c>
      <c r="F120" s="485">
        <f t="shared" si="35"/>
        <v>788807</v>
      </c>
      <c r="G120" s="485">
        <f t="shared" si="36"/>
        <v>807349.5</v>
      </c>
      <c r="H120" s="488">
        <f t="shared" si="37"/>
        <v>120334.05739918385</v>
      </c>
      <c r="I120" s="542">
        <f t="shared" si="38"/>
        <v>120334.05739918385</v>
      </c>
      <c r="J120" s="478">
        <f t="shared" si="22"/>
        <v>0</v>
      </c>
      <c r="K120" s="478"/>
      <c r="L120" s="487"/>
      <c r="M120" s="478">
        <f t="shared" si="23"/>
        <v>0</v>
      </c>
      <c r="N120" s="487"/>
      <c r="O120" s="478">
        <f t="shared" si="24"/>
        <v>0</v>
      </c>
      <c r="P120" s="478">
        <f t="shared" si="25"/>
        <v>0</v>
      </c>
    </row>
    <row r="121" spans="2:16" ht="12.5">
      <c r="B121" s="160" t="str">
        <f t="shared" si="28"/>
        <v/>
      </c>
      <c r="C121" s="472">
        <f>IF(D93="","-",+C120+1)</f>
        <v>2030</v>
      </c>
      <c r="D121" s="346">
        <f>IF(F120+SUM(E$99:E120)=D$92,F120,D$92-SUM(E$99:E120))</f>
        <v>788807</v>
      </c>
      <c r="E121" s="486">
        <f>IF(+J96&lt;F120,J96,D121)</f>
        <v>37085</v>
      </c>
      <c r="F121" s="485">
        <f t="shared" si="35"/>
        <v>751722</v>
      </c>
      <c r="G121" s="485">
        <f t="shared" si="36"/>
        <v>770264.5</v>
      </c>
      <c r="H121" s="488">
        <f t="shared" si="37"/>
        <v>116510.07374198367</v>
      </c>
      <c r="I121" s="542">
        <f t="shared" si="38"/>
        <v>116510.07374198367</v>
      </c>
      <c r="J121" s="478">
        <f t="shared" si="22"/>
        <v>0</v>
      </c>
      <c r="K121" s="478"/>
      <c r="L121" s="487"/>
      <c r="M121" s="478">
        <f t="shared" si="23"/>
        <v>0</v>
      </c>
      <c r="N121" s="487"/>
      <c r="O121" s="478">
        <f t="shared" si="24"/>
        <v>0</v>
      </c>
      <c r="P121" s="478">
        <f t="shared" si="25"/>
        <v>0</v>
      </c>
    </row>
    <row r="122" spans="2:16" ht="12.5">
      <c r="B122" s="160" t="str">
        <f t="shared" si="28"/>
        <v/>
      </c>
      <c r="C122" s="472">
        <f>IF(D93="","-",+C121+1)</f>
        <v>2031</v>
      </c>
      <c r="D122" s="346">
        <f>IF(F121+SUM(E$99:E121)=D$92,F121,D$92-SUM(E$99:E121))</f>
        <v>751722</v>
      </c>
      <c r="E122" s="486">
        <f>IF(+J96&lt;F121,J96,D122)</f>
        <v>37085</v>
      </c>
      <c r="F122" s="485">
        <f t="shared" si="35"/>
        <v>714637</v>
      </c>
      <c r="G122" s="485">
        <f t="shared" si="36"/>
        <v>733179.5</v>
      </c>
      <c r="H122" s="488">
        <f t="shared" si="37"/>
        <v>112686.0900847835</v>
      </c>
      <c r="I122" s="542">
        <f t="shared" si="38"/>
        <v>112686.0900847835</v>
      </c>
      <c r="J122" s="478">
        <f t="shared" si="22"/>
        <v>0</v>
      </c>
      <c r="K122" s="478"/>
      <c r="L122" s="487"/>
      <c r="M122" s="478">
        <f t="shared" si="23"/>
        <v>0</v>
      </c>
      <c r="N122" s="487"/>
      <c r="O122" s="478">
        <f t="shared" si="24"/>
        <v>0</v>
      </c>
      <c r="P122" s="478">
        <f t="shared" si="25"/>
        <v>0</v>
      </c>
    </row>
    <row r="123" spans="2:16" ht="12.5">
      <c r="B123" s="160" t="str">
        <f t="shared" si="28"/>
        <v/>
      </c>
      <c r="C123" s="472">
        <f>IF(D93="","-",+C122+1)</f>
        <v>2032</v>
      </c>
      <c r="D123" s="346">
        <f>IF(F122+SUM(E$99:E122)=D$92,F122,D$92-SUM(E$99:E122))</f>
        <v>714637</v>
      </c>
      <c r="E123" s="486">
        <f>IF(+J96&lt;F122,J96,D123)</f>
        <v>37085</v>
      </c>
      <c r="F123" s="485">
        <f t="shared" si="35"/>
        <v>677552</v>
      </c>
      <c r="G123" s="485">
        <f t="shared" si="36"/>
        <v>696094.5</v>
      </c>
      <c r="H123" s="488">
        <f t="shared" si="37"/>
        <v>108862.10642758332</v>
      </c>
      <c r="I123" s="542">
        <f t="shared" si="38"/>
        <v>108862.10642758332</v>
      </c>
      <c r="J123" s="478">
        <f t="shared" si="22"/>
        <v>0</v>
      </c>
      <c r="K123" s="478"/>
      <c r="L123" s="487"/>
      <c r="M123" s="478">
        <f t="shared" si="23"/>
        <v>0</v>
      </c>
      <c r="N123" s="487"/>
      <c r="O123" s="478">
        <f t="shared" si="24"/>
        <v>0</v>
      </c>
      <c r="P123" s="478">
        <f t="shared" si="25"/>
        <v>0</v>
      </c>
    </row>
    <row r="124" spans="2:16" ht="12.5">
      <c r="B124" s="160" t="str">
        <f t="shared" si="28"/>
        <v/>
      </c>
      <c r="C124" s="472">
        <f>IF(D93="","-",+C123+1)</f>
        <v>2033</v>
      </c>
      <c r="D124" s="346">
        <f>IF(F123+SUM(E$99:E123)=D$92,F123,D$92-SUM(E$99:E123))</f>
        <v>677552</v>
      </c>
      <c r="E124" s="486">
        <f>IF(+J96&lt;F123,J96,D124)</f>
        <v>37085</v>
      </c>
      <c r="F124" s="485">
        <f t="shared" si="35"/>
        <v>640467</v>
      </c>
      <c r="G124" s="485">
        <f t="shared" si="36"/>
        <v>659009.5</v>
      </c>
      <c r="H124" s="488">
        <f t="shared" si="37"/>
        <v>105038.12277038315</v>
      </c>
      <c r="I124" s="542">
        <f t="shared" si="38"/>
        <v>105038.12277038315</v>
      </c>
      <c r="J124" s="478">
        <f t="shared" si="22"/>
        <v>0</v>
      </c>
      <c r="K124" s="478"/>
      <c r="L124" s="487"/>
      <c r="M124" s="478">
        <f t="shared" si="23"/>
        <v>0</v>
      </c>
      <c r="N124" s="487"/>
      <c r="O124" s="478">
        <f t="shared" si="24"/>
        <v>0</v>
      </c>
      <c r="P124" s="478">
        <f t="shared" si="25"/>
        <v>0</v>
      </c>
    </row>
    <row r="125" spans="2:16" ht="12.5">
      <c r="B125" s="160" t="str">
        <f t="shared" si="28"/>
        <v/>
      </c>
      <c r="C125" s="472">
        <f>IF(D93="","-",+C124+1)</f>
        <v>2034</v>
      </c>
      <c r="D125" s="346">
        <f>IF(F124+SUM(E$99:E124)=D$92,F124,D$92-SUM(E$99:E124))</f>
        <v>640467</v>
      </c>
      <c r="E125" s="486">
        <f>IF(+J96&lt;F124,J96,D125)</f>
        <v>37085</v>
      </c>
      <c r="F125" s="485">
        <f t="shared" si="35"/>
        <v>603382</v>
      </c>
      <c r="G125" s="485">
        <f t="shared" si="36"/>
        <v>621924.5</v>
      </c>
      <c r="H125" s="488">
        <f t="shared" si="37"/>
        <v>101214.13911318297</v>
      </c>
      <c r="I125" s="542">
        <f t="shared" si="38"/>
        <v>101214.13911318297</v>
      </c>
      <c r="J125" s="478">
        <f t="shared" si="22"/>
        <v>0</v>
      </c>
      <c r="K125" s="478"/>
      <c r="L125" s="487"/>
      <c r="M125" s="478">
        <f t="shared" si="23"/>
        <v>0</v>
      </c>
      <c r="N125" s="487"/>
      <c r="O125" s="478">
        <f t="shared" si="24"/>
        <v>0</v>
      </c>
      <c r="P125" s="478">
        <f t="shared" si="25"/>
        <v>0</v>
      </c>
    </row>
    <row r="126" spans="2:16" ht="12.5">
      <c r="B126" s="160" t="str">
        <f t="shared" si="28"/>
        <v/>
      </c>
      <c r="C126" s="472">
        <f>IF(D93="","-",+C125+1)</f>
        <v>2035</v>
      </c>
      <c r="D126" s="346">
        <f>IF(F125+SUM(E$99:E125)=D$92,F125,D$92-SUM(E$99:E125))</f>
        <v>603382</v>
      </c>
      <c r="E126" s="486">
        <f>IF(+J96&lt;F125,J96,D126)</f>
        <v>37085</v>
      </c>
      <c r="F126" s="485">
        <f t="shared" si="35"/>
        <v>566297</v>
      </c>
      <c r="G126" s="485">
        <f t="shared" si="36"/>
        <v>584839.5</v>
      </c>
      <c r="H126" s="488">
        <f t="shared" si="37"/>
        <v>97390.155455982793</v>
      </c>
      <c r="I126" s="542">
        <f t="shared" si="38"/>
        <v>97390.155455982793</v>
      </c>
      <c r="J126" s="478">
        <f t="shared" si="22"/>
        <v>0</v>
      </c>
      <c r="K126" s="478"/>
      <c r="L126" s="487"/>
      <c r="M126" s="478">
        <f t="shared" si="23"/>
        <v>0</v>
      </c>
      <c r="N126" s="487"/>
      <c r="O126" s="478">
        <f t="shared" si="24"/>
        <v>0</v>
      </c>
      <c r="P126" s="478">
        <f t="shared" si="25"/>
        <v>0</v>
      </c>
    </row>
    <row r="127" spans="2:16" ht="12.5">
      <c r="B127" s="160" t="str">
        <f t="shared" si="28"/>
        <v/>
      </c>
      <c r="C127" s="472">
        <f>IF(D93="","-",+C126+1)</f>
        <v>2036</v>
      </c>
      <c r="D127" s="346">
        <f>IF(F126+SUM(E$99:E126)=D$92,F126,D$92-SUM(E$99:E126))</f>
        <v>566297</v>
      </c>
      <c r="E127" s="486">
        <f>IF(+J96&lt;F126,J96,D127)</f>
        <v>37085</v>
      </c>
      <c r="F127" s="485">
        <f t="shared" si="35"/>
        <v>529212</v>
      </c>
      <c r="G127" s="485">
        <f t="shared" si="36"/>
        <v>547754.5</v>
      </c>
      <c r="H127" s="488">
        <f t="shared" si="37"/>
        <v>93566.171798782627</v>
      </c>
      <c r="I127" s="542">
        <f t="shared" si="38"/>
        <v>93566.171798782627</v>
      </c>
      <c r="J127" s="478">
        <f t="shared" si="22"/>
        <v>0</v>
      </c>
      <c r="K127" s="478"/>
      <c r="L127" s="487"/>
      <c r="M127" s="478">
        <f t="shared" si="23"/>
        <v>0</v>
      </c>
      <c r="N127" s="487"/>
      <c r="O127" s="478">
        <f t="shared" si="24"/>
        <v>0</v>
      </c>
      <c r="P127" s="478">
        <f t="shared" si="25"/>
        <v>0</v>
      </c>
    </row>
    <row r="128" spans="2:16" ht="12.5">
      <c r="B128" s="160" t="str">
        <f t="shared" si="28"/>
        <v/>
      </c>
      <c r="C128" s="472">
        <f>IF(D93="","-",+C127+1)</f>
        <v>2037</v>
      </c>
      <c r="D128" s="346">
        <f>IF(F127+SUM(E$99:E127)=D$92,F127,D$92-SUM(E$99:E127))</f>
        <v>529212</v>
      </c>
      <c r="E128" s="486">
        <f>IF(+J96&lt;F127,J96,D128)</f>
        <v>37085</v>
      </c>
      <c r="F128" s="485">
        <f t="shared" si="35"/>
        <v>492127</v>
      </c>
      <c r="G128" s="485">
        <f t="shared" si="36"/>
        <v>510669.5</v>
      </c>
      <c r="H128" s="488">
        <f t="shared" si="37"/>
        <v>89742.188141582446</v>
      </c>
      <c r="I128" s="542">
        <f t="shared" si="38"/>
        <v>89742.188141582446</v>
      </c>
      <c r="J128" s="478">
        <f t="shared" si="22"/>
        <v>0</v>
      </c>
      <c r="K128" s="478"/>
      <c r="L128" s="487"/>
      <c r="M128" s="478">
        <f t="shared" si="23"/>
        <v>0</v>
      </c>
      <c r="N128" s="487"/>
      <c r="O128" s="478">
        <f t="shared" si="24"/>
        <v>0</v>
      </c>
      <c r="P128" s="478">
        <f t="shared" si="25"/>
        <v>0</v>
      </c>
    </row>
    <row r="129" spans="2:16" ht="12.5">
      <c r="B129" s="160" t="str">
        <f t="shared" si="28"/>
        <v/>
      </c>
      <c r="C129" s="472">
        <f>IF(D93="","-",+C128+1)</f>
        <v>2038</v>
      </c>
      <c r="D129" s="346">
        <f>IF(F128+SUM(E$99:E128)=D$92,F128,D$92-SUM(E$99:E128))</f>
        <v>492127</v>
      </c>
      <c r="E129" s="486">
        <f>IF(+J96&lt;F128,J96,D129)</f>
        <v>37085</v>
      </c>
      <c r="F129" s="485">
        <f t="shared" si="35"/>
        <v>455042</v>
      </c>
      <c r="G129" s="485">
        <f t="shared" si="36"/>
        <v>473584.5</v>
      </c>
      <c r="H129" s="488">
        <f t="shared" si="37"/>
        <v>85918.204484382266</v>
      </c>
      <c r="I129" s="542">
        <f t="shared" si="38"/>
        <v>85918.204484382266</v>
      </c>
      <c r="J129" s="478">
        <f t="shared" si="22"/>
        <v>0</v>
      </c>
      <c r="K129" s="478"/>
      <c r="L129" s="487"/>
      <c r="M129" s="478">
        <f t="shared" si="23"/>
        <v>0</v>
      </c>
      <c r="N129" s="487"/>
      <c r="O129" s="478">
        <f t="shared" si="24"/>
        <v>0</v>
      </c>
      <c r="P129" s="478">
        <f t="shared" si="25"/>
        <v>0</v>
      </c>
    </row>
    <row r="130" spans="2:16" ht="12.5">
      <c r="B130" s="160" t="str">
        <f t="shared" si="28"/>
        <v/>
      </c>
      <c r="C130" s="472">
        <f>IF(D93="","-",+C129+1)</f>
        <v>2039</v>
      </c>
      <c r="D130" s="346">
        <f>IF(F129+SUM(E$99:E129)=D$92,F129,D$92-SUM(E$99:E129))</f>
        <v>455042</v>
      </c>
      <c r="E130" s="486">
        <f>IF(+J96&lt;F129,J96,D130)</f>
        <v>37085</v>
      </c>
      <c r="F130" s="485">
        <f t="shared" si="35"/>
        <v>417957</v>
      </c>
      <c r="G130" s="485">
        <f t="shared" si="36"/>
        <v>436499.5</v>
      </c>
      <c r="H130" s="488">
        <f t="shared" si="37"/>
        <v>82094.220827182085</v>
      </c>
      <c r="I130" s="542">
        <f t="shared" si="38"/>
        <v>82094.220827182085</v>
      </c>
      <c r="J130" s="478">
        <f t="shared" si="22"/>
        <v>0</v>
      </c>
      <c r="K130" s="478"/>
      <c r="L130" s="487"/>
      <c r="M130" s="478">
        <f t="shared" si="23"/>
        <v>0</v>
      </c>
      <c r="N130" s="487"/>
      <c r="O130" s="478">
        <f t="shared" si="24"/>
        <v>0</v>
      </c>
      <c r="P130" s="478">
        <f t="shared" si="25"/>
        <v>0</v>
      </c>
    </row>
    <row r="131" spans="2:16" ht="12.5">
      <c r="B131" s="160" t="str">
        <f t="shared" si="28"/>
        <v/>
      </c>
      <c r="C131" s="472">
        <f>IF(D93="","-",+C130+1)</f>
        <v>2040</v>
      </c>
      <c r="D131" s="346">
        <f>IF(F130+SUM(E$99:E130)=D$92,F130,D$92-SUM(E$99:E130))</f>
        <v>417957</v>
      </c>
      <c r="E131" s="486">
        <f>IF(+J96&lt;F130,J96,D131)</f>
        <v>37085</v>
      </c>
      <c r="F131" s="485">
        <f t="shared" ref="F131:F154" si="39">+D131-E131</f>
        <v>380872</v>
      </c>
      <c r="G131" s="485">
        <f t="shared" ref="G131:G154" si="40">+(F131+D131)/2</f>
        <v>399414.5</v>
      </c>
      <c r="H131" s="488">
        <f t="shared" si="37"/>
        <v>78270.23716998192</v>
      </c>
      <c r="I131" s="542">
        <f t="shared" si="38"/>
        <v>78270.23716998192</v>
      </c>
      <c r="J131" s="478">
        <f t="shared" ref="J131:J154" si="41">+I131-H131</f>
        <v>0</v>
      </c>
      <c r="K131" s="478"/>
      <c r="L131" s="487"/>
      <c r="M131" s="478">
        <f t="shared" ref="M131:M154" si="42">IF(L131&lt;&gt;0,+H131-L131,0)</f>
        <v>0</v>
      </c>
      <c r="N131" s="487"/>
      <c r="O131" s="478">
        <f t="shared" ref="O131:O154" si="43">IF(N131&lt;&gt;0,+I131-N131,0)</f>
        <v>0</v>
      </c>
      <c r="P131" s="478">
        <f t="shared" ref="P131:P154" si="44">+O131-M131</f>
        <v>0</v>
      </c>
    </row>
    <row r="132" spans="2:16" ht="12.5">
      <c r="B132" s="160" t="str">
        <f t="shared" si="28"/>
        <v/>
      </c>
      <c r="C132" s="472">
        <f>IF(D93="","-",+C131+1)</f>
        <v>2041</v>
      </c>
      <c r="D132" s="346">
        <f>IF(F131+SUM(E$99:E131)=D$92,F131,D$92-SUM(E$99:E131))</f>
        <v>380872</v>
      </c>
      <c r="E132" s="486">
        <f>IF(+J96&lt;F131,J96,D132)</f>
        <v>37085</v>
      </c>
      <c r="F132" s="485">
        <f t="shared" si="39"/>
        <v>343787</v>
      </c>
      <c r="G132" s="485">
        <f t="shared" si="40"/>
        <v>362329.5</v>
      </c>
      <c r="H132" s="488">
        <f t="shared" si="37"/>
        <v>74446.253512781754</v>
      </c>
      <c r="I132" s="542">
        <f t="shared" si="38"/>
        <v>74446.253512781754</v>
      </c>
      <c r="J132" s="478">
        <f t="shared" si="41"/>
        <v>0</v>
      </c>
      <c r="K132" s="478"/>
      <c r="L132" s="487"/>
      <c r="M132" s="478">
        <f t="shared" si="42"/>
        <v>0</v>
      </c>
      <c r="N132" s="487"/>
      <c r="O132" s="478">
        <f t="shared" si="43"/>
        <v>0</v>
      </c>
      <c r="P132" s="478">
        <f t="shared" si="44"/>
        <v>0</v>
      </c>
    </row>
    <row r="133" spans="2:16" ht="12.5">
      <c r="B133" s="160" t="str">
        <f t="shared" si="28"/>
        <v/>
      </c>
      <c r="C133" s="472">
        <f>IF(D93="","-",+C132+1)</f>
        <v>2042</v>
      </c>
      <c r="D133" s="346">
        <f>IF(F132+SUM(E$99:E132)=D$92,F132,D$92-SUM(E$99:E132))</f>
        <v>343787</v>
      </c>
      <c r="E133" s="486">
        <f>IF(+J96&lt;F132,J96,D133)</f>
        <v>37085</v>
      </c>
      <c r="F133" s="485">
        <f t="shared" si="39"/>
        <v>306702</v>
      </c>
      <c r="G133" s="485">
        <f t="shared" si="40"/>
        <v>325244.5</v>
      </c>
      <c r="H133" s="488">
        <f t="shared" si="37"/>
        <v>70622.269855581573</v>
      </c>
      <c r="I133" s="542">
        <f t="shared" si="38"/>
        <v>70622.269855581573</v>
      </c>
      <c r="J133" s="478">
        <f t="shared" si="41"/>
        <v>0</v>
      </c>
      <c r="K133" s="478"/>
      <c r="L133" s="487"/>
      <c r="M133" s="478">
        <f t="shared" si="42"/>
        <v>0</v>
      </c>
      <c r="N133" s="487"/>
      <c r="O133" s="478">
        <f t="shared" si="43"/>
        <v>0</v>
      </c>
      <c r="P133" s="478">
        <f t="shared" si="44"/>
        <v>0</v>
      </c>
    </row>
    <row r="134" spans="2:16" ht="12.5">
      <c r="B134" s="160" t="str">
        <f t="shared" si="28"/>
        <v/>
      </c>
      <c r="C134" s="472">
        <f>IF(D93="","-",+C133+1)</f>
        <v>2043</v>
      </c>
      <c r="D134" s="346">
        <f>IF(F133+SUM(E$99:E133)=D$92,F133,D$92-SUM(E$99:E133))</f>
        <v>306702</v>
      </c>
      <c r="E134" s="486">
        <f>IF(+J96&lt;F133,J96,D134)</f>
        <v>37085</v>
      </c>
      <c r="F134" s="485">
        <f t="shared" si="39"/>
        <v>269617</v>
      </c>
      <c r="G134" s="485">
        <f t="shared" si="40"/>
        <v>288159.5</v>
      </c>
      <c r="H134" s="488">
        <f t="shared" si="37"/>
        <v>66798.286198381393</v>
      </c>
      <c r="I134" s="542">
        <f t="shared" si="38"/>
        <v>66798.286198381393</v>
      </c>
      <c r="J134" s="478">
        <f t="shared" si="41"/>
        <v>0</v>
      </c>
      <c r="K134" s="478"/>
      <c r="L134" s="487"/>
      <c r="M134" s="478">
        <f t="shared" si="42"/>
        <v>0</v>
      </c>
      <c r="N134" s="487"/>
      <c r="O134" s="478">
        <f t="shared" si="43"/>
        <v>0</v>
      </c>
      <c r="P134" s="478">
        <f t="shared" si="44"/>
        <v>0</v>
      </c>
    </row>
    <row r="135" spans="2:16" ht="12.5">
      <c r="B135" s="160" t="str">
        <f t="shared" si="28"/>
        <v/>
      </c>
      <c r="C135" s="472">
        <f>IF(D93="","-",+C134+1)</f>
        <v>2044</v>
      </c>
      <c r="D135" s="346">
        <f>IF(F134+SUM(E$99:E134)=D$92,F134,D$92-SUM(E$99:E134))</f>
        <v>269617</v>
      </c>
      <c r="E135" s="486">
        <f>IF(+J96&lt;F134,J96,D135)</f>
        <v>37085</v>
      </c>
      <c r="F135" s="485">
        <f t="shared" si="39"/>
        <v>232532</v>
      </c>
      <c r="G135" s="485">
        <f t="shared" si="40"/>
        <v>251074.5</v>
      </c>
      <c r="H135" s="488">
        <f t="shared" si="37"/>
        <v>62974.302541181212</v>
      </c>
      <c r="I135" s="542">
        <f t="shared" si="38"/>
        <v>62974.302541181212</v>
      </c>
      <c r="J135" s="478">
        <f t="shared" si="41"/>
        <v>0</v>
      </c>
      <c r="K135" s="478"/>
      <c r="L135" s="487"/>
      <c r="M135" s="478">
        <f t="shared" si="42"/>
        <v>0</v>
      </c>
      <c r="N135" s="487"/>
      <c r="O135" s="478">
        <f t="shared" si="43"/>
        <v>0</v>
      </c>
      <c r="P135" s="478">
        <f t="shared" si="44"/>
        <v>0</v>
      </c>
    </row>
    <row r="136" spans="2:16" ht="12.5">
      <c r="B136" s="160" t="str">
        <f t="shared" si="28"/>
        <v/>
      </c>
      <c r="C136" s="472">
        <f>IF(D93="","-",+C135+1)</f>
        <v>2045</v>
      </c>
      <c r="D136" s="346">
        <f>IF(F135+SUM(E$99:E135)=D$92,F135,D$92-SUM(E$99:E135))</f>
        <v>232532</v>
      </c>
      <c r="E136" s="486">
        <f>IF(+J96&lt;F135,J96,D136)</f>
        <v>37085</v>
      </c>
      <c r="F136" s="485">
        <f t="shared" si="39"/>
        <v>195447</v>
      </c>
      <c r="G136" s="485">
        <f t="shared" si="40"/>
        <v>213989.5</v>
      </c>
      <c r="H136" s="488">
        <f t="shared" si="37"/>
        <v>59150.318883981046</v>
      </c>
      <c r="I136" s="542">
        <f t="shared" si="38"/>
        <v>59150.318883981046</v>
      </c>
      <c r="J136" s="478">
        <f t="shared" si="41"/>
        <v>0</v>
      </c>
      <c r="K136" s="478"/>
      <c r="L136" s="487"/>
      <c r="M136" s="478">
        <f t="shared" si="42"/>
        <v>0</v>
      </c>
      <c r="N136" s="487"/>
      <c r="O136" s="478">
        <f t="shared" si="43"/>
        <v>0</v>
      </c>
      <c r="P136" s="478">
        <f t="shared" si="44"/>
        <v>0</v>
      </c>
    </row>
    <row r="137" spans="2:16" ht="12.5">
      <c r="B137" s="160" t="str">
        <f t="shared" si="28"/>
        <v/>
      </c>
      <c r="C137" s="472">
        <f>IF(D93="","-",+C136+1)</f>
        <v>2046</v>
      </c>
      <c r="D137" s="346">
        <f>IF(F136+SUM(E$99:E136)=D$92,F136,D$92-SUM(E$99:E136))</f>
        <v>195447</v>
      </c>
      <c r="E137" s="486">
        <f>IF(+J96&lt;F136,J96,D137)</f>
        <v>37085</v>
      </c>
      <c r="F137" s="485">
        <f t="shared" si="39"/>
        <v>158362</v>
      </c>
      <c r="G137" s="485">
        <f t="shared" si="40"/>
        <v>176904.5</v>
      </c>
      <c r="H137" s="488">
        <f t="shared" si="37"/>
        <v>55326.335226780866</v>
      </c>
      <c r="I137" s="542">
        <f t="shared" si="38"/>
        <v>55326.335226780866</v>
      </c>
      <c r="J137" s="478">
        <f t="shared" si="41"/>
        <v>0</v>
      </c>
      <c r="K137" s="478"/>
      <c r="L137" s="487"/>
      <c r="M137" s="478">
        <f t="shared" si="42"/>
        <v>0</v>
      </c>
      <c r="N137" s="487"/>
      <c r="O137" s="478">
        <f t="shared" si="43"/>
        <v>0</v>
      </c>
      <c r="P137" s="478">
        <f t="shared" si="44"/>
        <v>0</v>
      </c>
    </row>
    <row r="138" spans="2:16" ht="12.5">
      <c r="B138" s="160" t="str">
        <f t="shared" si="28"/>
        <v/>
      </c>
      <c r="C138" s="472">
        <f>IF(D93="","-",+C137+1)</f>
        <v>2047</v>
      </c>
      <c r="D138" s="346">
        <f>IF(F137+SUM(E$99:E137)=D$92,F137,D$92-SUM(E$99:E137))</f>
        <v>158362</v>
      </c>
      <c r="E138" s="486">
        <f>IF(+J96&lt;F137,J96,D138)</f>
        <v>37085</v>
      </c>
      <c r="F138" s="485">
        <f t="shared" si="39"/>
        <v>121277</v>
      </c>
      <c r="G138" s="485">
        <f t="shared" si="40"/>
        <v>139819.5</v>
      </c>
      <c r="H138" s="488">
        <f t="shared" si="37"/>
        <v>51502.351569580693</v>
      </c>
      <c r="I138" s="542">
        <f t="shared" si="38"/>
        <v>51502.351569580693</v>
      </c>
      <c r="J138" s="478">
        <f t="shared" si="41"/>
        <v>0</v>
      </c>
      <c r="K138" s="478"/>
      <c r="L138" s="487"/>
      <c r="M138" s="478">
        <f t="shared" si="42"/>
        <v>0</v>
      </c>
      <c r="N138" s="487"/>
      <c r="O138" s="478">
        <f t="shared" si="43"/>
        <v>0</v>
      </c>
      <c r="P138" s="478">
        <f t="shared" si="44"/>
        <v>0</v>
      </c>
    </row>
    <row r="139" spans="2:16" ht="12.5">
      <c r="B139" s="160" t="str">
        <f t="shared" si="28"/>
        <v/>
      </c>
      <c r="C139" s="472">
        <f>IF(D93="","-",+C138+1)</f>
        <v>2048</v>
      </c>
      <c r="D139" s="346">
        <f>IF(F138+SUM(E$99:E138)=D$92,F138,D$92-SUM(E$99:E138))</f>
        <v>121277</v>
      </c>
      <c r="E139" s="486">
        <f>IF(+J96&lt;F138,J96,D139)</f>
        <v>37085</v>
      </c>
      <c r="F139" s="485">
        <f t="shared" si="39"/>
        <v>84192</v>
      </c>
      <c r="G139" s="485">
        <f t="shared" si="40"/>
        <v>102734.5</v>
      </c>
      <c r="H139" s="488">
        <f t="shared" si="37"/>
        <v>47678.36791238052</v>
      </c>
      <c r="I139" s="542">
        <f t="shared" si="38"/>
        <v>47678.36791238052</v>
      </c>
      <c r="J139" s="478">
        <f t="shared" si="41"/>
        <v>0</v>
      </c>
      <c r="K139" s="478"/>
      <c r="L139" s="487"/>
      <c r="M139" s="478">
        <f t="shared" si="42"/>
        <v>0</v>
      </c>
      <c r="N139" s="487"/>
      <c r="O139" s="478">
        <f t="shared" si="43"/>
        <v>0</v>
      </c>
      <c r="P139" s="478">
        <f t="shared" si="44"/>
        <v>0</v>
      </c>
    </row>
    <row r="140" spans="2:16" ht="12.5">
      <c r="B140" s="160" t="str">
        <f t="shared" si="28"/>
        <v/>
      </c>
      <c r="C140" s="472">
        <f>IF(D93="","-",+C139+1)</f>
        <v>2049</v>
      </c>
      <c r="D140" s="346">
        <f>IF(F139+SUM(E$99:E139)=D$92,F139,D$92-SUM(E$99:E139))</f>
        <v>84192</v>
      </c>
      <c r="E140" s="486">
        <f>IF(+J96&lt;F139,J96,D140)</f>
        <v>37085</v>
      </c>
      <c r="F140" s="485">
        <f t="shared" si="39"/>
        <v>47107</v>
      </c>
      <c r="G140" s="485">
        <f t="shared" si="40"/>
        <v>65649.5</v>
      </c>
      <c r="H140" s="488">
        <f t="shared" si="37"/>
        <v>43854.384255180339</v>
      </c>
      <c r="I140" s="542">
        <f t="shared" si="38"/>
        <v>43854.384255180339</v>
      </c>
      <c r="J140" s="478">
        <f t="shared" si="41"/>
        <v>0</v>
      </c>
      <c r="K140" s="478"/>
      <c r="L140" s="487"/>
      <c r="M140" s="478">
        <f t="shared" si="42"/>
        <v>0</v>
      </c>
      <c r="N140" s="487"/>
      <c r="O140" s="478">
        <f t="shared" si="43"/>
        <v>0</v>
      </c>
      <c r="P140" s="478">
        <f t="shared" si="44"/>
        <v>0</v>
      </c>
    </row>
    <row r="141" spans="2:16" ht="12.5">
      <c r="B141" s="160" t="str">
        <f t="shared" si="28"/>
        <v/>
      </c>
      <c r="C141" s="472">
        <f>IF(D93="","-",+C140+1)</f>
        <v>2050</v>
      </c>
      <c r="D141" s="346">
        <f>IF(F140+SUM(E$99:E140)=D$92,F140,D$92-SUM(E$99:E140))</f>
        <v>47107</v>
      </c>
      <c r="E141" s="486">
        <f>IF(+J96&lt;F140,J96,D141)</f>
        <v>37085</v>
      </c>
      <c r="F141" s="485">
        <f t="shared" si="39"/>
        <v>10022</v>
      </c>
      <c r="G141" s="485">
        <f t="shared" si="40"/>
        <v>28564.5</v>
      </c>
      <c r="H141" s="488">
        <f t="shared" si="37"/>
        <v>40030.400597980166</v>
      </c>
      <c r="I141" s="542">
        <f t="shared" si="38"/>
        <v>40030.400597980166</v>
      </c>
      <c r="J141" s="478">
        <f t="shared" si="41"/>
        <v>0</v>
      </c>
      <c r="K141" s="478"/>
      <c r="L141" s="487"/>
      <c r="M141" s="478">
        <f t="shared" si="42"/>
        <v>0</v>
      </c>
      <c r="N141" s="487"/>
      <c r="O141" s="478">
        <f t="shared" si="43"/>
        <v>0</v>
      </c>
      <c r="P141" s="478">
        <f t="shared" si="44"/>
        <v>0</v>
      </c>
    </row>
    <row r="142" spans="2:16" ht="12.5">
      <c r="B142" s="160" t="str">
        <f t="shared" si="28"/>
        <v/>
      </c>
      <c r="C142" s="472">
        <f>IF(D93="","-",+C141+1)</f>
        <v>2051</v>
      </c>
      <c r="D142" s="346">
        <f>IF(F141+SUM(E$99:E141)=D$92,F141,D$92-SUM(E$99:E141))</f>
        <v>10022</v>
      </c>
      <c r="E142" s="486">
        <f>IF(+J96&lt;F141,J96,D142)</f>
        <v>10022</v>
      </c>
      <c r="F142" s="485">
        <f t="shared" si="39"/>
        <v>0</v>
      </c>
      <c r="G142" s="485">
        <f t="shared" si="40"/>
        <v>5011</v>
      </c>
      <c r="H142" s="488">
        <f t="shared" si="37"/>
        <v>10538.704384690038</v>
      </c>
      <c r="I142" s="542">
        <f t="shared" si="38"/>
        <v>10538.704384690038</v>
      </c>
      <c r="J142" s="478">
        <f t="shared" si="41"/>
        <v>0</v>
      </c>
      <c r="K142" s="478"/>
      <c r="L142" s="487"/>
      <c r="M142" s="478">
        <f t="shared" si="42"/>
        <v>0</v>
      </c>
      <c r="N142" s="487"/>
      <c r="O142" s="478">
        <f t="shared" si="43"/>
        <v>0</v>
      </c>
      <c r="P142" s="478">
        <f t="shared" si="44"/>
        <v>0</v>
      </c>
    </row>
    <row r="143" spans="2:16" ht="12.5">
      <c r="B143" s="160" t="str">
        <f t="shared" si="28"/>
        <v/>
      </c>
      <c r="C143" s="472">
        <f>IF(D93="","-",+C142+1)</f>
        <v>2052</v>
      </c>
      <c r="D143" s="346">
        <f>IF(F142+SUM(E$99:E142)=D$92,F142,D$92-SUM(E$99:E142))</f>
        <v>0</v>
      </c>
      <c r="E143" s="486">
        <f>IF(+J96&lt;F142,J96,D143)</f>
        <v>0</v>
      </c>
      <c r="F143" s="485">
        <f t="shared" si="39"/>
        <v>0</v>
      </c>
      <c r="G143" s="485">
        <f t="shared" si="40"/>
        <v>0</v>
      </c>
      <c r="H143" s="488">
        <f t="shared" si="37"/>
        <v>0</v>
      </c>
      <c r="I143" s="542">
        <f t="shared" si="38"/>
        <v>0</v>
      </c>
      <c r="J143" s="478">
        <f t="shared" si="41"/>
        <v>0</v>
      </c>
      <c r="K143" s="478"/>
      <c r="L143" s="487"/>
      <c r="M143" s="478">
        <f t="shared" si="42"/>
        <v>0</v>
      </c>
      <c r="N143" s="487"/>
      <c r="O143" s="478">
        <f t="shared" si="43"/>
        <v>0</v>
      </c>
      <c r="P143" s="478">
        <f t="shared" si="44"/>
        <v>0</v>
      </c>
    </row>
    <row r="144" spans="2:16" ht="12.5">
      <c r="B144" s="160" t="str">
        <f t="shared" si="28"/>
        <v/>
      </c>
      <c r="C144" s="472">
        <f>IF(D93="","-",+C143+1)</f>
        <v>2053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39"/>
        <v>0</v>
      </c>
      <c r="G144" s="485">
        <f t="shared" si="40"/>
        <v>0</v>
      </c>
      <c r="H144" s="488">
        <f t="shared" si="37"/>
        <v>0</v>
      </c>
      <c r="I144" s="542">
        <f t="shared" si="38"/>
        <v>0</v>
      </c>
      <c r="J144" s="478">
        <f t="shared" si="41"/>
        <v>0</v>
      </c>
      <c r="K144" s="478"/>
      <c r="L144" s="487"/>
      <c r="M144" s="478">
        <f t="shared" si="42"/>
        <v>0</v>
      </c>
      <c r="N144" s="487"/>
      <c r="O144" s="478">
        <f t="shared" si="43"/>
        <v>0</v>
      </c>
      <c r="P144" s="478">
        <f t="shared" si="44"/>
        <v>0</v>
      </c>
    </row>
    <row r="145" spans="2:16" ht="12.5">
      <c r="B145" s="160" t="str">
        <f t="shared" si="28"/>
        <v/>
      </c>
      <c r="C145" s="472">
        <f>IF(D93="","-",+C144+1)</f>
        <v>2054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39"/>
        <v>0</v>
      </c>
      <c r="G145" s="485">
        <f t="shared" si="40"/>
        <v>0</v>
      </c>
      <c r="H145" s="488">
        <f t="shared" si="37"/>
        <v>0</v>
      </c>
      <c r="I145" s="542">
        <f t="shared" si="38"/>
        <v>0</v>
      </c>
      <c r="J145" s="478">
        <f t="shared" si="41"/>
        <v>0</v>
      </c>
      <c r="K145" s="478"/>
      <c r="L145" s="487"/>
      <c r="M145" s="478">
        <f t="shared" si="42"/>
        <v>0</v>
      </c>
      <c r="N145" s="487"/>
      <c r="O145" s="478">
        <f t="shared" si="43"/>
        <v>0</v>
      </c>
      <c r="P145" s="478">
        <f t="shared" si="44"/>
        <v>0</v>
      </c>
    </row>
    <row r="146" spans="2:16" ht="12.5">
      <c r="B146" s="160" t="str">
        <f t="shared" si="28"/>
        <v/>
      </c>
      <c r="C146" s="472">
        <f>IF(D93="","-",+C145+1)</f>
        <v>2055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39"/>
        <v>0</v>
      </c>
      <c r="G146" s="485">
        <f t="shared" si="40"/>
        <v>0</v>
      </c>
      <c r="H146" s="488">
        <f t="shared" si="37"/>
        <v>0</v>
      </c>
      <c r="I146" s="542">
        <f t="shared" si="38"/>
        <v>0</v>
      </c>
      <c r="J146" s="478">
        <f t="shared" si="41"/>
        <v>0</v>
      </c>
      <c r="K146" s="478"/>
      <c r="L146" s="487"/>
      <c r="M146" s="478">
        <f t="shared" si="42"/>
        <v>0</v>
      </c>
      <c r="N146" s="487"/>
      <c r="O146" s="478">
        <f t="shared" si="43"/>
        <v>0</v>
      </c>
      <c r="P146" s="478">
        <f t="shared" si="44"/>
        <v>0</v>
      </c>
    </row>
    <row r="147" spans="2:16" ht="12.5">
      <c r="B147" s="160" t="str">
        <f t="shared" si="28"/>
        <v/>
      </c>
      <c r="C147" s="472">
        <f>IF(D93="","-",+C146+1)</f>
        <v>2056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39"/>
        <v>0</v>
      </c>
      <c r="G147" s="485">
        <f t="shared" si="40"/>
        <v>0</v>
      </c>
      <c r="H147" s="488">
        <f t="shared" si="37"/>
        <v>0</v>
      </c>
      <c r="I147" s="542">
        <f t="shared" si="38"/>
        <v>0</v>
      </c>
      <c r="J147" s="478">
        <f t="shared" si="41"/>
        <v>0</v>
      </c>
      <c r="K147" s="478"/>
      <c r="L147" s="487"/>
      <c r="M147" s="478">
        <f t="shared" si="42"/>
        <v>0</v>
      </c>
      <c r="N147" s="487"/>
      <c r="O147" s="478">
        <f t="shared" si="43"/>
        <v>0</v>
      </c>
      <c r="P147" s="478">
        <f t="shared" si="44"/>
        <v>0</v>
      </c>
    </row>
    <row r="148" spans="2:16" ht="12.5">
      <c r="B148" s="160" t="str">
        <f t="shared" si="28"/>
        <v/>
      </c>
      <c r="C148" s="472">
        <f>IF(D93="","-",+C147+1)</f>
        <v>2057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39"/>
        <v>0</v>
      </c>
      <c r="G148" s="485">
        <f t="shared" si="40"/>
        <v>0</v>
      </c>
      <c r="H148" s="488">
        <f t="shared" si="37"/>
        <v>0</v>
      </c>
      <c r="I148" s="542">
        <f t="shared" si="38"/>
        <v>0</v>
      </c>
      <c r="J148" s="478">
        <f t="shared" si="41"/>
        <v>0</v>
      </c>
      <c r="K148" s="478"/>
      <c r="L148" s="487"/>
      <c r="M148" s="478">
        <f t="shared" si="42"/>
        <v>0</v>
      </c>
      <c r="N148" s="487"/>
      <c r="O148" s="478">
        <f t="shared" si="43"/>
        <v>0</v>
      </c>
      <c r="P148" s="478">
        <f t="shared" si="44"/>
        <v>0</v>
      </c>
    </row>
    <row r="149" spans="2:16" ht="12.5">
      <c r="B149" s="160" t="str">
        <f t="shared" si="28"/>
        <v/>
      </c>
      <c r="C149" s="472">
        <f>IF(D93="","-",+C148+1)</f>
        <v>2058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39"/>
        <v>0</v>
      </c>
      <c r="G149" s="485">
        <f t="shared" si="40"/>
        <v>0</v>
      </c>
      <c r="H149" s="488">
        <f t="shared" si="37"/>
        <v>0</v>
      </c>
      <c r="I149" s="542">
        <f t="shared" si="38"/>
        <v>0</v>
      </c>
      <c r="J149" s="478">
        <f t="shared" si="41"/>
        <v>0</v>
      </c>
      <c r="K149" s="478"/>
      <c r="L149" s="487"/>
      <c r="M149" s="478">
        <f t="shared" si="42"/>
        <v>0</v>
      </c>
      <c r="N149" s="487"/>
      <c r="O149" s="478">
        <f t="shared" si="43"/>
        <v>0</v>
      </c>
      <c r="P149" s="478">
        <f t="shared" si="44"/>
        <v>0</v>
      </c>
    </row>
    <row r="150" spans="2:16" ht="12.5">
      <c r="B150" s="160" t="str">
        <f t="shared" si="28"/>
        <v/>
      </c>
      <c r="C150" s="472">
        <f>IF(D93="","-",+C149+1)</f>
        <v>2059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39"/>
        <v>0</v>
      </c>
      <c r="G150" s="485">
        <f t="shared" si="40"/>
        <v>0</v>
      </c>
      <c r="H150" s="488">
        <f t="shared" si="37"/>
        <v>0</v>
      </c>
      <c r="I150" s="542">
        <f t="shared" si="38"/>
        <v>0</v>
      </c>
      <c r="J150" s="478">
        <f t="shared" si="41"/>
        <v>0</v>
      </c>
      <c r="K150" s="478"/>
      <c r="L150" s="487"/>
      <c r="M150" s="478">
        <f t="shared" si="42"/>
        <v>0</v>
      </c>
      <c r="N150" s="487"/>
      <c r="O150" s="478">
        <f t="shared" si="43"/>
        <v>0</v>
      </c>
      <c r="P150" s="478">
        <f t="shared" si="44"/>
        <v>0</v>
      </c>
    </row>
    <row r="151" spans="2:16" ht="12.5">
      <c r="B151" s="160" t="str">
        <f t="shared" si="28"/>
        <v/>
      </c>
      <c r="C151" s="472">
        <f>IF(D93="","-",+C150+1)</f>
        <v>2060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39"/>
        <v>0</v>
      </c>
      <c r="G151" s="485">
        <f t="shared" si="40"/>
        <v>0</v>
      </c>
      <c r="H151" s="488">
        <f t="shared" si="37"/>
        <v>0</v>
      </c>
      <c r="I151" s="542">
        <f t="shared" si="38"/>
        <v>0</v>
      </c>
      <c r="J151" s="478">
        <f t="shared" si="41"/>
        <v>0</v>
      </c>
      <c r="K151" s="478"/>
      <c r="L151" s="487"/>
      <c r="M151" s="478">
        <f t="shared" si="42"/>
        <v>0</v>
      </c>
      <c r="N151" s="487"/>
      <c r="O151" s="478">
        <f t="shared" si="43"/>
        <v>0</v>
      </c>
      <c r="P151" s="478">
        <f t="shared" si="44"/>
        <v>0</v>
      </c>
    </row>
    <row r="152" spans="2:16" ht="12.5">
      <c r="B152" s="160" t="str">
        <f t="shared" si="28"/>
        <v/>
      </c>
      <c r="C152" s="472">
        <f>IF(D93="","-",+C151+1)</f>
        <v>2061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39"/>
        <v>0</v>
      </c>
      <c r="G152" s="485">
        <f t="shared" si="40"/>
        <v>0</v>
      </c>
      <c r="H152" s="488">
        <f t="shared" si="37"/>
        <v>0</v>
      </c>
      <c r="I152" s="542">
        <f t="shared" si="38"/>
        <v>0</v>
      </c>
      <c r="J152" s="478">
        <f t="shared" si="41"/>
        <v>0</v>
      </c>
      <c r="K152" s="478"/>
      <c r="L152" s="487"/>
      <c r="M152" s="478">
        <f t="shared" si="42"/>
        <v>0</v>
      </c>
      <c r="N152" s="487"/>
      <c r="O152" s="478">
        <f t="shared" si="43"/>
        <v>0</v>
      </c>
      <c r="P152" s="478">
        <f t="shared" si="44"/>
        <v>0</v>
      </c>
    </row>
    <row r="153" spans="2:16" ht="12.5">
      <c r="B153" s="160" t="str">
        <f t="shared" si="28"/>
        <v/>
      </c>
      <c r="C153" s="472">
        <f>IF(D93="","-",+C152+1)</f>
        <v>2062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39"/>
        <v>0</v>
      </c>
      <c r="G153" s="485">
        <f t="shared" si="40"/>
        <v>0</v>
      </c>
      <c r="H153" s="488">
        <f t="shared" si="37"/>
        <v>0</v>
      </c>
      <c r="I153" s="542">
        <f t="shared" si="38"/>
        <v>0</v>
      </c>
      <c r="J153" s="478">
        <f t="shared" si="41"/>
        <v>0</v>
      </c>
      <c r="K153" s="478"/>
      <c r="L153" s="487"/>
      <c r="M153" s="478">
        <f t="shared" si="42"/>
        <v>0</v>
      </c>
      <c r="N153" s="487"/>
      <c r="O153" s="478">
        <f t="shared" si="43"/>
        <v>0</v>
      </c>
      <c r="P153" s="478">
        <f t="shared" si="44"/>
        <v>0</v>
      </c>
    </row>
    <row r="154" spans="2:16" ht="13" thickBot="1">
      <c r="B154" s="160" t="str">
        <f t="shared" si="28"/>
        <v/>
      </c>
      <c r="C154" s="489">
        <f>IF(D93="","-",+C153+1)</f>
        <v>2063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39"/>
        <v>0</v>
      </c>
      <c r="G154" s="490">
        <f t="shared" si="40"/>
        <v>0</v>
      </c>
      <c r="H154" s="492">
        <f t="shared" si="37"/>
        <v>0</v>
      </c>
      <c r="I154" s="545">
        <f t="shared" si="38"/>
        <v>0</v>
      </c>
      <c r="J154" s="495">
        <f t="shared" si="41"/>
        <v>0</v>
      </c>
      <c r="K154" s="478"/>
      <c r="L154" s="494"/>
      <c r="M154" s="495">
        <f t="shared" si="42"/>
        <v>0</v>
      </c>
      <c r="N154" s="494"/>
      <c r="O154" s="495">
        <f t="shared" si="43"/>
        <v>0</v>
      </c>
      <c r="P154" s="495">
        <f t="shared" si="44"/>
        <v>0</v>
      </c>
    </row>
    <row r="155" spans="2:16" ht="12.5">
      <c r="C155" s="346" t="s">
        <v>77</v>
      </c>
      <c r="D155" s="347"/>
      <c r="E155" s="347">
        <f>SUM(E99:E154)</f>
        <v>1520502</v>
      </c>
      <c r="F155" s="347"/>
      <c r="G155" s="347"/>
      <c r="H155" s="347">
        <f>SUM(H99:H154)</f>
        <v>5498386.1070474684</v>
      </c>
      <c r="I155" s="347">
        <f>SUM(I99:I154)</f>
        <v>5498386.1070474684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148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50" priority="1" stopIfTrue="1" operator="equal">
      <formula>$I$10</formula>
    </cfRule>
  </conditionalFormatting>
  <conditionalFormatting sqref="C99:C154">
    <cfRule type="cellIs" dxfId="49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87A3557F-0AD7-4D0C-84E1-35D30C4CF5D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28</vt:i4>
      </vt:variant>
    </vt:vector>
  </HeadingPairs>
  <TitlesOfParts>
    <vt:vector size="60" baseType="lpstr">
      <vt:lpstr>PSO.Sch.11.Rates</vt:lpstr>
      <vt:lpstr>PSO.WS.F.BPU.ATRR.Projected</vt:lpstr>
      <vt:lpstr>PSO.WS.G.BPU.ATRR.True-up</vt:lpstr>
      <vt:lpstr>P.001</vt:lpstr>
      <vt:lpstr>P.002</vt:lpstr>
      <vt:lpstr>P.003</vt:lpstr>
      <vt:lpstr>P.004</vt:lpstr>
      <vt:lpstr>P.005</vt:lpstr>
      <vt:lpstr>P.006</vt:lpstr>
      <vt:lpstr>P.007</vt:lpstr>
      <vt:lpstr>P.008</vt:lpstr>
      <vt:lpstr>P.009</vt:lpstr>
      <vt:lpstr>P.010</vt:lpstr>
      <vt:lpstr>P.011</vt:lpstr>
      <vt:lpstr>P.012</vt:lpstr>
      <vt:lpstr>P.013</vt:lpstr>
      <vt:lpstr>P.014</vt:lpstr>
      <vt:lpstr>P.015</vt:lpstr>
      <vt:lpstr>P.016</vt:lpstr>
      <vt:lpstr>P.017</vt:lpstr>
      <vt:lpstr>P.018</vt:lpstr>
      <vt:lpstr>P.019</vt:lpstr>
      <vt:lpstr>P.020</vt:lpstr>
      <vt:lpstr>P.021</vt:lpstr>
      <vt:lpstr>P.022</vt:lpstr>
      <vt:lpstr>P.023</vt:lpstr>
      <vt:lpstr>P.024</vt:lpstr>
      <vt:lpstr>P.025</vt:lpstr>
      <vt:lpstr>P.026</vt:lpstr>
      <vt:lpstr>P.027</vt:lpstr>
      <vt:lpstr>P.028</vt:lpstr>
      <vt:lpstr>P.xyz - blank</vt:lpstr>
      <vt:lpstr>P.001!Print_Area</vt:lpstr>
      <vt:lpstr>P.002!Print_Area</vt:lpstr>
      <vt:lpstr>P.003!Print_Area</vt:lpstr>
      <vt:lpstr>P.004!Print_Area</vt:lpstr>
      <vt:lpstr>P.005!Print_Area</vt:lpstr>
      <vt:lpstr>P.006!Print_Area</vt:lpstr>
      <vt:lpstr>P.007!Print_Area</vt:lpstr>
      <vt:lpstr>P.008!Print_Area</vt:lpstr>
      <vt:lpstr>P.009!Print_Area</vt:lpstr>
      <vt:lpstr>P.010!Print_Area</vt:lpstr>
      <vt:lpstr>P.011!Print_Area</vt:lpstr>
      <vt:lpstr>P.012!Print_Area</vt:lpstr>
      <vt:lpstr>P.013!Print_Area</vt:lpstr>
      <vt:lpstr>P.014!Print_Area</vt:lpstr>
      <vt:lpstr>P.015!Print_Area</vt:lpstr>
      <vt:lpstr>P.016!Print_Area</vt:lpstr>
      <vt:lpstr>P.017!Print_Area</vt:lpstr>
      <vt:lpstr>P.018!Print_Area</vt:lpstr>
      <vt:lpstr>P.019!Print_Area</vt:lpstr>
      <vt:lpstr>P.020!Print_Area</vt:lpstr>
      <vt:lpstr>P.021!Print_Area</vt:lpstr>
      <vt:lpstr>P.022!Print_Area</vt:lpstr>
      <vt:lpstr>'P.xyz - blank'!Print_Area</vt:lpstr>
      <vt:lpstr>PSO.Sch.11.Rates!Print_Area</vt:lpstr>
      <vt:lpstr>PSO.WS.F.BPU.ATRR.Projected!Print_Area</vt:lpstr>
      <vt:lpstr>'PSO.WS.G.BPU.ATRR.True-up'!Print_Area</vt:lpstr>
      <vt:lpstr>PSO.WS.F.BPU.ATRR.Projected!Print_Titles</vt:lpstr>
      <vt:lpstr>'PSO.WS.G.BPU.ATRR.True-up'!Print_Titles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R.Pennybaker</dc:creator>
  <cp:keywords/>
  <cp:lastModifiedBy>s177040</cp:lastModifiedBy>
  <cp:lastPrinted>2019-05-20T13:24:17Z</cp:lastPrinted>
  <dcterms:created xsi:type="dcterms:W3CDTF">2009-05-11T14:02:48Z</dcterms:created>
  <dcterms:modified xsi:type="dcterms:W3CDTF">2020-11-02T12:25:42Z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b2c80a7b-f289-41ae-b128-3b3f639b0f35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</Properties>
</file>