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177040" algorithmName="SHA-512" hashValue="r2tmAzaTOJw+F94+Smv8S3WcgpHfzG0lUgpP4yxcK8ekEG/ljAQni6sswSt+FmCdVrU2HFYWxfvwPvO8saywAA==" saltValue="BM+q4BJNIXrWOppiPZj4Bw==" spinCount="100000"/>
  <workbookPr codeName="ThisWorkbook" defaultThemeVersion="124226"/>
  <mc:AlternateContent xmlns:mc="http://schemas.openxmlformats.org/markup-compatibility/2006">
    <mc:Choice Requires="x15">
      <x15ac:absPath xmlns:x15ac="http://schemas.microsoft.com/office/spreadsheetml/2010/11/ac" url="E:\FORMULA RATES SPP\Annual Update Transmission Rates AEP West SPP OpCos and Transcos\Projected\2021 Projection\Transco\Filed 10-30-20\"/>
    </mc:Choice>
  </mc:AlternateContent>
  <bookViews>
    <workbookView xWindow="390" yWindow="0" windowWidth="18810" windowHeight="4380" tabRatio="834"/>
  </bookViews>
  <sheets>
    <sheet name="OKT.Sch.11.Rates" sheetId="17" r:id="rId1"/>
    <sheet name="OKT.WS.F.BPU.ATRR.Projected" sheetId="1" r:id="rId2"/>
    <sheet name="OKT.WS.G.BPU.ATRR.True-up" sheetId="2" r:id="rId3"/>
    <sheet name="OKT.001" sheetId="3" r:id="rId4"/>
    <sheet name="OKT.002" sheetId="4" r:id="rId5"/>
    <sheet name="OKT.003" sheetId="18" r:id="rId6"/>
    <sheet name="OKT.004" sheetId="19" r:id="rId7"/>
    <sheet name="OKT.005" sheetId="20" r:id="rId8"/>
    <sheet name="OKT.006" sheetId="21" r:id="rId9"/>
    <sheet name="OKT.007" sheetId="22" r:id="rId10"/>
    <sheet name="OKT.008" sheetId="23" r:id="rId11"/>
    <sheet name="OKT.009" sheetId="25" r:id="rId12"/>
    <sheet name="OKT.010" sheetId="24" r:id="rId13"/>
    <sheet name="OKT.011" sheetId="26" r:id="rId14"/>
    <sheet name="OKT.012" sheetId="27" r:id="rId15"/>
    <sheet name="OKT.013" sheetId="28" r:id="rId16"/>
    <sheet name="OKT.014" sheetId="29" r:id="rId17"/>
    <sheet name="OKT.015" sheetId="31" r:id="rId18"/>
    <sheet name="OKT.016" sheetId="34" r:id="rId19"/>
    <sheet name="OKT.017" sheetId="35" r:id="rId20"/>
    <sheet name="OKT.018" sheetId="37" r:id="rId21"/>
    <sheet name="OKT.019" sheetId="38" r:id="rId22"/>
    <sheet name="OKT.020" sheetId="39" r:id="rId23"/>
    <sheet name="OKT.xyz - blank" sheetId="13" r:id="rId24"/>
  </sheets>
  <externalReferences>
    <externalReference r:id="rId25"/>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3">OKT.001!$A$1:$P$166</definedName>
    <definedName name="_xlnm.Print_Area" localSheetId="4">OKT.002!$A$1:$P$166</definedName>
    <definedName name="_xlnm.Print_Area" localSheetId="5">OKT.003!$A$1:$P$166</definedName>
    <definedName name="_xlnm.Print_Area" localSheetId="6">OKT.004!$A$1:$P$166</definedName>
    <definedName name="_xlnm.Print_Area" localSheetId="7">OKT.005!$A$1:$P$166</definedName>
    <definedName name="_xlnm.Print_Area" localSheetId="8">OKT.006!$A$1:$P$166</definedName>
    <definedName name="_xlnm.Print_Area" localSheetId="9">OKT.007!$A$1:$P$166</definedName>
    <definedName name="_xlnm.Print_Area" localSheetId="10">OKT.008!$A$1:$P$166</definedName>
    <definedName name="_xlnm.Print_Area" localSheetId="11">OKT.009!$A$1:$P$166</definedName>
    <definedName name="_xlnm.Print_Area" localSheetId="12">OKT.010!$A$1:$P$166</definedName>
    <definedName name="_xlnm.Print_Area" localSheetId="13">OKT.011!$A$1:$P$166</definedName>
    <definedName name="_xlnm.Print_Area" localSheetId="14">OKT.012!$A$1:$P$166</definedName>
    <definedName name="_xlnm.Print_Area" localSheetId="15">OKT.013!$A$1:$P$166</definedName>
    <definedName name="_xlnm.Print_Area" localSheetId="16">OKT.014!$A$1:$P$166</definedName>
    <definedName name="_xlnm.Print_Area" localSheetId="17">OKT.015!$A$1:$P$166</definedName>
    <definedName name="_xlnm.Print_Area" localSheetId="18">OKT.016!$A$1:$P$166</definedName>
    <definedName name="_xlnm.Print_Area" localSheetId="19">OKT.017!$A$1:$P$166</definedName>
    <definedName name="_xlnm.Print_Area" localSheetId="0">OKT.Sch.11.Rates!$A$1:$T$41</definedName>
    <definedName name="_xlnm.Print_Area" localSheetId="1">OKT.WS.F.BPU.ATRR.Projected!$A$1:$O$90</definedName>
    <definedName name="_xlnm.Print_Area" localSheetId="2">'OKT.WS.G.BPU.ATRR.True-up'!$A$1:$P$96</definedName>
    <definedName name="_xlnm.Print_Area" localSheetId="23">'OKT.xyz - blank'!$A$1:$P$166</definedName>
    <definedName name="_xlnm.Print_Titles" localSheetId="9">OKT.007!#REF!</definedName>
    <definedName name="_xlnm.Print_Titles" localSheetId="10">OKT.008!#REF!</definedName>
    <definedName name="_xlnm.Print_Titles" localSheetId="11">OKT.009!#REF!</definedName>
    <definedName name="_xlnm.Print_Titles" localSheetId="12">OKT.010!#REF!</definedName>
    <definedName name="_xlnm.Print_Titles" localSheetId="13">OKT.011!#REF!</definedName>
    <definedName name="_xlnm.Print_Titles" localSheetId="14">OKT.012!#REF!</definedName>
    <definedName name="_xlnm.Print_Titles" localSheetId="15">OKT.013!#REF!</definedName>
    <definedName name="_xlnm.Print_Titles" localSheetId="16">OKT.014!#REF!</definedName>
    <definedName name="_xlnm.Print_Titles" localSheetId="18">OKT.016!#REF!</definedName>
    <definedName name="_xlnm.Print_Titles" localSheetId="19">OKT.017!#REF!</definedName>
    <definedName name="_xlnm.Print_Titles" localSheetId="1">OKT.WS.F.BPU.ATRR.Projected!$1:$5</definedName>
    <definedName name="_xlnm.Print_Titles" localSheetId="2">'OKT.WS.G.BPU.ATRR.True-up'!$1:$5</definedName>
    <definedName name="_xlnm.Print_Titles" localSheetId="23">'OKT.xyz - blank'!#REF!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calcId="162913"/>
</workbook>
</file>

<file path=xl/calcChain.xml><?xml version="1.0" encoding="utf-8"?>
<calcChain xmlns="http://schemas.openxmlformats.org/spreadsheetml/2006/main">
  <c r="T14" i="17" l="1"/>
  <c r="E35" i="1" l="1"/>
  <c r="E34" i="1"/>
  <c r="M19" i="38" l="1"/>
  <c r="K19" i="38"/>
  <c r="L19" i="38" s="1"/>
  <c r="D24" i="27"/>
  <c r="W37" i="17" l="1"/>
  <c r="L37" i="17"/>
  <c r="M17" i="39"/>
  <c r="K17" i="39"/>
  <c r="L17" i="39" s="1"/>
  <c r="P155" i="39"/>
  <c r="O155" i="39"/>
  <c r="M155" i="39"/>
  <c r="J155" i="39"/>
  <c r="P154" i="39"/>
  <c r="O154" i="39"/>
  <c r="M154" i="39"/>
  <c r="J154" i="39"/>
  <c r="P153" i="39"/>
  <c r="O153" i="39"/>
  <c r="M153" i="39"/>
  <c r="J153" i="39"/>
  <c r="P152" i="39"/>
  <c r="O152" i="39"/>
  <c r="M152" i="39"/>
  <c r="J152" i="39"/>
  <c r="P151" i="39"/>
  <c r="O151" i="39"/>
  <c r="M151" i="39"/>
  <c r="J151" i="39"/>
  <c r="P150" i="39"/>
  <c r="O150" i="39"/>
  <c r="M150" i="39"/>
  <c r="J150" i="39"/>
  <c r="P149" i="39"/>
  <c r="O149" i="39"/>
  <c r="M149" i="39"/>
  <c r="J149" i="39"/>
  <c r="P148" i="39"/>
  <c r="O148" i="39"/>
  <c r="M148" i="39"/>
  <c r="J148" i="39"/>
  <c r="P147" i="39"/>
  <c r="O147" i="39"/>
  <c r="M147" i="39"/>
  <c r="J147" i="39"/>
  <c r="P146" i="39"/>
  <c r="O146" i="39"/>
  <c r="M146" i="39"/>
  <c r="J146" i="39"/>
  <c r="P145" i="39"/>
  <c r="O145" i="39"/>
  <c r="M145" i="39"/>
  <c r="J145" i="39"/>
  <c r="P144" i="39"/>
  <c r="O144" i="39"/>
  <c r="M144" i="39"/>
  <c r="J144" i="39"/>
  <c r="P143" i="39"/>
  <c r="O143" i="39"/>
  <c r="M143" i="39"/>
  <c r="J143" i="39"/>
  <c r="P142" i="39"/>
  <c r="O142" i="39"/>
  <c r="M142" i="39"/>
  <c r="J142" i="39"/>
  <c r="P141" i="39"/>
  <c r="O141" i="39"/>
  <c r="M141" i="39"/>
  <c r="J141" i="39"/>
  <c r="P140" i="39"/>
  <c r="O140" i="39"/>
  <c r="M140" i="39"/>
  <c r="J140" i="39"/>
  <c r="P139" i="39"/>
  <c r="O139" i="39"/>
  <c r="M139" i="39"/>
  <c r="J139" i="39"/>
  <c r="P138" i="39"/>
  <c r="O138" i="39"/>
  <c r="M138" i="39"/>
  <c r="J138" i="39"/>
  <c r="P137" i="39"/>
  <c r="O137" i="39"/>
  <c r="M137" i="39"/>
  <c r="J137" i="39"/>
  <c r="P136" i="39"/>
  <c r="O136" i="39"/>
  <c r="M136" i="39"/>
  <c r="J136" i="39"/>
  <c r="P135" i="39"/>
  <c r="O135" i="39"/>
  <c r="M135" i="39"/>
  <c r="J135" i="39"/>
  <c r="P134" i="39"/>
  <c r="O134" i="39"/>
  <c r="M134" i="39"/>
  <c r="J134" i="39"/>
  <c r="P133" i="39"/>
  <c r="O133" i="39"/>
  <c r="M133" i="39"/>
  <c r="J133" i="39"/>
  <c r="P132" i="39"/>
  <c r="O132" i="39"/>
  <c r="M132" i="39"/>
  <c r="J132" i="39"/>
  <c r="O131" i="39"/>
  <c r="M131" i="39"/>
  <c r="O130" i="39"/>
  <c r="M130" i="39"/>
  <c r="O129" i="39"/>
  <c r="M129" i="39"/>
  <c r="O128" i="39"/>
  <c r="M128" i="39"/>
  <c r="O127" i="39"/>
  <c r="M127" i="39"/>
  <c r="O126" i="39"/>
  <c r="M126" i="39"/>
  <c r="O125" i="39"/>
  <c r="M125" i="39"/>
  <c r="O124" i="39"/>
  <c r="M124" i="39"/>
  <c r="O123" i="39"/>
  <c r="M123" i="39"/>
  <c r="O122" i="39"/>
  <c r="M122" i="39"/>
  <c r="O121" i="39"/>
  <c r="M121" i="39"/>
  <c r="O120" i="39"/>
  <c r="M120" i="39"/>
  <c r="O119" i="39"/>
  <c r="M119" i="39"/>
  <c r="O118" i="39"/>
  <c r="M118" i="39"/>
  <c r="O117" i="39"/>
  <c r="M117" i="39"/>
  <c r="O116" i="39"/>
  <c r="M116" i="39"/>
  <c r="O115" i="39"/>
  <c r="M115" i="39"/>
  <c r="O114" i="39"/>
  <c r="M114" i="39"/>
  <c r="O113" i="39"/>
  <c r="M113" i="39"/>
  <c r="O112" i="39"/>
  <c r="M112" i="39"/>
  <c r="O111" i="39"/>
  <c r="M111" i="39"/>
  <c r="O110" i="39"/>
  <c r="M110" i="39"/>
  <c r="O109" i="39"/>
  <c r="M109" i="39"/>
  <c r="O108" i="39"/>
  <c r="M108" i="39"/>
  <c r="O107" i="39"/>
  <c r="M107" i="39"/>
  <c r="O106" i="39"/>
  <c r="M106" i="39"/>
  <c r="O105" i="39"/>
  <c r="M105" i="39"/>
  <c r="O104" i="39"/>
  <c r="M104" i="39"/>
  <c r="O103" i="39"/>
  <c r="M103" i="39"/>
  <c r="O102" i="39"/>
  <c r="M102" i="39"/>
  <c r="O101" i="39"/>
  <c r="M101" i="39"/>
  <c r="O100" i="39"/>
  <c r="M100" i="39"/>
  <c r="E100" i="39"/>
  <c r="J97" i="39"/>
  <c r="D97" i="39"/>
  <c r="J95" i="39"/>
  <c r="D95" i="39"/>
  <c r="L94" i="39"/>
  <c r="J94" i="39"/>
  <c r="D94" i="39"/>
  <c r="J93" i="39"/>
  <c r="D92" i="39"/>
  <c r="D90" i="39"/>
  <c r="N73" i="39"/>
  <c r="L73" i="39"/>
  <c r="N72" i="39"/>
  <c r="L72" i="39"/>
  <c r="N71" i="39"/>
  <c r="L71" i="39"/>
  <c r="N70" i="39"/>
  <c r="L70" i="39"/>
  <c r="N69" i="39"/>
  <c r="L69" i="39"/>
  <c r="N68" i="39"/>
  <c r="L68" i="39"/>
  <c r="N67" i="39"/>
  <c r="L67" i="39"/>
  <c r="N66" i="39"/>
  <c r="L66" i="39"/>
  <c r="N65" i="39"/>
  <c r="L65" i="39"/>
  <c r="N64" i="39"/>
  <c r="L64" i="39"/>
  <c r="N63" i="39"/>
  <c r="L63" i="39"/>
  <c r="N62" i="39"/>
  <c r="L62" i="39"/>
  <c r="N61" i="39"/>
  <c r="L61" i="39"/>
  <c r="N60" i="39"/>
  <c r="L60" i="39"/>
  <c r="N59" i="39"/>
  <c r="L59" i="39"/>
  <c r="N58" i="39"/>
  <c r="L58" i="39"/>
  <c r="N57" i="39"/>
  <c r="L57" i="39"/>
  <c r="N56" i="39"/>
  <c r="L56" i="39"/>
  <c r="N55" i="39"/>
  <c r="L55" i="39"/>
  <c r="N54" i="39"/>
  <c r="L54" i="39"/>
  <c r="N53" i="39"/>
  <c r="L53" i="39"/>
  <c r="N52" i="39"/>
  <c r="L52" i="39"/>
  <c r="N51" i="39"/>
  <c r="L51" i="39"/>
  <c r="N50" i="39"/>
  <c r="L50" i="39"/>
  <c r="N49" i="39"/>
  <c r="L49" i="39"/>
  <c r="N48" i="39"/>
  <c r="L48" i="39"/>
  <c r="N47" i="39"/>
  <c r="L47" i="39"/>
  <c r="N46" i="39"/>
  <c r="L46" i="39"/>
  <c r="N45" i="39"/>
  <c r="L45" i="39"/>
  <c r="N44" i="39"/>
  <c r="L44" i="39"/>
  <c r="N43" i="39"/>
  <c r="L43" i="39"/>
  <c r="N42" i="39"/>
  <c r="L42" i="39"/>
  <c r="N41" i="39"/>
  <c r="L41" i="39"/>
  <c r="N40" i="39"/>
  <c r="L40" i="39"/>
  <c r="N39" i="39"/>
  <c r="L39" i="39"/>
  <c r="N38" i="39"/>
  <c r="L38" i="39"/>
  <c r="N37" i="39"/>
  <c r="L37" i="39"/>
  <c r="N36" i="39"/>
  <c r="L36" i="39"/>
  <c r="N35" i="39"/>
  <c r="L35" i="39"/>
  <c r="N34" i="39"/>
  <c r="L34" i="39"/>
  <c r="N33" i="39"/>
  <c r="L33" i="39"/>
  <c r="N32" i="39"/>
  <c r="L32" i="39"/>
  <c r="N31" i="39"/>
  <c r="L31" i="39"/>
  <c r="N30" i="39"/>
  <c r="L30" i="39"/>
  <c r="N29" i="39"/>
  <c r="L29" i="39"/>
  <c r="N28" i="39"/>
  <c r="L28" i="39"/>
  <c r="N27" i="39"/>
  <c r="L27" i="39"/>
  <c r="N26" i="39"/>
  <c r="L26" i="39"/>
  <c r="N25" i="39"/>
  <c r="L25" i="39"/>
  <c r="N24" i="39"/>
  <c r="L24" i="39"/>
  <c r="N23" i="39"/>
  <c r="L23" i="39"/>
  <c r="N22" i="39"/>
  <c r="L22" i="39"/>
  <c r="N21" i="39"/>
  <c r="L21" i="39"/>
  <c r="N20" i="39"/>
  <c r="L20" i="39"/>
  <c r="N19" i="39"/>
  <c r="L19" i="39"/>
  <c r="N18" i="39"/>
  <c r="L18" i="39"/>
  <c r="N17" i="39"/>
  <c r="C17" i="39"/>
  <c r="B17" i="39"/>
  <c r="K11" i="39"/>
  <c r="I11" i="39"/>
  <c r="I10" i="39"/>
  <c r="D91" i="39"/>
  <c r="P1" i="39"/>
  <c r="P84" i="39" s="1"/>
  <c r="P108" i="39" l="1"/>
  <c r="P110" i="39"/>
  <c r="P114" i="39"/>
  <c r="P116" i="39"/>
  <c r="P118" i="39"/>
  <c r="P106" i="39"/>
  <c r="P107" i="39"/>
  <c r="P111" i="39"/>
  <c r="P115" i="39"/>
  <c r="P119" i="39"/>
  <c r="P123" i="39"/>
  <c r="P127" i="39"/>
  <c r="P102" i="39"/>
  <c r="P131" i="39"/>
  <c r="P103" i="39"/>
  <c r="O54" i="39"/>
  <c r="O66" i="39"/>
  <c r="O35" i="39"/>
  <c r="O43" i="39"/>
  <c r="O17" i="39"/>
  <c r="O57" i="39"/>
  <c r="O59" i="39"/>
  <c r="O61" i="39"/>
  <c r="O65" i="39"/>
  <c r="O22" i="39"/>
  <c r="O24" i="39"/>
  <c r="O26" i="39"/>
  <c r="O30" i="39"/>
  <c r="O32" i="39"/>
  <c r="O34" i="39"/>
  <c r="O42" i="39"/>
  <c r="O46" i="39"/>
  <c r="O41" i="39"/>
  <c r="O29" i="39"/>
  <c r="O33" i="39"/>
  <c r="O48" i="39"/>
  <c r="O56" i="39"/>
  <c r="O64" i="39"/>
  <c r="O25" i="39"/>
  <c r="O58" i="39"/>
  <c r="O62" i="39"/>
  <c r="O70" i="39"/>
  <c r="O49" i="39"/>
  <c r="O19" i="39"/>
  <c r="O21" i="39"/>
  <c r="O38" i="39"/>
  <c r="O47" i="39"/>
  <c r="O50" i="39"/>
  <c r="O67" i="39"/>
  <c r="O69" i="39"/>
  <c r="O73" i="39"/>
  <c r="P101" i="39"/>
  <c r="P104" i="39"/>
  <c r="P109" i="39"/>
  <c r="P112" i="39"/>
  <c r="P117" i="39"/>
  <c r="O18" i="39"/>
  <c r="O37" i="39"/>
  <c r="O53" i="39"/>
  <c r="P100" i="39"/>
  <c r="P105" i="39"/>
  <c r="P113" i="39"/>
  <c r="O40" i="39"/>
  <c r="O45" i="39"/>
  <c r="P126" i="39"/>
  <c r="O27" i="39"/>
  <c r="O39" i="39"/>
  <c r="O71" i="39"/>
  <c r="O51" i="39"/>
  <c r="O20" i="39"/>
  <c r="O23" i="39"/>
  <c r="O28" i="39"/>
  <c r="O31" i="39"/>
  <c r="O36" i="39"/>
  <c r="O44" i="39"/>
  <c r="O52" i="39"/>
  <c r="O55" i="39"/>
  <c r="O60" i="39"/>
  <c r="O63" i="39"/>
  <c r="O68" i="39"/>
  <c r="P120" i="39"/>
  <c r="C18" i="39"/>
  <c r="C19" i="39" s="1"/>
  <c r="C20" i="39" s="1"/>
  <c r="C21" i="39" s="1"/>
  <c r="C22" i="39" s="1"/>
  <c r="C23" i="39" s="1"/>
  <c r="C24" i="39" s="1"/>
  <c r="C25" i="39" s="1"/>
  <c r="C26" i="39" s="1"/>
  <c r="C27" i="39" s="1"/>
  <c r="C28" i="39" s="1"/>
  <c r="C29" i="39" s="1"/>
  <c r="C30" i="39" s="1"/>
  <c r="C31" i="39" s="1"/>
  <c r="C32" i="39" s="1"/>
  <c r="C33" i="39" s="1"/>
  <c r="C34" i="39" s="1"/>
  <c r="C35" i="39" s="1"/>
  <c r="C36" i="39" s="1"/>
  <c r="C37" i="39" s="1"/>
  <c r="C38" i="39" s="1"/>
  <c r="C39" i="39" s="1"/>
  <c r="C40" i="39" s="1"/>
  <c r="C41" i="39" s="1"/>
  <c r="C42" i="39" s="1"/>
  <c r="C43" i="39" s="1"/>
  <c r="C44" i="39" s="1"/>
  <c r="C45" i="39" s="1"/>
  <c r="O72" i="39"/>
  <c r="C100" i="39"/>
  <c r="C101" i="39" s="1"/>
  <c r="C102" i="39" s="1"/>
  <c r="C103" i="39" s="1"/>
  <c r="C104" i="39" s="1"/>
  <c r="C105" i="39" s="1"/>
  <c r="C106" i="39" s="1"/>
  <c r="C107" i="39" s="1"/>
  <c r="C108" i="39" s="1"/>
  <c r="C109" i="39" s="1"/>
  <c r="C110" i="39" s="1"/>
  <c r="C111" i="39" s="1"/>
  <c r="C112" i="39" s="1"/>
  <c r="C113" i="39" s="1"/>
  <c r="C114" i="39" s="1"/>
  <c r="C115" i="39" s="1"/>
  <c r="C116" i="39" s="1"/>
  <c r="C117" i="39" s="1"/>
  <c r="C118" i="39" s="1"/>
  <c r="C119" i="39" s="1"/>
  <c r="C120" i="39" s="1"/>
  <c r="C121" i="39" s="1"/>
  <c r="C122" i="39" s="1"/>
  <c r="C123" i="39" s="1"/>
  <c r="C124" i="39" s="1"/>
  <c r="C125" i="39" s="1"/>
  <c r="C126" i="39" s="1"/>
  <c r="C127" i="39" s="1"/>
  <c r="F100" i="39"/>
  <c r="J96" i="39"/>
  <c r="P130" i="39"/>
  <c r="L87" i="39"/>
  <c r="P121" i="39"/>
  <c r="P125" i="39"/>
  <c r="P129" i="39"/>
  <c r="P122" i="39"/>
  <c r="P124" i="39"/>
  <c r="P128" i="39"/>
  <c r="C128" i="39" l="1"/>
  <c r="C129" i="39" s="1"/>
  <c r="C130" i="39" s="1"/>
  <c r="C131" i="39" s="1"/>
  <c r="C132" i="39" s="1"/>
  <c r="C133" i="39" s="1"/>
  <c r="C134" i="39" s="1"/>
  <c r="C135" i="39" s="1"/>
  <c r="C136" i="39" s="1"/>
  <c r="C137" i="39" s="1"/>
  <c r="C138" i="39" s="1"/>
  <c r="C139" i="39" s="1"/>
  <c r="C140" i="39" s="1"/>
  <c r="C141" i="39" s="1"/>
  <c r="C142" i="39" s="1"/>
  <c r="C143" i="39" s="1"/>
  <c r="C144" i="39" s="1"/>
  <c r="C145" i="39" s="1"/>
  <c r="C146" i="39" s="1"/>
  <c r="C147" i="39" s="1"/>
  <c r="C148" i="39" s="1"/>
  <c r="C149" i="39" s="1"/>
  <c r="C150" i="39" s="1"/>
  <c r="C151" i="39" s="1"/>
  <c r="C152" i="39" s="1"/>
  <c r="C153" i="39" s="1"/>
  <c r="C154" i="39" s="1"/>
  <c r="C155" i="39" s="1"/>
  <c r="D101" i="39"/>
  <c r="E101" i="39" s="1"/>
  <c r="D100" i="39"/>
  <c r="B100" i="39" s="1"/>
  <c r="C46" i="39"/>
  <c r="C47" i="39" s="1"/>
  <c r="C48" i="39" s="1"/>
  <c r="C49" i="39" s="1"/>
  <c r="C50" i="39" s="1"/>
  <c r="C51" i="39" s="1"/>
  <c r="C52" i="39" s="1"/>
  <c r="C53" i="39" s="1"/>
  <c r="C54" i="39" s="1"/>
  <c r="C55" i="39" s="1"/>
  <c r="C56" i="39" s="1"/>
  <c r="C57" i="39" s="1"/>
  <c r="C58" i="39" s="1"/>
  <c r="C59" i="39" s="1"/>
  <c r="C60" i="39" s="1"/>
  <c r="C61" i="39" s="1"/>
  <c r="C62" i="39" s="1"/>
  <c r="C63" i="39" s="1"/>
  <c r="C64" i="39" s="1"/>
  <c r="C65" i="39" s="1"/>
  <c r="C66" i="39" s="1"/>
  <c r="C67" i="39" s="1"/>
  <c r="C68" i="39" s="1"/>
  <c r="C69" i="39" s="1"/>
  <c r="C70" i="39" s="1"/>
  <c r="C71" i="39" s="1"/>
  <c r="C72" i="39" s="1"/>
  <c r="M88" i="39"/>
  <c r="N88" i="39"/>
  <c r="D18" i="39"/>
  <c r="G100" i="39" l="1"/>
  <c r="H100" i="39" s="1"/>
  <c r="I17" i="39"/>
  <c r="O88" i="39"/>
  <c r="I100" i="39"/>
  <c r="B18" i="39"/>
  <c r="F101" i="39"/>
  <c r="B101" i="39"/>
  <c r="J100" i="39" l="1"/>
  <c r="D102" i="39"/>
  <c r="E102" i="39" s="1"/>
  <c r="G101" i="39"/>
  <c r="H101" i="39" l="1"/>
  <c r="I101" i="39"/>
  <c r="F102" i="39"/>
  <c r="B102" i="39"/>
  <c r="M89" i="39" l="1"/>
  <c r="M90" i="39" s="1"/>
  <c r="D103" i="39"/>
  <c r="G102" i="39"/>
  <c r="J101" i="39"/>
  <c r="N89" i="39"/>
  <c r="B103" i="39" l="1"/>
  <c r="H102" i="39"/>
  <c r="I102" i="39"/>
  <c r="N90" i="39"/>
  <c r="O89" i="39"/>
  <c r="O90" i="39" s="1"/>
  <c r="E103" i="39"/>
  <c r="F103" i="39" s="1"/>
  <c r="D104" i="39" l="1"/>
  <c r="E104" i="39" s="1"/>
  <c r="G103" i="39"/>
  <c r="J102" i="39"/>
  <c r="H103" i="39" l="1"/>
  <c r="I103" i="39"/>
  <c r="F104" i="39"/>
  <c r="B104" i="39"/>
  <c r="J103" i="39" l="1"/>
  <c r="D105" i="39"/>
  <c r="G104" i="39"/>
  <c r="H104" i="39" l="1"/>
  <c r="I104" i="39"/>
  <c r="B105" i="39"/>
  <c r="E105" i="39"/>
  <c r="F105" i="39" s="1"/>
  <c r="J104" i="39" l="1"/>
  <c r="D106" i="39"/>
  <c r="G105" i="39"/>
  <c r="H105" i="39" l="1"/>
  <c r="I105" i="39"/>
  <c r="J105" i="39" s="1"/>
  <c r="F106" i="39"/>
  <c r="B106" i="39"/>
  <c r="E106" i="39"/>
  <c r="D107" i="39" l="1"/>
  <c r="G106" i="39"/>
  <c r="H106" i="39" l="1"/>
  <c r="I106" i="39"/>
  <c r="J106" i="39" s="1"/>
  <c r="F107" i="39"/>
  <c r="B107" i="39"/>
  <c r="E107" i="39"/>
  <c r="D108" i="39" l="1"/>
  <c r="G107" i="39"/>
  <c r="H107" i="39" l="1"/>
  <c r="I107" i="39"/>
  <c r="J107" i="39" s="1"/>
  <c r="B108" i="39"/>
  <c r="E108" i="39"/>
  <c r="F108" i="39" s="1"/>
  <c r="D109" i="39" l="1"/>
  <c r="G108" i="39"/>
  <c r="B109" i="39" l="1"/>
  <c r="H108" i="39"/>
  <c r="I108" i="39"/>
  <c r="E109" i="39"/>
  <c r="F109" i="39" s="1"/>
  <c r="D110" i="39" l="1"/>
  <c r="E110" i="39" s="1"/>
  <c r="G109" i="39"/>
  <c r="J108" i="39"/>
  <c r="H109" i="39" l="1"/>
  <c r="I109" i="39"/>
  <c r="F110" i="39"/>
  <c r="B110" i="39"/>
  <c r="J109" i="39" l="1"/>
  <c r="D111" i="39"/>
  <c r="G110" i="39"/>
  <c r="B111" i="39" l="1"/>
  <c r="H110" i="39"/>
  <c r="I110" i="39"/>
  <c r="E111" i="39"/>
  <c r="F111" i="39" s="1"/>
  <c r="J110" i="39" l="1"/>
  <c r="D112" i="39"/>
  <c r="E112" i="39" s="1"/>
  <c r="G111" i="39"/>
  <c r="H111" i="39" l="1"/>
  <c r="I111" i="39"/>
  <c r="J111" i="39" s="1"/>
  <c r="F112" i="39"/>
  <c r="B112" i="39"/>
  <c r="D113" i="39" l="1"/>
  <c r="E113" i="39" s="1"/>
  <c r="G112" i="39"/>
  <c r="H112" i="39" l="1"/>
  <c r="I112" i="39"/>
  <c r="J112" i="39" s="1"/>
  <c r="F113" i="39"/>
  <c r="B113" i="39"/>
  <c r="D114" i="39" l="1"/>
  <c r="G113" i="39"/>
  <c r="H113" i="39" l="1"/>
  <c r="I113" i="39"/>
  <c r="J113" i="39" s="1"/>
  <c r="B114" i="39"/>
  <c r="E114" i="39"/>
  <c r="F114" i="39" s="1"/>
  <c r="D115" i="39" l="1"/>
  <c r="G114" i="39"/>
  <c r="B115" i="39" l="1"/>
  <c r="E115" i="39"/>
  <c r="F115" i="39" s="1"/>
  <c r="H114" i="39"/>
  <c r="I114" i="39"/>
  <c r="D116" i="39" l="1"/>
  <c r="E116" i="39" s="1"/>
  <c r="G115" i="39"/>
  <c r="J114" i="39"/>
  <c r="H115" i="39" l="1"/>
  <c r="I115" i="39"/>
  <c r="J115" i="39" s="1"/>
  <c r="F116" i="39"/>
  <c r="B116" i="39"/>
  <c r="D117" i="39" l="1"/>
  <c r="E117" i="39" s="1"/>
  <c r="G116" i="39"/>
  <c r="H116" i="39" l="1"/>
  <c r="I116" i="39"/>
  <c r="J116" i="39" s="1"/>
  <c r="F117" i="39"/>
  <c r="B117" i="39"/>
  <c r="D118" i="39" l="1"/>
  <c r="G117" i="39"/>
  <c r="H117" i="39" l="1"/>
  <c r="I117" i="39"/>
  <c r="J117" i="39" s="1"/>
  <c r="F118" i="39"/>
  <c r="B118" i="39"/>
  <c r="E118" i="39"/>
  <c r="D119" i="39" l="1"/>
  <c r="E119" i="39" s="1"/>
  <c r="G118" i="39"/>
  <c r="H118" i="39" l="1"/>
  <c r="I118" i="39"/>
  <c r="J118" i="39" s="1"/>
  <c r="F119" i="39"/>
  <c r="B119" i="39"/>
  <c r="D120" i="39" l="1"/>
  <c r="G119" i="39"/>
  <c r="H119" i="39" l="1"/>
  <c r="I119" i="39"/>
  <c r="J119" i="39" s="1"/>
  <c r="F120" i="39"/>
  <c r="B120" i="39"/>
  <c r="E120" i="39"/>
  <c r="G120" i="39" l="1"/>
  <c r="D121" i="39"/>
  <c r="B121" i="39" l="1"/>
  <c r="H120" i="39"/>
  <c r="I120" i="39"/>
  <c r="J120" i="39" s="1"/>
  <c r="E121" i="39"/>
  <c r="F121" i="39" s="1"/>
  <c r="G121" i="39" l="1"/>
  <c r="D122" i="39"/>
  <c r="E122" i="39"/>
  <c r="B122" i="39" l="1"/>
  <c r="F122" i="39"/>
  <c r="H121" i="39"/>
  <c r="I121" i="39"/>
  <c r="G122" i="39" l="1"/>
  <c r="D123" i="39"/>
  <c r="E123" i="39" s="1"/>
  <c r="J121" i="39"/>
  <c r="H122" i="39" l="1"/>
  <c r="I122" i="39"/>
  <c r="F123" i="39"/>
  <c r="B123" i="39"/>
  <c r="J122" i="39" l="1"/>
  <c r="D124" i="39"/>
  <c r="G123" i="39"/>
  <c r="H123" i="39" l="1"/>
  <c r="I123" i="39"/>
  <c r="B124" i="39"/>
  <c r="E124" i="39"/>
  <c r="F124" i="39" s="1"/>
  <c r="J123" i="39" l="1"/>
  <c r="D125" i="39"/>
  <c r="G124" i="39"/>
  <c r="E125" i="39"/>
  <c r="H124" i="39" l="1"/>
  <c r="I124" i="39"/>
  <c r="J124" i="39" s="1"/>
  <c r="F125" i="39"/>
  <c r="B125" i="39"/>
  <c r="D126" i="39" l="1"/>
  <c r="G125" i="39"/>
  <c r="H125" i="39" l="1"/>
  <c r="I125" i="39"/>
  <c r="J125" i="39" s="1"/>
  <c r="B126" i="39"/>
  <c r="F126" i="39"/>
  <c r="E126" i="39"/>
  <c r="D127" i="39" l="1"/>
  <c r="E127" i="39" s="1"/>
  <c r="G126" i="39"/>
  <c r="H126" i="39" l="1"/>
  <c r="I126" i="39"/>
  <c r="J126" i="39" s="1"/>
  <c r="B127" i="39"/>
  <c r="F127" i="39"/>
  <c r="D128" i="39" l="1"/>
  <c r="G127" i="39"/>
  <c r="E128" i="39"/>
  <c r="H127" i="39" l="1"/>
  <c r="I127" i="39"/>
  <c r="J127" i="39" s="1"/>
  <c r="F128" i="39"/>
  <c r="B128" i="39"/>
  <c r="D129" i="39" l="1"/>
  <c r="E129" i="39" s="1"/>
  <c r="G128" i="39"/>
  <c r="H128" i="39" l="1"/>
  <c r="I128" i="39"/>
  <c r="J128" i="39" s="1"/>
  <c r="F129" i="39"/>
  <c r="B129" i="39"/>
  <c r="D130" i="39" l="1"/>
  <c r="G129" i="39"/>
  <c r="H129" i="39" l="1"/>
  <c r="I129" i="39"/>
  <c r="J129" i="39" s="1"/>
  <c r="B130" i="39"/>
  <c r="F130" i="39"/>
  <c r="E130" i="39"/>
  <c r="D131" i="39" l="1"/>
  <c r="G130" i="39"/>
  <c r="H130" i="39" l="1"/>
  <c r="I130" i="39"/>
  <c r="J130" i="39" s="1"/>
  <c r="B131" i="39"/>
  <c r="F131" i="39"/>
  <c r="E131" i="39"/>
  <c r="D132" i="39" l="1"/>
  <c r="G131" i="39"/>
  <c r="H131" i="39" l="1"/>
  <c r="I131" i="39"/>
  <c r="J131" i="39" s="1"/>
  <c r="J156" i="39" s="1"/>
  <c r="F132" i="39"/>
  <c r="B132" i="39"/>
  <c r="E132" i="39"/>
  <c r="D133" i="39" l="1"/>
  <c r="G132" i="39"/>
  <c r="H132" i="39" l="1"/>
  <c r="I132" i="39"/>
  <c r="B133" i="39"/>
  <c r="E133" i="39"/>
  <c r="F133" i="39" s="1"/>
  <c r="D134" i="39" l="1"/>
  <c r="G133" i="39"/>
  <c r="E134" i="39"/>
  <c r="H133" i="39" l="1"/>
  <c r="I133" i="39"/>
  <c r="F134" i="39"/>
  <c r="B134" i="39"/>
  <c r="D135" i="39" l="1"/>
  <c r="G134" i="39"/>
  <c r="E135" i="39"/>
  <c r="H134" i="39" l="1"/>
  <c r="I134" i="39"/>
  <c r="F135" i="39"/>
  <c r="B135" i="39"/>
  <c r="D136" i="39" l="1"/>
  <c r="G135" i="39"/>
  <c r="H135" i="39" l="1"/>
  <c r="I135" i="39"/>
  <c r="B136" i="39"/>
  <c r="E136" i="39"/>
  <c r="F136" i="39" s="1"/>
  <c r="D137" i="39" l="1"/>
  <c r="G136" i="39"/>
  <c r="H136" i="39" l="1"/>
  <c r="I136" i="39"/>
  <c r="B137" i="39"/>
  <c r="E137" i="39"/>
  <c r="F137" i="39" s="1"/>
  <c r="D138" i="39" l="1"/>
  <c r="G137" i="39"/>
  <c r="E138" i="39"/>
  <c r="H137" i="39" l="1"/>
  <c r="I137" i="39"/>
  <c r="B138" i="39"/>
  <c r="F138" i="39"/>
  <c r="D139" i="39" l="1"/>
  <c r="G138" i="39"/>
  <c r="E139" i="39"/>
  <c r="H138" i="39" l="1"/>
  <c r="I138" i="39"/>
  <c r="F139" i="39"/>
  <c r="B139" i="39"/>
  <c r="D140" i="39" l="1"/>
  <c r="G139" i="39"/>
  <c r="H139" i="39" l="1"/>
  <c r="I139" i="39"/>
  <c r="B140" i="39"/>
  <c r="F140" i="39"/>
  <c r="E140" i="39"/>
  <c r="D141" i="39" l="1"/>
  <c r="G140" i="39"/>
  <c r="E141" i="39"/>
  <c r="H140" i="39" l="1"/>
  <c r="I140" i="39"/>
  <c r="F141" i="39"/>
  <c r="B141" i="39"/>
  <c r="D142" i="39" l="1"/>
  <c r="E142" i="39" s="1"/>
  <c r="G141" i="39"/>
  <c r="H141" i="39" l="1"/>
  <c r="I141" i="39"/>
  <c r="B142" i="39"/>
  <c r="F142" i="39"/>
  <c r="D143" i="39" l="1"/>
  <c r="G142" i="39"/>
  <c r="E143" i="39"/>
  <c r="H142" i="39" l="1"/>
  <c r="I142" i="39"/>
  <c r="F143" i="39"/>
  <c r="B143" i="39"/>
  <c r="D144" i="39" l="1"/>
  <c r="G143" i="39"/>
  <c r="E144" i="39"/>
  <c r="H143" i="39" l="1"/>
  <c r="I143" i="39"/>
  <c r="B144" i="39"/>
  <c r="F144" i="39"/>
  <c r="D145" i="39" l="1"/>
  <c r="G144" i="39"/>
  <c r="B145" i="39" l="1"/>
  <c r="E145" i="39"/>
  <c r="F145" i="39" s="1"/>
  <c r="H144" i="39"/>
  <c r="I144" i="39"/>
  <c r="D146" i="39" l="1"/>
  <c r="G145" i="39"/>
  <c r="E146" i="39"/>
  <c r="H145" i="39" l="1"/>
  <c r="I145" i="39"/>
  <c r="B146" i="39"/>
  <c r="F146" i="39"/>
  <c r="D147" i="39" l="1"/>
  <c r="G146" i="39"/>
  <c r="B147" i="39" l="1"/>
  <c r="E147" i="39"/>
  <c r="F147" i="39" s="1"/>
  <c r="H146" i="39"/>
  <c r="I146" i="39"/>
  <c r="D148" i="39" l="1"/>
  <c r="G147" i="39"/>
  <c r="E148" i="39"/>
  <c r="H147" i="39" l="1"/>
  <c r="I147" i="39"/>
  <c r="B148" i="39"/>
  <c r="F148" i="39"/>
  <c r="D149" i="39" l="1"/>
  <c r="E149" i="39" s="1"/>
  <c r="G148" i="39"/>
  <c r="H148" i="39" l="1"/>
  <c r="I148" i="39"/>
  <c r="F149" i="39"/>
  <c r="B149" i="39"/>
  <c r="D150" i="39" l="1"/>
  <c r="G149" i="39"/>
  <c r="H149" i="39" l="1"/>
  <c r="I149" i="39"/>
  <c r="B150" i="39"/>
  <c r="F150" i="39"/>
  <c r="E150" i="39"/>
  <c r="D151" i="39" l="1"/>
  <c r="G150" i="39"/>
  <c r="E151" i="39"/>
  <c r="H150" i="39" l="1"/>
  <c r="I150" i="39"/>
  <c r="F151" i="39"/>
  <c r="B151" i="39"/>
  <c r="D152" i="39" l="1"/>
  <c r="G151" i="39"/>
  <c r="H151" i="39" l="1"/>
  <c r="I151" i="39"/>
  <c r="B152" i="39"/>
  <c r="F152" i="39"/>
  <c r="E152" i="39"/>
  <c r="D153" i="39" l="1"/>
  <c r="E153" i="39" s="1"/>
  <c r="G152" i="39"/>
  <c r="H152" i="39" l="1"/>
  <c r="I152" i="39"/>
  <c r="F153" i="39"/>
  <c r="B153" i="39"/>
  <c r="D154" i="39" l="1"/>
  <c r="G153" i="39"/>
  <c r="H153" i="39" l="1"/>
  <c r="I153" i="39"/>
  <c r="B154" i="39"/>
  <c r="F154" i="39"/>
  <c r="E154" i="39"/>
  <c r="D155" i="39" l="1"/>
  <c r="G154" i="39"/>
  <c r="E155" i="39"/>
  <c r="E156" i="39" s="1"/>
  <c r="H154" i="39" l="1"/>
  <c r="I154" i="39"/>
  <c r="F155" i="39"/>
  <c r="G155" i="39" s="1"/>
  <c r="B155" i="39"/>
  <c r="H155" i="39" l="1"/>
  <c r="H156" i="39" s="1"/>
  <c r="I155" i="39"/>
  <c r="I156" i="39" s="1"/>
  <c r="M18" i="38" l="1"/>
  <c r="K18" i="38"/>
  <c r="L18" i="38" s="1"/>
  <c r="M19" i="37"/>
  <c r="K19" i="37"/>
  <c r="L19" i="37" s="1"/>
  <c r="M20" i="35"/>
  <c r="K20" i="35"/>
  <c r="L20" i="35" s="1"/>
  <c r="M20" i="34"/>
  <c r="K20" i="34"/>
  <c r="L20" i="34" s="1"/>
  <c r="M20" i="31"/>
  <c r="K20" i="31"/>
  <c r="L20" i="31" s="1"/>
  <c r="M21" i="29"/>
  <c r="K21" i="29"/>
  <c r="L21" i="29" s="1"/>
  <c r="L24" i="27"/>
  <c r="M23" i="26"/>
  <c r="N23" i="26" s="1"/>
  <c r="K23" i="26"/>
  <c r="L23" i="26" s="1"/>
  <c r="M24" i="24"/>
  <c r="N24" i="24" s="1"/>
  <c r="K24" i="24"/>
  <c r="L24" i="24" s="1"/>
  <c r="M22" i="25"/>
  <c r="N22" i="25" s="1"/>
  <c r="O22" i="25" s="1"/>
  <c r="L22" i="25"/>
  <c r="K22" i="25"/>
  <c r="M23" i="23"/>
  <c r="N23" i="23" s="1"/>
  <c r="K23" i="23"/>
  <c r="L23" i="23" s="1"/>
  <c r="M23" i="22"/>
  <c r="N23" i="22" s="1"/>
  <c r="K23" i="22"/>
  <c r="L23" i="22" s="1"/>
  <c r="M24" i="21"/>
  <c r="N24" i="21" s="1"/>
  <c r="K24" i="21"/>
  <c r="L24" i="21" s="1"/>
  <c r="M26" i="19"/>
  <c r="N26" i="19" s="1"/>
  <c r="K26" i="19"/>
  <c r="L26" i="19" s="1"/>
  <c r="M26" i="18"/>
  <c r="N26" i="18" s="1"/>
  <c r="K26" i="18"/>
  <c r="L26" i="18" s="1"/>
  <c r="M27" i="4"/>
  <c r="N27" i="4" s="1"/>
  <c r="L27" i="4"/>
  <c r="K27" i="4"/>
  <c r="M27" i="3"/>
  <c r="N27" i="3" s="1"/>
  <c r="K27" i="3"/>
  <c r="L27" i="3" s="1"/>
  <c r="O23" i="23" l="1"/>
  <c r="O23" i="22"/>
  <c r="O24" i="21"/>
  <c r="O27" i="4"/>
  <c r="O27" i="3"/>
  <c r="I13" i="17"/>
  <c r="O101" i="37" l="1"/>
  <c r="M101" i="37"/>
  <c r="O102" i="37"/>
  <c r="M102" i="37"/>
  <c r="L20" i="37"/>
  <c r="L19" i="1" l="1"/>
  <c r="K26" i="3"/>
  <c r="L26" i="3" s="1"/>
  <c r="M22" i="22"/>
  <c r="N22" i="22" s="1"/>
  <c r="M22" i="23"/>
  <c r="N22" i="23" s="1"/>
  <c r="K23" i="27"/>
  <c r="L23" i="27" s="1"/>
  <c r="M23" i="27"/>
  <c r="N23" i="27" s="1"/>
  <c r="O23" i="27" s="1"/>
  <c r="N101" i="35"/>
  <c r="O101" i="35" s="1"/>
  <c r="P101" i="35" s="1"/>
  <c r="M101" i="35"/>
  <c r="L101" i="35"/>
  <c r="N101" i="34"/>
  <c r="O101" i="34" s="1"/>
  <c r="P101" i="34" s="1"/>
  <c r="M101" i="34"/>
  <c r="L101" i="34"/>
  <c r="N101" i="31"/>
  <c r="O101" i="31" s="1"/>
  <c r="P101" i="31" s="1"/>
  <c r="M101" i="31"/>
  <c r="L101" i="31"/>
  <c r="N101" i="29"/>
  <c r="O101" i="29" s="1"/>
  <c r="P101" i="29" s="1"/>
  <c r="M101" i="29"/>
  <c r="L101" i="29"/>
  <c r="N105" i="28"/>
  <c r="O105" i="28" s="1"/>
  <c r="P105" i="28" s="1"/>
  <c r="M105" i="28"/>
  <c r="L105" i="28"/>
  <c r="N105" i="27"/>
  <c r="O105" i="27" s="1"/>
  <c r="P105" i="27" s="1"/>
  <c r="M105" i="27"/>
  <c r="L105" i="27"/>
  <c r="N104" i="26"/>
  <c r="O104" i="26" s="1"/>
  <c r="P104" i="26" s="1"/>
  <c r="M104" i="26"/>
  <c r="L104" i="26"/>
  <c r="N105" i="24"/>
  <c r="O105" i="24" s="1"/>
  <c r="P105" i="24" s="1"/>
  <c r="M105" i="24"/>
  <c r="L105" i="24"/>
  <c r="N103" i="25"/>
  <c r="O103" i="25" s="1"/>
  <c r="P103" i="25" s="1"/>
  <c r="M103" i="25"/>
  <c r="L103" i="25"/>
  <c r="N104" i="23"/>
  <c r="O104" i="23" s="1"/>
  <c r="P104" i="23" s="1"/>
  <c r="M104" i="23"/>
  <c r="L104" i="23"/>
  <c r="N104" i="22"/>
  <c r="O104" i="22" s="1"/>
  <c r="P104" i="22" s="1"/>
  <c r="M104" i="22"/>
  <c r="L104" i="22"/>
  <c r="N105" i="21"/>
  <c r="O105" i="21" s="1"/>
  <c r="P105" i="21" s="1"/>
  <c r="M105" i="21"/>
  <c r="L105" i="21"/>
  <c r="N107" i="19"/>
  <c r="O107" i="19" s="1"/>
  <c r="P107" i="19" s="1"/>
  <c r="M107" i="19"/>
  <c r="L107" i="19"/>
  <c r="N107" i="18"/>
  <c r="O107" i="18" s="1"/>
  <c r="L107" i="18"/>
  <c r="M107" i="18" s="1"/>
  <c r="N108" i="4"/>
  <c r="O108" i="4" s="1"/>
  <c r="L108" i="4"/>
  <c r="M108" i="4" s="1"/>
  <c r="O108" i="3"/>
  <c r="P108" i="3" s="1"/>
  <c r="N108" i="3"/>
  <c r="L108" i="3"/>
  <c r="M108" i="3" s="1"/>
  <c r="P102" i="37" l="1"/>
  <c r="M26" i="3"/>
  <c r="N26" i="3" s="1"/>
  <c r="O26" i="3" s="1"/>
  <c r="M26" i="4"/>
  <c r="N26" i="4" s="1"/>
  <c r="M25" i="18"/>
  <c r="N25" i="18" s="1"/>
  <c r="M25" i="19"/>
  <c r="N25" i="19" s="1"/>
  <c r="M23" i="21"/>
  <c r="N23" i="21" s="1"/>
  <c r="K22" i="22"/>
  <c r="L22" i="22" s="1"/>
  <c r="O22" i="22" s="1"/>
  <c r="K22" i="23"/>
  <c r="L22" i="23" s="1"/>
  <c r="O22" i="23" s="1"/>
  <c r="M23" i="24"/>
  <c r="N23" i="24" s="1"/>
  <c r="M22" i="26"/>
  <c r="N22" i="26" s="1"/>
  <c r="K22" i="26"/>
  <c r="L22" i="26" s="1"/>
  <c r="M20" i="29"/>
  <c r="N20" i="29" s="1"/>
  <c r="K20" i="29"/>
  <c r="L20" i="29" s="1"/>
  <c r="M19" i="31"/>
  <c r="N19" i="31" s="1"/>
  <c r="K19" i="31"/>
  <c r="L19" i="31" s="1"/>
  <c r="M19" i="34"/>
  <c r="N19" i="34" s="1"/>
  <c r="M19" i="35"/>
  <c r="N19" i="35" s="1"/>
  <c r="M21" i="25"/>
  <c r="N21" i="25" s="1"/>
  <c r="P107" i="18"/>
  <c r="P108" i="4"/>
  <c r="O19" i="31" l="1"/>
  <c r="O22" i="26"/>
  <c r="K26" i="4"/>
  <c r="L26" i="4" s="1"/>
  <c r="O26" i="4" s="1"/>
  <c r="K25" i="18"/>
  <c r="L25" i="18" s="1"/>
  <c r="O25" i="18" s="1"/>
  <c r="K25" i="19"/>
  <c r="L25" i="19" s="1"/>
  <c r="O25" i="19" s="1"/>
  <c r="K23" i="21"/>
  <c r="L23" i="21" s="1"/>
  <c r="O23" i="21" s="1"/>
  <c r="K23" i="24"/>
  <c r="L23" i="24" s="1"/>
  <c r="O23" i="24" s="1"/>
  <c r="O20" i="29"/>
  <c r="K19" i="34"/>
  <c r="L19" i="34" s="1"/>
  <c r="O19" i="34" s="1"/>
  <c r="K19" i="35"/>
  <c r="L19" i="35" s="1"/>
  <c r="O19" i="35" s="1"/>
  <c r="K21" i="25"/>
  <c r="L21" i="25" s="1"/>
  <c r="O21" i="25" s="1"/>
  <c r="M17" i="38" l="1"/>
  <c r="K17" i="38"/>
  <c r="M18" i="37"/>
  <c r="K18" i="37"/>
  <c r="L18" i="37" s="1"/>
  <c r="I46" i="17"/>
  <c r="F12" i="1" l="1"/>
  <c r="D46" i="17"/>
  <c r="I37" i="17"/>
  <c r="V37" i="17" l="1"/>
  <c r="W36" i="17"/>
  <c r="D36" i="17"/>
  <c r="D37" i="17"/>
  <c r="F58" i="2" l="1"/>
  <c r="C58" i="2"/>
  <c r="E34" i="2"/>
  <c r="C34" i="2"/>
  <c r="F81" i="2" l="1"/>
  <c r="C81" i="2"/>
  <c r="F75" i="2"/>
  <c r="C75" i="2"/>
  <c r="F47" i="2"/>
  <c r="F46" i="2"/>
  <c r="F45" i="2"/>
  <c r="F44" i="2"/>
  <c r="C47" i="2"/>
  <c r="C46" i="2"/>
  <c r="C45" i="2"/>
  <c r="C44" i="2"/>
  <c r="F48" i="2" l="1"/>
  <c r="L22" i="17"/>
  <c r="P155" i="38"/>
  <c r="O155" i="38"/>
  <c r="M155" i="38"/>
  <c r="J155" i="38"/>
  <c r="P154" i="38"/>
  <c r="O154" i="38"/>
  <c r="M154" i="38"/>
  <c r="J154" i="38"/>
  <c r="P153" i="38"/>
  <c r="O153" i="38"/>
  <c r="M153" i="38"/>
  <c r="J153" i="38"/>
  <c r="P152" i="38"/>
  <c r="O152" i="38"/>
  <c r="M152" i="38"/>
  <c r="J152" i="38"/>
  <c r="P151" i="38"/>
  <c r="O151" i="38"/>
  <c r="M151" i="38"/>
  <c r="J151" i="38"/>
  <c r="P150" i="38"/>
  <c r="O150" i="38"/>
  <c r="M150" i="38"/>
  <c r="J150" i="38"/>
  <c r="P149" i="38"/>
  <c r="O149" i="38"/>
  <c r="M149" i="38"/>
  <c r="J149" i="38"/>
  <c r="P148" i="38"/>
  <c r="O148" i="38"/>
  <c r="M148" i="38"/>
  <c r="J148" i="38"/>
  <c r="P147" i="38"/>
  <c r="O147" i="38"/>
  <c r="M147" i="38"/>
  <c r="J147" i="38"/>
  <c r="P146" i="38"/>
  <c r="O146" i="38"/>
  <c r="M146" i="38"/>
  <c r="J146" i="38"/>
  <c r="P145" i="38"/>
  <c r="O145" i="38"/>
  <c r="M145" i="38"/>
  <c r="J145" i="38"/>
  <c r="P144" i="38"/>
  <c r="O144" i="38"/>
  <c r="M144" i="38"/>
  <c r="J144" i="38"/>
  <c r="P143" i="38"/>
  <c r="O143" i="38"/>
  <c r="M143" i="38"/>
  <c r="J143" i="38"/>
  <c r="P142" i="38"/>
  <c r="O142" i="38"/>
  <c r="M142" i="38"/>
  <c r="J142" i="38"/>
  <c r="P141" i="38"/>
  <c r="O141" i="38"/>
  <c r="M141" i="38"/>
  <c r="J141" i="38"/>
  <c r="P140" i="38"/>
  <c r="O140" i="38"/>
  <c r="M140" i="38"/>
  <c r="J140" i="38"/>
  <c r="P139" i="38"/>
  <c r="O139" i="38"/>
  <c r="M139" i="38"/>
  <c r="J139" i="38"/>
  <c r="P138" i="38"/>
  <c r="O138" i="38"/>
  <c r="M138" i="38"/>
  <c r="J138" i="38"/>
  <c r="P137" i="38"/>
  <c r="O137" i="38"/>
  <c r="M137" i="38"/>
  <c r="J137" i="38"/>
  <c r="P136" i="38"/>
  <c r="O136" i="38"/>
  <c r="M136" i="38"/>
  <c r="J136" i="38"/>
  <c r="P135" i="38"/>
  <c r="O135" i="38"/>
  <c r="M135" i="38"/>
  <c r="J135" i="38"/>
  <c r="P134" i="38"/>
  <c r="O134" i="38"/>
  <c r="M134" i="38"/>
  <c r="J134" i="38"/>
  <c r="P133" i="38"/>
  <c r="O133" i="38"/>
  <c r="M133" i="38"/>
  <c r="J133" i="38"/>
  <c r="P132" i="38"/>
  <c r="O132" i="38"/>
  <c r="M132" i="38"/>
  <c r="J132" i="38"/>
  <c r="O131" i="38"/>
  <c r="M131" i="38"/>
  <c r="O130" i="38"/>
  <c r="M130" i="38"/>
  <c r="O129" i="38"/>
  <c r="M129" i="38"/>
  <c r="O128" i="38"/>
  <c r="M128" i="38"/>
  <c r="O127" i="38"/>
  <c r="M127" i="38"/>
  <c r="O126" i="38"/>
  <c r="M126" i="38"/>
  <c r="O125" i="38"/>
  <c r="M125" i="38"/>
  <c r="O124" i="38"/>
  <c r="M124" i="38"/>
  <c r="O123" i="38"/>
  <c r="M123" i="38"/>
  <c r="O122" i="38"/>
  <c r="M122" i="38"/>
  <c r="O121" i="38"/>
  <c r="M121" i="38"/>
  <c r="O120" i="38"/>
  <c r="M120" i="38"/>
  <c r="O119" i="38"/>
  <c r="M119" i="38"/>
  <c r="O118" i="38"/>
  <c r="M118" i="38"/>
  <c r="O117" i="38"/>
  <c r="M117" i="38"/>
  <c r="O116" i="38"/>
  <c r="M116" i="38"/>
  <c r="O115" i="38"/>
  <c r="M115" i="38"/>
  <c r="O114" i="38"/>
  <c r="M114" i="38"/>
  <c r="O113" i="38"/>
  <c r="M113" i="38"/>
  <c r="O112" i="38"/>
  <c r="M112" i="38"/>
  <c r="O111" i="38"/>
  <c r="M111" i="38"/>
  <c r="O110" i="38"/>
  <c r="M110" i="38"/>
  <c r="O109" i="38"/>
  <c r="M109" i="38"/>
  <c r="O108" i="38"/>
  <c r="M108" i="38"/>
  <c r="O107" i="38"/>
  <c r="M107" i="38"/>
  <c r="O106" i="38"/>
  <c r="M106" i="38"/>
  <c r="O105" i="38"/>
  <c r="M105" i="38"/>
  <c r="O104" i="38"/>
  <c r="M104" i="38"/>
  <c r="O103" i="38"/>
  <c r="M103" i="38"/>
  <c r="O102" i="38"/>
  <c r="M102" i="38"/>
  <c r="O101" i="38"/>
  <c r="M101" i="38"/>
  <c r="D97" i="38"/>
  <c r="D95" i="38"/>
  <c r="L94" i="38"/>
  <c r="J94" i="38"/>
  <c r="D94" i="38"/>
  <c r="D92" i="38"/>
  <c r="D90" i="38"/>
  <c r="N73" i="38"/>
  <c r="L73" i="38"/>
  <c r="N72" i="38"/>
  <c r="L72" i="38"/>
  <c r="N71" i="38"/>
  <c r="L71" i="38"/>
  <c r="N70" i="38"/>
  <c r="L70" i="38"/>
  <c r="N69" i="38"/>
  <c r="L69" i="38"/>
  <c r="N68" i="38"/>
  <c r="L68" i="38"/>
  <c r="N67" i="38"/>
  <c r="L67" i="38"/>
  <c r="N66" i="38"/>
  <c r="L66" i="38"/>
  <c r="N65" i="38"/>
  <c r="L65" i="38"/>
  <c r="N64" i="38"/>
  <c r="L64" i="38"/>
  <c r="N63" i="38"/>
  <c r="L63" i="38"/>
  <c r="N62" i="38"/>
  <c r="L62" i="38"/>
  <c r="N61" i="38"/>
  <c r="L61" i="38"/>
  <c r="N60" i="38"/>
  <c r="L60" i="38"/>
  <c r="N59" i="38"/>
  <c r="L59" i="38"/>
  <c r="N58" i="38"/>
  <c r="L58" i="38"/>
  <c r="N57" i="38"/>
  <c r="L57" i="38"/>
  <c r="N56" i="38"/>
  <c r="L56" i="38"/>
  <c r="N55" i="38"/>
  <c r="L55" i="38"/>
  <c r="N54" i="38"/>
  <c r="L54" i="38"/>
  <c r="N53" i="38"/>
  <c r="L53" i="38"/>
  <c r="N52" i="38"/>
  <c r="L52" i="38"/>
  <c r="N51" i="38"/>
  <c r="L51" i="38"/>
  <c r="N50" i="38"/>
  <c r="L50" i="38"/>
  <c r="N49" i="38"/>
  <c r="L49" i="38"/>
  <c r="N48" i="38"/>
  <c r="L48" i="38"/>
  <c r="N47" i="38"/>
  <c r="L47" i="38"/>
  <c r="N46" i="38"/>
  <c r="L46" i="38"/>
  <c r="N45" i="38"/>
  <c r="L45" i="38"/>
  <c r="N44" i="38"/>
  <c r="L44" i="38"/>
  <c r="N43" i="38"/>
  <c r="L43" i="38"/>
  <c r="N42" i="38"/>
  <c r="L42" i="38"/>
  <c r="N41" i="38"/>
  <c r="L41" i="38"/>
  <c r="N40" i="38"/>
  <c r="L40" i="38"/>
  <c r="N39" i="38"/>
  <c r="L39" i="38"/>
  <c r="N38" i="38"/>
  <c r="L38" i="38"/>
  <c r="N37" i="38"/>
  <c r="L37" i="38"/>
  <c r="N36" i="38"/>
  <c r="L36" i="38"/>
  <c r="N35" i="38"/>
  <c r="L35" i="38"/>
  <c r="N34" i="38"/>
  <c r="L34" i="38"/>
  <c r="N33" i="38"/>
  <c r="L33" i="38"/>
  <c r="N32" i="38"/>
  <c r="L32" i="38"/>
  <c r="N31" i="38"/>
  <c r="L31" i="38"/>
  <c r="N30" i="38"/>
  <c r="L30" i="38"/>
  <c r="N29" i="38"/>
  <c r="L29" i="38"/>
  <c r="N28" i="38"/>
  <c r="L28" i="38"/>
  <c r="N27" i="38"/>
  <c r="L27" i="38"/>
  <c r="N26" i="38"/>
  <c r="L26" i="38"/>
  <c r="N25" i="38"/>
  <c r="L25" i="38"/>
  <c r="N24" i="38"/>
  <c r="L24" i="38"/>
  <c r="N23" i="38"/>
  <c r="L23" i="38"/>
  <c r="N22" i="38"/>
  <c r="L22" i="38"/>
  <c r="N21" i="38"/>
  <c r="L21" i="38"/>
  <c r="N20" i="38"/>
  <c r="L20" i="38"/>
  <c r="N19" i="38"/>
  <c r="N18" i="38"/>
  <c r="N17" i="38"/>
  <c r="L17" i="38"/>
  <c r="C17" i="38"/>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B17" i="38"/>
  <c r="K11" i="38"/>
  <c r="I11" i="38"/>
  <c r="I10" i="38"/>
  <c r="D91" i="38"/>
  <c r="P1" i="38"/>
  <c r="P84" i="38" s="1"/>
  <c r="M17" i="37"/>
  <c r="N17" i="37" s="1"/>
  <c r="K17" i="37"/>
  <c r="L17" i="37" s="1"/>
  <c r="N100" i="35"/>
  <c r="L100" i="35"/>
  <c r="M18" i="35"/>
  <c r="N18" i="35" s="1"/>
  <c r="K18" i="35"/>
  <c r="L18" i="35" s="1"/>
  <c r="N100" i="34"/>
  <c r="L100" i="34"/>
  <c r="M100" i="34" s="1"/>
  <c r="M18" i="34"/>
  <c r="N18" i="34" s="1"/>
  <c r="K18" i="34"/>
  <c r="N100" i="31"/>
  <c r="L100" i="31"/>
  <c r="M18" i="31"/>
  <c r="N18" i="31" s="1"/>
  <c r="K18" i="31"/>
  <c r="L18" i="31" s="1"/>
  <c r="N100" i="29"/>
  <c r="L100" i="29"/>
  <c r="M100" i="29" s="1"/>
  <c r="M19" i="29"/>
  <c r="N19" i="29" s="1"/>
  <c r="K19" i="29"/>
  <c r="L19" i="29" s="1"/>
  <c r="N104" i="28"/>
  <c r="O104" i="28" s="1"/>
  <c r="P104" i="28" s="1"/>
  <c r="M104" i="28"/>
  <c r="L104" i="28"/>
  <c r="M22" i="28"/>
  <c r="N22" i="28" s="1"/>
  <c r="K22" i="28"/>
  <c r="L22" i="28" s="1"/>
  <c r="N104" i="27"/>
  <c r="O104" i="27" s="1"/>
  <c r="L104" i="27"/>
  <c r="M104" i="27" s="1"/>
  <c r="M22" i="27"/>
  <c r="N22" i="27" s="1"/>
  <c r="K22" i="27"/>
  <c r="L22" i="27" s="1"/>
  <c r="N103" i="26"/>
  <c r="O103" i="26" s="1"/>
  <c r="L103" i="26"/>
  <c r="M103" i="26"/>
  <c r="M21" i="26"/>
  <c r="N21" i="26" s="1"/>
  <c r="K21" i="26"/>
  <c r="L21" i="26" s="1"/>
  <c r="O21" i="26" s="1"/>
  <c r="N104" i="24"/>
  <c r="O104" i="24" s="1"/>
  <c r="L104" i="24"/>
  <c r="M104" i="24" s="1"/>
  <c r="M22" i="24"/>
  <c r="N22" i="24"/>
  <c r="K22" i="24"/>
  <c r="L22" i="24" s="1"/>
  <c r="N102" i="25"/>
  <c r="O102" i="25"/>
  <c r="L102" i="25"/>
  <c r="M102" i="25" s="1"/>
  <c r="P102" i="25" s="1"/>
  <c r="M20" i="25"/>
  <c r="N20" i="25" s="1"/>
  <c r="K20" i="25"/>
  <c r="L20" i="25" s="1"/>
  <c r="N103" i="23"/>
  <c r="O103" i="23" s="1"/>
  <c r="P103" i="23"/>
  <c r="M103" i="23"/>
  <c r="L103" i="23"/>
  <c r="M21" i="23"/>
  <c r="N21" i="23" s="1"/>
  <c r="L21" i="23"/>
  <c r="K21" i="23"/>
  <c r="N103" i="22"/>
  <c r="O103" i="22" s="1"/>
  <c r="L103" i="22"/>
  <c r="M103" i="22" s="1"/>
  <c r="M21" i="22"/>
  <c r="N21" i="22" s="1"/>
  <c r="O21" i="22" s="1"/>
  <c r="K21" i="22"/>
  <c r="L21" i="22"/>
  <c r="N104" i="21"/>
  <c r="O104" i="21" s="1"/>
  <c r="P104" i="21" s="1"/>
  <c r="L104" i="21"/>
  <c r="M104" i="21" s="1"/>
  <c r="M22" i="21"/>
  <c r="N22" i="21" s="1"/>
  <c r="L22" i="21"/>
  <c r="O22" i="21" s="1"/>
  <c r="K22" i="21"/>
  <c r="N106" i="19"/>
  <c r="O106" i="19" s="1"/>
  <c r="M106" i="19"/>
  <c r="L106" i="19"/>
  <c r="M24" i="19"/>
  <c r="N24" i="19" s="1"/>
  <c r="O24" i="19" s="1"/>
  <c r="K24" i="19"/>
  <c r="L24" i="19" s="1"/>
  <c r="N106" i="18"/>
  <c r="O106" i="18"/>
  <c r="P106" i="18" s="1"/>
  <c r="L106" i="18"/>
  <c r="M106" i="18" s="1"/>
  <c r="M24" i="18"/>
  <c r="N24" i="18" s="1"/>
  <c r="K24" i="18"/>
  <c r="L24" i="18" s="1"/>
  <c r="N107" i="4"/>
  <c r="O107" i="4"/>
  <c r="P107" i="4" s="1"/>
  <c r="L107" i="4"/>
  <c r="M107" i="4" s="1"/>
  <c r="M25" i="3"/>
  <c r="N25" i="3"/>
  <c r="O25" i="3" s="1"/>
  <c r="K25" i="3"/>
  <c r="L25" i="3" s="1"/>
  <c r="N107" i="3"/>
  <c r="O107" i="3" s="1"/>
  <c r="L107" i="3"/>
  <c r="M107" i="3" s="1"/>
  <c r="M25" i="4"/>
  <c r="N25" i="4" s="1"/>
  <c r="K25" i="4"/>
  <c r="L25" i="4" s="1"/>
  <c r="M17" i="31"/>
  <c r="K17" i="31"/>
  <c r="M17" i="35"/>
  <c r="N17" i="35"/>
  <c r="K17" i="35"/>
  <c r="L17" i="35" s="1"/>
  <c r="M17" i="34"/>
  <c r="N17" i="34" s="1"/>
  <c r="K17" i="34"/>
  <c r="C86" i="1"/>
  <c r="F83" i="1"/>
  <c r="C79" i="1"/>
  <c r="F73" i="1"/>
  <c r="C63" i="1"/>
  <c r="F45" i="1"/>
  <c r="C44" i="1"/>
  <c r="F43" i="1"/>
  <c r="E31" i="1"/>
  <c r="C24" i="1"/>
  <c r="D18" i="1"/>
  <c r="I10" i="13"/>
  <c r="F57" i="1"/>
  <c r="C46" i="1"/>
  <c r="C57" i="1"/>
  <c r="C31" i="1"/>
  <c r="D19" i="1"/>
  <c r="C12" i="1"/>
  <c r="W35" i="17"/>
  <c r="D8" i="37"/>
  <c r="D91" i="37" s="1"/>
  <c r="P155" i="37"/>
  <c r="O155" i="37"/>
  <c r="M155" i="37"/>
  <c r="J155" i="37"/>
  <c r="P154" i="37"/>
  <c r="O154" i="37"/>
  <c r="M154" i="37"/>
  <c r="J154" i="37"/>
  <c r="P153" i="37"/>
  <c r="O153" i="37"/>
  <c r="M153" i="37"/>
  <c r="J153" i="37"/>
  <c r="P152" i="37"/>
  <c r="O152" i="37"/>
  <c r="M152" i="37"/>
  <c r="J152" i="37"/>
  <c r="P151" i="37"/>
  <c r="O151" i="37"/>
  <c r="M151" i="37"/>
  <c r="J151" i="37"/>
  <c r="P150" i="37"/>
  <c r="O150" i="37"/>
  <c r="M150" i="37"/>
  <c r="J150" i="37"/>
  <c r="P149" i="37"/>
  <c r="O149" i="37"/>
  <c r="M149" i="37"/>
  <c r="J149" i="37"/>
  <c r="P148" i="37"/>
  <c r="O148" i="37"/>
  <c r="M148" i="37"/>
  <c r="J148" i="37"/>
  <c r="P147" i="37"/>
  <c r="O147" i="37"/>
  <c r="M147" i="37"/>
  <c r="J147" i="37"/>
  <c r="P146" i="37"/>
  <c r="O146" i="37"/>
  <c r="M146" i="37"/>
  <c r="J146" i="37"/>
  <c r="P145" i="37"/>
  <c r="O145" i="37"/>
  <c r="M145" i="37"/>
  <c r="J145" i="37"/>
  <c r="P144" i="37"/>
  <c r="O144" i="37"/>
  <c r="M144" i="37"/>
  <c r="J144" i="37"/>
  <c r="P143" i="37"/>
  <c r="O143" i="37"/>
  <c r="M143" i="37"/>
  <c r="J143" i="37"/>
  <c r="P142" i="37"/>
  <c r="O142" i="37"/>
  <c r="M142" i="37"/>
  <c r="J142" i="37"/>
  <c r="P141" i="37"/>
  <c r="O141" i="37"/>
  <c r="M141" i="37"/>
  <c r="J141" i="37"/>
  <c r="P140" i="37"/>
  <c r="O140" i="37"/>
  <c r="M140" i="37"/>
  <c r="J140" i="37"/>
  <c r="P139" i="37"/>
  <c r="O139" i="37"/>
  <c r="M139" i="37"/>
  <c r="J139" i="37"/>
  <c r="P138" i="37"/>
  <c r="O138" i="37"/>
  <c r="M138" i="37"/>
  <c r="J138" i="37"/>
  <c r="P137" i="37"/>
  <c r="O137" i="37"/>
  <c r="M137" i="37"/>
  <c r="J137" i="37"/>
  <c r="P136" i="37"/>
  <c r="O136" i="37"/>
  <c r="M136" i="37"/>
  <c r="J136" i="37"/>
  <c r="P135" i="37"/>
  <c r="O135" i="37"/>
  <c r="M135" i="37"/>
  <c r="J135" i="37"/>
  <c r="P134" i="37"/>
  <c r="O134" i="37"/>
  <c r="M134" i="37"/>
  <c r="J134" i="37"/>
  <c r="P133" i="37"/>
  <c r="O133" i="37"/>
  <c r="M133" i="37"/>
  <c r="J133" i="37"/>
  <c r="P132" i="37"/>
  <c r="O132" i="37"/>
  <c r="M132" i="37"/>
  <c r="J132" i="37"/>
  <c r="O131" i="37"/>
  <c r="M131" i="37"/>
  <c r="O130" i="37"/>
  <c r="M130" i="37"/>
  <c r="O129" i="37"/>
  <c r="M129" i="37"/>
  <c r="O128" i="37"/>
  <c r="M128" i="37"/>
  <c r="O127" i="37"/>
  <c r="M127" i="37"/>
  <c r="O126" i="37"/>
  <c r="M126" i="37"/>
  <c r="O125" i="37"/>
  <c r="M125" i="37"/>
  <c r="O124" i="37"/>
  <c r="M124" i="37"/>
  <c r="O123" i="37"/>
  <c r="M123" i="37"/>
  <c r="O122" i="37"/>
  <c r="M122" i="37"/>
  <c r="O121" i="37"/>
  <c r="M121" i="37"/>
  <c r="O120" i="37"/>
  <c r="M120" i="37"/>
  <c r="O119" i="37"/>
  <c r="M119" i="37"/>
  <c r="O118" i="37"/>
  <c r="M118" i="37"/>
  <c r="O117" i="37"/>
  <c r="M117" i="37"/>
  <c r="O116" i="37"/>
  <c r="M116" i="37"/>
  <c r="O115" i="37"/>
  <c r="M115" i="37"/>
  <c r="O114" i="37"/>
  <c r="M114" i="37"/>
  <c r="O113" i="37"/>
  <c r="M113" i="37"/>
  <c r="O112" i="37"/>
  <c r="M112" i="37"/>
  <c r="O111" i="37"/>
  <c r="M111" i="37"/>
  <c r="O110" i="37"/>
  <c r="M110" i="37"/>
  <c r="O109" i="37"/>
  <c r="M109" i="37"/>
  <c r="O108" i="37"/>
  <c r="M108" i="37"/>
  <c r="O107" i="37"/>
  <c r="M107" i="37"/>
  <c r="O106" i="37"/>
  <c r="M106" i="37"/>
  <c r="O105" i="37"/>
  <c r="M105" i="37"/>
  <c r="O104" i="37"/>
  <c r="M104" i="37"/>
  <c r="O103" i="37"/>
  <c r="M103" i="37"/>
  <c r="D97" i="37"/>
  <c r="D95" i="37"/>
  <c r="L94" i="37"/>
  <c r="J94" i="37"/>
  <c r="D94" i="37"/>
  <c r="C101" i="37" s="1"/>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C139" i="37" s="1"/>
  <c r="C140" i="37" s="1"/>
  <c r="C141" i="37" s="1"/>
  <c r="C142" i="37" s="1"/>
  <c r="C143" i="37" s="1"/>
  <c r="C144" i="37" s="1"/>
  <c r="C145" i="37" s="1"/>
  <c r="C146" i="37" s="1"/>
  <c r="C147" i="37" s="1"/>
  <c r="C148" i="37" s="1"/>
  <c r="C149" i="37" s="1"/>
  <c r="C150" i="37" s="1"/>
  <c r="C151" i="37" s="1"/>
  <c r="C152" i="37" s="1"/>
  <c r="C153" i="37" s="1"/>
  <c r="C154" i="37" s="1"/>
  <c r="C155" i="37" s="1"/>
  <c r="C100" i="37"/>
  <c r="D100" i="37" s="1"/>
  <c r="B100" i="37" s="1"/>
  <c r="D92" i="37"/>
  <c r="D90" i="37"/>
  <c r="N73" i="37"/>
  <c r="L73" i="37"/>
  <c r="N72" i="37"/>
  <c r="L72" i="37"/>
  <c r="N71" i="37"/>
  <c r="L71" i="37"/>
  <c r="N70" i="37"/>
  <c r="L70" i="37"/>
  <c r="N69" i="37"/>
  <c r="L69" i="37"/>
  <c r="N68" i="37"/>
  <c r="L68" i="37"/>
  <c r="N67" i="37"/>
  <c r="L67" i="37"/>
  <c r="N66" i="37"/>
  <c r="L66" i="37"/>
  <c r="N65" i="37"/>
  <c r="L65" i="37"/>
  <c r="N64" i="37"/>
  <c r="L64" i="37"/>
  <c r="N63" i="37"/>
  <c r="L63" i="37"/>
  <c r="N62" i="37"/>
  <c r="L62" i="37"/>
  <c r="N61" i="37"/>
  <c r="L61" i="37"/>
  <c r="N60" i="37"/>
  <c r="L60" i="37"/>
  <c r="N59" i="37"/>
  <c r="L59" i="37"/>
  <c r="N58" i="37"/>
  <c r="L58" i="37"/>
  <c r="N57" i="37"/>
  <c r="L57" i="37"/>
  <c r="N56" i="37"/>
  <c r="L56" i="37"/>
  <c r="N55" i="37"/>
  <c r="L55" i="37"/>
  <c r="N54" i="37"/>
  <c r="L54" i="37"/>
  <c r="N53" i="37"/>
  <c r="L53" i="37"/>
  <c r="N52" i="37"/>
  <c r="L52" i="37"/>
  <c r="N51" i="37"/>
  <c r="L51" i="37"/>
  <c r="N50" i="37"/>
  <c r="L50" i="37"/>
  <c r="N49" i="37"/>
  <c r="L49" i="37"/>
  <c r="N48" i="37"/>
  <c r="L48" i="37"/>
  <c r="N47" i="37"/>
  <c r="L47" i="37"/>
  <c r="N46" i="37"/>
  <c r="L46" i="37"/>
  <c r="N45" i="37"/>
  <c r="L45" i="37"/>
  <c r="N44" i="37"/>
  <c r="L44" i="37"/>
  <c r="N43" i="37"/>
  <c r="L43" i="37"/>
  <c r="N42" i="37"/>
  <c r="L42" i="37"/>
  <c r="N41" i="37"/>
  <c r="L41" i="37"/>
  <c r="N40" i="37"/>
  <c r="L40" i="37"/>
  <c r="N39" i="37"/>
  <c r="L39" i="37"/>
  <c r="N38" i="37"/>
  <c r="L38" i="37"/>
  <c r="N37" i="37"/>
  <c r="L37" i="37"/>
  <c r="N36" i="37"/>
  <c r="L36" i="37"/>
  <c r="N35" i="37"/>
  <c r="L35" i="37"/>
  <c r="N34" i="37"/>
  <c r="L34" i="37"/>
  <c r="N33" i="37"/>
  <c r="L33" i="37"/>
  <c r="N32" i="37"/>
  <c r="L32" i="37"/>
  <c r="N31" i="37"/>
  <c r="L31" i="37"/>
  <c r="N30" i="37"/>
  <c r="L30" i="37"/>
  <c r="N29" i="37"/>
  <c r="L29" i="37"/>
  <c r="N28" i="37"/>
  <c r="L28" i="37"/>
  <c r="N27" i="37"/>
  <c r="L27" i="37"/>
  <c r="N26" i="37"/>
  <c r="L26" i="37"/>
  <c r="N25" i="37"/>
  <c r="L25" i="37"/>
  <c r="N24" i="37"/>
  <c r="L24" i="37"/>
  <c r="N23" i="37"/>
  <c r="L23" i="37"/>
  <c r="N22" i="37"/>
  <c r="L22" i="37"/>
  <c r="N21" i="37"/>
  <c r="L21" i="37"/>
  <c r="N19" i="37"/>
  <c r="N18" i="37"/>
  <c r="C17" i="37"/>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B17" i="37"/>
  <c r="K11" i="37"/>
  <c r="I11" i="37"/>
  <c r="I10" i="37"/>
  <c r="P1" i="37"/>
  <c r="P84" i="37" s="1"/>
  <c r="M18" i="29"/>
  <c r="N18" i="29"/>
  <c r="K18" i="29"/>
  <c r="O103" i="28"/>
  <c r="N103" i="28"/>
  <c r="L103" i="28"/>
  <c r="M103" i="28" s="1"/>
  <c r="M21" i="28"/>
  <c r="N21" i="28" s="1"/>
  <c r="K21" i="28"/>
  <c r="L21" i="28" s="1"/>
  <c r="N103" i="27"/>
  <c r="O103" i="27"/>
  <c r="L103" i="27"/>
  <c r="M103" i="27"/>
  <c r="M21" i="27"/>
  <c r="N21" i="27"/>
  <c r="O21" i="27" s="1"/>
  <c r="L21" i="27"/>
  <c r="K21" i="27"/>
  <c r="N102" i="26"/>
  <c r="O102" i="26" s="1"/>
  <c r="L102" i="26"/>
  <c r="M102" i="26" s="1"/>
  <c r="M20" i="26"/>
  <c r="K20" i="26"/>
  <c r="L20" i="26" s="1"/>
  <c r="N103" i="24"/>
  <c r="O103" i="24"/>
  <c r="P103" i="24" s="1"/>
  <c r="L103" i="24"/>
  <c r="M103" i="24" s="1"/>
  <c r="M21" i="24"/>
  <c r="K21" i="24"/>
  <c r="L21" i="24" s="1"/>
  <c r="N101" i="25"/>
  <c r="O101" i="25"/>
  <c r="P101" i="25" s="1"/>
  <c r="L101" i="25"/>
  <c r="M101" i="25"/>
  <c r="M19" i="25"/>
  <c r="N19" i="25"/>
  <c r="K19" i="25"/>
  <c r="L19" i="25" s="1"/>
  <c r="N102" i="23"/>
  <c r="O102" i="23" s="1"/>
  <c r="P102" i="23" s="1"/>
  <c r="L102" i="23"/>
  <c r="M102" i="23"/>
  <c r="M20" i="23"/>
  <c r="N20" i="23" s="1"/>
  <c r="K20" i="23"/>
  <c r="L20" i="23"/>
  <c r="N102" i="22"/>
  <c r="O102" i="22"/>
  <c r="P102" i="22" s="1"/>
  <c r="L102" i="22"/>
  <c r="M102" i="22" s="1"/>
  <c r="M20" i="22"/>
  <c r="N20" i="22"/>
  <c r="K20" i="22"/>
  <c r="L20" i="22" s="1"/>
  <c r="I20" i="22"/>
  <c r="N103" i="21"/>
  <c r="O103" i="21"/>
  <c r="L103" i="21"/>
  <c r="M103" i="21" s="1"/>
  <c r="M21" i="21"/>
  <c r="N21" i="21"/>
  <c r="K21" i="21"/>
  <c r="L21" i="21" s="1"/>
  <c r="N105" i="19"/>
  <c r="O105" i="19" s="1"/>
  <c r="L105" i="19"/>
  <c r="M105" i="19" s="1"/>
  <c r="M23" i="19"/>
  <c r="N23" i="19" s="1"/>
  <c r="O23" i="19"/>
  <c r="K23" i="19"/>
  <c r="L23" i="19" s="1"/>
  <c r="N105" i="18"/>
  <c r="O105" i="18" s="1"/>
  <c r="L105" i="18"/>
  <c r="M105" i="18"/>
  <c r="M23" i="18"/>
  <c r="N23" i="18" s="1"/>
  <c r="O23" i="18" s="1"/>
  <c r="K23" i="18"/>
  <c r="L23" i="18" s="1"/>
  <c r="N106" i="4"/>
  <c r="O106" i="4"/>
  <c r="L106" i="4"/>
  <c r="M106" i="4"/>
  <c r="M24" i="4"/>
  <c r="N24" i="4"/>
  <c r="K24" i="4"/>
  <c r="L24" i="4" s="1"/>
  <c r="N106" i="3"/>
  <c r="O106" i="3"/>
  <c r="M106" i="3"/>
  <c r="L106" i="3"/>
  <c r="M24" i="3"/>
  <c r="N24" i="3" s="1"/>
  <c r="K24" i="3"/>
  <c r="L24" i="3"/>
  <c r="K17" i="29"/>
  <c r="F66" i="2"/>
  <c r="C66" i="2"/>
  <c r="I10" i="35"/>
  <c r="I10" i="34"/>
  <c r="D95" i="34" s="1"/>
  <c r="I10" i="31"/>
  <c r="I10" i="28"/>
  <c r="I10" i="27"/>
  <c r="I10" i="24"/>
  <c r="I10" i="25"/>
  <c r="D95" i="25" s="1"/>
  <c r="I10" i="23"/>
  <c r="D94" i="23" s="1"/>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I10" i="21"/>
  <c r="I10" i="20"/>
  <c r="D93" i="20" s="1"/>
  <c r="J97" i="20" s="1"/>
  <c r="I10" i="19"/>
  <c r="D95" i="19" s="1"/>
  <c r="I10" i="4"/>
  <c r="D93" i="4" s="1"/>
  <c r="B106" i="4"/>
  <c r="I10" i="3"/>
  <c r="D93" i="3" s="1"/>
  <c r="N73" i="13"/>
  <c r="L73" i="13"/>
  <c r="N72" i="13"/>
  <c r="L72" i="13"/>
  <c r="N73" i="35"/>
  <c r="L73" i="35"/>
  <c r="N72" i="35"/>
  <c r="L72" i="35"/>
  <c r="N73" i="34"/>
  <c r="L73" i="34"/>
  <c r="N72" i="34"/>
  <c r="L72" i="34"/>
  <c r="D95" i="13"/>
  <c r="D94" i="13"/>
  <c r="W32" i="17"/>
  <c r="W33" i="17"/>
  <c r="W34" i="17"/>
  <c r="O39" i="17"/>
  <c r="N39" i="17"/>
  <c r="P1" i="35"/>
  <c r="P84" i="35" s="1"/>
  <c r="P155" i="35"/>
  <c r="O155" i="35"/>
  <c r="M155" i="35"/>
  <c r="J155" i="35"/>
  <c r="P154" i="35"/>
  <c r="O154" i="35"/>
  <c r="M154" i="35"/>
  <c r="J154" i="35"/>
  <c r="P153" i="35"/>
  <c r="O153" i="35"/>
  <c r="M153" i="35"/>
  <c r="J153" i="35"/>
  <c r="P152" i="35"/>
  <c r="O152" i="35"/>
  <c r="M152" i="35"/>
  <c r="J152" i="35"/>
  <c r="P151" i="35"/>
  <c r="O151" i="35"/>
  <c r="M151" i="35"/>
  <c r="J151" i="35"/>
  <c r="P150" i="35"/>
  <c r="O150" i="35"/>
  <c r="M150" i="35"/>
  <c r="J150" i="35"/>
  <c r="P149" i="35"/>
  <c r="O149" i="35"/>
  <c r="M149" i="35"/>
  <c r="J149" i="35"/>
  <c r="P148" i="35"/>
  <c r="O148" i="35"/>
  <c r="M148" i="35"/>
  <c r="J148" i="35"/>
  <c r="P147" i="35"/>
  <c r="O147" i="35"/>
  <c r="M147" i="35"/>
  <c r="J147" i="35"/>
  <c r="P146" i="35"/>
  <c r="O146" i="35"/>
  <c r="M146" i="35"/>
  <c r="J146" i="35"/>
  <c r="P145" i="35"/>
  <c r="O145" i="35"/>
  <c r="M145" i="35"/>
  <c r="J145" i="35"/>
  <c r="P144" i="35"/>
  <c r="O144" i="35"/>
  <c r="M144" i="35"/>
  <c r="J144" i="35"/>
  <c r="P143" i="35"/>
  <c r="O143" i="35"/>
  <c r="M143" i="35"/>
  <c r="J143" i="35"/>
  <c r="P142" i="35"/>
  <c r="O142" i="35"/>
  <c r="M142" i="35"/>
  <c r="J142" i="35"/>
  <c r="P141" i="35"/>
  <c r="O141" i="35"/>
  <c r="M141" i="35"/>
  <c r="J141" i="35"/>
  <c r="P140" i="35"/>
  <c r="O140" i="35"/>
  <c r="M140" i="35"/>
  <c r="J140" i="35"/>
  <c r="P139" i="35"/>
  <c r="O139" i="35"/>
  <c r="M139" i="35"/>
  <c r="J139" i="35"/>
  <c r="P138" i="35"/>
  <c r="O138" i="35"/>
  <c r="M138" i="35"/>
  <c r="J138" i="35"/>
  <c r="P137" i="35"/>
  <c r="O137" i="35"/>
  <c r="M137" i="35"/>
  <c r="J137" i="35"/>
  <c r="P136" i="35"/>
  <c r="O136" i="35"/>
  <c r="M136" i="35"/>
  <c r="J136" i="35"/>
  <c r="P135" i="35"/>
  <c r="O135" i="35"/>
  <c r="M135" i="35"/>
  <c r="J135" i="35"/>
  <c r="P134" i="35"/>
  <c r="O134" i="35"/>
  <c r="M134" i="35"/>
  <c r="J134" i="35"/>
  <c r="P133" i="35"/>
  <c r="O133" i="35"/>
  <c r="M133" i="35"/>
  <c r="J133" i="35"/>
  <c r="P132" i="35"/>
  <c r="O132" i="35"/>
  <c r="M132" i="35"/>
  <c r="J132" i="35"/>
  <c r="O131" i="35"/>
  <c r="M131" i="35"/>
  <c r="O130" i="35"/>
  <c r="M130" i="35"/>
  <c r="O129" i="35"/>
  <c r="M129" i="35"/>
  <c r="O128" i="35"/>
  <c r="M128" i="35"/>
  <c r="O127" i="35"/>
  <c r="M127" i="35"/>
  <c r="O126" i="35"/>
  <c r="M126" i="35"/>
  <c r="O125" i="35"/>
  <c r="M125" i="35"/>
  <c r="O124" i="35"/>
  <c r="M124" i="35"/>
  <c r="O123" i="35"/>
  <c r="M123" i="35"/>
  <c r="O122" i="35"/>
  <c r="M122" i="35"/>
  <c r="O121" i="35"/>
  <c r="M121" i="35"/>
  <c r="O120" i="35"/>
  <c r="M120" i="35"/>
  <c r="O119" i="35"/>
  <c r="M119" i="35"/>
  <c r="O118" i="35"/>
  <c r="M118" i="35"/>
  <c r="O117" i="35"/>
  <c r="M117" i="35"/>
  <c r="O116" i="35"/>
  <c r="M116" i="35"/>
  <c r="O115" i="35"/>
  <c r="M115" i="35"/>
  <c r="O114" i="35"/>
  <c r="M114" i="35"/>
  <c r="O113" i="35"/>
  <c r="M113" i="35"/>
  <c r="O112" i="35"/>
  <c r="M112" i="35"/>
  <c r="O111" i="35"/>
  <c r="M111" i="35"/>
  <c r="O110" i="35"/>
  <c r="M110" i="35"/>
  <c r="O109" i="35"/>
  <c r="M109" i="35"/>
  <c r="O108" i="35"/>
  <c r="M108" i="35"/>
  <c r="O107" i="35"/>
  <c r="M107" i="35"/>
  <c r="O106" i="35"/>
  <c r="M106" i="35"/>
  <c r="O105" i="35"/>
  <c r="M105" i="35"/>
  <c r="O104" i="35"/>
  <c r="M104" i="35"/>
  <c r="O103" i="35"/>
  <c r="M103" i="35"/>
  <c r="O102" i="35"/>
  <c r="M102" i="35"/>
  <c r="O100" i="35"/>
  <c r="M100" i="35"/>
  <c r="D97" i="35"/>
  <c r="L94" i="35"/>
  <c r="J94" i="35"/>
  <c r="D92" i="35"/>
  <c r="D90" i="35"/>
  <c r="N71" i="35"/>
  <c r="L71" i="35"/>
  <c r="N70" i="35"/>
  <c r="L70" i="35"/>
  <c r="N69" i="35"/>
  <c r="L69" i="35"/>
  <c r="N68" i="35"/>
  <c r="L68" i="35"/>
  <c r="N67" i="35"/>
  <c r="L67" i="35"/>
  <c r="N66" i="35"/>
  <c r="L66" i="35"/>
  <c r="N65" i="35"/>
  <c r="L65" i="35"/>
  <c r="N64" i="35"/>
  <c r="L64" i="35"/>
  <c r="N63" i="35"/>
  <c r="L63" i="35"/>
  <c r="N62" i="35"/>
  <c r="L62" i="35"/>
  <c r="N61" i="35"/>
  <c r="L61" i="35"/>
  <c r="N60" i="35"/>
  <c r="L60" i="35"/>
  <c r="N59" i="35"/>
  <c r="L59" i="35"/>
  <c r="N58" i="35"/>
  <c r="L58" i="35"/>
  <c r="N57" i="35"/>
  <c r="L57" i="35"/>
  <c r="N56" i="35"/>
  <c r="L56" i="35"/>
  <c r="N55" i="35"/>
  <c r="L55" i="35"/>
  <c r="N54" i="35"/>
  <c r="L54" i="35"/>
  <c r="N53" i="35"/>
  <c r="L53" i="35"/>
  <c r="N52" i="35"/>
  <c r="L52" i="35"/>
  <c r="N51" i="35"/>
  <c r="L51" i="35"/>
  <c r="N50" i="35"/>
  <c r="L50" i="35"/>
  <c r="N49" i="35"/>
  <c r="L49" i="35"/>
  <c r="N48" i="35"/>
  <c r="L48" i="35"/>
  <c r="N47" i="35"/>
  <c r="L47" i="35"/>
  <c r="N46" i="35"/>
  <c r="L46" i="35"/>
  <c r="N45" i="35"/>
  <c r="L45" i="35"/>
  <c r="N44" i="35"/>
  <c r="L44" i="35"/>
  <c r="N43" i="35"/>
  <c r="L43" i="35"/>
  <c r="N42" i="35"/>
  <c r="L42" i="35"/>
  <c r="N41" i="35"/>
  <c r="L41" i="35"/>
  <c r="N40" i="35"/>
  <c r="L40" i="35"/>
  <c r="N39" i="35"/>
  <c r="L39" i="35"/>
  <c r="N38" i="35"/>
  <c r="L38" i="35"/>
  <c r="N37" i="35"/>
  <c r="L37" i="35"/>
  <c r="N36" i="35"/>
  <c r="L36" i="35"/>
  <c r="N35" i="35"/>
  <c r="L35" i="35"/>
  <c r="N34" i="35"/>
  <c r="L34" i="35"/>
  <c r="N33" i="35"/>
  <c r="L33" i="35"/>
  <c r="N32" i="35"/>
  <c r="L32" i="35"/>
  <c r="N31" i="35"/>
  <c r="L31" i="35"/>
  <c r="N30" i="35"/>
  <c r="L30" i="35"/>
  <c r="N29" i="35"/>
  <c r="L29" i="35"/>
  <c r="N28" i="35"/>
  <c r="L28" i="35"/>
  <c r="N27" i="35"/>
  <c r="L27" i="35"/>
  <c r="N26" i="35"/>
  <c r="L26" i="35"/>
  <c r="N25" i="35"/>
  <c r="L25" i="35"/>
  <c r="N24" i="35"/>
  <c r="L24" i="35"/>
  <c r="N23" i="35"/>
  <c r="L23" i="35"/>
  <c r="N22" i="35"/>
  <c r="L22" i="35"/>
  <c r="N21" i="35"/>
  <c r="L21" i="35"/>
  <c r="N20" i="35"/>
  <c r="C17" i="35"/>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C60" i="35" s="1"/>
  <c r="C61" i="35" s="1"/>
  <c r="C62" i="35" s="1"/>
  <c r="C63" i="35" s="1"/>
  <c r="C64" i="35" s="1"/>
  <c r="C65" i="35" s="1"/>
  <c r="C66" i="35" s="1"/>
  <c r="C67" i="35" s="1"/>
  <c r="C68" i="35" s="1"/>
  <c r="C69" i="35" s="1"/>
  <c r="C70" i="35" s="1"/>
  <c r="C71" i="35" s="1"/>
  <c r="C72" i="35" s="1"/>
  <c r="K11" i="35"/>
  <c r="I11" i="35"/>
  <c r="D8" i="35"/>
  <c r="D91" i="35" s="1"/>
  <c r="P1" i="34"/>
  <c r="P84" i="34" s="1"/>
  <c r="P155" i="34"/>
  <c r="O155" i="34"/>
  <c r="M155" i="34"/>
  <c r="J155" i="34"/>
  <c r="P154" i="34"/>
  <c r="O154" i="34"/>
  <c r="M154" i="34"/>
  <c r="J154" i="34"/>
  <c r="P153" i="34"/>
  <c r="O153" i="34"/>
  <c r="M153" i="34"/>
  <c r="J153" i="34"/>
  <c r="P152" i="34"/>
  <c r="O152" i="34"/>
  <c r="M152" i="34"/>
  <c r="J152" i="34"/>
  <c r="P151" i="34"/>
  <c r="O151" i="34"/>
  <c r="M151" i="34"/>
  <c r="J151" i="34"/>
  <c r="P150" i="34"/>
  <c r="O150" i="34"/>
  <c r="M150" i="34"/>
  <c r="J150" i="34"/>
  <c r="P149" i="34"/>
  <c r="O149" i="34"/>
  <c r="M149" i="34"/>
  <c r="J149" i="34"/>
  <c r="P148" i="34"/>
  <c r="O148" i="34"/>
  <c r="M148" i="34"/>
  <c r="J148" i="34"/>
  <c r="P147" i="34"/>
  <c r="O147" i="34"/>
  <c r="M147" i="34"/>
  <c r="J147" i="34"/>
  <c r="P146" i="34"/>
  <c r="O146" i="34"/>
  <c r="M146" i="34"/>
  <c r="J146" i="34"/>
  <c r="P145" i="34"/>
  <c r="O145" i="34"/>
  <c r="M145" i="34"/>
  <c r="J145" i="34"/>
  <c r="P144" i="34"/>
  <c r="O144" i="34"/>
  <c r="M144" i="34"/>
  <c r="J144" i="34"/>
  <c r="P143" i="34"/>
  <c r="O143" i="34"/>
  <c r="M143" i="34"/>
  <c r="J143" i="34"/>
  <c r="P142" i="34"/>
  <c r="O142" i="34"/>
  <c r="M142" i="34"/>
  <c r="J142" i="34"/>
  <c r="P141" i="34"/>
  <c r="O141" i="34"/>
  <c r="M141" i="34"/>
  <c r="J141" i="34"/>
  <c r="P140" i="34"/>
  <c r="O140" i="34"/>
  <c r="M140" i="34"/>
  <c r="J140" i="34"/>
  <c r="P139" i="34"/>
  <c r="O139" i="34"/>
  <c r="M139" i="34"/>
  <c r="J139" i="34"/>
  <c r="P138" i="34"/>
  <c r="O138" i="34"/>
  <c r="M138" i="34"/>
  <c r="J138" i="34"/>
  <c r="P137" i="34"/>
  <c r="O137" i="34"/>
  <c r="M137" i="34"/>
  <c r="J137" i="34"/>
  <c r="P136" i="34"/>
  <c r="O136" i="34"/>
  <c r="M136" i="34"/>
  <c r="J136" i="34"/>
  <c r="P135" i="34"/>
  <c r="O135" i="34"/>
  <c r="M135" i="34"/>
  <c r="J135" i="34"/>
  <c r="P134" i="34"/>
  <c r="O134" i="34"/>
  <c r="M134" i="34"/>
  <c r="J134" i="34"/>
  <c r="P133" i="34"/>
  <c r="O133" i="34"/>
  <c r="M133" i="34"/>
  <c r="J133" i="34"/>
  <c r="P132" i="34"/>
  <c r="O132" i="34"/>
  <c r="M132" i="34"/>
  <c r="J132" i="34"/>
  <c r="O131" i="34"/>
  <c r="M131" i="34"/>
  <c r="O130" i="34"/>
  <c r="M130" i="34"/>
  <c r="O129" i="34"/>
  <c r="M129" i="34"/>
  <c r="O128" i="34"/>
  <c r="M128" i="34"/>
  <c r="O127" i="34"/>
  <c r="M127" i="34"/>
  <c r="O126" i="34"/>
  <c r="M126" i="34"/>
  <c r="O125" i="34"/>
  <c r="M125" i="34"/>
  <c r="O124" i="34"/>
  <c r="M124" i="34"/>
  <c r="O123" i="34"/>
  <c r="M123" i="34"/>
  <c r="O122" i="34"/>
  <c r="M122" i="34"/>
  <c r="O121" i="34"/>
  <c r="M121" i="34"/>
  <c r="O120" i="34"/>
  <c r="M120" i="34"/>
  <c r="O119" i="34"/>
  <c r="M119" i="34"/>
  <c r="O118" i="34"/>
  <c r="M118" i="34"/>
  <c r="O117" i="34"/>
  <c r="M117" i="34"/>
  <c r="O116" i="34"/>
  <c r="M116" i="34"/>
  <c r="O115" i="34"/>
  <c r="M115" i="34"/>
  <c r="O114" i="34"/>
  <c r="M114" i="34"/>
  <c r="O113" i="34"/>
  <c r="M113" i="34"/>
  <c r="O112" i="34"/>
  <c r="M112" i="34"/>
  <c r="O111" i="34"/>
  <c r="M111" i="34"/>
  <c r="O110" i="34"/>
  <c r="M110" i="34"/>
  <c r="O109" i="34"/>
  <c r="M109" i="34"/>
  <c r="O108" i="34"/>
  <c r="M108" i="34"/>
  <c r="O107" i="34"/>
  <c r="M107" i="34"/>
  <c r="O106" i="34"/>
  <c r="M106" i="34"/>
  <c r="O105" i="34"/>
  <c r="M105" i="34"/>
  <c r="O104" i="34"/>
  <c r="M104" i="34"/>
  <c r="O103" i="34"/>
  <c r="M103" i="34"/>
  <c r="O102" i="34"/>
  <c r="M102" i="34"/>
  <c r="O100" i="34"/>
  <c r="D97" i="34"/>
  <c r="L94" i="34"/>
  <c r="J94" i="34"/>
  <c r="D92" i="34"/>
  <c r="D90" i="34"/>
  <c r="N71" i="34"/>
  <c r="L71" i="34"/>
  <c r="N70" i="34"/>
  <c r="L70" i="34"/>
  <c r="N69" i="34"/>
  <c r="L69" i="34"/>
  <c r="N68" i="34"/>
  <c r="L68" i="34"/>
  <c r="N67" i="34"/>
  <c r="L67" i="34"/>
  <c r="N66" i="34"/>
  <c r="L66" i="34"/>
  <c r="N65" i="34"/>
  <c r="L65" i="34"/>
  <c r="N64" i="34"/>
  <c r="L64" i="34"/>
  <c r="N63" i="34"/>
  <c r="L63" i="34"/>
  <c r="N62" i="34"/>
  <c r="L62" i="34"/>
  <c r="N61" i="34"/>
  <c r="L61" i="34"/>
  <c r="N60" i="34"/>
  <c r="L60" i="34"/>
  <c r="N59" i="34"/>
  <c r="L59" i="34"/>
  <c r="N58" i="34"/>
  <c r="L58" i="34"/>
  <c r="N57" i="34"/>
  <c r="L57" i="34"/>
  <c r="N56" i="34"/>
  <c r="L56" i="34"/>
  <c r="N55" i="34"/>
  <c r="L55" i="34"/>
  <c r="N54" i="34"/>
  <c r="L54" i="34"/>
  <c r="N53" i="34"/>
  <c r="L53" i="34"/>
  <c r="N52" i="34"/>
  <c r="L52" i="34"/>
  <c r="N51" i="34"/>
  <c r="L51" i="34"/>
  <c r="N50" i="34"/>
  <c r="L50" i="34"/>
  <c r="N49" i="34"/>
  <c r="L49" i="34"/>
  <c r="N48" i="34"/>
  <c r="L48" i="34"/>
  <c r="N47" i="34"/>
  <c r="L47" i="34"/>
  <c r="N46" i="34"/>
  <c r="L46" i="34"/>
  <c r="N45" i="34"/>
  <c r="L45" i="34"/>
  <c r="N44" i="34"/>
  <c r="L44" i="34"/>
  <c r="N43" i="34"/>
  <c r="L43" i="34"/>
  <c r="N42" i="34"/>
  <c r="L42" i="34"/>
  <c r="N41" i="34"/>
  <c r="L41" i="34"/>
  <c r="N40" i="34"/>
  <c r="L40" i="34"/>
  <c r="N39" i="34"/>
  <c r="L39" i="34"/>
  <c r="N38" i="34"/>
  <c r="L38" i="34"/>
  <c r="N37" i="34"/>
  <c r="L37" i="34"/>
  <c r="N36" i="34"/>
  <c r="L36" i="34"/>
  <c r="N35" i="34"/>
  <c r="L35" i="34"/>
  <c r="N34" i="34"/>
  <c r="L34" i="34"/>
  <c r="N33" i="34"/>
  <c r="L33" i="34"/>
  <c r="N32" i="34"/>
  <c r="L32" i="34"/>
  <c r="N31" i="34"/>
  <c r="L31" i="34"/>
  <c r="N30" i="34"/>
  <c r="L30" i="34"/>
  <c r="N29" i="34"/>
  <c r="L29" i="34"/>
  <c r="N28" i="34"/>
  <c r="L28" i="34"/>
  <c r="N27" i="34"/>
  <c r="L27" i="34"/>
  <c r="N26" i="34"/>
  <c r="L26" i="34"/>
  <c r="N25" i="34"/>
  <c r="L25" i="34"/>
  <c r="N24" i="34"/>
  <c r="L24" i="34"/>
  <c r="N23" i="34"/>
  <c r="L23" i="34"/>
  <c r="N22" i="34"/>
  <c r="L22" i="34"/>
  <c r="N21" i="34"/>
  <c r="L21" i="34"/>
  <c r="N20" i="34"/>
  <c r="L18" i="34"/>
  <c r="L17" i="34"/>
  <c r="C17" i="34"/>
  <c r="C18" i="34"/>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B17" i="34"/>
  <c r="K11" i="34"/>
  <c r="I11" i="34"/>
  <c r="D8" i="34"/>
  <c r="D91" i="34" s="1"/>
  <c r="B21" i="28"/>
  <c r="B22" i="19"/>
  <c r="D93" i="25"/>
  <c r="N102" i="28"/>
  <c r="L102" i="28"/>
  <c r="M102" i="28" s="1"/>
  <c r="N102" i="27"/>
  <c r="L102" i="27"/>
  <c r="M102" i="27"/>
  <c r="N101" i="26"/>
  <c r="L101" i="26"/>
  <c r="M101" i="26"/>
  <c r="N102" i="24"/>
  <c r="L102" i="24"/>
  <c r="M102" i="24"/>
  <c r="N100" i="25"/>
  <c r="L100" i="25"/>
  <c r="M100" i="25" s="1"/>
  <c r="L101" i="23"/>
  <c r="M101" i="23"/>
  <c r="N101" i="23"/>
  <c r="O101" i="23" s="1"/>
  <c r="L101" i="22"/>
  <c r="M101" i="22" s="1"/>
  <c r="N101" i="22"/>
  <c r="O101" i="22" s="1"/>
  <c r="P101" i="22" s="1"/>
  <c r="L102" i="21"/>
  <c r="M102" i="21"/>
  <c r="N102" i="21"/>
  <c r="L104" i="19"/>
  <c r="M104" i="19" s="1"/>
  <c r="N104" i="19"/>
  <c r="O104" i="19" s="1"/>
  <c r="L104" i="18"/>
  <c r="M104" i="18" s="1"/>
  <c r="N104" i="18"/>
  <c r="O104" i="18"/>
  <c r="P104" i="18" s="1"/>
  <c r="L105" i="3"/>
  <c r="M105" i="3" s="1"/>
  <c r="N105" i="3"/>
  <c r="O105" i="3" s="1"/>
  <c r="M17" i="29"/>
  <c r="L17" i="29"/>
  <c r="K20" i="28"/>
  <c r="L20" i="28" s="1"/>
  <c r="M20" i="28"/>
  <c r="K20" i="27"/>
  <c r="L20" i="27"/>
  <c r="M20" i="27"/>
  <c r="K19" i="26"/>
  <c r="L19" i="26"/>
  <c r="M19" i="26"/>
  <c r="K20" i="24"/>
  <c r="L20" i="24"/>
  <c r="M20" i="24"/>
  <c r="K18" i="25"/>
  <c r="L18" i="25" s="1"/>
  <c r="M18" i="25"/>
  <c r="K19" i="23"/>
  <c r="L19" i="23"/>
  <c r="M19" i="23"/>
  <c r="K19" i="22"/>
  <c r="L19" i="22" s="1"/>
  <c r="M19" i="22"/>
  <c r="K20" i="21"/>
  <c r="L20" i="21" s="1"/>
  <c r="M20" i="21"/>
  <c r="K22" i="19"/>
  <c r="L22" i="19" s="1"/>
  <c r="M22" i="19"/>
  <c r="K22" i="18"/>
  <c r="L22" i="18"/>
  <c r="M22" i="18"/>
  <c r="K23" i="4"/>
  <c r="L23" i="4"/>
  <c r="O23" i="4"/>
  <c r="M23" i="4"/>
  <c r="N23" i="4"/>
  <c r="K23" i="3"/>
  <c r="L23" i="3"/>
  <c r="M23" i="3"/>
  <c r="L32" i="29"/>
  <c r="N32" i="29"/>
  <c r="L33" i="29"/>
  <c r="N33" i="29"/>
  <c r="L32" i="28"/>
  <c r="N32" i="28"/>
  <c r="L33" i="28"/>
  <c r="N33" i="28"/>
  <c r="L32" i="27"/>
  <c r="N32" i="27"/>
  <c r="L33" i="27"/>
  <c r="N33" i="27"/>
  <c r="L32" i="26"/>
  <c r="N32" i="26"/>
  <c r="L33" i="26"/>
  <c r="N33" i="26"/>
  <c r="L32" i="24"/>
  <c r="N32" i="24"/>
  <c r="L33" i="24"/>
  <c r="N33" i="24"/>
  <c r="L32" i="25"/>
  <c r="N32" i="25"/>
  <c r="L33" i="25"/>
  <c r="N33" i="25"/>
  <c r="L32" i="23"/>
  <c r="N32" i="23"/>
  <c r="L33" i="23"/>
  <c r="N33" i="23"/>
  <c r="L32" i="22"/>
  <c r="N32" i="22"/>
  <c r="L32" i="21"/>
  <c r="N32" i="21"/>
  <c r="N32" i="20"/>
  <c r="L32" i="20"/>
  <c r="L31" i="19"/>
  <c r="N31" i="19"/>
  <c r="L32" i="19"/>
  <c r="N32" i="19"/>
  <c r="L33" i="19"/>
  <c r="N33" i="19"/>
  <c r="L31" i="18"/>
  <c r="N31" i="18"/>
  <c r="L32" i="18"/>
  <c r="N32" i="18"/>
  <c r="L33" i="18"/>
  <c r="N33" i="18"/>
  <c r="P1" i="31"/>
  <c r="P84" i="31" s="1"/>
  <c r="P1" i="29"/>
  <c r="P84" i="29" s="1"/>
  <c r="P1" i="28"/>
  <c r="P84" i="28" s="1"/>
  <c r="P1" i="27"/>
  <c r="P84" i="27" s="1"/>
  <c r="P1" i="26"/>
  <c r="P84" i="26" s="1"/>
  <c r="P1" i="24"/>
  <c r="P84" i="24" s="1"/>
  <c r="P1" i="25"/>
  <c r="P84" i="25" s="1"/>
  <c r="L105" i="4"/>
  <c r="M105" i="4"/>
  <c r="N105" i="4"/>
  <c r="O105" i="4"/>
  <c r="L104" i="3"/>
  <c r="M104" i="3"/>
  <c r="N23" i="3"/>
  <c r="N32" i="3"/>
  <c r="L32" i="3"/>
  <c r="L31" i="3"/>
  <c r="N31" i="3"/>
  <c r="L33" i="3"/>
  <c r="N33" i="3"/>
  <c r="L34" i="3"/>
  <c r="N34" i="3"/>
  <c r="L35" i="3"/>
  <c r="N35" i="3"/>
  <c r="L36" i="3"/>
  <c r="N36" i="3"/>
  <c r="L37" i="3"/>
  <c r="N37" i="3"/>
  <c r="L38" i="3"/>
  <c r="N38" i="3"/>
  <c r="L39" i="3"/>
  <c r="N39" i="3"/>
  <c r="L40" i="3"/>
  <c r="N40" i="3"/>
  <c r="L41" i="3"/>
  <c r="N41" i="3"/>
  <c r="L42" i="3"/>
  <c r="N42" i="3"/>
  <c r="L43" i="3"/>
  <c r="N43" i="3"/>
  <c r="N43" i="31"/>
  <c r="L43" i="31"/>
  <c r="N42" i="31"/>
  <c r="L42" i="31"/>
  <c r="N41" i="31"/>
  <c r="L41" i="31"/>
  <c r="N33" i="31"/>
  <c r="L33" i="31"/>
  <c r="N32" i="31"/>
  <c r="L32" i="31"/>
  <c r="D95" i="31"/>
  <c r="D94" i="31"/>
  <c r="M100" i="31"/>
  <c r="L17" i="31"/>
  <c r="O155" i="31"/>
  <c r="M155" i="31"/>
  <c r="O154" i="31"/>
  <c r="M154" i="31"/>
  <c r="O153" i="31"/>
  <c r="M153" i="31"/>
  <c r="O152" i="31"/>
  <c r="M152" i="31"/>
  <c r="O151" i="31"/>
  <c r="M151" i="31"/>
  <c r="O150" i="31"/>
  <c r="M150" i="31"/>
  <c r="O149" i="31"/>
  <c r="M149" i="31"/>
  <c r="O148" i="31"/>
  <c r="M148" i="31"/>
  <c r="O147" i="31"/>
  <c r="M147" i="31"/>
  <c r="O146" i="31"/>
  <c r="M146" i="31"/>
  <c r="O145" i="31"/>
  <c r="M145" i="31"/>
  <c r="O144" i="31"/>
  <c r="M144" i="31"/>
  <c r="O143" i="31"/>
  <c r="M143" i="31"/>
  <c r="O142" i="31"/>
  <c r="M142" i="31"/>
  <c r="O141" i="31"/>
  <c r="M141" i="31"/>
  <c r="O140" i="31"/>
  <c r="M140" i="31"/>
  <c r="O139" i="31"/>
  <c r="M139" i="31"/>
  <c r="O138" i="31"/>
  <c r="M138" i="31"/>
  <c r="O137" i="31"/>
  <c r="M137" i="31"/>
  <c r="O136" i="31"/>
  <c r="M136" i="31"/>
  <c r="O135" i="31"/>
  <c r="M135" i="31"/>
  <c r="O134" i="31"/>
  <c r="M134" i="31"/>
  <c r="O133" i="31"/>
  <c r="M133" i="31"/>
  <c r="O132" i="31"/>
  <c r="M132" i="31"/>
  <c r="O131" i="31"/>
  <c r="M131" i="31"/>
  <c r="O130" i="31"/>
  <c r="M130" i="31"/>
  <c r="O129" i="31"/>
  <c r="M129" i="31"/>
  <c r="O128" i="31"/>
  <c r="M128" i="31"/>
  <c r="O127" i="31"/>
  <c r="M127" i="31"/>
  <c r="O126" i="31"/>
  <c r="M126" i="31"/>
  <c r="O125" i="31"/>
  <c r="M125" i="31"/>
  <c r="O124" i="31"/>
  <c r="M124" i="31"/>
  <c r="O123" i="31"/>
  <c r="M123" i="31"/>
  <c r="O122" i="31"/>
  <c r="M122" i="31"/>
  <c r="O121" i="31"/>
  <c r="M121" i="31"/>
  <c r="O120" i="31"/>
  <c r="M120" i="31"/>
  <c r="O119" i="31"/>
  <c r="M119" i="31"/>
  <c r="O118" i="31"/>
  <c r="M118" i="31"/>
  <c r="O117" i="31"/>
  <c r="M117" i="31"/>
  <c r="O116" i="31"/>
  <c r="M116" i="31"/>
  <c r="O115" i="31"/>
  <c r="M115" i="31"/>
  <c r="O114" i="31"/>
  <c r="M114" i="31"/>
  <c r="O113" i="31"/>
  <c r="M113" i="31"/>
  <c r="O112" i="31"/>
  <c r="M112" i="31"/>
  <c r="O111" i="31"/>
  <c r="M111" i="31"/>
  <c r="O110" i="31"/>
  <c r="M110" i="31"/>
  <c r="O109" i="31"/>
  <c r="M109" i="31"/>
  <c r="O108" i="31"/>
  <c r="M108" i="31"/>
  <c r="O107" i="31"/>
  <c r="M107" i="31"/>
  <c r="O106" i="31"/>
  <c r="M106" i="31"/>
  <c r="O105" i="31"/>
  <c r="M105" i="31"/>
  <c r="O104" i="31"/>
  <c r="M104" i="31"/>
  <c r="O103" i="31"/>
  <c r="M103" i="31"/>
  <c r="O102" i="31"/>
  <c r="M102" i="31"/>
  <c r="D97" i="31"/>
  <c r="L94" i="31"/>
  <c r="J94" i="31"/>
  <c r="D90" i="31"/>
  <c r="N73" i="31"/>
  <c r="L73" i="31"/>
  <c r="N72" i="31"/>
  <c r="L72" i="31"/>
  <c r="N71" i="31"/>
  <c r="L71" i="31"/>
  <c r="N70" i="31"/>
  <c r="L70" i="31"/>
  <c r="N69" i="31"/>
  <c r="L69" i="31"/>
  <c r="N68" i="31"/>
  <c r="L68" i="31"/>
  <c r="N67" i="31"/>
  <c r="L67" i="31"/>
  <c r="N66" i="31"/>
  <c r="L66" i="31"/>
  <c r="N65" i="31"/>
  <c r="L65" i="31"/>
  <c r="N64" i="31"/>
  <c r="L64" i="31"/>
  <c r="N63" i="31"/>
  <c r="L63" i="31"/>
  <c r="N62" i="31"/>
  <c r="L62" i="31"/>
  <c r="N61" i="31"/>
  <c r="L61" i="31"/>
  <c r="N60" i="31"/>
  <c r="L60" i="31"/>
  <c r="N59" i="31"/>
  <c r="L59" i="31"/>
  <c r="N58" i="31"/>
  <c r="L58" i="31"/>
  <c r="N57" i="31"/>
  <c r="L57" i="31"/>
  <c r="N56" i="31"/>
  <c r="L56" i="31"/>
  <c r="N55" i="31"/>
  <c r="L55" i="31"/>
  <c r="N54" i="31"/>
  <c r="L54" i="31"/>
  <c r="N53" i="31"/>
  <c r="L53" i="31"/>
  <c r="N52" i="31"/>
  <c r="L52" i="31"/>
  <c r="N51" i="31"/>
  <c r="L51" i="31"/>
  <c r="N50" i="31"/>
  <c r="L50" i="31"/>
  <c r="N49" i="31"/>
  <c r="L49" i="31"/>
  <c r="N48" i="31"/>
  <c r="L48" i="31"/>
  <c r="N47" i="31"/>
  <c r="L47" i="31"/>
  <c r="N46" i="31"/>
  <c r="L46" i="31"/>
  <c r="N45" i="31"/>
  <c r="L45" i="31"/>
  <c r="N44" i="31"/>
  <c r="L44" i="31"/>
  <c r="N40" i="31"/>
  <c r="L40" i="31"/>
  <c r="N39" i="31"/>
  <c r="L39" i="31"/>
  <c r="N38" i="31"/>
  <c r="L38" i="31"/>
  <c r="N37" i="31"/>
  <c r="L37" i="31"/>
  <c r="N36" i="31"/>
  <c r="L36" i="31"/>
  <c r="N35" i="31"/>
  <c r="L35" i="31"/>
  <c r="N34" i="31"/>
  <c r="L34" i="31"/>
  <c r="N31" i="31"/>
  <c r="L31" i="31"/>
  <c r="N30" i="31"/>
  <c r="L30" i="31"/>
  <c r="N29" i="31"/>
  <c r="L29" i="31"/>
  <c r="N28" i="31"/>
  <c r="L28" i="31"/>
  <c r="N27" i="31"/>
  <c r="L27" i="31"/>
  <c r="N26" i="31"/>
  <c r="L26" i="31"/>
  <c r="N25" i="31"/>
  <c r="L25" i="31"/>
  <c r="N24" i="31"/>
  <c r="L24" i="31"/>
  <c r="N23" i="31"/>
  <c r="L23" i="31"/>
  <c r="N22" i="31"/>
  <c r="L22" i="31"/>
  <c r="N21" i="31"/>
  <c r="L21" i="31"/>
  <c r="N20" i="31"/>
  <c r="N17" i="31"/>
  <c r="O17" i="31"/>
  <c r="C17" i="31"/>
  <c r="C18" i="31" s="1"/>
  <c r="C19" i="31" s="1"/>
  <c r="C20" i="31" s="1"/>
  <c r="C21" i="31" s="1"/>
  <c r="C22" i="31" s="1"/>
  <c r="C23" i="31" s="1"/>
  <c r="C24" i="31" s="1"/>
  <c r="C25" i="31" s="1"/>
  <c r="C26" i="31" s="1"/>
  <c r="C27" i="31" s="1"/>
  <c r="C28" i="31" s="1"/>
  <c r="C29" i="31" s="1"/>
  <c r="C30" i="31" s="1"/>
  <c r="C31" i="31" s="1"/>
  <c r="C32" i="31" s="1"/>
  <c r="B17" i="31"/>
  <c r="K11" i="31"/>
  <c r="D8" i="31"/>
  <c r="D91" i="31" s="1"/>
  <c r="H3" i="31"/>
  <c r="P1" i="23"/>
  <c r="P84" i="23" s="1"/>
  <c r="P1" i="22"/>
  <c r="P84" i="22" s="1"/>
  <c r="F90" i="2"/>
  <c r="F87" i="1"/>
  <c r="F84" i="1"/>
  <c r="D10" i="19"/>
  <c r="D93" i="19"/>
  <c r="W31" i="17"/>
  <c r="P155" i="29"/>
  <c r="O155" i="29"/>
  <c r="M155" i="29"/>
  <c r="J155" i="29"/>
  <c r="P154" i="29"/>
  <c r="O154" i="29"/>
  <c r="M154" i="29"/>
  <c r="J154" i="29"/>
  <c r="P153" i="29"/>
  <c r="O153" i="29"/>
  <c r="M153" i="29"/>
  <c r="J153" i="29"/>
  <c r="P152" i="29"/>
  <c r="O152" i="29"/>
  <c r="M152" i="29"/>
  <c r="J152" i="29"/>
  <c r="P151" i="29"/>
  <c r="O151" i="29"/>
  <c r="M151" i="29"/>
  <c r="J151" i="29"/>
  <c r="P150" i="29"/>
  <c r="O150" i="29"/>
  <c r="M150" i="29"/>
  <c r="J150" i="29"/>
  <c r="P149" i="29"/>
  <c r="O149" i="29"/>
  <c r="M149" i="29"/>
  <c r="J149" i="29"/>
  <c r="P148" i="29"/>
  <c r="O148" i="29"/>
  <c r="M148" i="29"/>
  <c r="J148" i="29"/>
  <c r="P147" i="29"/>
  <c r="O147" i="29"/>
  <c r="M147" i="29"/>
  <c r="J147" i="29"/>
  <c r="P146" i="29"/>
  <c r="O146" i="29"/>
  <c r="M146" i="29"/>
  <c r="J146" i="29"/>
  <c r="P145" i="29"/>
  <c r="O145" i="29"/>
  <c r="M145" i="29"/>
  <c r="J145" i="29"/>
  <c r="P144" i="29"/>
  <c r="O144" i="29"/>
  <c r="M144" i="29"/>
  <c r="J144" i="29"/>
  <c r="P143" i="29"/>
  <c r="O143" i="29"/>
  <c r="M143" i="29"/>
  <c r="J143" i="29"/>
  <c r="P142" i="29"/>
  <c r="O142" i="29"/>
  <c r="M142" i="29"/>
  <c r="J142" i="29"/>
  <c r="P141" i="29"/>
  <c r="O141" i="29"/>
  <c r="M141" i="29"/>
  <c r="J141" i="29"/>
  <c r="P140" i="29"/>
  <c r="O140" i="29"/>
  <c r="M140" i="29"/>
  <c r="J140" i="29"/>
  <c r="P139" i="29"/>
  <c r="O139" i="29"/>
  <c r="M139" i="29"/>
  <c r="J139" i="29"/>
  <c r="P138" i="29"/>
  <c r="O138" i="29"/>
  <c r="M138" i="29"/>
  <c r="J138" i="29"/>
  <c r="P137" i="29"/>
  <c r="O137" i="29"/>
  <c r="M137" i="29"/>
  <c r="J137" i="29"/>
  <c r="P136" i="29"/>
  <c r="O136" i="29"/>
  <c r="M136" i="29"/>
  <c r="J136" i="29"/>
  <c r="P135" i="29"/>
  <c r="O135" i="29"/>
  <c r="M135" i="29"/>
  <c r="J135" i="29"/>
  <c r="P134" i="29"/>
  <c r="O134" i="29"/>
  <c r="M134" i="29"/>
  <c r="J134" i="29"/>
  <c r="P133" i="29"/>
  <c r="O133" i="29"/>
  <c r="M133" i="29"/>
  <c r="J133" i="29"/>
  <c r="P132" i="29"/>
  <c r="O132" i="29"/>
  <c r="M132" i="29"/>
  <c r="J132" i="29"/>
  <c r="O131" i="29"/>
  <c r="M131" i="29"/>
  <c r="O130" i="29"/>
  <c r="M130" i="29"/>
  <c r="O129" i="29"/>
  <c r="M129" i="29"/>
  <c r="O128" i="29"/>
  <c r="M128" i="29"/>
  <c r="O127" i="29"/>
  <c r="M127" i="29"/>
  <c r="O126" i="29"/>
  <c r="M126" i="29"/>
  <c r="O125" i="29"/>
  <c r="M125" i="29"/>
  <c r="O124" i="29"/>
  <c r="M124" i="29"/>
  <c r="O123" i="29"/>
  <c r="M123" i="29"/>
  <c r="O122" i="29"/>
  <c r="M122" i="29"/>
  <c r="O121" i="29"/>
  <c r="M121" i="29"/>
  <c r="O120" i="29"/>
  <c r="M120" i="29"/>
  <c r="O119" i="29"/>
  <c r="M119" i="29"/>
  <c r="O118" i="29"/>
  <c r="M118" i="29"/>
  <c r="O117" i="29"/>
  <c r="M117" i="29"/>
  <c r="O116" i="29"/>
  <c r="M116" i="29"/>
  <c r="O115" i="29"/>
  <c r="M115" i="29"/>
  <c r="O114" i="29"/>
  <c r="M114" i="29"/>
  <c r="O113" i="29"/>
  <c r="M113" i="29"/>
  <c r="O112" i="29"/>
  <c r="M112" i="29"/>
  <c r="O111" i="29"/>
  <c r="M111" i="29"/>
  <c r="O110" i="29"/>
  <c r="M110" i="29"/>
  <c r="O109" i="29"/>
  <c r="M109" i="29"/>
  <c r="O108" i="29"/>
  <c r="M108" i="29"/>
  <c r="O107" i="29"/>
  <c r="M107" i="29"/>
  <c r="O106" i="29"/>
  <c r="M106" i="29"/>
  <c r="O105" i="29"/>
  <c r="M105" i="29"/>
  <c r="O104" i="29"/>
  <c r="M104" i="29"/>
  <c r="O103" i="29"/>
  <c r="M103" i="29"/>
  <c r="O102" i="29"/>
  <c r="M102" i="29"/>
  <c r="O100" i="29"/>
  <c r="D97" i="29"/>
  <c r="L94" i="29"/>
  <c r="J94" i="29"/>
  <c r="D92" i="29"/>
  <c r="D90" i="29"/>
  <c r="N73" i="29"/>
  <c r="L73" i="29"/>
  <c r="N72" i="29"/>
  <c r="L72" i="29"/>
  <c r="N71" i="29"/>
  <c r="L71" i="29"/>
  <c r="N70" i="29"/>
  <c r="L70" i="29"/>
  <c r="N69" i="29"/>
  <c r="L69" i="29"/>
  <c r="N68" i="29"/>
  <c r="L68" i="29"/>
  <c r="N67" i="29"/>
  <c r="L67" i="29"/>
  <c r="N66" i="29"/>
  <c r="L66" i="29"/>
  <c r="N65" i="29"/>
  <c r="L65" i="29"/>
  <c r="N64" i="29"/>
  <c r="L64" i="29"/>
  <c r="N63" i="29"/>
  <c r="L63" i="29"/>
  <c r="N62" i="29"/>
  <c r="L62" i="29"/>
  <c r="N61" i="29"/>
  <c r="L61" i="29"/>
  <c r="N60" i="29"/>
  <c r="L60" i="29"/>
  <c r="N59" i="29"/>
  <c r="L59" i="29"/>
  <c r="N58" i="29"/>
  <c r="L58" i="29"/>
  <c r="N57" i="29"/>
  <c r="L57" i="29"/>
  <c r="N56" i="29"/>
  <c r="L56" i="29"/>
  <c r="N55" i="29"/>
  <c r="L55" i="29"/>
  <c r="N54" i="29"/>
  <c r="L54" i="29"/>
  <c r="N53" i="29"/>
  <c r="L53" i="29"/>
  <c r="N52" i="29"/>
  <c r="L52" i="29"/>
  <c r="N51" i="29"/>
  <c r="L51" i="29"/>
  <c r="N50" i="29"/>
  <c r="L50" i="29"/>
  <c r="N49" i="29"/>
  <c r="L49" i="29"/>
  <c r="N48" i="29"/>
  <c r="L48" i="29"/>
  <c r="N47" i="29"/>
  <c r="L47" i="29"/>
  <c r="N46" i="29"/>
  <c r="L46" i="29"/>
  <c r="N45" i="29"/>
  <c r="L45" i="29"/>
  <c r="N44" i="29"/>
  <c r="L44" i="29"/>
  <c r="N43" i="29"/>
  <c r="L43" i="29"/>
  <c r="N42" i="29"/>
  <c r="L42" i="29"/>
  <c r="N41" i="29"/>
  <c r="L41" i="29"/>
  <c r="N40" i="29"/>
  <c r="L40" i="29"/>
  <c r="N39" i="29"/>
  <c r="L39" i="29"/>
  <c r="N38" i="29"/>
  <c r="L38" i="29"/>
  <c r="N37" i="29"/>
  <c r="L37" i="29"/>
  <c r="N36" i="29"/>
  <c r="L36" i="29"/>
  <c r="N35" i="29"/>
  <c r="L35" i="29"/>
  <c r="N34" i="29"/>
  <c r="L34" i="29"/>
  <c r="N31" i="29"/>
  <c r="L31" i="29"/>
  <c r="N30" i="29"/>
  <c r="L30" i="29"/>
  <c r="N29" i="29"/>
  <c r="L29" i="29"/>
  <c r="N28" i="29"/>
  <c r="L28" i="29"/>
  <c r="N27" i="29"/>
  <c r="L27" i="29"/>
  <c r="N26" i="29"/>
  <c r="L26" i="29"/>
  <c r="N25" i="29"/>
  <c r="L25" i="29"/>
  <c r="N24" i="29"/>
  <c r="L24" i="29"/>
  <c r="N23" i="29"/>
  <c r="L23" i="29"/>
  <c r="N22" i="29"/>
  <c r="L22" i="29"/>
  <c r="N21" i="29"/>
  <c r="N17" i="29"/>
  <c r="C17" i="29"/>
  <c r="C18" i="29"/>
  <c r="C19" i="29" s="1"/>
  <c r="C20" i="29" s="1"/>
  <c r="C21" i="29" s="1"/>
  <c r="C22" i="29" s="1"/>
  <c r="C23" i="29" s="1"/>
  <c r="C24" i="29"/>
  <c r="C25" i="29" s="1"/>
  <c r="C26" i="29" s="1"/>
  <c r="C27" i="29" s="1"/>
  <c r="C28" i="29" s="1"/>
  <c r="C29" i="29" s="1"/>
  <c r="C30" i="29" s="1"/>
  <c r="C31" i="29" s="1"/>
  <c r="C32" i="29" s="1"/>
  <c r="K11" i="29"/>
  <c r="I11" i="29"/>
  <c r="D8" i="29"/>
  <c r="D91" i="29" s="1"/>
  <c r="B100" i="22"/>
  <c r="B18" i="22"/>
  <c r="B17" i="22"/>
  <c r="B102" i="28"/>
  <c r="B20" i="28"/>
  <c r="B19" i="28"/>
  <c r="B18" i="28"/>
  <c r="B17" i="28"/>
  <c r="D95" i="28"/>
  <c r="D94" i="28"/>
  <c r="M19" i="28"/>
  <c r="N19" i="28"/>
  <c r="O19" i="28" s="1"/>
  <c r="K19" i="28"/>
  <c r="L19" i="28"/>
  <c r="D95" i="27"/>
  <c r="D94" i="27"/>
  <c r="C100" i="27" s="1"/>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B20" i="27"/>
  <c r="B19" i="27"/>
  <c r="B18" i="27"/>
  <c r="B17" i="27"/>
  <c r="M19" i="27"/>
  <c r="N19" i="27" s="1"/>
  <c r="O19" i="27" s="1"/>
  <c r="K19" i="27"/>
  <c r="L19" i="27" s="1"/>
  <c r="M18" i="27"/>
  <c r="N18" i="27" s="1"/>
  <c r="K18" i="27"/>
  <c r="L18" i="27" s="1"/>
  <c r="O18" i="27" s="1"/>
  <c r="B101" i="26"/>
  <c r="D95" i="26"/>
  <c r="D94" i="26"/>
  <c r="B18" i="26"/>
  <c r="B17" i="26"/>
  <c r="B20" i="24"/>
  <c r="B19" i="24"/>
  <c r="B18" i="24"/>
  <c r="B17" i="24"/>
  <c r="B19" i="26"/>
  <c r="M18" i="26"/>
  <c r="N18" i="26"/>
  <c r="O18" i="26"/>
  <c r="K18" i="26"/>
  <c r="L18" i="26"/>
  <c r="D95" i="24"/>
  <c r="D94" i="24"/>
  <c r="M19" i="24"/>
  <c r="N19" i="24" s="1"/>
  <c r="K19" i="24"/>
  <c r="L19" i="24"/>
  <c r="B17" i="25"/>
  <c r="B19" i="23"/>
  <c r="B18" i="23"/>
  <c r="B17" i="23"/>
  <c r="B18" i="25"/>
  <c r="M17" i="25"/>
  <c r="N17" i="25" s="1"/>
  <c r="K17" i="25"/>
  <c r="L17" i="25" s="1"/>
  <c r="N100" i="23"/>
  <c r="O100" i="23"/>
  <c r="P100" i="23" s="1"/>
  <c r="M100" i="23"/>
  <c r="L100" i="23"/>
  <c r="M18" i="23"/>
  <c r="N18" i="23"/>
  <c r="O18" i="23" s="1"/>
  <c r="L18" i="23"/>
  <c r="K18" i="23"/>
  <c r="B101" i="22"/>
  <c r="N100" i="22"/>
  <c r="O100" i="22" s="1"/>
  <c r="L100" i="22"/>
  <c r="M100" i="22"/>
  <c r="B102" i="27"/>
  <c r="B19" i="22"/>
  <c r="M18" i="22"/>
  <c r="N18" i="22" s="1"/>
  <c r="O18" i="22" s="1"/>
  <c r="K18" i="22"/>
  <c r="L18" i="22"/>
  <c r="M19" i="21"/>
  <c r="N19" i="21" s="1"/>
  <c r="K19" i="21"/>
  <c r="L19" i="21"/>
  <c r="N103" i="19"/>
  <c r="O103" i="19" s="1"/>
  <c r="L103" i="19"/>
  <c r="M103" i="19" s="1"/>
  <c r="M21" i="19"/>
  <c r="N21" i="19"/>
  <c r="O21" i="19"/>
  <c r="L21" i="19"/>
  <c r="K21" i="19"/>
  <c r="N103" i="18"/>
  <c r="O103" i="18"/>
  <c r="P103" i="18"/>
  <c r="L103" i="18"/>
  <c r="M103" i="18"/>
  <c r="M21" i="18"/>
  <c r="N21" i="18" s="1"/>
  <c r="O21" i="18" s="1"/>
  <c r="K21" i="18"/>
  <c r="L21" i="18"/>
  <c r="N104" i="4"/>
  <c r="O104" i="4" s="1"/>
  <c r="P104" i="4" s="1"/>
  <c r="L104" i="4"/>
  <c r="M104" i="4" s="1"/>
  <c r="M22" i="4"/>
  <c r="N22" i="4" s="1"/>
  <c r="O22" i="4" s="1"/>
  <c r="L22" i="4"/>
  <c r="K22" i="4"/>
  <c r="N104" i="3"/>
  <c r="O104" i="3" s="1"/>
  <c r="P104" i="3" s="1"/>
  <c r="M22" i="3"/>
  <c r="N22" i="3" s="1"/>
  <c r="O22" i="3" s="1"/>
  <c r="K22" i="3"/>
  <c r="L22" i="3" s="1"/>
  <c r="W30" i="17"/>
  <c r="W29" i="17"/>
  <c r="M18" i="28"/>
  <c r="N18" i="28"/>
  <c r="K18" i="28"/>
  <c r="L18" i="28" s="1"/>
  <c r="P155" i="28"/>
  <c r="O155" i="28"/>
  <c r="M155" i="28"/>
  <c r="P154" i="28"/>
  <c r="O154" i="28"/>
  <c r="M154" i="28"/>
  <c r="P153" i="28"/>
  <c r="O153" i="28"/>
  <c r="M153" i="28"/>
  <c r="P152" i="28"/>
  <c r="O152" i="28"/>
  <c r="M152" i="28"/>
  <c r="P151" i="28"/>
  <c r="O151" i="28"/>
  <c r="M151" i="28"/>
  <c r="P150" i="28"/>
  <c r="O150" i="28"/>
  <c r="M150" i="28"/>
  <c r="P149" i="28"/>
  <c r="O149" i="28"/>
  <c r="M149" i="28"/>
  <c r="P148" i="28"/>
  <c r="O148" i="28"/>
  <c r="M148" i="28"/>
  <c r="P147" i="28"/>
  <c r="O147" i="28"/>
  <c r="M147" i="28"/>
  <c r="P146" i="28"/>
  <c r="O146" i="28"/>
  <c r="M146" i="28"/>
  <c r="P145" i="28"/>
  <c r="O145" i="28"/>
  <c r="M145" i="28"/>
  <c r="P144" i="28"/>
  <c r="O144" i="28"/>
  <c r="M144" i="28"/>
  <c r="P143" i="28"/>
  <c r="O143" i="28"/>
  <c r="M143" i="28"/>
  <c r="P142" i="28"/>
  <c r="O142" i="28"/>
  <c r="M142" i="28"/>
  <c r="P141" i="28"/>
  <c r="O141" i="28"/>
  <c r="M141" i="28"/>
  <c r="P140" i="28"/>
  <c r="O140" i="28"/>
  <c r="M140" i="28"/>
  <c r="P139" i="28"/>
  <c r="O139" i="28"/>
  <c r="M139" i="28"/>
  <c r="P138" i="28"/>
  <c r="O138" i="28"/>
  <c r="M138" i="28"/>
  <c r="P137" i="28"/>
  <c r="O137" i="28"/>
  <c r="M137" i="28"/>
  <c r="P136" i="28"/>
  <c r="O136" i="28"/>
  <c r="M136" i="28"/>
  <c r="P135" i="28"/>
  <c r="O135" i="28"/>
  <c r="M135" i="28"/>
  <c r="P134" i="28"/>
  <c r="O134" i="28"/>
  <c r="M134" i="28"/>
  <c r="P133" i="28"/>
  <c r="O133" i="28"/>
  <c r="M133" i="28"/>
  <c r="P132" i="28"/>
  <c r="O132" i="28"/>
  <c r="M132" i="28"/>
  <c r="O131" i="28"/>
  <c r="M131" i="28"/>
  <c r="O130" i="28"/>
  <c r="M130" i="28"/>
  <c r="O129" i="28"/>
  <c r="M129" i="28"/>
  <c r="O128" i="28"/>
  <c r="M128" i="28"/>
  <c r="O127" i="28"/>
  <c r="M127" i="28"/>
  <c r="O126" i="28"/>
  <c r="M126" i="28"/>
  <c r="O125" i="28"/>
  <c r="M125" i="28"/>
  <c r="O124" i="28"/>
  <c r="M124" i="28"/>
  <c r="O123" i="28"/>
  <c r="M123" i="28"/>
  <c r="O122" i="28"/>
  <c r="M122" i="28"/>
  <c r="O121" i="28"/>
  <c r="M121" i="28"/>
  <c r="O120" i="28"/>
  <c r="M120" i="28"/>
  <c r="O119" i="28"/>
  <c r="M119" i="28"/>
  <c r="O118" i="28"/>
  <c r="M118" i="28"/>
  <c r="O117" i="28"/>
  <c r="M117" i="28"/>
  <c r="O116" i="28"/>
  <c r="M116" i="28"/>
  <c r="O115" i="28"/>
  <c r="M115" i="28"/>
  <c r="O114" i="28"/>
  <c r="M114" i="28"/>
  <c r="O113" i="28"/>
  <c r="M113" i="28"/>
  <c r="O112" i="28"/>
  <c r="M112" i="28"/>
  <c r="O111" i="28"/>
  <c r="M111" i="28"/>
  <c r="O110" i="28"/>
  <c r="M110" i="28"/>
  <c r="O109" i="28"/>
  <c r="M109" i="28"/>
  <c r="O108" i="28"/>
  <c r="M108" i="28"/>
  <c r="O107" i="28"/>
  <c r="M107" i="28"/>
  <c r="O106" i="28"/>
  <c r="M106" i="28"/>
  <c r="O102" i="28"/>
  <c r="P102" i="28"/>
  <c r="O101" i="28"/>
  <c r="P101" i="28" s="1"/>
  <c r="M101" i="28"/>
  <c r="O100" i="28"/>
  <c r="M100" i="28"/>
  <c r="C100" i="28"/>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D97" i="28"/>
  <c r="L94" i="28"/>
  <c r="J94" i="28"/>
  <c r="D92" i="28"/>
  <c r="D91" i="28"/>
  <c r="D90" i="28"/>
  <c r="N73" i="28"/>
  <c r="L73" i="28"/>
  <c r="N72" i="28"/>
  <c r="L72" i="28"/>
  <c r="N71" i="28"/>
  <c r="L71" i="28"/>
  <c r="N70" i="28"/>
  <c r="L70" i="28"/>
  <c r="N69" i="28"/>
  <c r="L69" i="28"/>
  <c r="N68" i="28"/>
  <c r="L68" i="28"/>
  <c r="N67" i="28"/>
  <c r="L67" i="28"/>
  <c r="N66" i="28"/>
  <c r="L66" i="28"/>
  <c r="N65" i="28"/>
  <c r="L65" i="28"/>
  <c r="N64" i="28"/>
  <c r="L64" i="28"/>
  <c r="N63" i="28"/>
  <c r="L63" i="28"/>
  <c r="N62" i="28"/>
  <c r="L62" i="28"/>
  <c r="N61" i="28"/>
  <c r="L61" i="28"/>
  <c r="N60" i="28"/>
  <c r="L60" i="28"/>
  <c r="N59" i="28"/>
  <c r="L59" i="28"/>
  <c r="N58" i="28"/>
  <c r="L58" i="28"/>
  <c r="N57" i="28"/>
  <c r="L57" i="28"/>
  <c r="N56" i="28"/>
  <c r="L56" i="28"/>
  <c r="N55" i="28"/>
  <c r="L55" i="28"/>
  <c r="N54" i="28"/>
  <c r="L54" i="28"/>
  <c r="N53" i="28"/>
  <c r="L53" i="28"/>
  <c r="N52" i="28"/>
  <c r="L52" i="28"/>
  <c r="N51" i="28"/>
  <c r="L51" i="28"/>
  <c r="N50" i="28"/>
  <c r="L50" i="28"/>
  <c r="N49" i="28"/>
  <c r="L49" i="28"/>
  <c r="N48" i="28"/>
  <c r="L48" i="28"/>
  <c r="N47" i="28"/>
  <c r="L47" i="28"/>
  <c r="N46" i="28"/>
  <c r="L46" i="28"/>
  <c r="N45" i="28"/>
  <c r="L45" i="28"/>
  <c r="N44" i="28"/>
  <c r="L44" i="28"/>
  <c r="N43" i="28"/>
  <c r="L43" i="28"/>
  <c r="N42" i="28"/>
  <c r="L42" i="28"/>
  <c r="N41" i="28"/>
  <c r="L41" i="28"/>
  <c r="N40" i="28"/>
  <c r="L40" i="28"/>
  <c r="N39" i="28"/>
  <c r="L39" i="28"/>
  <c r="N38" i="28"/>
  <c r="L38" i="28"/>
  <c r="N37" i="28"/>
  <c r="L37" i="28"/>
  <c r="N36" i="28"/>
  <c r="L36" i="28"/>
  <c r="N35" i="28"/>
  <c r="L35" i="28"/>
  <c r="N34" i="28"/>
  <c r="L34" i="28"/>
  <c r="N31" i="28"/>
  <c r="L31" i="28"/>
  <c r="N30" i="28"/>
  <c r="L30" i="28"/>
  <c r="N29" i="28"/>
  <c r="L29" i="28"/>
  <c r="N28" i="28"/>
  <c r="L28" i="28"/>
  <c r="N27" i="28"/>
  <c r="L27" i="28"/>
  <c r="N26" i="28"/>
  <c r="L26" i="28"/>
  <c r="N25" i="28"/>
  <c r="L25" i="28"/>
  <c r="N24" i="28"/>
  <c r="L24" i="28"/>
  <c r="N23" i="28"/>
  <c r="L23" i="28"/>
  <c r="N20" i="28"/>
  <c r="C17" i="28"/>
  <c r="C18" i="28"/>
  <c r="C19" i="28"/>
  <c r="C20" i="28"/>
  <c r="C21" i="28" s="1"/>
  <c r="C22" i="28" s="1"/>
  <c r="C23" i="28" s="1"/>
  <c r="C24" i="28" s="1"/>
  <c r="C25" i="28" s="1"/>
  <c r="C26" i="28" s="1"/>
  <c r="C27" i="28" s="1"/>
  <c r="C28" i="28" s="1"/>
  <c r="C29" i="28" s="1"/>
  <c r="C30" i="28" s="1"/>
  <c r="C31" i="28" s="1"/>
  <c r="C32" i="28" s="1"/>
  <c r="K11" i="28"/>
  <c r="I11" i="28"/>
  <c r="M17" i="27"/>
  <c r="N17" i="27" s="1"/>
  <c r="O17" i="27" s="1"/>
  <c r="K17" i="27"/>
  <c r="L17" i="27"/>
  <c r="M17" i="26"/>
  <c r="N17" i="26" s="1"/>
  <c r="K17" i="26"/>
  <c r="L17" i="26"/>
  <c r="M18" i="24"/>
  <c r="N18" i="24" s="1"/>
  <c r="O18" i="24" s="1"/>
  <c r="K18" i="24"/>
  <c r="L18" i="24" s="1"/>
  <c r="M17" i="24"/>
  <c r="N17" i="24" s="1"/>
  <c r="O17" i="24" s="1"/>
  <c r="K17" i="24"/>
  <c r="L17" i="24"/>
  <c r="N102" i="18"/>
  <c r="O102" i="18"/>
  <c r="L102" i="18"/>
  <c r="M102" i="18" s="1"/>
  <c r="P102" i="18" s="1"/>
  <c r="W26" i="17"/>
  <c r="W27" i="17"/>
  <c r="W28" i="17"/>
  <c r="P155" i="27"/>
  <c r="O155" i="27"/>
  <c r="M155" i="27"/>
  <c r="P154" i="27"/>
  <c r="O154" i="27"/>
  <c r="M154" i="27"/>
  <c r="P153" i="27"/>
  <c r="O153" i="27"/>
  <c r="M153" i="27"/>
  <c r="P152" i="27"/>
  <c r="O152" i="27"/>
  <c r="M152" i="27"/>
  <c r="P151" i="27"/>
  <c r="O151" i="27"/>
  <c r="M151" i="27"/>
  <c r="P150" i="27"/>
  <c r="O150" i="27"/>
  <c r="M150" i="27"/>
  <c r="P149" i="27"/>
  <c r="O149" i="27"/>
  <c r="M149" i="27"/>
  <c r="P148" i="27"/>
  <c r="O148" i="27"/>
  <c r="M148" i="27"/>
  <c r="P147" i="27"/>
  <c r="O147" i="27"/>
  <c r="M147" i="27"/>
  <c r="P146" i="27"/>
  <c r="O146" i="27"/>
  <c r="M146" i="27"/>
  <c r="P145" i="27"/>
  <c r="O145" i="27"/>
  <c r="M145" i="27"/>
  <c r="P144" i="27"/>
  <c r="O144" i="27"/>
  <c r="M144" i="27"/>
  <c r="P143" i="27"/>
  <c r="O143" i="27"/>
  <c r="M143" i="27"/>
  <c r="P142" i="27"/>
  <c r="O142" i="27"/>
  <c r="M142" i="27"/>
  <c r="P141" i="27"/>
  <c r="O141" i="27"/>
  <c r="M141" i="27"/>
  <c r="P140" i="27"/>
  <c r="O140" i="27"/>
  <c r="M140" i="27"/>
  <c r="P139" i="27"/>
  <c r="O139" i="27"/>
  <c r="M139" i="27"/>
  <c r="P138" i="27"/>
  <c r="O138" i="27"/>
  <c r="M138" i="27"/>
  <c r="P137" i="27"/>
  <c r="O137" i="27"/>
  <c r="M137" i="27"/>
  <c r="P136" i="27"/>
  <c r="O136" i="27"/>
  <c r="M136" i="27"/>
  <c r="P135" i="27"/>
  <c r="O135" i="27"/>
  <c r="M135" i="27"/>
  <c r="P134" i="27"/>
  <c r="O134" i="27"/>
  <c r="M134" i="27"/>
  <c r="P133" i="27"/>
  <c r="O133" i="27"/>
  <c r="M133" i="27"/>
  <c r="P132" i="27"/>
  <c r="O132" i="27"/>
  <c r="M132" i="27"/>
  <c r="O131" i="27"/>
  <c r="M131" i="27"/>
  <c r="O130" i="27"/>
  <c r="M130" i="27"/>
  <c r="O129" i="27"/>
  <c r="M129" i="27"/>
  <c r="O128" i="27"/>
  <c r="M128" i="27"/>
  <c r="O127" i="27"/>
  <c r="M127" i="27"/>
  <c r="O126" i="27"/>
  <c r="M126" i="27"/>
  <c r="O125" i="27"/>
  <c r="M125" i="27"/>
  <c r="O124" i="27"/>
  <c r="M124" i="27"/>
  <c r="O123" i="27"/>
  <c r="M123" i="27"/>
  <c r="O122" i="27"/>
  <c r="M122" i="27"/>
  <c r="O121" i="27"/>
  <c r="M121" i="27"/>
  <c r="O120" i="27"/>
  <c r="M120" i="27"/>
  <c r="O119" i="27"/>
  <c r="M119" i="27"/>
  <c r="O118" i="27"/>
  <c r="M118" i="27"/>
  <c r="O117" i="27"/>
  <c r="M117" i="27"/>
  <c r="O116" i="27"/>
  <c r="M116" i="27"/>
  <c r="O115" i="27"/>
  <c r="M115" i="27"/>
  <c r="O114" i="27"/>
  <c r="M114" i="27"/>
  <c r="O113" i="27"/>
  <c r="M113" i="27"/>
  <c r="O112" i="27"/>
  <c r="M112" i="27"/>
  <c r="O111" i="27"/>
  <c r="M111" i="27"/>
  <c r="O110" i="27"/>
  <c r="M110" i="27"/>
  <c r="O109" i="27"/>
  <c r="M109" i="27"/>
  <c r="O108" i="27"/>
  <c r="M108" i="27"/>
  <c r="O107" i="27"/>
  <c r="M107" i="27"/>
  <c r="O106" i="27"/>
  <c r="M106" i="27"/>
  <c r="O102" i="27"/>
  <c r="O101" i="27"/>
  <c r="M101" i="27"/>
  <c r="O100" i="27"/>
  <c r="M100" i="27"/>
  <c r="P100" i="27" s="1"/>
  <c r="D97" i="27"/>
  <c r="L94" i="27"/>
  <c r="J94" i="27"/>
  <c r="D92" i="27"/>
  <c r="D90"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1" i="27"/>
  <c r="L31" i="27"/>
  <c r="N30" i="27"/>
  <c r="L30" i="27"/>
  <c r="N29" i="27"/>
  <c r="L29" i="27"/>
  <c r="N28" i="27"/>
  <c r="L28" i="27"/>
  <c r="N27" i="27"/>
  <c r="L27" i="27"/>
  <c r="N26" i="27"/>
  <c r="L26" i="27"/>
  <c r="N25" i="27"/>
  <c r="L25" i="27"/>
  <c r="N24" i="27"/>
  <c r="N20" i="27"/>
  <c r="C17" i="27"/>
  <c r="C18" i="27" s="1"/>
  <c r="C19" i="27" s="1"/>
  <c r="C20" i="27" s="1"/>
  <c r="C21" i="27" s="1"/>
  <c r="C22" i="27" s="1"/>
  <c r="C23" i="27" s="1"/>
  <c r="C24" i="27" s="1"/>
  <c r="C25" i="27" s="1"/>
  <c r="C26" i="27" s="1"/>
  <c r="C27" i="27" s="1"/>
  <c r="C28" i="27" s="1"/>
  <c r="C29" i="27" s="1"/>
  <c r="C30" i="27" s="1"/>
  <c r="C31" i="27" s="1"/>
  <c r="C32" i="27" s="1"/>
  <c r="K11" i="27"/>
  <c r="I11" i="27"/>
  <c r="D91" i="27"/>
  <c r="P155" i="26"/>
  <c r="O155" i="26"/>
  <c r="M155" i="26"/>
  <c r="P154" i="26"/>
  <c r="O154" i="26"/>
  <c r="M154" i="26"/>
  <c r="P153" i="26"/>
  <c r="O153" i="26"/>
  <c r="M153" i="26"/>
  <c r="P152" i="26"/>
  <c r="O152" i="26"/>
  <c r="M152" i="26"/>
  <c r="P151" i="26"/>
  <c r="O151" i="26"/>
  <c r="M151" i="26"/>
  <c r="P150" i="26"/>
  <c r="O150" i="26"/>
  <c r="M150" i="26"/>
  <c r="P149" i="26"/>
  <c r="O149" i="26"/>
  <c r="M149" i="26"/>
  <c r="P148" i="26"/>
  <c r="O148" i="26"/>
  <c r="M148" i="26"/>
  <c r="P147" i="26"/>
  <c r="O147" i="26"/>
  <c r="M147" i="26"/>
  <c r="P146" i="26"/>
  <c r="O146" i="26"/>
  <c r="M146" i="26"/>
  <c r="P145" i="26"/>
  <c r="O145" i="26"/>
  <c r="M145" i="26"/>
  <c r="P144" i="26"/>
  <c r="O144" i="26"/>
  <c r="M144" i="26"/>
  <c r="P143" i="26"/>
  <c r="O143" i="26"/>
  <c r="M143" i="26"/>
  <c r="P142" i="26"/>
  <c r="O142" i="26"/>
  <c r="M142" i="26"/>
  <c r="P141" i="26"/>
  <c r="O141" i="26"/>
  <c r="M141" i="26"/>
  <c r="P140" i="26"/>
  <c r="O140" i="26"/>
  <c r="M140" i="26"/>
  <c r="P139" i="26"/>
  <c r="O139" i="26"/>
  <c r="M139" i="26"/>
  <c r="P138" i="26"/>
  <c r="O138" i="26"/>
  <c r="M138" i="26"/>
  <c r="P137" i="26"/>
  <c r="O137" i="26"/>
  <c r="M137" i="26"/>
  <c r="P136" i="26"/>
  <c r="O136" i="26"/>
  <c r="M136" i="26"/>
  <c r="P135" i="26"/>
  <c r="O135" i="26"/>
  <c r="M135" i="26"/>
  <c r="P134" i="26"/>
  <c r="O134" i="26"/>
  <c r="M134" i="26"/>
  <c r="P133" i="26"/>
  <c r="O133" i="26"/>
  <c r="M133" i="26"/>
  <c r="P132" i="26"/>
  <c r="O132" i="26"/>
  <c r="M132" i="26"/>
  <c r="O131" i="26"/>
  <c r="M131" i="26"/>
  <c r="O130" i="26"/>
  <c r="M130" i="26"/>
  <c r="O129" i="26"/>
  <c r="M129" i="26"/>
  <c r="O128" i="26"/>
  <c r="M128" i="26"/>
  <c r="O127" i="26"/>
  <c r="M127" i="26"/>
  <c r="O126" i="26"/>
  <c r="M126" i="26"/>
  <c r="O125" i="26"/>
  <c r="M125" i="26"/>
  <c r="O124" i="26"/>
  <c r="M124" i="26"/>
  <c r="O123" i="26"/>
  <c r="M123" i="26"/>
  <c r="O122" i="26"/>
  <c r="M122" i="26"/>
  <c r="O121" i="26"/>
  <c r="M121" i="26"/>
  <c r="O120" i="26"/>
  <c r="M120" i="26"/>
  <c r="O119" i="26"/>
  <c r="M119" i="26"/>
  <c r="O118" i="26"/>
  <c r="M118" i="26"/>
  <c r="O117" i="26"/>
  <c r="M117" i="26"/>
  <c r="O116" i="26"/>
  <c r="M116" i="26"/>
  <c r="O115" i="26"/>
  <c r="M115" i="26"/>
  <c r="O114" i="26"/>
  <c r="M114" i="26"/>
  <c r="O113" i="26"/>
  <c r="M113" i="26"/>
  <c r="O112" i="26"/>
  <c r="M112" i="26"/>
  <c r="O111" i="26"/>
  <c r="M111" i="26"/>
  <c r="O110" i="26"/>
  <c r="M110" i="26"/>
  <c r="O109" i="26"/>
  <c r="M109" i="26"/>
  <c r="O108" i="26"/>
  <c r="M108" i="26"/>
  <c r="O107" i="26"/>
  <c r="M107" i="26"/>
  <c r="O106" i="26"/>
  <c r="M106" i="26"/>
  <c r="O105" i="26"/>
  <c r="M105" i="26"/>
  <c r="O101" i="26"/>
  <c r="P101" i="26"/>
  <c r="O100" i="26"/>
  <c r="M100" i="26"/>
  <c r="D97" i="26"/>
  <c r="L94" i="26"/>
  <c r="J94" i="26"/>
  <c r="D92" i="26"/>
  <c r="D91" i="26"/>
  <c r="D90" i="26"/>
  <c r="N73" i="26"/>
  <c r="L73" i="26"/>
  <c r="N72" i="26"/>
  <c r="L72" i="26"/>
  <c r="N71" i="26"/>
  <c r="L71" i="26"/>
  <c r="N70" i="26"/>
  <c r="L70" i="26"/>
  <c r="N69" i="26"/>
  <c r="L69" i="26"/>
  <c r="N68" i="26"/>
  <c r="L68" i="26"/>
  <c r="N67" i="26"/>
  <c r="L67" i="26"/>
  <c r="N66" i="26"/>
  <c r="L66" i="26"/>
  <c r="N65" i="26"/>
  <c r="L65" i="26"/>
  <c r="N64" i="26"/>
  <c r="L64" i="26"/>
  <c r="N63" i="26"/>
  <c r="L63" i="26"/>
  <c r="N62" i="26"/>
  <c r="L62" i="26"/>
  <c r="N61" i="26"/>
  <c r="L61" i="26"/>
  <c r="N60" i="26"/>
  <c r="L60" i="26"/>
  <c r="N59" i="26"/>
  <c r="L59" i="26"/>
  <c r="N58" i="26"/>
  <c r="L58" i="26"/>
  <c r="N57" i="26"/>
  <c r="L57" i="26"/>
  <c r="N56" i="26"/>
  <c r="L56" i="26"/>
  <c r="N55" i="26"/>
  <c r="L55" i="26"/>
  <c r="N54" i="26"/>
  <c r="L54" i="26"/>
  <c r="N53" i="26"/>
  <c r="L53" i="26"/>
  <c r="N52" i="26"/>
  <c r="L52" i="26"/>
  <c r="N51" i="26"/>
  <c r="L51" i="26"/>
  <c r="N50" i="26"/>
  <c r="L50" i="26"/>
  <c r="N49" i="26"/>
  <c r="L49" i="26"/>
  <c r="N48" i="26"/>
  <c r="L48" i="26"/>
  <c r="N47" i="26"/>
  <c r="L47" i="26"/>
  <c r="N46" i="26"/>
  <c r="L46" i="26"/>
  <c r="N45" i="26"/>
  <c r="L45" i="26"/>
  <c r="N44" i="26"/>
  <c r="L44" i="26"/>
  <c r="N43" i="26"/>
  <c r="L43" i="26"/>
  <c r="N42" i="26"/>
  <c r="L42" i="26"/>
  <c r="N41" i="26"/>
  <c r="L41" i="26"/>
  <c r="N40" i="26"/>
  <c r="L40" i="26"/>
  <c r="N39" i="26"/>
  <c r="L39" i="26"/>
  <c r="N38" i="26"/>
  <c r="L38" i="26"/>
  <c r="N37" i="26"/>
  <c r="L37" i="26"/>
  <c r="N36" i="26"/>
  <c r="L36" i="26"/>
  <c r="N35" i="26"/>
  <c r="L35" i="26"/>
  <c r="N34" i="26"/>
  <c r="L34" i="26"/>
  <c r="N31" i="26"/>
  <c r="L31" i="26"/>
  <c r="N30" i="26"/>
  <c r="L30" i="26"/>
  <c r="N29" i="26"/>
  <c r="L29" i="26"/>
  <c r="N28" i="26"/>
  <c r="L28" i="26"/>
  <c r="N27" i="26"/>
  <c r="L27" i="26"/>
  <c r="N26" i="26"/>
  <c r="L26" i="26"/>
  <c r="N25" i="26"/>
  <c r="L25" i="26"/>
  <c r="N24" i="26"/>
  <c r="L24" i="26"/>
  <c r="N19" i="26"/>
  <c r="C18" i="26"/>
  <c r="C19" i="26"/>
  <c r="C20" i="26" s="1"/>
  <c r="C21" i="26" s="1"/>
  <c r="C22" i="26" s="1"/>
  <c r="C23" i="26" s="1"/>
  <c r="C24" i="26" s="1"/>
  <c r="C25" i="26" s="1"/>
  <c r="C26" i="26" s="1"/>
  <c r="C27" i="26" s="1"/>
  <c r="C28" i="26" s="1"/>
  <c r="C29" i="26" s="1"/>
  <c r="C30" i="26" s="1"/>
  <c r="C31" i="26" s="1"/>
  <c r="C32" i="26" s="1"/>
  <c r="C17" i="26"/>
  <c r="K11" i="26"/>
  <c r="I11" i="26"/>
  <c r="P155" i="25"/>
  <c r="O155" i="25"/>
  <c r="M155" i="25"/>
  <c r="J155" i="25"/>
  <c r="P154" i="25"/>
  <c r="O154" i="25"/>
  <c r="M154" i="25"/>
  <c r="J154" i="25"/>
  <c r="P153" i="25"/>
  <c r="O153" i="25"/>
  <c r="M153" i="25"/>
  <c r="J153" i="25"/>
  <c r="P152" i="25"/>
  <c r="O152" i="25"/>
  <c r="M152" i="25"/>
  <c r="J152" i="25"/>
  <c r="P151" i="25"/>
  <c r="O151" i="25"/>
  <c r="M151" i="25"/>
  <c r="J151" i="25"/>
  <c r="P150" i="25"/>
  <c r="O150" i="25"/>
  <c r="M150" i="25"/>
  <c r="J150" i="25"/>
  <c r="P149" i="25"/>
  <c r="O149" i="25"/>
  <c r="M149" i="25"/>
  <c r="J149" i="25"/>
  <c r="P148" i="25"/>
  <c r="O148" i="25"/>
  <c r="M148" i="25"/>
  <c r="J148" i="25"/>
  <c r="P147" i="25"/>
  <c r="O147" i="25"/>
  <c r="M147" i="25"/>
  <c r="J147" i="25"/>
  <c r="P146" i="25"/>
  <c r="O146" i="25"/>
  <c r="M146" i="25"/>
  <c r="J146" i="25"/>
  <c r="P145" i="25"/>
  <c r="O145" i="25"/>
  <c r="M145" i="25"/>
  <c r="J145" i="25"/>
  <c r="P144" i="25"/>
  <c r="O144" i="25"/>
  <c r="M144" i="25"/>
  <c r="J144" i="25"/>
  <c r="P143" i="25"/>
  <c r="O143" i="25"/>
  <c r="M143" i="25"/>
  <c r="J143" i="25"/>
  <c r="P142" i="25"/>
  <c r="O142" i="25"/>
  <c r="M142" i="25"/>
  <c r="J142" i="25"/>
  <c r="P141" i="25"/>
  <c r="O141" i="25"/>
  <c r="M141" i="25"/>
  <c r="J141" i="25"/>
  <c r="P140" i="25"/>
  <c r="O140" i="25"/>
  <c r="M140" i="25"/>
  <c r="J140" i="25"/>
  <c r="P139" i="25"/>
  <c r="O139" i="25"/>
  <c r="M139" i="25"/>
  <c r="J139" i="25"/>
  <c r="P138" i="25"/>
  <c r="O138" i="25"/>
  <c r="M138" i="25"/>
  <c r="J138" i="25"/>
  <c r="P137" i="25"/>
  <c r="O137" i="25"/>
  <c r="M137" i="25"/>
  <c r="J137" i="25"/>
  <c r="P136" i="25"/>
  <c r="O136" i="25"/>
  <c r="M136" i="25"/>
  <c r="J136" i="25"/>
  <c r="P135" i="25"/>
  <c r="O135" i="25"/>
  <c r="M135" i="25"/>
  <c r="J135" i="25"/>
  <c r="P134" i="25"/>
  <c r="O134" i="25"/>
  <c r="M134" i="25"/>
  <c r="J134" i="25"/>
  <c r="P133" i="25"/>
  <c r="O133" i="25"/>
  <c r="M133" i="25"/>
  <c r="J133" i="25"/>
  <c r="P132" i="25"/>
  <c r="O132" i="25"/>
  <c r="M132" i="25"/>
  <c r="J132" i="25"/>
  <c r="O131" i="25"/>
  <c r="M131" i="25"/>
  <c r="O130" i="25"/>
  <c r="M130" i="25"/>
  <c r="O129" i="25"/>
  <c r="M129" i="25"/>
  <c r="O128" i="25"/>
  <c r="M128" i="25"/>
  <c r="O127" i="25"/>
  <c r="M127" i="25"/>
  <c r="O126" i="25"/>
  <c r="M126" i="25"/>
  <c r="O125" i="25"/>
  <c r="M125" i="25"/>
  <c r="O124" i="25"/>
  <c r="M124" i="25"/>
  <c r="O123" i="25"/>
  <c r="M123" i="25"/>
  <c r="O122" i="25"/>
  <c r="M122" i="25"/>
  <c r="O121" i="25"/>
  <c r="M121" i="25"/>
  <c r="O120" i="25"/>
  <c r="M120" i="25"/>
  <c r="O119" i="25"/>
  <c r="M119" i="25"/>
  <c r="O118" i="25"/>
  <c r="M118" i="25"/>
  <c r="O117" i="25"/>
  <c r="M117" i="25"/>
  <c r="O116" i="25"/>
  <c r="M116" i="25"/>
  <c r="O115" i="25"/>
  <c r="M115" i="25"/>
  <c r="O114" i="25"/>
  <c r="M114" i="25"/>
  <c r="O113" i="25"/>
  <c r="M113" i="25"/>
  <c r="O112" i="25"/>
  <c r="M112" i="25"/>
  <c r="O111" i="25"/>
  <c r="M111" i="25"/>
  <c r="O110" i="25"/>
  <c r="M110" i="25"/>
  <c r="O109" i="25"/>
  <c r="M109" i="25"/>
  <c r="O108" i="25"/>
  <c r="M108" i="25"/>
  <c r="O107" i="25"/>
  <c r="M107" i="25"/>
  <c r="O106" i="25"/>
  <c r="M106" i="25"/>
  <c r="O105" i="25"/>
  <c r="M105" i="25"/>
  <c r="O104" i="25"/>
  <c r="M104" i="25"/>
  <c r="O100" i="25"/>
  <c r="D97" i="25"/>
  <c r="L94" i="25"/>
  <c r="J94" i="25"/>
  <c r="D92" i="25"/>
  <c r="D90" i="25"/>
  <c r="N73" i="25"/>
  <c r="L73" i="25"/>
  <c r="N72" i="25"/>
  <c r="L72" i="25"/>
  <c r="N71" i="25"/>
  <c r="L71" i="25"/>
  <c r="N70" i="25"/>
  <c r="L70" i="25"/>
  <c r="N69" i="25"/>
  <c r="L69" i="25"/>
  <c r="N68" i="25"/>
  <c r="L68" i="25"/>
  <c r="N67" i="25"/>
  <c r="L67" i="25"/>
  <c r="N66" i="25"/>
  <c r="L66" i="25"/>
  <c r="N65" i="25"/>
  <c r="L65" i="25"/>
  <c r="N64" i="25"/>
  <c r="L64" i="25"/>
  <c r="N63" i="25"/>
  <c r="L63" i="25"/>
  <c r="N62" i="25"/>
  <c r="L62" i="25"/>
  <c r="N61" i="25"/>
  <c r="L61" i="25"/>
  <c r="N60" i="25"/>
  <c r="L60" i="25"/>
  <c r="N59" i="25"/>
  <c r="L59" i="25"/>
  <c r="N58" i="25"/>
  <c r="L58" i="25"/>
  <c r="N57" i="25"/>
  <c r="L57" i="25"/>
  <c r="N56" i="25"/>
  <c r="L56" i="25"/>
  <c r="N55" i="25"/>
  <c r="L55" i="25"/>
  <c r="N54" i="25"/>
  <c r="L54" i="25"/>
  <c r="N53" i="25"/>
  <c r="L53" i="25"/>
  <c r="N52" i="25"/>
  <c r="L52" i="25"/>
  <c r="N51" i="25"/>
  <c r="L51" i="25"/>
  <c r="N50" i="25"/>
  <c r="L50" i="25"/>
  <c r="N49" i="25"/>
  <c r="L49" i="25"/>
  <c r="N48" i="25"/>
  <c r="L48" i="25"/>
  <c r="N47" i="25"/>
  <c r="L47" i="25"/>
  <c r="N46" i="25"/>
  <c r="L46" i="25"/>
  <c r="N45" i="25"/>
  <c r="L45" i="25"/>
  <c r="N44" i="25"/>
  <c r="L44" i="25"/>
  <c r="N43" i="25"/>
  <c r="L43" i="25"/>
  <c r="N42" i="25"/>
  <c r="L42" i="25"/>
  <c r="N41" i="25"/>
  <c r="L41" i="25"/>
  <c r="N40" i="25"/>
  <c r="L40" i="25"/>
  <c r="N39" i="25"/>
  <c r="L39" i="25"/>
  <c r="N38" i="25"/>
  <c r="L38" i="25"/>
  <c r="N37" i="25"/>
  <c r="L37" i="25"/>
  <c r="N36" i="25"/>
  <c r="L36" i="25"/>
  <c r="N35" i="25"/>
  <c r="L35" i="25"/>
  <c r="N34" i="25"/>
  <c r="L34" i="25"/>
  <c r="N31" i="25"/>
  <c r="L31" i="25"/>
  <c r="N30" i="25"/>
  <c r="L30" i="25"/>
  <c r="N29" i="25"/>
  <c r="L29" i="25"/>
  <c r="N28" i="25"/>
  <c r="L28" i="25"/>
  <c r="N27" i="25"/>
  <c r="L27" i="25"/>
  <c r="N26" i="25"/>
  <c r="L26" i="25"/>
  <c r="N25" i="25"/>
  <c r="L25" i="25"/>
  <c r="N24" i="25"/>
  <c r="L24" i="25"/>
  <c r="N23" i="25"/>
  <c r="L23" i="25"/>
  <c r="N18" i="25"/>
  <c r="C18" i="25"/>
  <c r="C19" i="25" s="1"/>
  <c r="C20" i="25" s="1"/>
  <c r="C21" i="25" s="1"/>
  <c r="C22" i="25" s="1"/>
  <c r="C23" i="25" s="1"/>
  <c r="C24" i="25" s="1"/>
  <c r="C25" i="25" s="1"/>
  <c r="C26" i="25" s="1"/>
  <c r="C27" i="25" s="1"/>
  <c r="C28" i="25" s="1"/>
  <c r="C29" i="25" s="1"/>
  <c r="C30" i="25" s="1"/>
  <c r="C31" i="25" s="1"/>
  <c r="C32" i="25" s="1"/>
  <c r="C17" i="25"/>
  <c r="K11" i="25"/>
  <c r="I11" i="25"/>
  <c r="D8" i="25"/>
  <c r="D91" i="25" s="1"/>
  <c r="P155" i="24"/>
  <c r="O155" i="24"/>
  <c r="M155" i="24"/>
  <c r="P154" i="24"/>
  <c r="O154" i="24"/>
  <c r="M154" i="24"/>
  <c r="P153" i="24"/>
  <c r="O153" i="24"/>
  <c r="M153" i="24"/>
  <c r="P152" i="24"/>
  <c r="O152" i="24"/>
  <c r="M152" i="24"/>
  <c r="P151" i="24"/>
  <c r="O151" i="24"/>
  <c r="M151" i="24"/>
  <c r="P150" i="24"/>
  <c r="O150" i="24"/>
  <c r="M150" i="24"/>
  <c r="P149" i="24"/>
  <c r="O149" i="24"/>
  <c r="M149" i="24"/>
  <c r="P148" i="24"/>
  <c r="O148" i="24"/>
  <c r="M148" i="24"/>
  <c r="P147" i="24"/>
  <c r="O147" i="24"/>
  <c r="M147" i="24"/>
  <c r="P146" i="24"/>
  <c r="O146" i="24"/>
  <c r="M146" i="24"/>
  <c r="P145" i="24"/>
  <c r="O145" i="24"/>
  <c r="M145" i="24"/>
  <c r="P144" i="24"/>
  <c r="O144" i="24"/>
  <c r="M144" i="24"/>
  <c r="P143" i="24"/>
  <c r="O143" i="24"/>
  <c r="M143" i="24"/>
  <c r="P142" i="24"/>
  <c r="O142" i="24"/>
  <c r="M142" i="24"/>
  <c r="P141" i="24"/>
  <c r="O141" i="24"/>
  <c r="M141" i="24"/>
  <c r="P140" i="24"/>
  <c r="O140" i="24"/>
  <c r="M140" i="24"/>
  <c r="P139" i="24"/>
  <c r="O139" i="24"/>
  <c r="M139" i="24"/>
  <c r="P138" i="24"/>
  <c r="O138" i="24"/>
  <c r="M138" i="24"/>
  <c r="P137" i="24"/>
  <c r="O137" i="24"/>
  <c r="M137" i="24"/>
  <c r="P136" i="24"/>
  <c r="O136" i="24"/>
  <c r="M136" i="24"/>
  <c r="P135" i="24"/>
  <c r="O135" i="24"/>
  <c r="M135" i="24"/>
  <c r="P134" i="24"/>
  <c r="O134" i="24"/>
  <c r="M134" i="24"/>
  <c r="P133" i="24"/>
  <c r="O133" i="24"/>
  <c r="M133" i="24"/>
  <c r="P132" i="24"/>
  <c r="O132" i="24"/>
  <c r="M132" i="24"/>
  <c r="O131" i="24"/>
  <c r="M131" i="24"/>
  <c r="O130" i="24"/>
  <c r="M130" i="24"/>
  <c r="O129" i="24"/>
  <c r="M129" i="24"/>
  <c r="O128" i="24"/>
  <c r="M128" i="24"/>
  <c r="O127" i="24"/>
  <c r="M127" i="24"/>
  <c r="O126" i="24"/>
  <c r="M126" i="24"/>
  <c r="O125" i="24"/>
  <c r="M125" i="24"/>
  <c r="O124" i="24"/>
  <c r="M124" i="24"/>
  <c r="O123" i="24"/>
  <c r="M123" i="24"/>
  <c r="O122" i="24"/>
  <c r="M122" i="24"/>
  <c r="O121" i="24"/>
  <c r="M121" i="24"/>
  <c r="O120" i="24"/>
  <c r="M120" i="24"/>
  <c r="O119" i="24"/>
  <c r="M119" i="24"/>
  <c r="O118" i="24"/>
  <c r="M118" i="24"/>
  <c r="O117" i="24"/>
  <c r="M117" i="24"/>
  <c r="O116" i="24"/>
  <c r="M116" i="24"/>
  <c r="O115" i="24"/>
  <c r="M115" i="24"/>
  <c r="O114" i="24"/>
  <c r="M114" i="24"/>
  <c r="O113" i="24"/>
  <c r="M113" i="24"/>
  <c r="O112" i="24"/>
  <c r="M112" i="24"/>
  <c r="O111" i="24"/>
  <c r="M111" i="24"/>
  <c r="O110" i="24"/>
  <c r="M110" i="24"/>
  <c r="O109" i="24"/>
  <c r="M109" i="24"/>
  <c r="O108" i="24"/>
  <c r="M108" i="24"/>
  <c r="O107" i="24"/>
  <c r="M107" i="24"/>
  <c r="O106" i="24"/>
  <c r="M106" i="24"/>
  <c r="O102" i="24"/>
  <c r="O101" i="24"/>
  <c r="M101" i="24"/>
  <c r="O100" i="24"/>
  <c r="M100" i="24"/>
  <c r="D97" i="24"/>
  <c r="L94" i="24"/>
  <c r="J94" i="24"/>
  <c r="D92" i="24"/>
  <c r="D90" i="24"/>
  <c r="N73" i="24"/>
  <c r="L73" i="24"/>
  <c r="N72" i="24"/>
  <c r="L72" i="24"/>
  <c r="N71" i="24"/>
  <c r="L71" i="24"/>
  <c r="N70" i="24"/>
  <c r="L70" i="24"/>
  <c r="N69" i="24"/>
  <c r="L69" i="24"/>
  <c r="N68" i="24"/>
  <c r="L68" i="24"/>
  <c r="N67" i="24"/>
  <c r="L67" i="24"/>
  <c r="N66" i="24"/>
  <c r="L66" i="24"/>
  <c r="N65" i="24"/>
  <c r="L65" i="24"/>
  <c r="N64" i="24"/>
  <c r="L64" i="24"/>
  <c r="N63" i="24"/>
  <c r="L63" i="24"/>
  <c r="N62" i="24"/>
  <c r="L62" i="24"/>
  <c r="N61" i="24"/>
  <c r="L61" i="24"/>
  <c r="N60" i="24"/>
  <c r="L60" i="24"/>
  <c r="N59" i="24"/>
  <c r="L59" i="24"/>
  <c r="N58" i="24"/>
  <c r="L58" i="24"/>
  <c r="N57" i="24"/>
  <c r="L57" i="24"/>
  <c r="N56" i="24"/>
  <c r="L56" i="24"/>
  <c r="N55" i="24"/>
  <c r="L55" i="24"/>
  <c r="N54" i="24"/>
  <c r="L54" i="24"/>
  <c r="N53" i="24"/>
  <c r="L53" i="24"/>
  <c r="N52" i="24"/>
  <c r="L52" i="24"/>
  <c r="N51" i="24"/>
  <c r="L51" i="24"/>
  <c r="N50" i="24"/>
  <c r="L50" i="24"/>
  <c r="N49" i="24"/>
  <c r="L49" i="24"/>
  <c r="N48" i="24"/>
  <c r="L48" i="24"/>
  <c r="N47" i="24"/>
  <c r="L47" i="24"/>
  <c r="N46" i="24"/>
  <c r="L46" i="24"/>
  <c r="N45" i="24"/>
  <c r="L45" i="24"/>
  <c r="N44" i="24"/>
  <c r="L44" i="24"/>
  <c r="N43" i="24"/>
  <c r="L43" i="24"/>
  <c r="N42" i="24"/>
  <c r="L42" i="24"/>
  <c r="N41" i="24"/>
  <c r="L41" i="24"/>
  <c r="N40" i="24"/>
  <c r="L40" i="24"/>
  <c r="N39" i="24"/>
  <c r="L39" i="24"/>
  <c r="N38" i="24"/>
  <c r="L38" i="24"/>
  <c r="N37" i="24"/>
  <c r="L37" i="24"/>
  <c r="N36" i="24"/>
  <c r="L36" i="24"/>
  <c r="N35" i="24"/>
  <c r="L35" i="24"/>
  <c r="N34" i="24"/>
  <c r="L34" i="24"/>
  <c r="N31" i="24"/>
  <c r="L31" i="24"/>
  <c r="N30" i="24"/>
  <c r="L30" i="24"/>
  <c r="N29" i="24"/>
  <c r="L29" i="24"/>
  <c r="N28" i="24"/>
  <c r="L28" i="24"/>
  <c r="N27" i="24"/>
  <c r="L27" i="24"/>
  <c r="N26" i="24"/>
  <c r="L26" i="24"/>
  <c r="N25" i="24"/>
  <c r="L25" i="24"/>
  <c r="N20" i="24"/>
  <c r="C17" i="24"/>
  <c r="C18" i="24" s="1"/>
  <c r="C19" i="24" s="1"/>
  <c r="C20" i="24" s="1"/>
  <c r="C21" i="24" s="1"/>
  <c r="C22" i="24" s="1"/>
  <c r="C23" i="24" s="1"/>
  <c r="C24" i="24" s="1"/>
  <c r="C25" i="24" s="1"/>
  <c r="C26" i="24" s="1"/>
  <c r="C27" i="24" s="1"/>
  <c r="C28" i="24" s="1"/>
  <c r="C29" i="24" s="1"/>
  <c r="C30" i="24" s="1"/>
  <c r="C31" i="24" s="1"/>
  <c r="C32" i="24" s="1"/>
  <c r="K11" i="24"/>
  <c r="I11" i="24"/>
  <c r="D91" i="24"/>
  <c r="D93" i="21"/>
  <c r="M17" i="23"/>
  <c r="N17" i="23" s="1"/>
  <c r="O17" i="23" s="1"/>
  <c r="K17" i="23"/>
  <c r="L17" i="23" s="1"/>
  <c r="M17" i="22"/>
  <c r="N17" i="22"/>
  <c r="O17" i="22" s="1"/>
  <c r="K17" i="22"/>
  <c r="L17" i="22" s="1"/>
  <c r="N101" i="21"/>
  <c r="O101" i="21"/>
  <c r="L101" i="21"/>
  <c r="M101" i="21" s="1"/>
  <c r="M18" i="21"/>
  <c r="N18" i="21" s="1"/>
  <c r="O18" i="21" s="1"/>
  <c r="K18" i="21"/>
  <c r="L18" i="21"/>
  <c r="N102" i="19"/>
  <c r="O102" i="19" s="1"/>
  <c r="L102" i="19"/>
  <c r="M102" i="19"/>
  <c r="M20" i="19"/>
  <c r="N20" i="19" s="1"/>
  <c r="K20" i="19"/>
  <c r="L20" i="19"/>
  <c r="M20" i="18"/>
  <c r="N20" i="18" s="1"/>
  <c r="K20" i="18"/>
  <c r="L20" i="18"/>
  <c r="N103" i="4"/>
  <c r="O103" i="4" s="1"/>
  <c r="L103" i="4"/>
  <c r="M103" i="4" s="1"/>
  <c r="M21" i="4"/>
  <c r="N21" i="4" s="1"/>
  <c r="K21" i="4"/>
  <c r="L21" i="4"/>
  <c r="N103" i="3"/>
  <c r="O103" i="3" s="1"/>
  <c r="L103" i="3"/>
  <c r="M103" i="3" s="1"/>
  <c r="M21" i="3"/>
  <c r="N21" i="3" s="1"/>
  <c r="K21" i="3"/>
  <c r="L21" i="3"/>
  <c r="D8" i="23"/>
  <c r="D8" i="22"/>
  <c r="D91" i="22" s="1"/>
  <c r="D8" i="21"/>
  <c r="D8" i="19"/>
  <c r="D8" i="18"/>
  <c r="D91" i="18" s="1"/>
  <c r="D8" i="4"/>
  <c r="D8" i="3"/>
  <c r="D8" i="13"/>
  <c r="D91" i="13" s="1"/>
  <c r="W25" i="17"/>
  <c r="W24" i="17"/>
  <c r="P155" i="23"/>
  <c r="O155" i="23"/>
  <c r="M155" i="23"/>
  <c r="P154" i="23"/>
  <c r="O154" i="23"/>
  <c r="M154" i="23"/>
  <c r="P153" i="23"/>
  <c r="O153" i="23"/>
  <c r="M153" i="23"/>
  <c r="P152" i="23"/>
  <c r="O152" i="23"/>
  <c r="M152" i="23"/>
  <c r="P151" i="23"/>
  <c r="O151" i="23"/>
  <c r="M151" i="23"/>
  <c r="P150" i="23"/>
  <c r="O150" i="23"/>
  <c r="M150" i="23"/>
  <c r="P149" i="23"/>
  <c r="O149" i="23"/>
  <c r="M149" i="23"/>
  <c r="P148" i="23"/>
  <c r="O148" i="23"/>
  <c r="M148" i="23"/>
  <c r="P147" i="23"/>
  <c r="O147" i="23"/>
  <c r="M147" i="23"/>
  <c r="P146" i="23"/>
  <c r="O146" i="23"/>
  <c r="M146" i="23"/>
  <c r="P145" i="23"/>
  <c r="O145" i="23"/>
  <c r="M145" i="23"/>
  <c r="P144" i="23"/>
  <c r="O144" i="23"/>
  <c r="M144" i="23"/>
  <c r="P143" i="23"/>
  <c r="O143" i="23"/>
  <c r="M143" i="23"/>
  <c r="P142" i="23"/>
  <c r="O142" i="23"/>
  <c r="M142" i="23"/>
  <c r="P141" i="23"/>
  <c r="O141" i="23"/>
  <c r="M141" i="23"/>
  <c r="P140" i="23"/>
  <c r="O140" i="23"/>
  <c r="M140" i="23"/>
  <c r="P139" i="23"/>
  <c r="O139" i="23"/>
  <c r="M139" i="23"/>
  <c r="P138" i="23"/>
  <c r="O138" i="23"/>
  <c r="M138" i="23"/>
  <c r="P137" i="23"/>
  <c r="O137" i="23"/>
  <c r="M137" i="23"/>
  <c r="P136" i="23"/>
  <c r="O136" i="23"/>
  <c r="M136" i="23"/>
  <c r="P135" i="23"/>
  <c r="O135" i="23"/>
  <c r="M135" i="23"/>
  <c r="P134" i="23"/>
  <c r="O134" i="23"/>
  <c r="M134" i="23"/>
  <c r="P133" i="23"/>
  <c r="O133" i="23"/>
  <c r="M133" i="23"/>
  <c r="P132" i="23"/>
  <c r="O132" i="23"/>
  <c r="M132" i="23"/>
  <c r="O131" i="23"/>
  <c r="M131" i="23"/>
  <c r="O130" i="23"/>
  <c r="M130" i="23"/>
  <c r="O129" i="23"/>
  <c r="M129" i="23"/>
  <c r="O128" i="23"/>
  <c r="M128" i="23"/>
  <c r="O127" i="23"/>
  <c r="M127" i="23"/>
  <c r="O126" i="23"/>
  <c r="M126" i="23"/>
  <c r="O125" i="23"/>
  <c r="M125" i="23"/>
  <c r="O124" i="23"/>
  <c r="M124" i="23"/>
  <c r="O123" i="23"/>
  <c r="M123" i="23"/>
  <c r="O122" i="23"/>
  <c r="M122" i="23"/>
  <c r="O121" i="23"/>
  <c r="M121" i="23"/>
  <c r="O120" i="23"/>
  <c r="M120" i="23"/>
  <c r="O119" i="23"/>
  <c r="M119" i="23"/>
  <c r="O118" i="23"/>
  <c r="M118" i="23"/>
  <c r="O117" i="23"/>
  <c r="M117" i="23"/>
  <c r="O116" i="23"/>
  <c r="M116" i="23"/>
  <c r="O115" i="23"/>
  <c r="M115" i="23"/>
  <c r="O114" i="23"/>
  <c r="M114" i="23"/>
  <c r="O113" i="23"/>
  <c r="M113" i="23"/>
  <c r="O112" i="23"/>
  <c r="M112" i="23"/>
  <c r="O111" i="23"/>
  <c r="M111" i="23"/>
  <c r="O110" i="23"/>
  <c r="M110" i="23"/>
  <c r="O109" i="23"/>
  <c r="M109" i="23"/>
  <c r="O108" i="23"/>
  <c r="M108" i="23"/>
  <c r="O107" i="23"/>
  <c r="M107" i="23"/>
  <c r="O106" i="23"/>
  <c r="M106" i="23"/>
  <c r="O105" i="23"/>
  <c r="M105" i="23"/>
  <c r="D97" i="23"/>
  <c r="L94" i="23"/>
  <c r="J94" i="23"/>
  <c r="D92" i="23"/>
  <c r="D91" i="23"/>
  <c r="D90" i="23"/>
  <c r="N73" i="23"/>
  <c r="L73" i="23"/>
  <c r="N72" i="23"/>
  <c r="L72" i="23"/>
  <c r="N71" i="23"/>
  <c r="L71" i="23"/>
  <c r="N70" i="23"/>
  <c r="L70" i="23"/>
  <c r="N69" i="23"/>
  <c r="L69" i="23"/>
  <c r="N68" i="23"/>
  <c r="L68" i="23"/>
  <c r="N67" i="23"/>
  <c r="L67" i="23"/>
  <c r="N66" i="23"/>
  <c r="L66" i="23"/>
  <c r="N65" i="23"/>
  <c r="L65" i="23"/>
  <c r="N64" i="23"/>
  <c r="L64" i="23"/>
  <c r="N63" i="23"/>
  <c r="L63" i="23"/>
  <c r="N62" i="23"/>
  <c r="L62" i="23"/>
  <c r="N61" i="23"/>
  <c r="L61" i="23"/>
  <c r="N60" i="23"/>
  <c r="L60" i="23"/>
  <c r="N59" i="23"/>
  <c r="L59" i="23"/>
  <c r="N58" i="23"/>
  <c r="L58" i="23"/>
  <c r="N57" i="23"/>
  <c r="L57" i="23"/>
  <c r="N56" i="23"/>
  <c r="L56" i="23"/>
  <c r="N55" i="23"/>
  <c r="L55" i="23"/>
  <c r="N54" i="23"/>
  <c r="L54" i="23"/>
  <c r="N53" i="23"/>
  <c r="L53" i="23"/>
  <c r="N52" i="23"/>
  <c r="L52" i="23"/>
  <c r="N51" i="23"/>
  <c r="L51" i="23"/>
  <c r="N50" i="23"/>
  <c r="L50" i="23"/>
  <c r="N49" i="23"/>
  <c r="L49" i="23"/>
  <c r="N48" i="23"/>
  <c r="L48" i="23"/>
  <c r="N47" i="23"/>
  <c r="L47" i="23"/>
  <c r="N46" i="23"/>
  <c r="L46" i="23"/>
  <c r="N45" i="23"/>
  <c r="L45" i="23"/>
  <c r="N44" i="23"/>
  <c r="L44" i="23"/>
  <c r="N43" i="23"/>
  <c r="L43" i="23"/>
  <c r="N42" i="23"/>
  <c r="L42" i="23"/>
  <c r="N41" i="23"/>
  <c r="L41" i="23"/>
  <c r="N40" i="23"/>
  <c r="L40" i="23"/>
  <c r="N39" i="23"/>
  <c r="L39" i="23"/>
  <c r="N38" i="23"/>
  <c r="L38" i="23"/>
  <c r="N37" i="23"/>
  <c r="L37" i="23"/>
  <c r="N36" i="23"/>
  <c r="L36" i="23"/>
  <c r="N35" i="23"/>
  <c r="L35" i="23"/>
  <c r="N34" i="23"/>
  <c r="L34" i="23"/>
  <c r="N31" i="23"/>
  <c r="L31" i="23"/>
  <c r="N30" i="23"/>
  <c r="L30" i="23"/>
  <c r="N29" i="23"/>
  <c r="L29" i="23"/>
  <c r="N28" i="23"/>
  <c r="L28" i="23"/>
  <c r="N27" i="23"/>
  <c r="L27" i="23"/>
  <c r="N26" i="23"/>
  <c r="L26" i="23"/>
  <c r="N25" i="23"/>
  <c r="L25" i="23"/>
  <c r="N24" i="23"/>
  <c r="L24" i="23"/>
  <c r="N19" i="23"/>
  <c r="C17" i="23"/>
  <c r="C18" i="23" s="1"/>
  <c r="C19" i="23" s="1"/>
  <c r="C20" i="23" s="1"/>
  <c r="C21" i="23" s="1"/>
  <c r="C22" i="23" s="1"/>
  <c r="C23" i="23" s="1"/>
  <c r="C24" i="23" s="1"/>
  <c r="C25" i="23" s="1"/>
  <c r="C26" i="23" s="1"/>
  <c r="C27" i="23" s="1"/>
  <c r="C28" i="23" s="1"/>
  <c r="C29" i="23" s="1"/>
  <c r="C30" i="23" s="1"/>
  <c r="C31" i="23" s="1"/>
  <c r="C32" i="23" s="1"/>
  <c r="K11" i="23"/>
  <c r="I11" i="23"/>
  <c r="P155" i="22"/>
  <c r="O155" i="22"/>
  <c r="M155" i="22"/>
  <c r="P154" i="22"/>
  <c r="O154" i="22"/>
  <c r="M154" i="22"/>
  <c r="P153" i="22"/>
  <c r="O153" i="22"/>
  <c r="M153" i="22"/>
  <c r="P152" i="22"/>
  <c r="O152" i="22"/>
  <c r="M152" i="22"/>
  <c r="P151" i="22"/>
  <c r="O151" i="22"/>
  <c r="M151" i="22"/>
  <c r="P150" i="22"/>
  <c r="O150" i="22"/>
  <c r="M150" i="22"/>
  <c r="P149" i="22"/>
  <c r="O149" i="22"/>
  <c r="M149" i="22"/>
  <c r="P148" i="22"/>
  <c r="O148" i="22"/>
  <c r="M148" i="22"/>
  <c r="P147" i="22"/>
  <c r="O147" i="22"/>
  <c r="M147" i="22"/>
  <c r="P146" i="22"/>
  <c r="O146" i="22"/>
  <c r="M146" i="22"/>
  <c r="P145" i="22"/>
  <c r="O145" i="22"/>
  <c r="M145" i="22"/>
  <c r="P144" i="22"/>
  <c r="O144" i="22"/>
  <c r="M144" i="22"/>
  <c r="P143" i="22"/>
  <c r="O143" i="22"/>
  <c r="M143" i="22"/>
  <c r="P142" i="22"/>
  <c r="O142" i="22"/>
  <c r="M142" i="22"/>
  <c r="P141" i="22"/>
  <c r="O141" i="22"/>
  <c r="M141" i="22"/>
  <c r="P140" i="22"/>
  <c r="O140" i="22"/>
  <c r="M140" i="22"/>
  <c r="P139" i="22"/>
  <c r="O139" i="22"/>
  <c r="M139" i="22"/>
  <c r="P138" i="22"/>
  <c r="O138" i="22"/>
  <c r="M138" i="22"/>
  <c r="P137" i="22"/>
  <c r="O137" i="22"/>
  <c r="M137" i="22"/>
  <c r="P136" i="22"/>
  <c r="O136" i="22"/>
  <c r="M136" i="22"/>
  <c r="P135" i="22"/>
  <c r="O135" i="22"/>
  <c r="M135" i="22"/>
  <c r="P134" i="22"/>
  <c r="O134" i="22"/>
  <c r="M134" i="22"/>
  <c r="P133" i="22"/>
  <c r="O133" i="22"/>
  <c r="M133" i="22"/>
  <c r="P132" i="22"/>
  <c r="O132" i="22"/>
  <c r="M132" i="22"/>
  <c r="O131" i="22"/>
  <c r="M131" i="22"/>
  <c r="O130" i="22"/>
  <c r="M130" i="22"/>
  <c r="O129" i="22"/>
  <c r="M129" i="22"/>
  <c r="O128" i="22"/>
  <c r="M128" i="22"/>
  <c r="O127" i="22"/>
  <c r="M127" i="22"/>
  <c r="O126" i="22"/>
  <c r="M126" i="22"/>
  <c r="O125" i="22"/>
  <c r="M125" i="22"/>
  <c r="O124" i="22"/>
  <c r="M124" i="22"/>
  <c r="O123" i="22"/>
  <c r="M123" i="22"/>
  <c r="O122" i="22"/>
  <c r="M122" i="22"/>
  <c r="O121" i="22"/>
  <c r="M121" i="22"/>
  <c r="O120" i="22"/>
  <c r="M120" i="22"/>
  <c r="O119" i="22"/>
  <c r="M119" i="22"/>
  <c r="O118" i="22"/>
  <c r="M118" i="22"/>
  <c r="O117" i="22"/>
  <c r="M117" i="22"/>
  <c r="O116" i="22"/>
  <c r="M116" i="22"/>
  <c r="O115" i="22"/>
  <c r="M115" i="22"/>
  <c r="O114" i="22"/>
  <c r="M114" i="22"/>
  <c r="O113" i="22"/>
  <c r="M113" i="22"/>
  <c r="O112" i="22"/>
  <c r="M112" i="22"/>
  <c r="O111" i="22"/>
  <c r="M111" i="22"/>
  <c r="O110" i="22"/>
  <c r="M110" i="22"/>
  <c r="O109" i="22"/>
  <c r="M109" i="22"/>
  <c r="O108" i="22"/>
  <c r="M108" i="22"/>
  <c r="O107" i="22"/>
  <c r="M107" i="22"/>
  <c r="O106" i="22"/>
  <c r="M106" i="22"/>
  <c r="O105" i="22"/>
  <c r="M105" i="22"/>
  <c r="D97" i="22"/>
  <c r="L94" i="22"/>
  <c r="J94" i="22"/>
  <c r="D92" i="22"/>
  <c r="D90" i="22"/>
  <c r="N73" i="22"/>
  <c r="L73" i="22"/>
  <c r="N72" i="22"/>
  <c r="L72" i="22"/>
  <c r="N71" i="22"/>
  <c r="L71" i="22"/>
  <c r="N70" i="22"/>
  <c r="L70" i="22"/>
  <c r="N69" i="22"/>
  <c r="L69" i="22"/>
  <c r="N68" i="22"/>
  <c r="L68" i="22"/>
  <c r="N67" i="22"/>
  <c r="L67" i="22"/>
  <c r="N66" i="22"/>
  <c r="L66" i="22"/>
  <c r="N65" i="22"/>
  <c r="L65" i="22"/>
  <c r="N64" i="22"/>
  <c r="L64" i="22"/>
  <c r="N63" i="22"/>
  <c r="L63" i="22"/>
  <c r="N62" i="22"/>
  <c r="L62" i="22"/>
  <c r="N61" i="22"/>
  <c r="L61" i="22"/>
  <c r="N60" i="22"/>
  <c r="L60" i="22"/>
  <c r="N59" i="22"/>
  <c r="L59" i="22"/>
  <c r="N58" i="22"/>
  <c r="L58" i="22"/>
  <c r="N57" i="22"/>
  <c r="L57" i="22"/>
  <c r="N56" i="22"/>
  <c r="L56" i="22"/>
  <c r="N55" i="22"/>
  <c r="L55" i="22"/>
  <c r="N54" i="22"/>
  <c r="L54" i="22"/>
  <c r="N53" i="22"/>
  <c r="L53" i="22"/>
  <c r="N52" i="22"/>
  <c r="L52" i="22"/>
  <c r="N51" i="22"/>
  <c r="L51" i="22"/>
  <c r="N50" i="22"/>
  <c r="L50" i="22"/>
  <c r="N49" i="22"/>
  <c r="L49" i="22"/>
  <c r="N48" i="22"/>
  <c r="L48" i="22"/>
  <c r="N47" i="22"/>
  <c r="L47" i="22"/>
  <c r="N46" i="22"/>
  <c r="L46" i="22"/>
  <c r="N45" i="22"/>
  <c r="L45" i="22"/>
  <c r="N44" i="22"/>
  <c r="L44" i="22"/>
  <c r="N43" i="22"/>
  <c r="L43" i="22"/>
  <c r="N42" i="22"/>
  <c r="L42" i="22"/>
  <c r="N41" i="22"/>
  <c r="L41" i="22"/>
  <c r="N40" i="22"/>
  <c r="L40" i="22"/>
  <c r="N39" i="22"/>
  <c r="L39" i="22"/>
  <c r="N38" i="22"/>
  <c r="L38" i="22"/>
  <c r="N37" i="22"/>
  <c r="L37" i="22"/>
  <c r="N36" i="22"/>
  <c r="L36" i="22"/>
  <c r="N35" i="22"/>
  <c r="L35" i="22"/>
  <c r="N34" i="22"/>
  <c r="L34" i="22"/>
  <c r="N33" i="22"/>
  <c r="L33" i="22"/>
  <c r="N31" i="22"/>
  <c r="L31" i="22"/>
  <c r="N30" i="22"/>
  <c r="L30" i="22"/>
  <c r="N29" i="22"/>
  <c r="L29" i="22"/>
  <c r="N28" i="22"/>
  <c r="L28" i="22"/>
  <c r="N27" i="22"/>
  <c r="L27" i="22"/>
  <c r="N26" i="22"/>
  <c r="L26" i="22"/>
  <c r="N25" i="22"/>
  <c r="L25" i="22"/>
  <c r="N24" i="22"/>
  <c r="L24" i="22"/>
  <c r="N19" i="22"/>
  <c r="C17" i="22"/>
  <c r="C18" i="22" s="1"/>
  <c r="C19" i="22" s="1"/>
  <c r="C20" i="22" s="1"/>
  <c r="C21" i="22" s="1"/>
  <c r="C22" i="22" s="1"/>
  <c r="C23" i="22" s="1"/>
  <c r="C24" i="22" s="1"/>
  <c r="C25" i="22" s="1"/>
  <c r="C26" i="22" s="1"/>
  <c r="C27" i="22" s="1"/>
  <c r="C28" i="22" s="1"/>
  <c r="C29" i="22" s="1"/>
  <c r="C30" i="22" s="1"/>
  <c r="C31" i="22" s="1"/>
  <c r="C32" i="22" s="1"/>
  <c r="K11" i="22"/>
  <c r="I11" i="22"/>
  <c r="N100" i="21"/>
  <c r="O100" i="21" s="1"/>
  <c r="L100" i="21"/>
  <c r="M100" i="21" s="1"/>
  <c r="N101" i="19"/>
  <c r="O101" i="19" s="1"/>
  <c r="L101" i="19"/>
  <c r="M101" i="19" s="1"/>
  <c r="M19" i="19"/>
  <c r="N19" i="19"/>
  <c r="O19" i="19" s="1"/>
  <c r="K19" i="19"/>
  <c r="L19" i="19" s="1"/>
  <c r="N101" i="18"/>
  <c r="O101" i="18" s="1"/>
  <c r="L101" i="18"/>
  <c r="M101" i="18" s="1"/>
  <c r="M19" i="18"/>
  <c r="N19" i="18" s="1"/>
  <c r="O19" i="18" s="1"/>
  <c r="K19" i="18"/>
  <c r="L19" i="18" s="1"/>
  <c r="N102" i="4"/>
  <c r="O102" i="4" s="1"/>
  <c r="P102" i="4" s="1"/>
  <c r="L102" i="4"/>
  <c r="M102" i="4" s="1"/>
  <c r="M20" i="4"/>
  <c r="N20" i="4" s="1"/>
  <c r="K20" i="4"/>
  <c r="L20" i="4" s="1"/>
  <c r="M20" i="3"/>
  <c r="N20" i="3" s="1"/>
  <c r="K20" i="3"/>
  <c r="L20" i="3" s="1"/>
  <c r="N102" i="3"/>
  <c r="O102" i="3" s="1"/>
  <c r="P102" i="3" s="1"/>
  <c r="L102" i="3"/>
  <c r="M102" i="3" s="1"/>
  <c r="F79" i="1"/>
  <c r="I12" i="21" s="1"/>
  <c r="I13" i="21" s="1"/>
  <c r="W23" i="17"/>
  <c r="W22" i="17"/>
  <c r="B21" i="18"/>
  <c r="B19" i="21"/>
  <c r="B21" i="3"/>
  <c r="M17" i="21"/>
  <c r="K17" i="21"/>
  <c r="M17" i="20"/>
  <c r="K17" i="20"/>
  <c r="L17" i="20"/>
  <c r="N100" i="19"/>
  <c r="L100" i="19"/>
  <c r="M18" i="19"/>
  <c r="K18" i="19"/>
  <c r="L18" i="19"/>
  <c r="N100" i="18"/>
  <c r="L100" i="18"/>
  <c r="M18" i="18"/>
  <c r="K18" i="18"/>
  <c r="L18" i="18" s="1"/>
  <c r="N101" i="4"/>
  <c r="L101" i="4"/>
  <c r="M19" i="4"/>
  <c r="K19" i="4"/>
  <c r="L19" i="4"/>
  <c r="N101" i="3"/>
  <c r="L101" i="3"/>
  <c r="M19" i="3"/>
  <c r="N19" i="3"/>
  <c r="O19" i="3" s="1"/>
  <c r="K19" i="3"/>
  <c r="L19" i="3" s="1"/>
  <c r="J95" i="31"/>
  <c r="D94" i="3"/>
  <c r="C100" i="3" s="1"/>
  <c r="C17" i="3"/>
  <c r="C18" i="3" s="1"/>
  <c r="C19" i="3" s="1"/>
  <c r="C20" i="3" s="1"/>
  <c r="C21" i="3" s="1"/>
  <c r="C22" i="3" s="1"/>
  <c r="C23" i="3" s="1"/>
  <c r="C24" i="3" s="1"/>
  <c r="C25" i="3" s="1"/>
  <c r="C26" i="3" s="1"/>
  <c r="C27" i="3" s="1"/>
  <c r="C28" i="3" s="1"/>
  <c r="C29" i="3" s="1"/>
  <c r="C30" i="3" s="1"/>
  <c r="C31" i="3" s="1"/>
  <c r="C32" i="3" s="1"/>
  <c r="K18" i="3"/>
  <c r="L18" i="3" s="1"/>
  <c r="C17" i="4"/>
  <c r="C18" i="4" s="1"/>
  <c r="C19" i="4" s="1"/>
  <c r="C20" i="4" s="1"/>
  <c r="C21" i="4" s="1"/>
  <c r="C22" i="4" s="1"/>
  <c r="C23" i="4" s="1"/>
  <c r="C24" i="4" s="1"/>
  <c r="C25" i="4" s="1"/>
  <c r="C26" i="4" s="1"/>
  <c r="C27" i="4" s="1"/>
  <c r="C28" i="4" s="1"/>
  <c r="C29" i="4" s="1"/>
  <c r="C30" i="4" s="1"/>
  <c r="C31" i="4" s="1"/>
  <c r="C32" i="4" s="1"/>
  <c r="K18" i="4"/>
  <c r="C17" i="18"/>
  <c r="C18" i="18" s="1"/>
  <c r="C19" i="18" s="1"/>
  <c r="C20" i="18" s="1"/>
  <c r="C21" i="18" s="1"/>
  <c r="C22" i="18" s="1"/>
  <c r="C23" i="18" s="1"/>
  <c r="C24" i="18" s="1"/>
  <c r="C25" i="18" s="1"/>
  <c r="C26" i="18" s="1"/>
  <c r="C27" i="18" s="1"/>
  <c r="C28" i="18" s="1"/>
  <c r="C29" i="18" s="1"/>
  <c r="C30" i="18" s="1"/>
  <c r="C31" i="18" s="1"/>
  <c r="C32" i="18" s="1"/>
  <c r="K17" i="18"/>
  <c r="C17" i="19"/>
  <c r="C18" i="19"/>
  <c r="C19" i="19" s="1"/>
  <c r="C20" i="19" s="1"/>
  <c r="C21" i="19" s="1"/>
  <c r="C22" i="19" s="1"/>
  <c r="C23" i="19" s="1"/>
  <c r="C24" i="19" s="1"/>
  <c r="C25" i="19" s="1"/>
  <c r="C26" i="19" s="1"/>
  <c r="C27" i="19" s="1"/>
  <c r="C28" i="19" s="1"/>
  <c r="C29" i="19" s="1"/>
  <c r="C30" i="19" s="1"/>
  <c r="C31" i="19" s="1"/>
  <c r="C32" i="19" s="1"/>
  <c r="K17" i="19"/>
  <c r="L17" i="19"/>
  <c r="C17" i="21"/>
  <c r="C18" i="21" s="1"/>
  <c r="C19" i="21" s="1"/>
  <c r="C20" i="21" s="1"/>
  <c r="C21" i="21" s="1"/>
  <c r="C22" i="21" s="1"/>
  <c r="C23" i="21" s="1"/>
  <c r="C24" i="21" s="1"/>
  <c r="C25" i="21" s="1"/>
  <c r="C26" i="21" s="1"/>
  <c r="C27" i="21" s="1"/>
  <c r="C28" i="21" s="1"/>
  <c r="C29" i="21" s="1"/>
  <c r="C30" i="21" s="1"/>
  <c r="C31" i="21" s="1"/>
  <c r="C32" i="21" s="1"/>
  <c r="I14" i="20"/>
  <c r="C17" i="20"/>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D95" i="3"/>
  <c r="P1" i="21"/>
  <c r="P84" i="21" s="1"/>
  <c r="H3" i="21"/>
  <c r="K11" i="21"/>
  <c r="B17" i="21"/>
  <c r="L17" i="21"/>
  <c r="N17" i="21"/>
  <c r="O17" i="21"/>
  <c r="N20" i="21"/>
  <c r="L25" i="21"/>
  <c r="N25" i="21"/>
  <c r="L26" i="21"/>
  <c r="N26" i="21"/>
  <c r="L27" i="21"/>
  <c r="N27" i="21"/>
  <c r="L28" i="21"/>
  <c r="N28" i="21"/>
  <c r="L29" i="21"/>
  <c r="N29" i="21"/>
  <c r="L30" i="21"/>
  <c r="N30" i="21"/>
  <c r="L31" i="21"/>
  <c r="N31" i="21"/>
  <c r="L33" i="21"/>
  <c r="N33" i="21"/>
  <c r="L34" i="21"/>
  <c r="N34" i="21"/>
  <c r="L35" i="21"/>
  <c r="N35" i="21"/>
  <c r="L36" i="21"/>
  <c r="N36" i="21"/>
  <c r="L37" i="21"/>
  <c r="N37" i="21"/>
  <c r="L38" i="21"/>
  <c r="N38" i="21"/>
  <c r="L39" i="21"/>
  <c r="N39" i="21"/>
  <c r="L40" i="21"/>
  <c r="N40" i="21"/>
  <c r="L41" i="21"/>
  <c r="N41" i="21"/>
  <c r="L42" i="21"/>
  <c r="N42" i="21"/>
  <c r="L43" i="21"/>
  <c r="N43" i="21"/>
  <c r="L44" i="21"/>
  <c r="N44" i="21"/>
  <c r="L45" i="21"/>
  <c r="N45" i="21"/>
  <c r="L46" i="21"/>
  <c r="N46" i="21"/>
  <c r="L47" i="21"/>
  <c r="N47" i="21"/>
  <c r="L48" i="21"/>
  <c r="N48" i="21"/>
  <c r="L49" i="21"/>
  <c r="N49" i="21"/>
  <c r="L50" i="21"/>
  <c r="N50" i="21"/>
  <c r="L51" i="21"/>
  <c r="N51" i="21"/>
  <c r="L52" i="21"/>
  <c r="N52" i="21"/>
  <c r="L53" i="21"/>
  <c r="N53" i="21"/>
  <c r="L54" i="21"/>
  <c r="N54" i="21"/>
  <c r="L55" i="21"/>
  <c r="N55" i="21"/>
  <c r="L56" i="21"/>
  <c r="N56" i="21"/>
  <c r="L57" i="21"/>
  <c r="N57" i="21"/>
  <c r="L58" i="21"/>
  <c r="N58" i="21"/>
  <c r="L59" i="21"/>
  <c r="N59" i="21"/>
  <c r="L60" i="21"/>
  <c r="N60" i="21"/>
  <c r="L61" i="21"/>
  <c r="N61" i="21"/>
  <c r="L62" i="21"/>
  <c r="N62" i="21"/>
  <c r="L63" i="21"/>
  <c r="N63" i="21"/>
  <c r="L64" i="21"/>
  <c r="N64" i="21"/>
  <c r="L65" i="21"/>
  <c r="N65" i="21"/>
  <c r="L66" i="21"/>
  <c r="N66" i="21"/>
  <c r="L67" i="21"/>
  <c r="N67" i="21"/>
  <c r="L68" i="21"/>
  <c r="N68" i="21"/>
  <c r="L69" i="21"/>
  <c r="N69" i="21"/>
  <c r="L70" i="21"/>
  <c r="N70" i="21"/>
  <c r="L71" i="21"/>
  <c r="N71" i="21"/>
  <c r="L72" i="21"/>
  <c r="N72" i="21"/>
  <c r="L73" i="21"/>
  <c r="N73" i="21"/>
  <c r="D90" i="21"/>
  <c r="D91" i="21"/>
  <c r="D92" i="21"/>
  <c r="J94" i="21"/>
  <c r="L94" i="21"/>
  <c r="D97" i="21"/>
  <c r="O102" i="21"/>
  <c r="P102" i="21"/>
  <c r="M106" i="21"/>
  <c r="O106" i="21"/>
  <c r="M107" i="21"/>
  <c r="O107" i="21"/>
  <c r="M108" i="21"/>
  <c r="O108" i="21"/>
  <c r="M109" i="21"/>
  <c r="O109" i="21"/>
  <c r="M110" i="21"/>
  <c r="O110" i="21"/>
  <c r="M111" i="21"/>
  <c r="O111" i="21"/>
  <c r="M112" i="21"/>
  <c r="O112" i="21"/>
  <c r="M113" i="21"/>
  <c r="O113" i="21"/>
  <c r="M114" i="21"/>
  <c r="O114" i="21"/>
  <c r="M115" i="21"/>
  <c r="O115" i="21"/>
  <c r="M116" i="21"/>
  <c r="O116" i="21"/>
  <c r="M117" i="21"/>
  <c r="O117" i="21"/>
  <c r="M118" i="21"/>
  <c r="O118" i="21"/>
  <c r="M119" i="21"/>
  <c r="O119" i="21"/>
  <c r="M120" i="21"/>
  <c r="O120" i="21"/>
  <c r="M121" i="21"/>
  <c r="O121" i="21"/>
  <c r="M122" i="21"/>
  <c r="O122" i="21"/>
  <c r="M123" i="21"/>
  <c r="O123" i="21"/>
  <c r="M124" i="21"/>
  <c r="O124" i="21"/>
  <c r="M125" i="21"/>
  <c r="O125" i="21"/>
  <c r="M126" i="21"/>
  <c r="O126" i="21"/>
  <c r="M127" i="21"/>
  <c r="O127" i="21"/>
  <c r="M128" i="21"/>
  <c r="O128" i="21"/>
  <c r="M129" i="21"/>
  <c r="O129" i="21"/>
  <c r="M130" i="21"/>
  <c r="O130" i="21"/>
  <c r="M131" i="21"/>
  <c r="O131" i="21"/>
  <c r="M132" i="21"/>
  <c r="O132" i="21"/>
  <c r="M133" i="21"/>
  <c r="O133" i="21"/>
  <c r="M134" i="21"/>
  <c r="O134" i="21"/>
  <c r="M135" i="21"/>
  <c r="O135" i="21"/>
  <c r="M136" i="21"/>
  <c r="O136" i="21"/>
  <c r="M137" i="21"/>
  <c r="O137" i="21"/>
  <c r="M138" i="21"/>
  <c r="O138" i="21"/>
  <c r="M139" i="21"/>
  <c r="O139" i="21"/>
  <c r="M140" i="21"/>
  <c r="O140" i="21"/>
  <c r="M141" i="21"/>
  <c r="O141" i="21"/>
  <c r="M142" i="21"/>
  <c r="O142" i="21"/>
  <c r="M143" i="21"/>
  <c r="O143" i="21"/>
  <c r="M144" i="21"/>
  <c r="O144" i="21"/>
  <c r="M145" i="21"/>
  <c r="O145" i="21"/>
  <c r="M146" i="21"/>
  <c r="O146" i="21"/>
  <c r="M147" i="21"/>
  <c r="O147" i="21"/>
  <c r="M148" i="21"/>
  <c r="O148" i="21"/>
  <c r="M149" i="21"/>
  <c r="O149" i="21"/>
  <c r="M150" i="21"/>
  <c r="O150" i="21"/>
  <c r="M151" i="21"/>
  <c r="O151" i="21"/>
  <c r="M152" i="21"/>
  <c r="O152" i="21"/>
  <c r="M153" i="21"/>
  <c r="O153" i="21"/>
  <c r="M154" i="21"/>
  <c r="O154" i="21"/>
  <c r="M155" i="21"/>
  <c r="O155" i="21"/>
  <c r="M17" i="19"/>
  <c r="P1" i="20"/>
  <c r="P84" i="20" s="1"/>
  <c r="H3" i="20"/>
  <c r="K11" i="20"/>
  <c r="B17" i="20"/>
  <c r="N17" i="20"/>
  <c r="O17" i="20" s="1"/>
  <c r="L18" i="20"/>
  <c r="N18" i="20"/>
  <c r="L19" i="20"/>
  <c r="N19" i="20"/>
  <c r="L20" i="20"/>
  <c r="N20" i="20"/>
  <c r="L21" i="20"/>
  <c r="N21" i="20"/>
  <c r="L22" i="20"/>
  <c r="N22" i="20"/>
  <c r="L23" i="20"/>
  <c r="N23" i="20"/>
  <c r="L24" i="20"/>
  <c r="N24" i="20"/>
  <c r="L25" i="20"/>
  <c r="N25" i="20"/>
  <c r="L26" i="20"/>
  <c r="N26" i="20"/>
  <c r="L27" i="20"/>
  <c r="N27" i="20"/>
  <c r="L28" i="20"/>
  <c r="N28" i="20"/>
  <c r="L29" i="20"/>
  <c r="N29" i="20"/>
  <c r="L30" i="20"/>
  <c r="N30" i="20"/>
  <c r="L31" i="20"/>
  <c r="N31" i="20"/>
  <c r="L33" i="20"/>
  <c r="N33" i="20"/>
  <c r="L34" i="20"/>
  <c r="N34" i="20"/>
  <c r="L35" i="20"/>
  <c r="N35" i="20"/>
  <c r="L36" i="20"/>
  <c r="N36" i="20"/>
  <c r="L37" i="20"/>
  <c r="N37" i="20"/>
  <c r="L38" i="20"/>
  <c r="N38" i="20"/>
  <c r="L39" i="20"/>
  <c r="N39" i="20"/>
  <c r="L40" i="20"/>
  <c r="N40" i="20"/>
  <c r="L41" i="20"/>
  <c r="N41" i="20"/>
  <c r="L42" i="20"/>
  <c r="N42" i="20"/>
  <c r="L43" i="20"/>
  <c r="N43" i="20"/>
  <c r="L44" i="20"/>
  <c r="N44" i="20"/>
  <c r="L45" i="20"/>
  <c r="N45" i="20"/>
  <c r="L46" i="20"/>
  <c r="N46" i="20"/>
  <c r="L47" i="20"/>
  <c r="N47" i="20"/>
  <c r="L48" i="20"/>
  <c r="N48" i="20"/>
  <c r="L49" i="20"/>
  <c r="N49" i="20"/>
  <c r="L50" i="20"/>
  <c r="N50" i="20"/>
  <c r="L51" i="20"/>
  <c r="N51" i="20"/>
  <c r="L52" i="20"/>
  <c r="N52" i="20"/>
  <c r="L53" i="20"/>
  <c r="N53" i="20"/>
  <c r="L54" i="20"/>
  <c r="N54" i="20"/>
  <c r="L55" i="20"/>
  <c r="N55" i="20"/>
  <c r="L56" i="20"/>
  <c r="N56" i="20"/>
  <c r="L57" i="20"/>
  <c r="N57" i="20"/>
  <c r="L58" i="20"/>
  <c r="N58" i="20"/>
  <c r="L59" i="20"/>
  <c r="N59" i="20"/>
  <c r="L60" i="20"/>
  <c r="N60" i="20"/>
  <c r="L61" i="20"/>
  <c r="N61" i="20"/>
  <c r="L62" i="20"/>
  <c r="N62" i="20"/>
  <c r="L63" i="20"/>
  <c r="N63" i="20"/>
  <c r="L64" i="20"/>
  <c r="N64" i="20"/>
  <c r="L65" i="20"/>
  <c r="N65" i="20"/>
  <c r="L66" i="20"/>
  <c r="N66" i="20"/>
  <c r="L67" i="20"/>
  <c r="N67" i="20"/>
  <c r="L68" i="20"/>
  <c r="N68" i="20"/>
  <c r="L69" i="20"/>
  <c r="N69" i="20"/>
  <c r="L70" i="20"/>
  <c r="N70" i="20"/>
  <c r="L71" i="20"/>
  <c r="N71" i="20"/>
  <c r="L72" i="20"/>
  <c r="N72" i="20"/>
  <c r="L73" i="20"/>
  <c r="N73" i="20"/>
  <c r="D90" i="20"/>
  <c r="D92" i="20"/>
  <c r="J94" i="20"/>
  <c r="L94" i="20"/>
  <c r="D97" i="20"/>
  <c r="M100" i="20"/>
  <c r="O100" i="20"/>
  <c r="M101" i="20"/>
  <c r="O101" i="20"/>
  <c r="M102" i="20"/>
  <c r="O102" i="20"/>
  <c r="M103" i="20"/>
  <c r="O103" i="20"/>
  <c r="M104" i="20"/>
  <c r="O104" i="20"/>
  <c r="M105" i="20"/>
  <c r="O105" i="20"/>
  <c r="M106" i="20"/>
  <c r="O106" i="20"/>
  <c r="M107" i="20"/>
  <c r="O107" i="20"/>
  <c r="M108" i="20"/>
  <c r="O108" i="20"/>
  <c r="M109" i="20"/>
  <c r="O109" i="20"/>
  <c r="M110" i="20"/>
  <c r="O110" i="20"/>
  <c r="M111" i="20"/>
  <c r="O111" i="20"/>
  <c r="M112" i="20"/>
  <c r="O112" i="20"/>
  <c r="M113" i="20"/>
  <c r="O113" i="20"/>
  <c r="M114" i="20"/>
  <c r="O114" i="20"/>
  <c r="M115" i="20"/>
  <c r="O115" i="20"/>
  <c r="M116" i="20"/>
  <c r="O116" i="20"/>
  <c r="M117" i="20"/>
  <c r="O117" i="20"/>
  <c r="M118" i="20"/>
  <c r="O118" i="20"/>
  <c r="M119" i="20"/>
  <c r="O119" i="20"/>
  <c r="M120" i="20"/>
  <c r="O120" i="20"/>
  <c r="M121" i="20"/>
  <c r="O121" i="20"/>
  <c r="M122" i="20"/>
  <c r="O122" i="20"/>
  <c r="M123" i="20"/>
  <c r="O123" i="20"/>
  <c r="M124" i="20"/>
  <c r="O124" i="20"/>
  <c r="M125" i="20"/>
  <c r="O125" i="20"/>
  <c r="M126" i="20"/>
  <c r="O126" i="20"/>
  <c r="M127" i="20"/>
  <c r="O127" i="20"/>
  <c r="M128" i="20"/>
  <c r="O128" i="20"/>
  <c r="M129" i="20"/>
  <c r="O129" i="20"/>
  <c r="M130" i="20"/>
  <c r="O130" i="20"/>
  <c r="M131" i="20"/>
  <c r="O131" i="20"/>
  <c r="M132" i="20"/>
  <c r="O132" i="20"/>
  <c r="M133" i="20"/>
  <c r="O133" i="20"/>
  <c r="M134" i="20"/>
  <c r="O134" i="20"/>
  <c r="M135" i="20"/>
  <c r="O135" i="20"/>
  <c r="M136" i="20"/>
  <c r="O136" i="20"/>
  <c r="M137" i="20"/>
  <c r="O137" i="20"/>
  <c r="M138" i="20"/>
  <c r="O138" i="20"/>
  <c r="M139" i="20"/>
  <c r="O139" i="20"/>
  <c r="M140" i="20"/>
  <c r="O140" i="20"/>
  <c r="M141" i="20"/>
  <c r="O141" i="20"/>
  <c r="M142" i="20"/>
  <c r="O142" i="20"/>
  <c r="M143" i="20"/>
  <c r="O143" i="20"/>
  <c r="M144" i="20"/>
  <c r="O144" i="20"/>
  <c r="M145" i="20"/>
  <c r="O145" i="20"/>
  <c r="M146" i="20"/>
  <c r="O146" i="20"/>
  <c r="M147" i="20"/>
  <c r="O147" i="20"/>
  <c r="M148" i="20"/>
  <c r="O148" i="20"/>
  <c r="M149" i="20"/>
  <c r="O149" i="20"/>
  <c r="M150" i="20"/>
  <c r="O150" i="20"/>
  <c r="M151" i="20"/>
  <c r="O151" i="20"/>
  <c r="M152" i="20"/>
  <c r="O152" i="20"/>
  <c r="M153" i="20"/>
  <c r="O153" i="20"/>
  <c r="M154" i="20"/>
  <c r="O154" i="20"/>
  <c r="M155" i="20"/>
  <c r="O155" i="20"/>
  <c r="M17" i="18"/>
  <c r="N100" i="4"/>
  <c r="L100" i="4"/>
  <c r="M100" i="4"/>
  <c r="M18" i="4"/>
  <c r="N100" i="3"/>
  <c r="L100" i="3"/>
  <c r="M100" i="3" s="1"/>
  <c r="M18" i="3"/>
  <c r="C17" i="13"/>
  <c r="W21" i="17"/>
  <c r="W20" i="17"/>
  <c r="K17" i="3"/>
  <c r="K17" i="4"/>
  <c r="L17" i="4" s="1"/>
  <c r="O17" i="4" s="1"/>
  <c r="P1" i="19"/>
  <c r="P84" i="19" s="1"/>
  <c r="H3" i="19"/>
  <c r="K11" i="19"/>
  <c r="B17" i="19"/>
  <c r="I17" i="19"/>
  <c r="N17" i="19"/>
  <c r="O17" i="19"/>
  <c r="B18" i="19"/>
  <c r="N18" i="19"/>
  <c r="O18" i="19"/>
  <c r="N22" i="19"/>
  <c r="L27" i="19"/>
  <c r="N27" i="19"/>
  <c r="L28" i="19"/>
  <c r="N28" i="19"/>
  <c r="L29" i="19"/>
  <c r="N29" i="19"/>
  <c r="L30" i="19"/>
  <c r="N30" i="19"/>
  <c r="L34" i="19"/>
  <c r="N34" i="19"/>
  <c r="L35" i="19"/>
  <c r="N35" i="19"/>
  <c r="L36" i="19"/>
  <c r="N36" i="19"/>
  <c r="L37" i="19"/>
  <c r="N37" i="19"/>
  <c r="L38" i="19"/>
  <c r="N38" i="19"/>
  <c r="L39" i="19"/>
  <c r="N39" i="19"/>
  <c r="L40" i="19"/>
  <c r="N40" i="19"/>
  <c r="L41" i="19"/>
  <c r="N41" i="19"/>
  <c r="L42" i="19"/>
  <c r="N42" i="19"/>
  <c r="L43" i="19"/>
  <c r="N43" i="19"/>
  <c r="L44" i="19"/>
  <c r="N44" i="19"/>
  <c r="L45" i="19"/>
  <c r="N45" i="19"/>
  <c r="L46" i="19"/>
  <c r="N46" i="19"/>
  <c r="L47" i="19"/>
  <c r="N47" i="19"/>
  <c r="L48" i="19"/>
  <c r="N48" i="19"/>
  <c r="L49" i="19"/>
  <c r="N49" i="19"/>
  <c r="L50" i="19"/>
  <c r="N50" i="19"/>
  <c r="L51" i="19"/>
  <c r="N51" i="19"/>
  <c r="L52" i="19"/>
  <c r="N52" i="19"/>
  <c r="L53" i="19"/>
  <c r="N53" i="19"/>
  <c r="L54" i="19"/>
  <c r="N54" i="19"/>
  <c r="L55" i="19"/>
  <c r="N55" i="19"/>
  <c r="L56" i="19"/>
  <c r="N56" i="19"/>
  <c r="L57" i="19"/>
  <c r="N57" i="19"/>
  <c r="L58" i="19"/>
  <c r="N58" i="19"/>
  <c r="L59" i="19"/>
  <c r="N59" i="19"/>
  <c r="L60" i="19"/>
  <c r="N60" i="19"/>
  <c r="L61" i="19"/>
  <c r="N61" i="19"/>
  <c r="L62" i="19"/>
  <c r="N62" i="19"/>
  <c r="L63" i="19"/>
  <c r="N63" i="19"/>
  <c r="L64" i="19"/>
  <c r="N64" i="19"/>
  <c r="L65" i="19"/>
  <c r="N65" i="19"/>
  <c r="L66" i="19"/>
  <c r="N66" i="19"/>
  <c r="L67" i="19"/>
  <c r="N67" i="19"/>
  <c r="L68" i="19"/>
  <c r="N68" i="19"/>
  <c r="L69" i="19"/>
  <c r="N69" i="19"/>
  <c r="L70" i="19"/>
  <c r="N70" i="19"/>
  <c r="L71" i="19"/>
  <c r="N71" i="19"/>
  <c r="L72" i="19"/>
  <c r="N72" i="19"/>
  <c r="L73" i="19"/>
  <c r="N73" i="19"/>
  <c r="D90" i="19"/>
  <c r="D91" i="19"/>
  <c r="D92" i="19"/>
  <c r="J94" i="19"/>
  <c r="L94" i="19"/>
  <c r="D97" i="19"/>
  <c r="M100" i="19"/>
  <c r="P100" i="19"/>
  <c r="O100" i="19"/>
  <c r="M108" i="19"/>
  <c r="O108" i="19"/>
  <c r="M109" i="19"/>
  <c r="O109" i="19"/>
  <c r="M110" i="19"/>
  <c r="O110" i="19"/>
  <c r="M111" i="19"/>
  <c r="O111" i="19"/>
  <c r="M112" i="19"/>
  <c r="O112" i="19"/>
  <c r="M113" i="19"/>
  <c r="O113" i="19"/>
  <c r="M114" i="19"/>
  <c r="O114" i="19"/>
  <c r="M115" i="19"/>
  <c r="O115" i="19"/>
  <c r="M116" i="19"/>
  <c r="O116" i="19"/>
  <c r="M117" i="19"/>
  <c r="O117" i="19"/>
  <c r="M118" i="19"/>
  <c r="O118" i="19"/>
  <c r="M119" i="19"/>
  <c r="O119" i="19"/>
  <c r="M120" i="19"/>
  <c r="O120" i="19"/>
  <c r="M121" i="19"/>
  <c r="O121" i="19"/>
  <c r="M122" i="19"/>
  <c r="O122" i="19"/>
  <c r="M123" i="19"/>
  <c r="O123" i="19"/>
  <c r="M124" i="19"/>
  <c r="O124" i="19"/>
  <c r="M125" i="19"/>
  <c r="O125" i="19"/>
  <c r="M126" i="19"/>
  <c r="O126" i="19"/>
  <c r="M127" i="19"/>
  <c r="O127" i="19"/>
  <c r="M128" i="19"/>
  <c r="O128" i="19"/>
  <c r="M129" i="19"/>
  <c r="O129" i="19"/>
  <c r="M130" i="19"/>
  <c r="O130" i="19"/>
  <c r="M131" i="19"/>
  <c r="O131" i="19"/>
  <c r="M132" i="19"/>
  <c r="O132" i="19"/>
  <c r="M133" i="19"/>
  <c r="O133" i="19"/>
  <c r="M134" i="19"/>
  <c r="O134" i="19"/>
  <c r="M135" i="19"/>
  <c r="O135" i="19"/>
  <c r="M136" i="19"/>
  <c r="O136" i="19"/>
  <c r="M137" i="19"/>
  <c r="O137" i="19"/>
  <c r="M138" i="19"/>
  <c r="O138" i="19"/>
  <c r="M139" i="19"/>
  <c r="O139" i="19"/>
  <c r="M140" i="19"/>
  <c r="O140" i="19"/>
  <c r="M141" i="19"/>
  <c r="O141" i="19"/>
  <c r="M142" i="19"/>
  <c r="O142" i="19"/>
  <c r="M143" i="19"/>
  <c r="O143" i="19"/>
  <c r="M144" i="19"/>
  <c r="O144" i="19"/>
  <c r="M145" i="19"/>
  <c r="O145" i="19"/>
  <c r="M146" i="19"/>
  <c r="O146" i="19"/>
  <c r="M147" i="19"/>
  <c r="O147" i="19"/>
  <c r="M148" i="19"/>
  <c r="O148" i="19"/>
  <c r="M149" i="19"/>
  <c r="O149" i="19"/>
  <c r="M150" i="19"/>
  <c r="O150" i="19"/>
  <c r="M151" i="19"/>
  <c r="O151" i="19"/>
  <c r="M152" i="19"/>
  <c r="O152" i="19"/>
  <c r="M153" i="19"/>
  <c r="O153" i="19"/>
  <c r="M154" i="19"/>
  <c r="O154" i="19"/>
  <c r="M155" i="19"/>
  <c r="O155" i="19"/>
  <c r="I17" i="18"/>
  <c r="P1" i="18"/>
  <c r="P84" i="18" s="1"/>
  <c r="H3" i="18"/>
  <c r="K11" i="18"/>
  <c r="B17" i="18"/>
  <c r="L17" i="18"/>
  <c r="N17" i="18"/>
  <c r="O17" i="18" s="1"/>
  <c r="B18" i="18"/>
  <c r="N18" i="18"/>
  <c r="O18" i="18" s="1"/>
  <c r="N22" i="18"/>
  <c r="L27" i="18"/>
  <c r="N27" i="18"/>
  <c r="L28" i="18"/>
  <c r="N28" i="18"/>
  <c r="L29" i="18"/>
  <c r="N29" i="18"/>
  <c r="L30" i="18"/>
  <c r="N30" i="18"/>
  <c r="L34" i="18"/>
  <c r="N34" i="18"/>
  <c r="L35" i="18"/>
  <c r="N35" i="18"/>
  <c r="L36" i="18"/>
  <c r="N36" i="18"/>
  <c r="L37" i="18"/>
  <c r="N37" i="18"/>
  <c r="L38" i="18"/>
  <c r="N38" i="18"/>
  <c r="L39" i="18"/>
  <c r="N39" i="18"/>
  <c r="L40" i="18"/>
  <c r="N40" i="18"/>
  <c r="L41" i="18"/>
  <c r="N41" i="18"/>
  <c r="L42" i="18"/>
  <c r="N42" i="18"/>
  <c r="L43" i="18"/>
  <c r="N43" i="18"/>
  <c r="L44" i="18"/>
  <c r="N44" i="18"/>
  <c r="L45" i="18"/>
  <c r="N45" i="18"/>
  <c r="L46" i="18"/>
  <c r="N46" i="18"/>
  <c r="L47" i="18"/>
  <c r="N47" i="18"/>
  <c r="L48" i="18"/>
  <c r="N48" i="18"/>
  <c r="L49" i="18"/>
  <c r="N49" i="18"/>
  <c r="L50" i="18"/>
  <c r="N50" i="18"/>
  <c r="L51" i="18"/>
  <c r="N51" i="18"/>
  <c r="L52" i="18"/>
  <c r="N52" i="18"/>
  <c r="L53" i="18"/>
  <c r="N53" i="18"/>
  <c r="L54" i="18"/>
  <c r="N54" i="18"/>
  <c r="L55" i="18"/>
  <c r="N55" i="18"/>
  <c r="L56" i="18"/>
  <c r="N56" i="18"/>
  <c r="L57" i="18"/>
  <c r="N57" i="18"/>
  <c r="L58" i="18"/>
  <c r="N58" i="18"/>
  <c r="L59" i="18"/>
  <c r="N59" i="18"/>
  <c r="L60" i="18"/>
  <c r="N60" i="18"/>
  <c r="L61" i="18"/>
  <c r="N61" i="18"/>
  <c r="L62" i="18"/>
  <c r="N62" i="18"/>
  <c r="L63" i="18"/>
  <c r="N63" i="18"/>
  <c r="L64" i="18"/>
  <c r="N64" i="18"/>
  <c r="L65" i="18"/>
  <c r="N65" i="18"/>
  <c r="L66" i="18"/>
  <c r="N66" i="18"/>
  <c r="L67" i="18"/>
  <c r="N67" i="18"/>
  <c r="L68" i="18"/>
  <c r="N68" i="18"/>
  <c r="L69" i="18"/>
  <c r="N69" i="18"/>
  <c r="L70" i="18"/>
  <c r="N70" i="18"/>
  <c r="L71" i="18"/>
  <c r="N71" i="18"/>
  <c r="L72" i="18"/>
  <c r="N72" i="18"/>
  <c r="L73" i="18"/>
  <c r="N73" i="18"/>
  <c r="D90" i="18"/>
  <c r="D92" i="18"/>
  <c r="J94" i="18"/>
  <c r="L94" i="18"/>
  <c r="D97" i="18"/>
  <c r="M100" i="18"/>
  <c r="O100" i="18"/>
  <c r="M108" i="18"/>
  <c r="O108" i="18"/>
  <c r="M109" i="18"/>
  <c r="O109" i="18"/>
  <c r="M110" i="18"/>
  <c r="O110" i="18"/>
  <c r="M111" i="18"/>
  <c r="O111" i="18"/>
  <c r="M112" i="18"/>
  <c r="O112" i="18"/>
  <c r="M113" i="18"/>
  <c r="O113" i="18"/>
  <c r="M114" i="18"/>
  <c r="O114" i="18"/>
  <c r="M115" i="18"/>
  <c r="O115" i="18"/>
  <c r="M116" i="18"/>
  <c r="O116" i="18"/>
  <c r="M117" i="18"/>
  <c r="O117" i="18"/>
  <c r="M118" i="18"/>
  <c r="O118" i="18"/>
  <c r="M119" i="18"/>
  <c r="O119" i="18"/>
  <c r="M120" i="18"/>
  <c r="O120" i="18"/>
  <c r="M121" i="18"/>
  <c r="O121" i="18"/>
  <c r="M122" i="18"/>
  <c r="O122" i="18"/>
  <c r="M123" i="18"/>
  <c r="O123" i="18"/>
  <c r="M124" i="18"/>
  <c r="O124" i="18"/>
  <c r="M125" i="18"/>
  <c r="O125" i="18"/>
  <c r="M126" i="18"/>
  <c r="O126" i="18"/>
  <c r="M127" i="18"/>
  <c r="O127" i="18"/>
  <c r="M128" i="18"/>
  <c r="O128" i="18"/>
  <c r="M129" i="18"/>
  <c r="O129" i="18"/>
  <c r="M130" i="18"/>
  <c r="O130" i="18"/>
  <c r="M131" i="18"/>
  <c r="O131" i="18"/>
  <c r="M132" i="18"/>
  <c r="O132" i="18"/>
  <c r="M133" i="18"/>
  <c r="O133" i="18"/>
  <c r="M134" i="18"/>
  <c r="O134" i="18"/>
  <c r="M135" i="18"/>
  <c r="O135" i="18"/>
  <c r="M136" i="18"/>
  <c r="O136" i="18"/>
  <c r="M137" i="18"/>
  <c r="O137" i="18"/>
  <c r="M138" i="18"/>
  <c r="O138" i="18"/>
  <c r="M139" i="18"/>
  <c r="O139" i="18"/>
  <c r="M140" i="18"/>
  <c r="O140" i="18"/>
  <c r="M141" i="18"/>
  <c r="O141" i="18"/>
  <c r="M142" i="18"/>
  <c r="O142" i="18"/>
  <c r="M143" i="18"/>
  <c r="O143" i="18"/>
  <c r="M144" i="18"/>
  <c r="O144" i="18"/>
  <c r="M145" i="18"/>
  <c r="O145" i="18"/>
  <c r="M146" i="18"/>
  <c r="O146" i="18"/>
  <c r="M147" i="18"/>
  <c r="O147" i="18"/>
  <c r="M148" i="18"/>
  <c r="O148" i="18"/>
  <c r="M149" i="18"/>
  <c r="O149" i="18"/>
  <c r="M150" i="18"/>
  <c r="O150" i="18"/>
  <c r="M151" i="18"/>
  <c r="O151" i="18"/>
  <c r="M152" i="18"/>
  <c r="O152" i="18"/>
  <c r="M153" i="18"/>
  <c r="O153" i="18"/>
  <c r="M154" i="18"/>
  <c r="O154" i="18"/>
  <c r="M155" i="18"/>
  <c r="O155" i="18"/>
  <c r="B17" i="3"/>
  <c r="B17" i="4"/>
  <c r="M17" i="4"/>
  <c r="B101" i="4"/>
  <c r="B100" i="4"/>
  <c r="B19" i="4"/>
  <c r="B18" i="4"/>
  <c r="B19" i="3"/>
  <c r="B18" i="3"/>
  <c r="B100" i="3"/>
  <c r="M17" i="3"/>
  <c r="N17" i="3"/>
  <c r="O17" i="3" s="1"/>
  <c r="P1" i="13"/>
  <c r="P84" i="13" s="1"/>
  <c r="P1" i="4"/>
  <c r="P84" i="4" s="1"/>
  <c r="P1" i="3"/>
  <c r="P84" i="3" s="1"/>
  <c r="P12" i="17"/>
  <c r="R12" i="17"/>
  <c r="L12" i="17"/>
  <c r="W19" i="17"/>
  <c r="W18" i="17"/>
  <c r="G12" i="17"/>
  <c r="T12" i="17" s="1"/>
  <c r="H3" i="3"/>
  <c r="H3" i="4"/>
  <c r="D91" i="4"/>
  <c r="D91" i="3"/>
  <c r="O3" i="3"/>
  <c r="A1" i="2"/>
  <c r="F13" i="1"/>
  <c r="C38" i="1" s="1"/>
  <c r="I11" i="13"/>
  <c r="K11"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D90" i="13"/>
  <c r="D92" i="13"/>
  <c r="J94" i="13"/>
  <c r="L94" i="13"/>
  <c r="D97" i="13"/>
  <c r="M100" i="13"/>
  <c r="O100" i="13"/>
  <c r="M101" i="13"/>
  <c r="O101" i="13"/>
  <c r="M102" i="13"/>
  <c r="O102" i="13"/>
  <c r="M103" i="13"/>
  <c r="O103" i="13"/>
  <c r="M104" i="13"/>
  <c r="O104" i="13"/>
  <c r="M105" i="13"/>
  <c r="O105" i="13"/>
  <c r="M106" i="13"/>
  <c r="O106" i="13"/>
  <c r="M107" i="13"/>
  <c r="O107"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J132" i="13"/>
  <c r="M132" i="13"/>
  <c r="O132" i="13"/>
  <c r="P132" i="13"/>
  <c r="J133" i="13"/>
  <c r="M133" i="13"/>
  <c r="O133" i="13"/>
  <c r="P133" i="13"/>
  <c r="J134" i="13"/>
  <c r="M134" i="13"/>
  <c r="O134" i="13"/>
  <c r="P134" i="13"/>
  <c r="J135" i="13"/>
  <c r="M135" i="13"/>
  <c r="O135" i="13"/>
  <c r="P135" i="13"/>
  <c r="J136" i="13"/>
  <c r="M136" i="13"/>
  <c r="O136" i="13"/>
  <c r="P136" i="13"/>
  <c r="J137" i="13"/>
  <c r="M137" i="13"/>
  <c r="O137" i="13"/>
  <c r="P137" i="13"/>
  <c r="J138" i="13"/>
  <c r="M138" i="13"/>
  <c r="O138" i="13"/>
  <c r="P138" i="13"/>
  <c r="J139" i="13"/>
  <c r="M139" i="13"/>
  <c r="O139" i="13"/>
  <c r="P139" i="13"/>
  <c r="J140" i="13"/>
  <c r="M140" i="13"/>
  <c r="O140" i="13"/>
  <c r="P140" i="13"/>
  <c r="J141" i="13"/>
  <c r="M141" i="13"/>
  <c r="O141" i="13"/>
  <c r="P141" i="13"/>
  <c r="J142" i="13"/>
  <c r="M142" i="13"/>
  <c r="O142" i="13"/>
  <c r="P142" i="13"/>
  <c r="J143" i="13"/>
  <c r="M143" i="13"/>
  <c r="O143" i="13"/>
  <c r="P143" i="13"/>
  <c r="J144" i="13"/>
  <c r="M144" i="13"/>
  <c r="O144" i="13"/>
  <c r="P144" i="13"/>
  <c r="J145" i="13"/>
  <c r="M145" i="13"/>
  <c r="O145" i="13"/>
  <c r="P145" i="13"/>
  <c r="J146" i="13"/>
  <c r="M146" i="13"/>
  <c r="O146" i="13"/>
  <c r="P146" i="13"/>
  <c r="J147" i="13"/>
  <c r="M147" i="13"/>
  <c r="O147" i="13"/>
  <c r="P147" i="13"/>
  <c r="J148" i="13"/>
  <c r="M148" i="13"/>
  <c r="O148" i="13"/>
  <c r="P148" i="13"/>
  <c r="J149" i="13"/>
  <c r="M149" i="13"/>
  <c r="O149" i="13"/>
  <c r="P149" i="13"/>
  <c r="J150" i="13"/>
  <c r="M150" i="13"/>
  <c r="O150" i="13"/>
  <c r="P150" i="13"/>
  <c r="J151" i="13"/>
  <c r="M151" i="13"/>
  <c r="O151" i="13"/>
  <c r="P151" i="13"/>
  <c r="J152" i="13"/>
  <c r="M152" i="13"/>
  <c r="O152" i="13"/>
  <c r="P152" i="13"/>
  <c r="J153" i="13"/>
  <c r="M153" i="13"/>
  <c r="O153" i="13"/>
  <c r="P153" i="13"/>
  <c r="J154" i="13"/>
  <c r="M154" i="13"/>
  <c r="O154" i="13"/>
  <c r="P154" i="13"/>
  <c r="J155" i="13"/>
  <c r="M155" i="13"/>
  <c r="O155" i="13"/>
  <c r="P155" i="13"/>
  <c r="K11" i="4"/>
  <c r="I17" i="4"/>
  <c r="N17" i="4"/>
  <c r="I18" i="4"/>
  <c r="L18" i="4"/>
  <c r="N18" i="4"/>
  <c r="O18" i="4"/>
  <c r="N19" i="4"/>
  <c r="O19" i="4" s="1"/>
  <c r="L28" i="4"/>
  <c r="N28" i="4"/>
  <c r="L29" i="4"/>
  <c r="N29" i="4"/>
  <c r="L30" i="4"/>
  <c r="N30" i="4"/>
  <c r="L31" i="4"/>
  <c r="N31" i="4"/>
  <c r="L33" i="4"/>
  <c r="N33" i="4"/>
  <c r="L34" i="4"/>
  <c r="N34" i="4"/>
  <c r="L35" i="4"/>
  <c r="N35" i="4"/>
  <c r="L36" i="4"/>
  <c r="N36" i="4"/>
  <c r="L37" i="4"/>
  <c r="N37" i="4"/>
  <c r="L38" i="4"/>
  <c r="N38" i="4"/>
  <c r="L39" i="4"/>
  <c r="N39" i="4"/>
  <c r="L40" i="4"/>
  <c r="N40" i="4"/>
  <c r="L41" i="4"/>
  <c r="N41" i="4"/>
  <c r="L42" i="4"/>
  <c r="N42" i="4"/>
  <c r="L43" i="4"/>
  <c r="N43" i="4"/>
  <c r="L44" i="4"/>
  <c r="N44" i="4"/>
  <c r="L45" i="4"/>
  <c r="N45" i="4"/>
  <c r="L46" i="4"/>
  <c r="N46" i="4"/>
  <c r="L47" i="4"/>
  <c r="N47" i="4"/>
  <c r="L48" i="4"/>
  <c r="N48" i="4"/>
  <c r="L49" i="4"/>
  <c r="N49" i="4"/>
  <c r="L50" i="4"/>
  <c r="N50" i="4"/>
  <c r="L51" i="4"/>
  <c r="N51" i="4"/>
  <c r="L52" i="4"/>
  <c r="N52" i="4"/>
  <c r="L53" i="4"/>
  <c r="N53" i="4"/>
  <c r="L54" i="4"/>
  <c r="N54" i="4"/>
  <c r="L55" i="4"/>
  <c r="N55" i="4"/>
  <c r="L56" i="4"/>
  <c r="N56" i="4"/>
  <c r="L57" i="4"/>
  <c r="N57" i="4"/>
  <c r="L58" i="4"/>
  <c r="N58" i="4"/>
  <c r="L59" i="4"/>
  <c r="N59" i="4"/>
  <c r="L60" i="4"/>
  <c r="N60" i="4"/>
  <c r="L61" i="4"/>
  <c r="N61" i="4"/>
  <c r="L62" i="4"/>
  <c r="N62" i="4"/>
  <c r="L63" i="4"/>
  <c r="N63" i="4"/>
  <c r="L64" i="4"/>
  <c r="N64" i="4"/>
  <c r="L65" i="4"/>
  <c r="N65" i="4"/>
  <c r="L66" i="4"/>
  <c r="N66" i="4"/>
  <c r="L67" i="4"/>
  <c r="N67" i="4"/>
  <c r="L68" i="4"/>
  <c r="N68" i="4"/>
  <c r="L69" i="4"/>
  <c r="N69" i="4"/>
  <c r="L70" i="4"/>
  <c r="N70" i="4"/>
  <c r="L71" i="4"/>
  <c r="N71" i="4"/>
  <c r="L72" i="4"/>
  <c r="N72" i="4"/>
  <c r="L73" i="4"/>
  <c r="N73" i="4"/>
  <c r="D90" i="4"/>
  <c r="D92" i="4"/>
  <c r="J94" i="4"/>
  <c r="L94" i="4"/>
  <c r="D97" i="4"/>
  <c r="O100" i="4"/>
  <c r="P100" i="4" s="1"/>
  <c r="M101" i="4"/>
  <c r="P101" i="4"/>
  <c r="O101" i="4"/>
  <c r="M109" i="4"/>
  <c r="O109" i="4"/>
  <c r="M110" i="4"/>
  <c r="O110" i="4"/>
  <c r="M111" i="4"/>
  <c r="O111" i="4"/>
  <c r="M112" i="4"/>
  <c r="O112" i="4"/>
  <c r="M113" i="4"/>
  <c r="O113" i="4"/>
  <c r="M114" i="4"/>
  <c r="O114" i="4"/>
  <c r="M115" i="4"/>
  <c r="O115" i="4"/>
  <c r="M116" i="4"/>
  <c r="O116" i="4"/>
  <c r="M117" i="4"/>
  <c r="O117" i="4"/>
  <c r="M118" i="4"/>
  <c r="O118" i="4"/>
  <c r="M119" i="4"/>
  <c r="O119" i="4"/>
  <c r="M120" i="4"/>
  <c r="O120" i="4"/>
  <c r="M121" i="4"/>
  <c r="O121" i="4"/>
  <c r="M122" i="4"/>
  <c r="O122" i="4"/>
  <c r="M123" i="4"/>
  <c r="O123" i="4"/>
  <c r="M124" i="4"/>
  <c r="O124" i="4"/>
  <c r="M125" i="4"/>
  <c r="O125" i="4"/>
  <c r="M126" i="4"/>
  <c r="O126" i="4"/>
  <c r="M127" i="4"/>
  <c r="O127" i="4"/>
  <c r="M128" i="4"/>
  <c r="O128" i="4"/>
  <c r="M129" i="4"/>
  <c r="O129" i="4"/>
  <c r="M130" i="4"/>
  <c r="O130" i="4"/>
  <c r="M131" i="4"/>
  <c r="O131" i="4"/>
  <c r="M132" i="4"/>
  <c r="O132" i="4"/>
  <c r="M133" i="4"/>
  <c r="O133" i="4"/>
  <c r="M134" i="4"/>
  <c r="O134" i="4"/>
  <c r="M135" i="4"/>
  <c r="O135" i="4"/>
  <c r="M136" i="4"/>
  <c r="O136" i="4"/>
  <c r="M137" i="4"/>
  <c r="O137" i="4"/>
  <c r="M138" i="4"/>
  <c r="O138" i="4"/>
  <c r="M139" i="4"/>
  <c r="O139" i="4"/>
  <c r="M140" i="4"/>
  <c r="O140" i="4"/>
  <c r="M141" i="4"/>
  <c r="O141" i="4"/>
  <c r="M142" i="4"/>
  <c r="O142" i="4"/>
  <c r="M143" i="4"/>
  <c r="O143" i="4"/>
  <c r="M144" i="4"/>
  <c r="O144" i="4"/>
  <c r="M145" i="4"/>
  <c r="O145" i="4"/>
  <c r="M146" i="4"/>
  <c r="O146" i="4"/>
  <c r="M147" i="4"/>
  <c r="O147" i="4"/>
  <c r="M148" i="4"/>
  <c r="O148" i="4"/>
  <c r="M149" i="4"/>
  <c r="O149" i="4"/>
  <c r="M150" i="4"/>
  <c r="O150" i="4"/>
  <c r="M151" i="4"/>
  <c r="O151" i="4"/>
  <c r="M152" i="4"/>
  <c r="O152" i="4"/>
  <c r="M153" i="4"/>
  <c r="O153" i="4"/>
  <c r="M154" i="4"/>
  <c r="O154" i="4"/>
  <c r="M155" i="4"/>
  <c r="O155" i="4"/>
  <c r="K11" i="3"/>
  <c r="I17" i="3"/>
  <c r="L17" i="3"/>
  <c r="I18" i="3"/>
  <c r="N18" i="3"/>
  <c r="O18" i="3"/>
  <c r="L28" i="3"/>
  <c r="N28" i="3"/>
  <c r="L29" i="3"/>
  <c r="N29" i="3"/>
  <c r="L30" i="3"/>
  <c r="N30"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D90" i="3"/>
  <c r="D92" i="3"/>
  <c r="J94" i="3"/>
  <c r="L94" i="3"/>
  <c r="D97" i="3"/>
  <c r="O100" i="3"/>
  <c r="M101" i="3"/>
  <c r="P101" i="3"/>
  <c r="O101" i="3"/>
  <c r="M109" i="3"/>
  <c r="O109" i="3"/>
  <c r="M110" i="3"/>
  <c r="O110" i="3"/>
  <c r="M111" i="3"/>
  <c r="O111" i="3"/>
  <c r="M112" i="3"/>
  <c r="O112"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C40" i="2"/>
  <c r="C52" i="2"/>
  <c r="E24" i="1"/>
  <c r="C39" i="1"/>
  <c r="C43" i="1"/>
  <c r="F44" i="1"/>
  <c r="C45" i="1"/>
  <c r="F46" i="1"/>
  <c r="C51" i="1"/>
  <c r="F63" i="1"/>
  <c r="C73" i="1"/>
  <c r="C87" i="1"/>
  <c r="S129" i="1"/>
  <c r="S130" i="1"/>
  <c r="S131" i="1"/>
  <c r="E31" i="2"/>
  <c r="D19" i="2"/>
  <c r="D18" i="2"/>
  <c r="D17" i="2"/>
  <c r="F13" i="2"/>
  <c r="C76" i="2" s="1"/>
  <c r="J100" i="4"/>
  <c r="J100" i="3"/>
  <c r="E18" i="2"/>
  <c r="E17" i="2"/>
  <c r="E24" i="2"/>
  <c r="F64" i="2"/>
  <c r="C90" i="2"/>
  <c r="C89" i="2"/>
  <c r="C64" i="2"/>
  <c r="C31" i="2"/>
  <c r="C24" i="2"/>
  <c r="C12" i="2"/>
  <c r="P100" i="18"/>
  <c r="B101" i="3"/>
  <c r="C101" i="3"/>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B100" i="18"/>
  <c r="B19" i="19"/>
  <c r="B18" i="20"/>
  <c r="B100" i="19"/>
  <c r="B21" i="4"/>
  <c r="B20" i="4"/>
  <c r="B20" i="3"/>
  <c r="B18" i="21"/>
  <c r="B19" i="18"/>
  <c r="C100" i="2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B100" i="21"/>
  <c r="B102" i="3"/>
  <c r="B101" i="19"/>
  <c r="B102" i="4"/>
  <c r="B101" i="18"/>
  <c r="B101" i="21"/>
  <c r="B20" i="19"/>
  <c r="B20" i="18"/>
  <c r="B22" i="3"/>
  <c r="B20" i="21"/>
  <c r="B21" i="19"/>
  <c r="B103" i="4"/>
  <c r="B103" i="3"/>
  <c r="B102" i="19"/>
  <c r="B102" i="21"/>
  <c r="P102" i="19"/>
  <c r="O20" i="19"/>
  <c r="O20" i="18"/>
  <c r="B22" i="4"/>
  <c r="B23" i="3"/>
  <c r="C100" i="24"/>
  <c r="C101" i="24"/>
  <c r="C102" i="24" s="1"/>
  <c r="C103" i="24" s="1"/>
  <c r="C104" i="24" s="1"/>
  <c r="C105" i="24" s="1"/>
  <c r="C106" i="24" s="1"/>
  <c r="C107" i="24" s="1"/>
  <c r="C108" i="24" s="1"/>
  <c r="C109" i="24" s="1"/>
  <c r="C110" i="24" s="1"/>
  <c r="C111" i="24" s="1"/>
  <c r="C112" i="24" s="1"/>
  <c r="C113" i="24" s="1"/>
  <c r="C114" i="24" s="1"/>
  <c r="C115" i="24" s="1"/>
  <c r="C116" i="24" s="1"/>
  <c r="C117" i="24" s="1"/>
  <c r="C118" i="24" s="1"/>
  <c r="C119" i="24" s="1"/>
  <c r="C120" i="24" s="1"/>
  <c r="C121" i="24" s="1"/>
  <c r="C122" i="24" s="1"/>
  <c r="C123" i="24" s="1"/>
  <c r="C124" i="24" s="1"/>
  <c r="C125" i="24" s="1"/>
  <c r="C126" i="24" s="1"/>
  <c r="C127" i="24" s="1"/>
  <c r="B23" i="4"/>
  <c r="B102" i="18"/>
  <c r="M17" i="28"/>
  <c r="N17" i="28" s="1"/>
  <c r="K17" i="28"/>
  <c r="L17" i="28" s="1"/>
  <c r="C100" i="26"/>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J102" i="18"/>
  <c r="I22" i="3"/>
  <c r="B105" i="3"/>
  <c r="B104" i="3"/>
  <c r="B103" i="18"/>
  <c r="B104" i="4"/>
  <c r="B100" i="25"/>
  <c r="E13" i="17"/>
  <c r="H3" i="17"/>
  <c r="B105" i="4"/>
  <c r="B103" i="19"/>
  <c r="B22" i="18"/>
  <c r="P100" i="28"/>
  <c r="P101" i="27"/>
  <c r="P100" i="26"/>
  <c r="P100" i="24"/>
  <c r="B104" i="19"/>
  <c r="P105" i="4"/>
  <c r="O20" i="3"/>
  <c r="O21" i="3"/>
  <c r="O100" i="31"/>
  <c r="J105" i="4"/>
  <c r="B104" i="18"/>
  <c r="O19" i="22"/>
  <c r="O19" i="23"/>
  <c r="O18" i="25"/>
  <c r="O20" i="24"/>
  <c r="O19" i="26"/>
  <c r="O22" i="18"/>
  <c r="O20" i="21"/>
  <c r="O20" i="28"/>
  <c r="O17" i="29"/>
  <c r="B20" i="26"/>
  <c r="O20" i="27"/>
  <c r="O23" i="3"/>
  <c r="O22" i="19"/>
  <c r="B103" i="24"/>
  <c r="B20" i="22"/>
  <c r="B20" i="23"/>
  <c r="B21" i="27"/>
  <c r="B102" i="26"/>
  <c r="J104" i="18"/>
  <c r="I20" i="27"/>
  <c r="I20" i="28"/>
  <c r="I19" i="26"/>
  <c r="I19" i="22"/>
  <c r="B21" i="21"/>
  <c r="B23" i="19"/>
  <c r="I23" i="3"/>
  <c r="B105" i="19"/>
  <c r="I22" i="18"/>
  <c r="I17" i="29"/>
  <c r="B24" i="3"/>
  <c r="B21" i="24"/>
  <c r="I19" i="23"/>
  <c r="I22" i="19"/>
  <c r="I20" i="24"/>
  <c r="B23" i="18"/>
  <c r="I20" i="21"/>
  <c r="B24" i="4"/>
  <c r="I23" i="4"/>
  <c r="J105" i="3"/>
  <c r="I18" i="25"/>
  <c r="B17" i="35"/>
  <c r="C45" i="34"/>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B19" i="25"/>
  <c r="B103" i="28"/>
  <c r="B103" i="27"/>
  <c r="P102" i="27"/>
  <c r="P102" i="24"/>
  <c r="P100" i="25"/>
  <c r="B101" i="25"/>
  <c r="P101" i="23"/>
  <c r="B103" i="21"/>
  <c r="P105" i="3"/>
  <c r="C18" i="13"/>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B17" i="13"/>
  <c r="I14" i="13"/>
  <c r="E17" i="13"/>
  <c r="F17" i="13" s="1"/>
  <c r="D18" i="13" s="1"/>
  <c r="B18" i="13" s="1"/>
  <c r="B102" i="22"/>
  <c r="A5" i="2"/>
  <c r="C28" i="2"/>
  <c r="B104" i="27"/>
  <c r="B103" i="26"/>
  <c r="B104" i="21"/>
  <c r="B106" i="19"/>
  <c r="B104" i="28"/>
  <c r="B22" i="24"/>
  <c r="B24" i="19"/>
  <c r="B21" i="23"/>
  <c r="B18" i="34"/>
  <c r="J103" i="24"/>
  <c r="J103" i="28"/>
  <c r="J102" i="26"/>
  <c r="J101" i="25"/>
  <c r="J103" i="27"/>
  <c r="J103" i="21"/>
  <c r="J105" i="19"/>
  <c r="B25" i="4"/>
  <c r="I17" i="34"/>
  <c r="I23" i="18"/>
  <c r="I23" i="19"/>
  <c r="I17" i="31"/>
  <c r="I21" i="24"/>
  <c r="I18" i="29"/>
  <c r="I24" i="3"/>
  <c r="I20" i="26"/>
  <c r="B18" i="31"/>
  <c r="I19" i="25"/>
  <c r="I21" i="21"/>
  <c r="B25" i="3"/>
  <c r="I20" i="23"/>
  <c r="I21" i="27"/>
  <c r="I24" i="4"/>
  <c r="P100" i="29"/>
  <c r="L18" i="29"/>
  <c r="O18" i="29" s="1"/>
  <c r="P103" i="28"/>
  <c r="B22" i="28"/>
  <c r="P103" i="27"/>
  <c r="B22" i="27"/>
  <c r="P102" i="26"/>
  <c r="N20" i="26"/>
  <c r="O20" i="26"/>
  <c r="P101" i="24"/>
  <c r="B102" i="24"/>
  <c r="B104" i="24"/>
  <c r="N21" i="24"/>
  <c r="O21" i="24"/>
  <c r="B102" i="25"/>
  <c r="O19" i="25"/>
  <c r="B21" i="22"/>
  <c r="B22" i="21"/>
  <c r="P105" i="19"/>
  <c r="P106" i="4"/>
  <c r="I17" i="35"/>
  <c r="I21" i="28"/>
  <c r="B106" i="3"/>
  <c r="B107" i="4"/>
  <c r="B105" i="18"/>
  <c r="J106" i="4"/>
  <c r="J100" i="29"/>
  <c r="J106" i="3"/>
  <c r="J102" i="23"/>
  <c r="J102" i="22"/>
  <c r="J105" i="18"/>
  <c r="J97" i="13"/>
  <c r="B107" i="3"/>
  <c r="D17" i="1"/>
  <c r="E17" i="1"/>
  <c r="I10" i="18"/>
  <c r="D95" i="18" s="1"/>
  <c r="I10" i="22"/>
  <c r="D93" i="22" s="1"/>
  <c r="B104" i="22" s="1"/>
  <c r="I10" i="26"/>
  <c r="I10" i="29"/>
  <c r="D95" i="29" s="1"/>
  <c r="E100" i="13"/>
  <c r="B100" i="34"/>
  <c r="B103" i="22"/>
  <c r="E18" i="1"/>
  <c r="B100" i="35"/>
  <c r="J95" i="27"/>
  <c r="J96" i="27" s="1"/>
  <c r="C128" i="24"/>
  <c r="C129" i="24" s="1"/>
  <c r="C130" i="24" s="1"/>
  <c r="C131" i="24" s="1"/>
  <c r="C132" i="24" s="1"/>
  <c r="C133" i="24" s="1"/>
  <c r="C134" i="24" s="1"/>
  <c r="C135" i="24" s="1"/>
  <c r="C136" i="24" s="1"/>
  <c r="C137" i="24" s="1"/>
  <c r="C138" i="24" s="1"/>
  <c r="C139" i="24" s="1"/>
  <c r="C140" i="24" s="1"/>
  <c r="C141" i="24" s="1"/>
  <c r="C142" i="24" s="1"/>
  <c r="C143" i="24" s="1"/>
  <c r="C144" i="24" s="1"/>
  <c r="C145" i="24" s="1"/>
  <c r="C146" i="24" s="1"/>
  <c r="C147" i="24" s="1"/>
  <c r="C148" i="24" s="1"/>
  <c r="C149" i="24" s="1"/>
  <c r="C150" i="24" s="1"/>
  <c r="C151" i="24" s="1"/>
  <c r="C152" i="24" s="1"/>
  <c r="C153" i="24" s="1"/>
  <c r="C154" i="24" s="1"/>
  <c r="C155" i="24" s="1"/>
  <c r="B24" i="18"/>
  <c r="B21" i="26"/>
  <c r="B20" i="25"/>
  <c r="B18" i="35"/>
  <c r="O20" i="4"/>
  <c r="P100" i="21"/>
  <c r="P39" i="17"/>
  <c r="P101" i="18"/>
  <c r="P103" i="3"/>
  <c r="P103" i="4"/>
  <c r="P101" i="21"/>
  <c r="O21" i="4"/>
  <c r="O17" i="26"/>
  <c r="O18" i="28"/>
  <c r="O19" i="21"/>
  <c r="P100" i="22"/>
  <c r="O19" i="24"/>
  <c r="O17" i="25"/>
  <c r="C100" i="3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B100" i="31"/>
  <c r="O24" i="4"/>
  <c r="P103" i="21"/>
  <c r="O20" i="22"/>
  <c r="O20" i="23"/>
  <c r="B106" i="18"/>
  <c r="B105" i="21"/>
  <c r="B101" i="35"/>
  <c r="B107" i="19"/>
  <c r="B105" i="27"/>
  <c r="B108" i="4"/>
  <c r="B26" i="3"/>
  <c r="B25" i="19"/>
  <c r="B101" i="34"/>
  <c r="B105" i="28"/>
  <c r="B22" i="22"/>
  <c r="B25" i="18"/>
  <c r="J100" i="31"/>
  <c r="B23" i="21"/>
  <c r="B23" i="24"/>
  <c r="B22" i="23"/>
  <c r="B22" i="26"/>
  <c r="B26" i="4"/>
  <c r="B104" i="26"/>
  <c r="J102" i="25"/>
  <c r="J104" i="24"/>
  <c r="J100" i="35"/>
  <c r="J107" i="4"/>
  <c r="I18" i="34"/>
  <c r="B23" i="28"/>
  <c r="I19" i="29"/>
  <c r="J101" i="29"/>
  <c r="I18" i="31"/>
  <c r="I25" i="4"/>
  <c r="J103" i="22"/>
  <c r="I17" i="37"/>
  <c r="J104" i="21"/>
  <c r="I25" i="3"/>
  <c r="J100" i="34"/>
  <c r="J107" i="3"/>
  <c r="J106" i="18"/>
  <c r="C100" i="38"/>
  <c r="P100" i="35"/>
  <c r="O17" i="35"/>
  <c r="P100" i="34"/>
  <c r="B101" i="31"/>
  <c r="P100" i="31"/>
  <c r="P103" i="26"/>
  <c r="B105" i="24"/>
  <c r="B103" i="25"/>
  <c r="I18" i="35"/>
  <c r="B19" i="34"/>
  <c r="J95" i="20"/>
  <c r="J96" i="20" s="1"/>
  <c r="J95" i="29"/>
  <c r="J96" i="29" s="1"/>
  <c r="F52" i="2"/>
  <c r="J96" i="31"/>
  <c r="J95" i="18"/>
  <c r="J96" i="18" s="1"/>
  <c r="J95" i="38"/>
  <c r="J95" i="34"/>
  <c r="J96" i="34" s="1"/>
  <c r="J95" i="28"/>
  <c r="J96" i="28" s="1"/>
  <c r="J95" i="4"/>
  <c r="J96" i="4" s="1"/>
  <c r="J95" i="37"/>
  <c r="J96" i="37" s="1"/>
  <c r="J95" i="3"/>
  <c r="J96" i="3" s="1"/>
  <c r="J95" i="23"/>
  <c r="J96" i="23" s="1"/>
  <c r="J95" i="19"/>
  <c r="J95" i="22"/>
  <c r="J96" i="22" s="1"/>
  <c r="J95" i="24"/>
  <c r="J96" i="24" s="1"/>
  <c r="J95" i="26"/>
  <c r="J96" i="26" s="1"/>
  <c r="J95" i="35"/>
  <c r="J96" i="35" s="1"/>
  <c r="J95" i="25"/>
  <c r="J96" i="25" s="1"/>
  <c r="J95" i="21"/>
  <c r="J96" i="21" s="1"/>
  <c r="J95" i="13"/>
  <c r="J96" i="13" s="1"/>
  <c r="J96" i="19"/>
  <c r="F46" i="17"/>
  <c r="C46" i="17"/>
  <c r="N46" i="17"/>
  <c r="E46" i="17"/>
  <c r="O46" i="17"/>
  <c r="C60" i="1" l="1"/>
  <c r="I12" i="26"/>
  <c r="I13" i="26" s="1"/>
  <c r="O72" i="13"/>
  <c r="O64" i="34"/>
  <c r="O52" i="37"/>
  <c r="O42" i="37"/>
  <c r="O54" i="37"/>
  <c r="D93" i="23"/>
  <c r="I12" i="20"/>
  <c r="I13" i="20" s="1"/>
  <c r="I12" i="39"/>
  <c r="D95" i="4"/>
  <c r="D95" i="23"/>
  <c r="D94" i="34"/>
  <c r="C100" i="34" s="1"/>
  <c r="C101" i="34" s="1"/>
  <c r="C102" i="34" s="1"/>
  <c r="C103" i="34" s="1"/>
  <c r="C104" i="34" s="1"/>
  <c r="C105" i="34" s="1"/>
  <c r="C106" i="34" s="1"/>
  <c r="C107" i="34" s="1"/>
  <c r="C108" i="34" s="1"/>
  <c r="C109" i="34" s="1"/>
  <c r="C110" i="34" s="1"/>
  <c r="C111" i="34" s="1"/>
  <c r="C112" i="34" s="1"/>
  <c r="C113" i="34" s="1"/>
  <c r="C114" i="34" s="1"/>
  <c r="C115" i="34" s="1"/>
  <c r="C116" i="34" s="1"/>
  <c r="C117" i="34" s="1"/>
  <c r="C118" i="34" s="1"/>
  <c r="C119" i="34" s="1"/>
  <c r="C120" i="34" s="1"/>
  <c r="C121" i="34" s="1"/>
  <c r="C122" i="34" s="1"/>
  <c r="C123" i="34" s="1"/>
  <c r="C124" i="34" s="1"/>
  <c r="C125" i="34" s="1"/>
  <c r="C126" i="34" s="1"/>
  <c r="C127" i="34" s="1"/>
  <c r="C128" i="34" s="1"/>
  <c r="C129" i="34" s="1"/>
  <c r="C130" i="34" s="1"/>
  <c r="C131" i="34" s="1"/>
  <c r="C132" i="34" s="1"/>
  <c r="C133" i="34" s="1"/>
  <c r="C134" i="34" s="1"/>
  <c r="C135" i="34" s="1"/>
  <c r="C136" i="34" s="1"/>
  <c r="C137" i="34" s="1"/>
  <c r="C138" i="34" s="1"/>
  <c r="C139" i="34" s="1"/>
  <c r="C140" i="34" s="1"/>
  <c r="C141" i="34" s="1"/>
  <c r="C142" i="34" s="1"/>
  <c r="C143" i="34" s="1"/>
  <c r="C144" i="34" s="1"/>
  <c r="C145" i="34" s="1"/>
  <c r="C146" i="34" s="1"/>
  <c r="C147" i="34" s="1"/>
  <c r="C148" i="34" s="1"/>
  <c r="C149" i="34" s="1"/>
  <c r="C150" i="34" s="1"/>
  <c r="C151" i="34" s="1"/>
  <c r="C152" i="34" s="1"/>
  <c r="C153" i="34" s="1"/>
  <c r="C154" i="34" s="1"/>
  <c r="C155" i="34" s="1"/>
  <c r="D93" i="18"/>
  <c r="B107" i="18" s="1"/>
  <c r="D94" i="4"/>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C59" i="2"/>
  <c r="C77" i="2"/>
  <c r="C50" i="2"/>
  <c r="C14" i="2"/>
  <c r="O18" i="35"/>
  <c r="O18" i="34"/>
  <c r="O18" i="31"/>
  <c r="O25" i="4"/>
  <c r="B108" i="3"/>
  <c r="D109" i="3"/>
  <c r="D94" i="18"/>
  <c r="C100" i="18" s="1"/>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C121" i="18" s="1"/>
  <c r="C122" i="18" s="1"/>
  <c r="C123" i="18" s="1"/>
  <c r="C124" i="18" s="1"/>
  <c r="C125" i="18" s="1"/>
  <c r="C126" i="18" s="1"/>
  <c r="C127" i="18" s="1"/>
  <c r="D94" i="20"/>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O17" i="37"/>
  <c r="O50" i="19"/>
  <c r="O29" i="19"/>
  <c r="O46" i="35"/>
  <c r="O33" i="21"/>
  <c r="O36" i="35"/>
  <c r="O62" i="37"/>
  <c r="O64" i="37"/>
  <c r="O66" i="37"/>
  <c r="O22" i="28"/>
  <c r="O64" i="24"/>
  <c r="O20" i="25"/>
  <c r="O67" i="25"/>
  <c r="P124" i="31"/>
  <c r="O38" i="35"/>
  <c r="O67" i="26"/>
  <c r="O45" i="38"/>
  <c r="O47" i="38"/>
  <c r="O51" i="38"/>
  <c r="O55" i="38"/>
  <c r="O57" i="38"/>
  <c r="O59" i="38"/>
  <c r="O63" i="38"/>
  <c r="O65" i="38"/>
  <c r="O67" i="38"/>
  <c r="O71" i="38"/>
  <c r="O47" i="13"/>
  <c r="O29" i="13"/>
  <c r="O33" i="25"/>
  <c r="O33" i="26"/>
  <c r="O33" i="28"/>
  <c r="O25" i="38"/>
  <c r="F47" i="1"/>
  <c r="F51" i="1" s="1"/>
  <c r="D95" i="20"/>
  <c r="E100" i="20"/>
  <c r="O30" i="23"/>
  <c r="O52" i="23"/>
  <c r="O54" i="23"/>
  <c r="O66" i="23"/>
  <c r="O28" i="24"/>
  <c r="O62" i="24"/>
  <c r="O72" i="24"/>
  <c r="O24" i="25"/>
  <c r="O26" i="25"/>
  <c r="O28" i="25"/>
  <c r="O30" i="25"/>
  <c r="O36" i="25"/>
  <c r="O38" i="25"/>
  <c r="O44" i="25"/>
  <c r="O64" i="25"/>
  <c r="O66" i="25"/>
  <c r="O68" i="25"/>
  <c r="O70" i="25"/>
  <c r="O23" i="26"/>
  <c r="O25" i="26"/>
  <c r="O41" i="26"/>
  <c r="O43" i="26"/>
  <c r="O53" i="26"/>
  <c r="O48" i="27"/>
  <c r="O21" i="37"/>
  <c r="O27" i="37"/>
  <c r="O73" i="37"/>
  <c r="O69" i="38"/>
  <c r="C49" i="1"/>
  <c r="C72" i="1"/>
  <c r="C75" i="1"/>
  <c r="D94" i="19"/>
  <c r="C100" i="19" s="1"/>
  <c r="C101" i="19" s="1"/>
  <c r="C102" i="19" s="1"/>
  <c r="C103" i="19" s="1"/>
  <c r="C104" i="19" s="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0" i="1"/>
  <c r="C55" i="1"/>
  <c r="C28" i="1"/>
  <c r="C78" i="1"/>
  <c r="C58" i="1"/>
  <c r="D94" i="25"/>
  <c r="C100" i="25" s="1"/>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F14" i="1"/>
  <c r="E19" i="1" s="1"/>
  <c r="F19" i="1" s="1"/>
  <c r="C77" i="1"/>
  <c r="C80" i="1"/>
  <c r="C8" i="1"/>
  <c r="F18" i="1"/>
  <c r="C74" i="1"/>
  <c r="C54" i="1"/>
  <c r="C14" i="1"/>
  <c r="C22" i="1"/>
  <c r="C61" i="1"/>
  <c r="P105" i="37"/>
  <c r="P109" i="37"/>
  <c r="P121" i="37"/>
  <c r="P125" i="37"/>
  <c r="P129" i="37"/>
  <c r="O71" i="21"/>
  <c r="O67" i="21"/>
  <c r="O53" i="21"/>
  <c r="O43" i="21"/>
  <c r="O37" i="21"/>
  <c r="O39" i="22"/>
  <c r="O41" i="22"/>
  <c r="O43" i="22"/>
  <c r="O47" i="22"/>
  <c r="O49" i="22"/>
  <c r="O53" i="22"/>
  <c r="O55" i="22"/>
  <c r="O57" i="22"/>
  <c r="O59" i="22"/>
  <c r="O61" i="22"/>
  <c r="O69" i="22"/>
  <c r="O71" i="22"/>
  <c r="O38" i="28"/>
  <c r="O40" i="28"/>
  <c r="O35" i="31"/>
  <c r="O52" i="31"/>
  <c r="O60" i="31"/>
  <c r="P128" i="31"/>
  <c r="O20" i="35"/>
  <c r="O24" i="35"/>
  <c r="O26" i="35"/>
  <c r="O28" i="35"/>
  <c r="J39" i="17"/>
  <c r="P119" i="35"/>
  <c r="P123" i="35"/>
  <c r="P127" i="35"/>
  <c r="P131" i="35"/>
  <c r="P115" i="35"/>
  <c r="P103" i="35"/>
  <c r="P107" i="35"/>
  <c r="P111" i="35"/>
  <c r="P110" i="38"/>
  <c r="P112" i="31"/>
  <c r="P114" i="37"/>
  <c r="P122" i="37"/>
  <c r="P126" i="37"/>
  <c r="P130" i="37"/>
  <c r="P105" i="38"/>
  <c r="P109" i="38"/>
  <c r="P113" i="38"/>
  <c r="P121" i="38"/>
  <c r="P106" i="37"/>
  <c r="O50" i="4"/>
  <c r="O44" i="4"/>
  <c r="O38" i="4"/>
  <c r="P106" i="31"/>
  <c r="P108" i="31"/>
  <c r="O24" i="34"/>
  <c r="O26" i="34"/>
  <c r="O28" i="34"/>
  <c r="O30" i="34"/>
  <c r="O36" i="34"/>
  <c r="O38" i="34"/>
  <c r="O42" i="34"/>
  <c r="O34" i="35"/>
  <c r="O40" i="35"/>
  <c r="O42" i="35"/>
  <c r="O44" i="35"/>
  <c r="O48" i="35"/>
  <c r="O52" i="35"/>
  <c r="O54" i="35"/>
  <c r="O56" i="35"/>
  <c r="O36" i="4"/>
  <c r="O63" i="20"/>
  <c r="O59" i="20"/>
  <c r="O55" i="20"/>
  <c r="O41" i="20"/>
  <c r="O39" i="20"/>
  <c r="O37" i="20"/>
  <c r="O35" i="20"/>
  <c r="O33" i="20"/>
  <c r="O30" i="20"/>
  <c r="O28" i="20"/>
  <c r="O26" i="20"/>
  <c r="O24" i="20"/>
  <c r="O22" i="20"/>
  <c r="O20" i="20"/>
  <c r="O18" i="20"/>
  <c r="O70" i="21"/>
  <c r="O52" i="21"/>
  <c r="O50" i="21"/>
  <c r="O48" i="21"/>
  <c r="O29" i="21"/>
  <c r="O27" i="21"/>
  <c r="O25" i="22"/>
  <c r="O27" i="22"/>
  <c r="O48" i="22"/>
  <c r="O50" i="22"/>
  <c r="O62" i="22"/>
  <c r="O64" i="22"/>
  <c r="O66" i="22"/>
  <c r="O27" i="28"/>
  <c r="O39" i="28"/>
  <c r="O41" i="28"/>
  <c r="O45" i="28"/>
  <c r="O47" i="28"/>
  <c r="O51" i="28"/>
  <c r="O53" i="28"/>
  <c r="O57" i="28"/>
  <c r="O61" i="28"/>
  <c r="O23" i="34"/>
  <c r="O25" i="34"/>
  <c r="O27" i="34"/>
  <c r="O29" i="34"/>
  <c r="O37" i="34"/>
  <c r="O39" i="34"/>
  <c r="O49" i="34"/>
  <c r="O51" i="34"/>
  <c r="O53" i="34"/>
  <c r="O65" i="34"/>
  <c r="O23" i="35"/>
  <c r="O29" i="35"/>
  <c r="O35" i="35"/>
  <c r="O39" i="35"/>
  <c r="O43" i="35"/>
  <c r="O47" i="35"/>
  <c r="O61" i="35"/>
  <c r="O65" i="35"/>
  <c r="O67" i="35"/>
  <c r="O69" i="35"/>
  <c r="O73" i="35"/>
  <c r="O73" i="13"/>
  <c r="O32" i="37"/>
  <c r="O36" i="37"/>
  <c r="O68" i="37"/>
  <c r="O70" i="37"/>
  <c r="P110" i="37"/>
  <c r="F85" i="1"/>
  <c r="F86" i="1" s="1"/>
  <c r="F88" i="1" s="1"/>
  <c r="F89" i="1" s="1"/>
  <c r="O26" i="38"/>
  <c r="O28" i="38"/>
  <c r="O30" i="38"/>
  <c r="O40" i="38"/>
  <c r="O44" i="38"/>
  <c r="O48" i="38"/>
  <c r="O50" i="38"/>
  <c r="O52" i="38"/>
  <c r="O54" i="38"/>
  <c r="O56" i="38"/>
  <c r="O58" i="38"/>
  <c r="O60" i="38"/>
  <c r="O62" i="38"/>
  <c r="O64" i="38"/>
  <c r="O68" i="38"/>
  <c r="O70" i="38"/>
  <c r="O72" i="38"/>
  <c r="P116" i="21"/>
  <c r="P107" i="21"/>
  <c r="P131" i="31"/>
  <c r="O72" i="3"/>
  <c r="O66" i="3"/>
  <c r="O64" i="3"/>
  <c r="O56" i="3"/>
  <c r="O52" i="3"/>
  <c r="O29" i="3"/>
  <c r="O56" i="13"/>
  <c r="O52" i="13"/>
  <c r="O38" i="13"/>
  <c r="O34" i="13"/>
  <c r="O55" i="18"/>
  <c r="O51" i="18"/>
  <c r="O39" i="18"/>
  <c r="O37" i="18"/>
  <c r="O35" i="18"/>
  <c r="O28" i="18"/>
  <c r="O73" i="19"/>
  <c r="O71" i="19"/>
  <c r="O67" i="19"/>
  <c r="O37" i="19"/>
  <c r="O35" i="19"/>
  <c r="O30" i="19"/>
  <c r="O70" i="20"/>
  <c r="O46" i="20"/>
  <c r="O44" i="20"/>
  <c r="O31" i="20"/>
  <c r="O27" i="20"/>
  <c r="O58" i="34"/>
  <c r="P122" i="34"/>
  <c r="P124" i="34"/>
  <c r="P123" i="22"/>
  <c r="P131" i="22"/>
  <c r="P109" i="24"/>
  <c r="P115" i="24"/>
  <c r="P131" i="24"/>
  <c r="P105" i="25"/>
  <c r="P121" i="25"/>
  <c r="P131" i="25"/>
  <c r="P107" i="27"/>
  <c r="P113" i="27"/>
  <c r="P105" i="29"/>
  <c r="P123" i="29"/>
  <c r="P131" i="29"/>
  <c r="O32" i="26"/>
  <c r="P102" i="35"/>
  <c r="P110" i="35"/>
  <c r="P114" i="35"/>
  <c r="P118" i="35"/>
  <c r="P122" i="35"/>
  <c r="P130" i="35"/>
  <c r="P119" i="22"/>
  <c r="P127" i="22"/>
  <c r="P111" i="24"/>
  <c r="P119" i="24"/>
  <c r="P117" i="25"/>
  <c r="P123" i="25"/>
  <c r="P129" i="25"/>
  <c r="P119" i="27"/>
  <c r="P127" i="27"/>
  <c r="P109" i="29"/>
  <c r="P115" i="29"/>
  <c r="P119" i="29"/>
  <c r="P125" i="29"/>
  <c r="P129" i="29"/>
  <c r="O32" i="19"/>
  <c r="O32" i="24"/>
  <c r="P129" i="4"/>
  <c r="P125" i="18"/>
  <c r="O42" i="19"/>
  <c r="P111" i="22"/>
  <c r="P117" i="22"/>
  <c r="P109" i="25"/>
  <c r="P113" i="25"/>
  <c r="P119" i="25"/>
  <c r="P127" i="25"/>
  <c r="P109" i="27"/>
  <c r="P115" i="27"/>
  <c r="P123" i="27"/>
  <c r="P131" i="27"/>
  <c r="P109" i="28"/>
  <c r="O33" i="31"/>
  <c r="O42" i="31"/>
  <c r="O43" i="3"/>
  <c r="O41" i="3"/>
  <c r="O39" i="3"/>
  <c r="O35" i="3"/>
  <c r="O33" i="3"/>
  <c r="O32" i="3"/>
  <c r="O32" i="20"/>
  <c r="O37" i="38"/>
  <c r="P120" i="38"/>
  <c r="O45" i="3"/>
  <c r="O24" i="23"/>
  <c r="O28" i="23"/>
  <c r="O38" i="23"/>
  <c r="O58" i="23"/>
  <c r="O64" i="23"/>
  <c r="O24" i="24"/>
  <c r="O26" i="24"/>
  <c r="O54" i="24"/>
  <c r="O56" i="24"/>
  <c r="O58" i="24"/>
  <c r="O60" i="24"/>
  <c r="O66" i="24"/>
  <c r="O70" i="24"/>
  <c r="O40" i="25"/>
  <c r="O50" i="25"/>
  <c r="O52" i="25"/>
  <c r="O54" i="25"/>
  <c r="O31" i="26"/>
  <c r="O37" i="26"/>
  <c r="O39" i="26"/>
  <c r="O45" i="26"/>
  <c r="O51" i="26"/>
  <c r="O61" i="26"/>
  <c r="O62" i="27"/>
  <c r="O70" i="27"/>
  <c r="P146" i="3"/>
  <c r="P144" i="19"/>
  <c r="P134" i="19"/>
  <c r="P132" i="19"/>
  <c r="P124" i="19"/>
  <c r="P112" i="19"/>
  <c r="P148" i="21"/>
  <c r="P144" i="21"/>
  <c r="P140" i="21"/>
  <c r="P138" i="21"/>
  <c r="P136" i="21"/>
  <c r="P124" i="21"/>
  <c r="P120" i="21"/>
  <c r="P108" i="21"/>
  <c r="O28" i="29"/>
  <c r="O34" i="29"/>
  <c r="O40" i="29"/>
  <c r="O42" i="29"/>
  <c r="O44" i="29"/>
  <c r="O46" i="29"/>
  <c r="O48" i="29"/>
  <c r="O50" i="29"/>
  <c r="O56" i="29"/>
  <c r="O60" i="29"/>
  <c r="O62" i="29"/>
  <c r="O64" i="29"/>
  <c r="O66" i="29"/>
  <c r="O68" i="29"/>
  <c r="O72" i="29"/>
  <c r="O39" i="31"/>
  <c r="O62" i="35"/>
  <c r="O66" i="35"/>
  <c r="O68" i="35"/>
  <c r="O19" i="38"/>
  <c r="O41" i="38"/>
  <c r="O37" i="29"/>
  <c r="O41" i="29"/>
  <c r="O49" i="29"/>
  <c r="O51" i="29"/>
  <c r="O53" i="29"/>
  <c r="O55" i="29"/>
  <c r="O59" i="29"/>
  <c r="O65" i="29"/>
  <c r="O67" i="29"/>
  <c r="O73" i="29"/>
  <c r="O27" i="38"/>
  <c r="O29" i="38"/>
  <c r="O33" i="38"/>
  <c r="P116" i="31"/>
  <c r="P139" i="20"/>
  <c r="P133" i="20"/>
  <c r="P113" i="34"/>
  <c r="P117" i="34"/>
  <c r="P119" i="34"/>
  <c r="P121" i="34"/>
  <c r="P151" i="3"/>
  <c r="P123" i="13"/>
  <c r="P153" i="19"/>
  <c r="P109" i="19"/>
  <c r="P152" i="4"/>
  <c r="P144" i="4"/>
  <c r="P140" i="4"/>
  <c r="P132" i="4"/>
  <c r="P130" i="4"/>
  <c r="P124" i="4"/>
  <c r="P120" i="4"/>
  <c r="P112" i="4"/>
  <c r="P154" i="18"/>
  <c r="P152" i="18"/>
  <c r="P150" i="18"/>
  <c r="P148" i="18"/>
  <c r="P144" i="18"/>
  <c r="P142" i="18"/>
  <c r="P140" i="18"/>
  <c r="P138" i="18"/>
  <c r="P136" i="18"/>
  <c r="P134" i="18"/>
  <c r="P122" i="18"/>
  <c r="P155" i="20"/>
  <c r="P153" i="20"/>
  <c r="P141" i="20"/>
  <c r="P125" i="20"/>
  <c r="P104" i="31"/>
  <c r="P109" i="18"/>
  <c r="P124" i="20"/>
  <c r="P120" i="20"/>
  <c r="P116" i="20"/>
  <c r="P112" i="20"/>
  <c r="P108" i="20"/>
  <c r="P107" i="23"/>
  <c r="P115" i="23"/>
  <c r="P121" i="23"/>
  <c r="P125" i="23"/>
  <c r="P127" i="23"/>
  <c r="P108" i="24"/>
  <c r="P112" i="25"/>
  <c r="P124" i="25"/>
  <c r="P126" i="25"/>
  <c r="P128" i="25"/>
  <c r="P110" i="26"/>
  <c r="P114" i="26"/>
  <c r="P122" i="26"/>
  <c r="P130" i="26"/>
  <c r="P106" i="28"/>
  <c r="P112" i="28"/>
  <c r="P118" i="28"/>
  <c r="P122" i="28"/>
  <c r="P126" i="28"/>
  <c r="P128" i="28"/>
  <c r="P106" i="29"/>
  <c r="P123" i="31"/>
  <c r="P127" i="31"/>
  <c r="P133" i="31"/>
  <c r="P135" i="31"/>
  <c r="P139" i="31"/>
  <c r="P129" i="13"/>
  <c r="P125" i="13"/>
  <c r="P121" i="13"/>
  <c r="P117" i="13"/>
  <c r="P113" i="13"/>
  <c r="P109" i="13"/>
  <c r="P103" i="13"/>
  <c r="P153" i="21"/>
  <c r="P145" i="21"/>
  <c r="P103" i="29"/>
  <c r="P120" i="31"/>
  <c r="P127" i="37"/>
  <c r="P115" i="3"/>
  <c r="P111" i="3"/>
  <c r="P122" i="31"/>
  <c r="P120" i="13"/>
  <c r="P105" i="34"/>
  <c r="P129" i="34"/>
  <c r="P135" i="20"/>
  <c r="P131" i="20"/>
  <c r="P127" i="20"/>
  <c r="P123" i="20"/>
  <c r="P119" i="20"/>
  <c r="P129" i="28"/>
  <c r="P127" i="3"/>
  <c r="P118" i="22"/>
  <c r="P126" i="22"/>
  <c r="P105" i="23"/>
  <c r="P113" i="23"/>
  <c r="P117" i="23"/>
  <c r="P123" i="23"/>
  <c r="P110" i="31"/>
  <c r="P121" i="4"/>
  <c r="P117" i="4"/>
  <c r="C100" i="13"/>
  <c r="D100" i="13" s="1"/>
  <c r="B100" i="13" s="1"/>
  <c r="O70" i="13"/>
  <c r="O68" i="13"/>
  <c r="O66" i="13"/>
  <c r="O64" i="13"/>
  <c r="O62" i="13"/>
  <c r="O60" i="13"/>
  <c r="O50" i="13"/>
  <c r="O32" i="13"/>
  <c r="O28" i="19"/>
  <c r="O29" i="23"/>
  <c r="O39" i="23"/>
  <c r="O41" i="23"/>
  <c r="O49" i="23"/>
  <c r="O53" i="23"/>
  <c r="O59" i="23"/>
  <c r="O61" i="23"/>
  <c r="O49" i="24"/>
  <c r="O67" i="27"/>
  <c r="O69" i="27"/>
  <c r="O35" i="34"/>
  <c r="O45" i="35"/>
  <c r="O65" i="23"/>
  <c r="O69" i="23"/>
  <c r="O27" i="24"/>
  <c r="O31" i="24"/>
  <c r="O39" i="24"/>
  <c r="O45" i="24"/>
  <c r="O59" i="25"/>
  <c r="O71" i="25"/>
  <c r="O26" i="26"/>
  <c r="O30" i="26"/>
  <c r="O44" i="26"/>
  <c r="O58" i="26"/>
  <c r="O65" i="27"/>
  <c r="O72" i="4"/>
  <c r="O68" i="4"/>
  <c r="O60" i="4"/>
  <c r="O52" i="4"/>
  <c r="O48" i="4"/>
  <c r="O46" i="4"/>
  <c r="O40" i="4"/>
  <c r="O29" i="4"/>
  <c r="O69" i="13"/>
  <c r="O63" i="13"/>
  <c r="O57" i="13"/>
  <c r="O55" i="13"/>
  <c r="O53" i="13"/>
  <c r="O51" i="13"/>
  <c r="O49" i="13"/>
  <c r="O45" i="13"/>
  <c r="O43" i="13"/>
  <c r="O41" i="13"/>
  <c r="O27" i="13"/>
  <c r="O25" i="13"/>
  <c r="O72" i="18"/>
  <c r="O70" i="18"/>
  <c r="O68" i="18"/>
  <c r="O64" i="18"/>
  <c r="O58" i="18"/>
  <c r="O56" i="18"/>
  <c r="O54" i="18"/>
  <c r="O52" i="18"/>
  <c r="O50" i="18"/>
  <c r="O48" i="18"/>
  <c r="O46" i="18"/>
  <c r="O44" i="18"/>
  <c r="O42" i="18"/>
  <c r="O34" i="18"/>
  <c r="O27" i="18"/>
  <c r="O21" i="38"/>
  <c r="O63" i="23"/>
  <c r="O67" i="23"/>
  <c r="O35" i="24"/>
  <c r="O37" i="24"/>
  <c r="O41" i="24"/>
  <c r="O43" i="24"/>
  <c r="O55" i="24"/>
  <c r="O61" i="24"/>
  <c r="O65" i="24"/>
  <c r="O25" i="25"/>
  <c r="O24" i="26"/>
  <c r="O34" i="26"/>
  <c r="O38" i="26"/>
  <c r="O48" i="26"/>
  <c r="O62" i="26"/>
  <c r="O43" i="27"/>
  <c r="O73" i="27"/>
  <c r="O69" i="4"/>
  <c r="O67" i="4"/>
  <c r="O65" i="4"/>
  <c r="O61" i="4"/>
  <c r="O59" i="4"/>
  <c r="O57" i="4"/>
  <c r="O49" i="4"/>
  <c r="O47" i="4"/>
  <c r="O45" i="4"/>
  <c r="O43" i="4"/>
  <c r="O35" i="4"/>
  <c r="O33" i="4"/>
  <c r="O28" i="4"/>
  <c r="O73" i="18"/>
  <c r="O61" i="18"/>
  <c r="O45" i="18"/>
  <c r="O72" i="20"/>
  <c r="O58" i="20"/>
  <c r="O56" i="20"/>
  <c r="O52" i="20"/>
  <c r="O73" i="21"/>
  <c r="O69" i="21"/>
  <c r="O65" i="21"/>
  <c r="O55" i="21"/>
  <c r="O49" i="21"/>
  <c r="O47" i="21"/>
  <c r="O45" i="21"/>
  <c r="O41" i="21"/>
  <c r="O39" i="21"/>
  <c r="O35" i="21"/>
  <c r="O37" i="22"/>
  <c r="O45" i="22"/>
  <c r="O30" i="28"/>
  <c r="O34" i="28"/>
  <c r="O36" i="28"/>
  <c r="O64" i="28"/>
  <c r="O66" i="28"/>
  <c r="O22" i="29"/>
  <c r="O24" i="29"/>
  <c r="O26" i="29"/>
  <c r="O30" i="29"/>
  <c r="O40" i="34"/>
  <c r="O44" i="34"/>
  <c r="O46" i="34"/>
  <c r="O50" i="34"/>
  <c r="O52" i="34"/>
  <c r="O54" i="34"/>
  <c r="O60" i="34"/>
  <c r="O62" i="34"/>
  <c r="O68" i="34"/>
  <c r="O30" i="31"/>
  <c r="O57" i="34"/>
  <c r="O21" i="35"/>
  <c r="O31" i="35"/>
  <c r="O49" i="35"/>
  <c r="O32" i="38"/>
  <c r="O71" i="20"/>
  <c r="O67" i="20"/>
  <c r="O65" i="20"/>
  <c r="O57" i="20"/>
  <c r="O53" i="20"/>
  <c r="E18" i="20"/>
  <c r="F18" i="20" s="1"/>
  <c r="B19" i="20" s="1"/>
  <c r="O34" i="22"/>
  <c r="O25" i="28"/>
  <c r="O59" i="28"/>
  <c r="O63" i="28"/>
  <c r="O69" i="28"/>
  <c r="O71" i="28"/>
  <c r="O73" i="28"/>
  <c r="O25" i="29"/>
  <c r="O27" i="29"/>
  <c r="O29" i="29"/>
  <c r="O31" i="29"/>
  <c r="O21" i="34"/>
  <c r="O41" i="34"/>
  <c r="O71" i="34"/>
  <c r="O27" i="35"/>
  <c r="O37" i="35"/>
  <c r="O71" i="35"/>
  <c r="O66" i="38"/>
  <c r="O71" i="3"/>
  <c r="O69" i="3"/>
  <c r="O67" i="3"/>
  <c r="O63" i="3"/>
  <c r="O61" i="3"/>
  <c r="O59" i="3"/>
  <c r="O47" i="3"/>
  <c r="O30" i="3"/>
  <c r="O72" i="19"/>
  <c r="O26" i="31"/>
  <c r="O36" i="31"/>
  <c r="O49" i="31"/>
  <c r="O61" i="31"/>
  <c r="O59" i="35"/>
  <c r="O24" i="38"/>
  <c r="O36" i="38"/>
  <c r="O26" i="18"/>
  <c r="O27" i="19"/>
  <c r="O44" i="24"/>
  <c r="O73" i="26"/>
  <c r="O28" i="27"/>
  <c r="O30" i="27"/>
  <c r="O34" i="27"/>
  <c r="O36" i="27"/>
  <c r="O40" i="27"/>
  <c r="O42" i="27"/>
  <c r="O52" i="27"/>
  <c r="O60" i="27"/>
  <c r="O66" i="27"/>
  <c r="O68" i="27"/>
  <c r="O69" i="29"/>
  <c r="O19" i="37"/>
  <c r="O23" i="37"/>
  <c r="O25" i="37"/>
  <c r="O29" i="37"/>
  <c r="O31" i="37"/>
  <c r="O33" i="37"/>
  <c r="O43" i="37"/>
  <c r="O35" i="29"/>
  <c r="O28" i="31"/>
  <c r="O34" i="31"/>
  <c r="O40" i="31"/>
  <c r="O47" i="31"/>
  <c r="O22" i="38"/>
  <c r="O34" i="38"/>
  <c r="O38" i="38"/>
  <c r="O42" i="38"/>
  <c r="O61" i="21"/>
  <c r="O59" i="21"/>
  <c r="O51" i="21"/>
  <c r="O30" i="21"/>
  <c r="O24" i="22"/>
  <c r="O26" i="22"/>
  <c r="O28" i="22"/>
  <c r="O63" i="22"/>
  <c r="O73" i="22"/>
  <c r="O47" i="24"/>
  <c r="O51" i="24"/>
  <c r="O73" i="24"/>
  <c r="O63" i="25"/>
  <c r="O36" i="26"/>
  <c r="O68" i="26"/>
  <c r="O70" i="26"/>
  <c r="O26" i="28"/>
  <c r="O42" i="28"/>
  <c r="O44" i="28"/>
  <c r="O50" i="28"/>
  <c r="O56" i="31"/>
  <c r="O62" i="31"/>
  <c r="O70" i="31"/>
  <c r="O33" i="18"/>
  <c r="O31" i="18"/>
  <c r="O32" i="23"/>
  <c r="O32" i="29"/>
  <c r="O18" i="37"/>
  <c r="O22" i="37"/>
  <c r="O24" i="37"/>
  <c r="O26" i="37"/>
  <c r="O28" i="37"/>
  <c r="O63" i="24"/>
  <c r="O69" i="24"/>
  <c r="O29" i="25"/>
  <c r="O35" i="25"/>
  <c r="O39" i="25"/>
  <c r="O47" i="25"/>
  <c r="O69" i="25"/>
  <c r="O28" i="26"/>
  <c r="O40" i="26"/>
  <c r="O48" i="28"/>
  <c r="O62" i="28"/>
  <c r="O20" i="38"/>
  <c r="O58" i="4"/>
  <c r="O54" i="4"/>
  <c r="O34" i="4"/>
  <c r="O31" i="4"/>
  <c r="O46" i="21"/>
  <c r="O44" i="21"/>
  <c r="O42" i="21"/>
  <c r="O48" i="31"/>
  <c r="O64" i="35"/>
  <c r="O70" i="35"/>
  <c r="O72" i="34"/>
  <c r="O59" i="24"/>
  <c r="O67" i="24"/>
  <c r="O71" i="24"/>
  <c r="O23" i="25"/>
  <c r="O27" i="25"/>
  <c r="O31" i="25"/>
  <c r="O37" i="25"/>
  <c r="O45" i="25"/>
  <c r="O49" i="25"/>
  <c r="O61" i="25"/>
  <c r="O65" i="25"/>
  <c r="O66" i="26"/>
  <c r="O46" i="28"/>
  <c r="O58" i="28"/>
  <c r="O60" i="28"/>
  <c r="O51" i="37"/>
  <c r="O53" i="37"/>
  <c r="O55" i="37"/>
  <c r="O59" i="37"/>
  <c r="O61" i="37"/>
  <c r="O65" i="37"/>
  <c r="O67" i="37"/>
  <c r="O69" i="37"/>
  <c r="O71" i="37"/>
  <c r="O18" i="38"/>
  <c r="O57" i="3"/>
  <c r="O53" i="3"/>
  <c r="O51" i="3"/>
  <c r="O28" i="3"/>
  <c r="O51" i="31"/>
  <c r="O55" i="31"/>
  <c r="O57" i="31"/>
  <c r="O50" i="37"/>
  <c r="O62" i="3"/>
  <c r="O67" i="13"/>
  <c r="O65" i="13"/>
  <c r="O23" i="13"/>
  <c r="O17" i="13"/>
  <c r="O69" i="18"/>
  <c r="O67" i="18"/>
  <c r="O43" i="18"/>
  <c r="O41" i="18"/>
  <c r="O30" i="18"/>
  <c r="O63" i="19"/>
  <c r="O50" i="20"/>
  <c r="O40" i="23"/>
  <c r="O42" i="23"/>
  <c r="O44" i="23"/>
  <c r="O60" i="23"/>
  <c r="O62" i="23"/>
  <c r="O68" i="23"/>
  <c r="O72" i="23"/>
  <c r="O30" i="24"/>
  <c r="O34" i="24"/>
  <c r="O36" i="24"/>
  <c r="O38" i="24"/>
  <c r="O40" i="24"/>
  <c r="O42" i="24"/>
  <c r="O50" i="24"/>
  <c r="O37" i="27"/>
  <c r="O39" i="27"/>
  <c r="O41" i="27"/>
  <c r="O47" i="27"/>
  <c r="O49" i="27"/>
  <c r="O53" i="27"/>
  <c r="O55" i="27"/>
  <c r="O71" i="27"/>
  <c r="O23" i="31"/>
  <c r="O25" i="31"/>
  <c r="O27" i="31"/>
  <c r="O37" i="31"/>
  <c r="O44" i="31"/>
  <c r="O46" i="31"/>
  <c r="O50" i="31"/>
  <c r="O63" i="31"/>
  <c r="O69" i="31"/>
  <c r="O71" i="31"/>
  <c r="O73" i="31"/>
  <c r="O41" i="31"/>
  <c r="O43" i="31"/>
  <c r="O40" i="3"/>
  <c r="O38" i="3"/>
  <c r="O32" i="18"/>
  <c r="O33" i="19"/>
  <c r="O45" i="34"/>
  <c r="O47" i="34"/>
  <c r="O55" i="34"/>
  <c r="O59" i="34"/>
  <c r="O61" i="34"/>
  <c r="O63" i="34"/>
  <c r="O51" i="35"/>
  <c r="O53" i="35"/>
  <c r="O55" i="35"/>
  <c r="O57" i="35"/>
  <c r="O63" i="35"/>
  <c r="O34" i="37"/>
  <c r="O40" i="37"/>
  <c r="O44" i="37"/>
  <c r="O48" i="37"/>
  <c r="O62" i="4"/>
  <c r="O40" i="13"/>
  <c r="O36" i="13"/>
  <c r="O22" i="13"/>
  <c r="O20" i="13"/>
  <c r="O58" i="19"/>
  <c r="O36" i="19"/>
  <c r="O34" i="19"/>
  <c r="O47" i="20"/>
  <c r="O45" i="20"/>
  <c r="O43" i="20"/>
  <c r="O38" i="20"/>
  <c r="O36" i="20"/>
  <c r="O46" i="27"/>
  <c r="O54" i="27"/>
  <c r="O58" i="27"/>
  <c r="O58" i="31"/>
  <c r="O50" i="35"/>
  <c r="D94" i="29"/>
  <c r="C100" i="29" s="1"/>
  <c r="C101" i="29" s="1"/>
  <c r="C102" i="29" s="1"/>
  <c r="C103" i="29" s="1"/>
  <c r="C104" i="29" s="1"/>
  <c r="C105" i="29" s="1"/>
  <c r="C106" i="29" s="1"/>
  <c r="C107" i="29" s="1"/>
  <c r="C108" i="29" s="1"/>
  <c r="C109" i="29" s="1"/>
  <c r="C110" i="29" s="1"/>
  <c r="C111" i="29" s="1"/>
  <c r="C112" i="29" s="1"/>
  <c r="C113" i="29" s="1"/>
  <c r="C114" i="29" s="1"/>
  <c r="C115" i="29" s="1"/>
  <c r="C116" i="29" s="1"/>
  <c r="C117" i="29" s="1"/>
  <c r="C118" i="29" s="1"/>
  <c r="C119" i="29" s="1"/>
  <c r="C120" i="29" s="1"/>
  <c r="C121" i="29" s="1"/>
  <c r="C122" i="29" s="1"/>
  <c r="C123" i="29" s="1"/>
  <c r="C124" i="29" s="1"/>
  <c r="C125" i="29" s="1"/>
  <c r="C126" i="29" s="1"/>
  <c r="C127" i="29" s="1"/>
  <c r="O60" i="3"/>
  <c r="O59" i="31"/>
  <c r="F17" i="1"/>
  <c r="O55" i="26"/>
  <c r="O37" i="28"/>
  <c r="P154" i="3"/>
  <c r="P138" i="3"/>
  <c r="P136" i="3"/>
  <c r="P132" i="3"/>
  <c r="P130" i="3"/>
  <c r="O50" i="3"/>
  <c r="O70" i="4"/>
  <c r="O41" i="4"/>
  <c r="O37" i="4"/>
  <c r="O18" i="13"/>
  <c r="O71" i="18"/>
  <c r="O54" i="19"/>
  <c r="O52" i="19"/>
  <c r="O68" i="20"/>
  <c r="O66" i="20"/>
  <c r="O60" i="20"/>
  <c r="O54" i="20"/>
  <c r="O49" i="20"/>
  <c r="O68" i="22"/>
  <c r="O70" i="22"/>
  <c r="O72" i="22"/>
  <c r="O71" i="23"/>
  <c r="O73" i="23"/>
  <c r="O25" i="24"/>
  <c r="O34" i="25"/>
  <c r="O42" i="25"/>
  <c r="O56" i="25"/>
  <c r="O58" i="25"/>
  <c r="O27" i="26"/>
  <c r="O29" i="26"/>
  <c r="O25" i="27"/>
  <c r="O27" i="27"/>
  <c r="O31" i="27"/>
  <c r="O35" i="27"/>
  <c r="O50" i="27"/>
  <c r="O35" i="28"/>
  <c r="O70" i="28"/>
  <c r="O72" i="28"/>
  <c r="O45" i="29"/>
  <c r="O47" i="29"/>
  <c r="O57" i="29"/>
  <c r="O61" i="29"/>
  <c r="O63" i="29"/>
  <c r="O22" i="31"/>
  <c r="O31" i="31"/>
  <c r="O38" i="31"/>
  <c r="O53" i="31"/>
  <c r="O32" i="21"/>
  <c r="O33" i="34"/>
  <c r="O66" i="34"/>
  <c r="O70" i="34"/>
  <c r="O22" i="35"/>
  <c r="O30" i="35"/>
  <c r="O73" i="34"/>
  <c r="O41" i="37"/>
  <c r="O46" i="38"/>
  <c r="O64" i="4"/>
  <c r="O61" i="13"/>
  <c r="O59" i="13"/>
  <c r="O57" i="19"/>
  <c r="O55" i="19"/>
  <c r="O53" i="19"/>
  <c r="O51" i="19"/>
  <c r="O49" i="19"/>
  <c r="O47" i="19"/>
  <c r="O45" i="19"/>
  <c r="O43" i="19"/>
  <c r="O39" i="19"/>
  <c r="O69" i="20"/>
  <c r="O42" i="20"/>
  <c r="O72" i="21"/>
  <c r="O57" i="21"/>
  <c r="O65" i="22"/>
  <c r="P109" i="23"/>
  <c r="O71" i="26"/>
  <c r="O26" i="27"/>
  <c r="O24" i="28"/>
  <c r="O28" i="28"/>
  <c r="O36" i="29"/>
  <c r="O52" i="29"/>
  <c r="O71" i="29"/>
  <c r="O32" i="27"/>
  <c r="O32" i="28"/>
  <c r="O20" i="34"/>
  <c r="O22" i="34"/>
  <c r="O32" i="34"/>
  <c r="O34" i="34"/>
  <c r="O25" i="35"/>
  <c r="O72" i="35"/>
  <c r="P147" i="3"/>
  <c r="P123" i="3"/>
  <c r="P119" i="3"/>
  <c r="O73" i="3"/>
  <c r="O73" i="4"/>
  <c r="O71" i="4"/>
  <c r="O58" i="13"/>
  <c r="O48" i="13"/>
  <c r="O46" i="13"/>
  <c r="O44" i="13"/>
  <c r="O42" i="13"/>
  <c r="O39" i="13"/>
  <c r="O35" i="13"/>
  <c r="O33" i="13"/>
  <c r="O40" i="18"/>
  <c r="O38" i="18"/>
  <c r="O62" i="19"/>
  <c r="O60" i="19"/>
  <c r="O51" i="20"/>
  <c r="O34" i="20"/>
  <c r="O29" i="20"/>
  <c r="O25" i="20"/>
  <c r="O21" i="20"/>
  <c r="O19" i="20"/>
  <c r="O66" i="21"/>
  <c r="O56" i="21"/>
  <c r="O40" i="21"/>
  <c r="O38" i="21"/>
  <c r="O36" i="21"/>
  <c r="O34" i="21"/>
  <c r="O31" i="21"/>
  <c r="O25" i="21"/>
  <c r="O29" i="22"/>
  <c r="O31" i="22"/>
  <c r="O38" i="22"/>
  <c r="O40" i="22"/>
  <c r="O44" i="22"/>
  <c r="O46" i="22"/>
  <c r="O52" i="22"/>
  <c r="P121" i="22"/>
  <c r="P125" i="22"/>
  <c r="P129" i="22"/>
  <c r="O64" i="26"/>
  <c r="O59" i="27"/>
  <c r="O61" i="27"/>
  <c r="O54" i="28"/>
  <c r="O39" i="37"/>
  <c r="O63" i="37"/>
  <c r="E18" i="13"/>
  <c r="F18" i="13" s="1"/>
  <c r="I12" i="38"/>
  <c r="I13" i="38" s="1"/>
  <c r="I12" i="37"/>
  <c r="I13" i="37" s="1"/>
  <c r="I12" i="28"/>
  <c r="I13" i="28" s="1"/>
  <c r="I12" i="31"/>
  <c r="I13" i="31" s="1"/>
  <c r="I12" i="24"/>
  <c r="I12" i="3"/>
  <c r="I13" i="3" s="1"/>
  <c r="I12" i="27"/>
  <c r="I12" i="22"/>
  <c r="I13" i="22" s="1"/>
  <c r="I12" i="35"/>
  <c r="I13" i="35" s="1"/>
  <c r="I12" i="25"/>
  <c r="I13" i="25" s="1"/>
  <c r="I12" i="4"/>
  <c r="I13" i="4" s="1"/>
  <c r="I12" i="23"/>
  <c r="I13" i="23" s="1"/>
  <c r="I12" i="34"/>
  <c r="I13" i="34" s="1"/>
  <c r="I12" i="29"/>
  <c r="I13" i="29" s="1"/>
  <c r="I12" i="18"/>
  <c r="I13" i="18" s="1"/>
  <c r="I12" i="19"/>
  <c r="I13" i="19" s="1"/>
  <c r="I12" i="13"/>
  <c r="A4" i="1"/>
  <c r="A2" i="1"/>
  <c r="A2" i="2" s="1"/>
  <c r="O66" i="18"/>
  <c r="O68" i="21"/>
  <c r="P153" i="3"/>
  <c r="P149" i="3"/>
  <c r="P145" i="3"/>
  <c r="P141" i="3"/>
  <c r="O68" i="3"/>
  <c r="O49" i="3"/>
  <c r="O63" i="4"/>
  <c r="O42" i="4"/>
  <c r="O30" i="4"/>
  <c r="P130" i="13"/>
  <c r="P128" i="13"/>
  <c r="P126" i="13"/>
  <c r="P122" i="13"/>
  <c r="P118" i="13"/>
  <c r="P114" i="13"/>
  <c r="P112" i="13"/>
  <c r="P110" i="13"/>
  <c r="P106" i="13"/>
  <c r="O31" i="13"/>
  <c r="O69" i="19"/>
  <c r="O65" i="19"/>
  <c r="O54" i="21"/>
  <c r="O34" i="23"/>
  <c r="O36" i="23"/>
  <c r="O35" i="26"/>
  <c r="O72" i="26"/>
  <c r="O44" i="27"/>
  <c r="O29" i="31"/>
  <c r="O55" i="4"/>
  <c r="O53" i="4"/>
  <c r="O51" i="4"/>
  <c r="O19" i="13"/>
  <c r="P149" i="19"/>
  <c r="P145" i="19"/>
  <c r="P141" i="19"/>
  <c r="O56" i="19"/>
  <c r="O48" i="19"/>
  <c r="O46" i="19"/>
  <c r="O44" i="19"/>
  <c r="O40" i="19"/>
  <c r="O38" i="19"/>
  <c r="O65" i="26"/>
  <c r="O24" i="31"/>
  <c r="O64" i="31"/>
  <c r="O68" i="31"/>
  <c r="O54" i="3"/>
  <c r="O44" i="3"/>
  <c r="O66" i="4"/>
  <c r="O26" i="13"/>
  <c r="O24" i="13"/>
  <c r="O62" i="18"/>
  <c r="O60" i="18"/>
  <c r="O36" i="18"/>
  <c r="O64" i="19"/>
  <c r="P102" i="20"/>
  <c r="O73" i="20"/>
  <c r="O64" i="20"/>
  <c r="O62" i="20"/>
  <c r="O40" i="20"/>
  <c r="P135" i="21"/>
  <c r="P123" i="21"/>
  <c r="P111" i="21"/>
  <c r="O63" i="21"/>
  <c r="O28" i="21"/>
  <c r="O26" i="21"/>
  <c r="O33" i="22"/>
  <c r="O35" i="22"/>
  <c r="O51" i="22"/>
  <c r="O25" i="23"/>
  <c r="O27" i="23"/>
  <c r="O31" i="23"/>
  <c r="O35" i="23"/>
  <c r="P137" i="3"/>
  <c r="P133" i="3"/>
  <c r="P129" i="3"/>
  <c r="P125" i="3"/>
  <c r="P121" i="3"/>
  <c r="P113" i="3"/>
  <c r="P109" i="3"/>
  <c r="O70" i="3"/>
  <c r="O65" i="3"/>
  <c r="O58" i="3"/>
  <c r="O55" i="3"/>
  <c r="O48" i="3"/>
  <c r="O46" i="3"/>
  <c r="O56" i="4"/>
  <c r="O39" i="4"/>
  <c r="O71" i="13"/>
  <c r="O54" i="13"/>
  <c r="O37" i="13"/>
  <c r="O30" i="13"/>
  <c r="O28" i="13"/>
  <c r="O21" i="13"/>
  <c r="O65" i="18"/>
  <c r="O63" i="18"/>
  <c r="O59" i="18"/>
  <c r="O57" i="18"/>
  <c r="O53" i="18"/>
  <c r="O49" i="18"/>
  <c r="O47" i="18"/>
  <c r="O29" i="18"/>
  <c r="O70" i="19"/>
  <c r="O68" i="19"/>
  <c r="O66" i="19"/>
  <c r="O61" i="19"/>
  <c r="O59" i="19"/>
  <c r="O41" i="19"/>
  <c r="O26" i="19"/>
  <c r="P149" i="20"/>
  <c r="P145" i="20"/>
  <c r="P137" i="20"/>
  <c r="P129" i="20"/>
  <c r="P101" i="20"/>
  <c r="O61" i="20"/>
  <c r="O48" i="20"/>
  <c r="O23" i="20"/>
  <c r="P130" i="21"/>
  <c r="P126" i="21"/>
  <c r="P114" i="21"/>
  <c r="O64" i="21"/>
  <c r="O62" i="21"/>
  <c r="O60" i="21"/>
  <c r="O58" i="21"/>
  <c r="O30" i="22"/>
  <c r="O36" i="22"/>
  <c r="O42" i="22"/>
  <c r="O54" i="22"/>
  <c r="O56" i="22"/>
  <c r="O58" i="22"/>
  <c r="O60" i="22"/>
  <c r="O67" i="22"/>
  <c r="O26" i="23"/>
  <c r="O37" i="23"/>
  <c r="O41" i="25"/>
  <c r="O51" i="25"/>
  <c r="O73" i="25"/>
  <c r="O52" i="26"/>
  <c r="O38" i="29"/>
  <c r="O43" i="23"/>
  <c r="O45" i="23"/>
  <c r="O47" i="23"/>
  <c r="O51" i="23"/>
  <c r="O55" i="23"/>
  <c r="O57" i="23"/>
  <c r="O70" i="23"/>
  <c r="O29" i="24"/>
  <c r="O46" i="24"/>
  <c r="O48" i="24"/>
  <c r="O52" i="24"/>
  <c r="O68" i="24"/>
  <c r="P116" i="24"/>
  <c r="P118" i="24"/>
  <c r="P122" i="24"/>
  <c r="P126" i="24"/>
  <c r="P130" i="24"/>
  <c r="O46" i="25"/>
  <c r="O48" i="25"/>
  <c r="O53" i="25"/>
  <c r="O55" i="25"/>
  <c r="O57" i="25"/>
  <c r="O62" i="25"/>
  <c r="O46" i="26"/>
  <c r="O50" i="26"/>
  <c r="O54" i="26"/>
  <c r="O57" i="26"/>
  <c r="O59" i="26"/>
  <c r="O63" i="26"/>
  <c r="P107" i="26"/>
  <c r="P121" i="26"/>
  <c r="P129" i="26"/>
  <c r="O24" i="27"/>
  <c r="O57" i="27"/>
  <c r="O72" i="27"/>
  <c r="O43" i="28"/>
  <c r="O52" i="28"/>
  <c r="O56" i="28"/>
  <c r="O65" i="28"/>
  <c r="O67" i="28"/>
  <c r="O70" i="29"/>
  <c r="O21" i="31"/>
  <c r="O45" i="31"/>
  <c r="O66" i="31"/>
  <c r="O42" i="3"/>
  <c r="O36" i="3"/>
  <c r="O34" i="3"/>
  <c r="O31" i="3"/>
  <c r="O32" i="22"/>
  <c r="O32" i="25"/>
  <c r="O56" i="34"/>
  <c r="O35" i="37"/>
  <c r="O37" i="37"/>
  <c r="O60" i="37"/>
  <c r="O39" i="38"/>
  <c r="O43" i="25"/>
  <c r="O72" i="25"/>
  <c r="O45" i="27"/>
  <c r="O63" i="27"/>
  <c r="O49" i="28"/>
  <c r="O72" i="31"/>
  <c r="O37" i="3"/>
  <c r="O31" i="19"/>
  <c r="O33" i="23"/>
  <c r="O33" i="24"/>
  <c r="O33" i="27"/>
  <c r="O33" i="29"/>
  <c r="O43" i="34"/>
  <c r="O48" i="34"/>
  <c r="O67" i="34"/>
  <c r="O33" i="35"/>
  <c r="O41" i="35"/>
  <c r="O58" i="35"/>
  <c r="O60" i="35"/>
  <c r="P125" i="35"/>
  <c r="P129" i="35"/>
  <c r="O49" i="37"/>
  <c r="O57" i="37"/>
  <c r="O72" i="37"/>
  <c r="O17" i="38"/>
  <c r="O43" i="38"/>
  <c r="O49" i="38"/>
  <c r="O53" i="38"/>
  <c r="O61" i="38"/>
  <c r="O46" i="23"/>
  <c r="O48" i="23"/>
  <c r="O50" i="23"/>
  <c r="O56" i="23"/>
  <c r="P106" i="23"/>
  <c r="P110" i="23"/>
  <c r="O53" i="24"/>
  <c r="O57" i="24"/>
  <c r="O60" i="25"/>
  <c r="O42" i="26"/>
  <c r="O47" i="26"/>
  <c r="O49" i="26"/>
  <c r="O56" i="26"/>
  <c r="O60" i="26"/>
  <c r="O69" i="26"/>
  <c r="O29" i="27"/>
  <c r="O38" i="27"/>
  <c r="O51" i="27"/>
  <c r="O56" i="27"/>
  <c r="O64" i="27"/>
  <c r="O23" i="28"/>
  <c r="O29" i="28"/>
  <c r="O31" i="28"/>
  <c r="O55" i="28"/>
  <c r="O68" i="28"/>
  <c r="O21" i="29"/>
  <c r="O23" i="29"/>
  <c r="O39" i="29"/>
  <c r="O54" i="29"/>
  <c r="P121" i="29"/>
  <c r="O20" i="31"/>
  <c r="O67" i="31"/>
  <c r="P116" i="34"/>
  <c r="P120" i="34"/>
  <c r="O32" i="35"/>
  <c r="O38" i="37"/>
  <c r="O46" i="37"/>
  <c r="O23" i="38"/>
  <c r="O35" i="38"/>
  <c r="B100" i="38"/>
  <c r="C101" i="38"/>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B19" i="35"/>
  <c r="B21" i="25"/>
  <c r="B18" i="37"/>
  <c r="B23" i="27"/>
  <c r="B19" i="31"/>
  <c r="D94" i="22"/>
  <c r="C100" i="22" s="1"/>
  <c r="D95" i="22"/>
  <c r="P100" i="3"/>
  <c r="O17" i="28"/>
  <c r="P101" i="13"/>
  <c r="P120" i="19"/>
  <c r="P108" i="19"/>
  <c r="P103" i="20"/>
  <c r="P146" i="21"/>
  <c r="P142" i="21"/>
  <c r="P104" i="13"/>
  <c r="A9" i="17"/>
  <c r="P131" i="18"/>
  <c r="P127" i="18"/>
  <c r="P119" i="18"/>
  <c r="P115" i="18"/>
  <c r="P155" i="19"/>
  <c r="P151" i="19"/>
  <c r="P147" i="19"/>
  <c r="P143" i="19"/>
  <c r="P139" i="19"/>
  <c r="P135" i="19"/>
  <c r="P131" i="19"/>
  <c r="P115" i="19"/>
  <c r="P151" i="20"/>
  <c r="P115" i="20"/>
  <c r="P114" i="18"/>
  <c r="P110" i="18"/>
  <c r="P150" i="19"/>
  <c r="P146" i="19"/>
  <c r="P142" i="19"/>
  <c r="P130" i="19"/>
  <c r="P106" i="20"/>
  <c r="P133" i="21"/>
  <c r="P125" i="21"/>
  <c r="P146" i="4"/>
  <c r="P142" i="4"/>
  <c r="P138" i="4"/>
  <c r="P134" i="4"/>
  <c r="P126" i="4"/>
  <c r="P127" i="13"/>
  <c r="P119" i="13"/>
  <c r="P115" i="13"/>
  <c r="P111" i="13"/>
  <c r="P121" i="20"/>
  <c r="P113" i="20"/>
  <c r="P105" i="20"/>
  <c r="P132" i="21"/>
  <c r="P112" i="21"/>
  <c r="P101" i="19"/>
  <c r="P104" i="20"/>
  <c r="P151" i="21"/>
  <c r="P106" i="24"/>
  <c r="O43" i="29"/>
  <c r="O58" i="29"/>
  <c r="O54" i="31"/>
  <c r="O24" i="3"/>
  <c r="P105" i="18"/>
  <c r="O45" i="37"/>
  <c r="O24" i="18"/>
  <c r="P106" i="19"/>
  <c r="O22" i="27"/>
  <c r="P123" i="24"/>
  <c r="P104" i="19"/>
  <c r="P106" i="25"/>
  <c r="P110" i="25"/>
  <c r="P114" i="25"/>
  <c r="P122" i="25"/>
  <c r="P116" i="27"/>
  <c r="P124" i="27"/>
  <c r="P128" i="27"/>
  <c r="P103" i="19"/>
  <c r="O65" i="31"/>
  <c r="O31" i="34"/>
  <c r="O69" i="34"/>
  <c r="P106" i="3"/>
  <c r="O56" i="37"/>
  <c r="P104" i="27"/>
  <c r="O73" i="38"/>
  <c r="O21" i="28"/>
  <c r="O30" i="37"/>
  <c r="O47" i="37"/>
  <c r="P103" i="22"/>
  <c r="O22" i="24"/>
  <c r="O19" i="29"/>
  <c r="O31" i="38"/>
  <c r="P113" i="24"/>
  <c r="P121" i="24"/>
  <c r="P112" i="26"/>
  <c r="P120" i="26"/>
  <c r="P124" i="26"/>
  <c r="P121" i="27"/>
  <c r="P125" i="27"/>
  <c r="P129" i="27"/>
  <c r="O32" i="31"/>
  <c r="O17" i="34"/>
  <c r="P104" i="25"/>
  <c r="P116" i="25"/>
  <c r="P120" i="25"/>
  <c r="O21" i="21"/>
  <c r="O58" i="37"/>
  <c r="P107" i="3"/>
  <c r="O21" i="23"/>
  <c r="P104" i="24"/>
  <c r="P125" i="34"/>
  <c r="P102" i="38"/>
  <c r="P106" i="38"/>
  <c r="P114" i="38"/>
  <c r="P130" i="38"/>
  <c r="P113" i="28"/>
  <c r="P117" i="28"/>
  <c r="P125" i="28"/>
  <c r="P110" i="29"/>
  <c r="P114" i="29"/>
  <c r="P130" i="29"/>
  <c r="P125" i="31"/>
  <c r="P129" i="31"/>
  <c r="P137" i="31"/>
  <c r="P145" i="31"/>
  <c r="P102" i="34"/>
  <c r="P106" i="34"/>
  <c r="P110" i="34"/>
  <c r="P114" i="34"/>
  <c r="P126" i="34"/>
  <c r="P130" i="34"/>
  <c r="P103" i="37"/>
  <c r="P107" i="37"/>
  <c r="P111" i="37"/>
  <c r="P103" i="38"/>
  <c r="P119" i="38"/>
  <c r="P123" i="38"/>
  <c r="P127" i="38"/>
  <c r="P131" i="38"/>
  <c r="F88" i="2"/>
  <c r="F89" i="2" s="1"/>
  <c r="F91" i="2" s="1"/>
  <c r="F92" i="2" s="1"/>
  <c r="F93" i="2" s="1"/>
  <c r="P110" i="28"/>
  <c r="P130" i="31"/>
  <c r="P134" i="31"/>
  <c r="P146" i="31"/>
  <c r="P128" i="37"/>
  <c r="P101" i="38"/>
  <c r="P147" i="31"/>
  <c r="P155" i="3"/>
  <c r="P143" i="3"/>
  <c r="P139" i="3"/>
  <c r="P135" i="3"/>
  <c r="P131" i="3"/>
  <c r="P154" i="20"/>
  <c r="P142" i="20"/>
  <c r="P138" i="20"/>
  <c r="P134" i="20"/>
  <c r="P130" i="20"/>
  <c r="P126" i="20"/>
  <c r="P122" i="20"/>
  <c r="P118" i="20"/>
  <c r="P114" i="20"/>
  <c r="P110" i="20"/>
  <c r="P122" i="21"/>
  <c r="P118" i="21"/>
  <c r="P106" i="21"/>
  <c r="P108" i="22"/>
  <c r="P112" i="22"/>
  <c r="P116" i="23"/>
  <c r="P120" i="23"/>
  <c r="P124" i="23"/>
  <c r="P128" i="23"/>
  <c r="P107" i="25"/>
  <c r="P111" i="25"/>
  <c r="P115" i="25"/>
  <c r="P111" i="26"/>
  <c r="P115" i="26"/>
  <c r="P119" i="26"/>
  <c r="P127" i="26"/>
  <c r="P131" i="26"/>
  <c r="P105" i="31"/>
  <c r="P109" i="31"/>
  <c r="P113" i="31"/>
  <c r="P117" i="31"/>
  <c r="P121" i="31"/>
  <c r="P153" i="31"/>
  <c r="P103" i="34"/>
  <c r="P107" i="34"/>
  <c r="P123" i="34"/>
  <c r="P104" i="35"/>
  <c r="P108" i="35"/>
  <c r="P112" i="35"/>
  <c r="P116" i="35"/>
  <c r="P120" i="35"/>
  <c r="P123" i="37"/>
  <c r="P131" i="37"/>
  <c r="P116" i="38"/>
  <c r="P130" i="18"/>
  <c r="P122" i="19"/>
  <c r="P114" i="19"/>
  <c r="P149" i="21"/>
  <c r="P129" i="23"/>
  <c r="P117" i="24"/>
  <c r="P125" i="24"/>
  <c r="P129" i="24"/>
  <c r="P126" i="31"/>
  <c r="P150" i="31"/>
  <c r="P154" i="31"/>
  <c r="P105" i="35"/>
  <c r="P109" i="35"/>
  <c r="P113" i="35"/>
  <c r="P117" i="35"/>
  <c r="P150" i="3"/>
  <c r="P117" i="20"/>
  <c r="P152" i="21"/>
  <c r="P110" i="22"/>
  <c r="P108" i="25"/>
  <c r="P117" i="26"/>
  <c r="P106" i="27"/>
  <c r="P110" i="27"/>
  <c r="P114" i="27"/>
  <c r="P118" i="27"/>
  <c r="P122" i="27"/>
  <c r="P126" i="27"/>
  <c r="P130" i="27"/>
  <c r="P107" i="28"/>
  <c r="P123" i="28"/>
  <c r="P127" i="28"/>
  <c r="P108" i="29"/>
  <c r="P112" i="29"/>
  <c r="P116" i="29"/>
  <c r="P120" i="29"/>
  <c r="P124" i="29"/>
  <c r="P128" i="29"/>
  <c r="P103" i="31"/>
  <c r="P119" i="31"/>
  <c r="P117" i="37"/>
  <c r="P129" i="38"/>
  <c r="P141" i="18"/>
  <c r="P118" i="38"/>
  <c r="P122" i="38"/>
  <c r="P105" i="13"/>
  <c r="P132" i="18"/>
  <c r="P139" i="21"/>
  <c r="P128" i="21"/>
  <c r="P125" i="25"/>
  <c r="P116" i="28"/>
  <c r="P120" i="28"/>
  <c r="P128" i="3"/>
  <c r="P124" i="3"/>
  <c r="P120" i="3"/>
  <c r="P116" i="3"/>
  <c r="P112" i="3"/>
  <c r="P155" i="4"/>
  <c r="P151" i="4"/>
  <c r="P147" i="4"/>
  <c r="P143" i="4"/>
  <c r="P139" i="4"/>
  <c r="P135" i="4"/>
  <c r="P131" i="4"/>
  <c r="P127" i="4"/>
  <c r="P123" i="4"/>
  <c r="P119" i="4"/>
  <c r="P115" i="4"/>
  <c r="P111" i="4"/>
  <c r="P147" i="20"/>
  <c r="P143" i="20"/>
  <c r="P127" i="21"/>
  <c r="P115" i="21"/>
  <c r="P106" i="26"/>
  <c r="P118" i="26"/>
  <c r="P108" i="27"/>
  <c r="P126" i="29"/>
  <c r="P119" i="37"/>
  <c r="P116" i="4"/>
  <c r="P152" i="19"/>
  <c r="P148" i="19"/>
  <c r="P140" i="19"/>
  <c r="P136" i="19"/>
  <c r="P128" i="19"/>
  <c r="P116" i="19"/>
  <c r="P144" i="20"/>
  <c r="P106" i="22"/>
  <c r="P114" i="23"/>
  <c r="P122" i="23"/>
  <c r="P126" i="23"/>
  <c r="P130" i="23"/>
  <c r="P110" i="24"/>
  <c r="P109" i="26"/>
  <c r="P113" i="26"/>
  <c r="P125" i="26"/>
  <c r="P131" i="28"/>
  <c r="P107" i="31"/>
  <c r="P111" i="31"/>
  <c r="P116" i="37"/>
  <c r="P120" i="37"/>
  <c r="P108" i="38"/>
  <c r="P112" i="38"/>
  <c r="P124" i="38"/>
  <c r="P128" i="18"/>
  <c r="P124" i="18"/>
  <c r="P120" i="18"/>
  <c r="P116" i="18"/>
  <c r="P112" i="18"/>
  <c r="P108" i="18"/>
  <c r="P127" i="24"/>
  <c r="P143" i="31"/>
  <c r="P121" i="35"/>
  <c r="P124" i="13"/>
  <c r="P116" i="13"/>
  <c r="P108" i="13"/>
  <c r="P111" i="19"/>
  <c r="P118" i="25"/>
  <c r="P112" i="27"/>
  <c r="P125" i="38"/>
  <c r="P150" i="4"/>
  <c r="P122" i="4"/>
  <c r="P131" i="13"/>
  <c r="P111" i="20"/>
  <c r="P107" i="20"/>
  <c r="P150" i="21"/>
  <c r="P119" i="21"/>
  <c r="P120" i="24"/>
  <c r="P124" i="24"/>
  <c r="P128" i="24"/>
  <c r="P120" i="27"/>
  <c r="P118" i="29"/>
  <c r="P122" i="29"/>
  <c r="P132" i="31"/>
  <c r="P136" i="31"/>
  <c r="P140" i="31"/>
  <c r="P109" i="34"/>
  <c r="P110" i="4"/>
  <c r="P126" i="19"/>
  <c r="P107" i="13"/>
  <c r="P134" i="21"/>
  <c r="P110" i="21"/>
  <c r="P114" i="28"/>
  <c r="P107" i="29"/>
  <c r="P148" i="31"/>
  <c r="P152" i="31"/>
  <c r="P142" i="3"/>
  <c r="P118" i="3"/>
  <c r="P149" i="4"/>
  <c r="P113" i="4"/>
  <c r="P102" i="13"/>
  <c r="P153" i="18"/>
  <c r="P149" i="18"/>
  <c r="P129" i="18"/>
  <c r="P121" i="18"/>
  <c r="P117" i="18"/>
  <c r="P137" i="19"/>
  <c r="P133" i="19"/>
  <c r="P129" i="19"/>
  <c r="P125" i="19"/>
  <c r="P113" i="19"/>
  <c r="P129" i="21"/>
  <c r="P117" i="21"/>
  <c r="P108" i="26"/>
  <c r="P116" i="26"/>
  <c r="P119" i="28"/>
  <c r="P128" i="4"/>
  <c r="P121" i="19"/>
  <c r="P110" i="19"/>
  <c r="P154" i="21"/>
  <c r="P147" i="21"/>
  <c r="P143" i="21"/>
  <c r="P131" i="21"/>
  <c r="P113" i="21"/>
  <c r="P109" i="21"/>
  <c r="P109" i="22"/>
  <c r="P112" i="24"/>
  <c r="P123" i="26"/>
  <c r="P108" i="28"/>
  <c r="P130" i="28"/>
  <c r="P104" i="29"/>
  <c r="P102" i="31"/>
  <c r="P104" i="34"/>
  <c r="P108" i="34"/>
  <c r="P128" i="34"/>
  <c r="P106" i="35"/>
  <c r="P113" i="37"/>
  <c r="P124" i="37"/>
  <c r="P114" i="31"/>
  <c r="P118" i="31"/>
  <c r="P151" i="31"/>
  <c r="P155" i="31"/>
  <c r="P126" i="35"/>
  <c r="P152" i="3"/>
  <c r="P148" i="3"/>
  <c r="P144" i="3"/>
  <c r="P140" i="3"/>
  <c r="P118" i="18"/>
  <c r="P114" i="22"/>
  <c r="P115" i="31"/>
  <c r="P144" i="31"/>
  <c r="P117" i="38"/>
  <c r="P140" i="20"/>
  <c r="P136" i="20"/>
  <c r="P132" i="20"/>
  <c r="P128" i="20"/>
  <c r="P109" i="20"/>
  <c r="P113" i="29"/>
  <c r="P117" i="29"/>
  <c r="P118" i="37"/>
  <c r="P154" i="19"/>
  <c r="P123" i="19"/>
  <c r="P119" i="19"/>
  <c r="P141" i="21"/>
  <c r="P128" i="26"/>
  <c r="P138" i="31"/>
  <c r="P141" i="31"/>
  <c r="P149" i="31"/>
  <c r="P118" i="34"/>
  <c r="P115" i="38"/>
  <c r="P126" i="38"/>
  <c r="P119" i="23"/>
  <c r="P102" i="29"/>
  <c r="P115" i="37"/>
  <c r="P126" i="3"/>
  <c r="P122" i="3"/>
  <c r="P114" i="3"/>
  <c r="P153" i="4"/>
  <c r="P145" i="4"/>
  <c r="P141" i="4"/>
  <c r="P137" i="4"/>
  <c r="P133" i="4"/>
  <c r="P125" i="4"/>
  <c r="P109" i="4"/>
  <c r="P151" i="18"/>
  <c r="P147" i="18"/>
  <c r="P143" i="18"/>
  <c r="P139" i="18"/>
  <c r="P135" i="18"/>
  <c r="P138" i="19"/>
  <c r="P118" i="19"/>
  <c r="P121" i="21"/>
  <c r="P128" i="22"/>
  <c r="P108" i="23"/>
  <c r="P112" i="23"/>
  <c r="P105" i="26"/>
  <c r="P126" i="26"/>
  <c r="P111" i="28"/>
  <c r="P115" i="28"/>
  <c r="P111" i="34"/>
  <c r="P115" i="34"/>
  <c r="P127" i="34"/>
  <c r="P131" i="34"/>
  <c r="P124" i="35"/>
  <c r="P128" i="35"/>
  <c r="P104" i="38"/>
  <c r="P117" i="19"/>
  <c r="P116" i="22"/>
  <c r="P120" i="22"/>
  <c r="P124" i="22"/>
  <c r="P117" i="27"/>
  <c r="P124" i="28"/>
  <c r="P104" i="37"/>
  <c r="P108" i="37"/>
  <c r="P112" i="37"/>
  <c r="P107" i="38"/>
  <c r="P111" i="38"/>
  <c r="J96" i="38"/>
  <c r="F18" i="2"/>
  <c r="P121" i="28"/>
  <c r="P145" i="18"/>
  <c r="P137" i="18"/>
  <c r="P133" i="18"/>
  <c r="P113" i="22"/>
  <c r="P130" i="25"/>
  <c r="P127" i="19"/>
  <c r="P137" i="21"/>
  <c r="P111" i="27"/>
  <c r="P128" i="38"/>
  <c r="C22" i="2"/>
  <c r="C55" i="2"/>
  <c r="C39" i="2"/>
  <c r="C82" i="2"/>
  <c r="C79" i="2"/>
  <c r="C8" i="2"/>
  <c r="C10" i="2"/>
  <c r="C56" i="2"/>
  <c r="C73" i="2"/>
  <c r="C62" i="2"/>
  <c r="C61" i="2"/>
  <c r="C80" i="2"/>
  <c r="P113" i="18"/>
  <c r="P111" i="29"/>
  <c r="P127" i="29"/>
  <c r="P142" i="31"/>
  <c r="F17" i="2"/>
  <c r="P107" i="24"/>
  <c r="P114" i="24"/>
  <c r="P100" i="13"/>
  <c r="P100" i="20"/>
  <c r="P155" i="21"/>
  <c r="P112" i="34"/>
  <c r="P105" i="22"/>
  <c r="P131" i="23"/>
  <c r="P134" i="3"/>
  <c r="P154" i="4"/>
  <c r="P118" i="4"/>
  <c r="P114" i="4"/>
  <c r="P155" i="18"/>
  <c r="P152" i="20"/>
  <c r="P148" i="20"/>
  <c r="P110" i="3"/>
  <c r="P123" i="18"/>
  <c r="P122" i="22"/>
  <c r="P130" i="22"/>
  <c r="P117" i="3"/>
  <c r="P148" i="4"/>
  <c r="P136" i="4"/>
  <c r="P146" i="18"/>
  <c r="P126" i="18"/>
  <c r="P111" i="18"/>
  <c r="P150" i="20"/>
  <c r="P146" i="20"/>
  <c r="P115" i="22"/>
  <c r="C128" i="23"/>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D95" i="35"/>
  <c r="D94" i="35"/>
  <c r="C128" i="18"/>
  <c r="C129" i="18" s="1"/>
  <c r="C130" i="18" s="1"/>
  <c r="C131" i="18" s="1"/>
  <c r="C132" i="18" s="1"/>
  <c r="C133" i="18" s="1"/>
  <c r="C134" i="18" s="1"/>
  <c r="C135" i="18" s="1"/>
  <c r="C136" i="18" s="1"/>
  <c r="C137" i="18" s="1"/>
  <c r="C138" i="18" s="1"/>
  <c r="C139" i="18" s="1"/>
  <c r="C140" i="18" s="1"/>
  <c r="C141" i="18" s="1"/>
  <c r="C142" i="18" s="1"/>
  <c r="C143" i="18" s="1"/>
  <c r="C144" i="18" s="1"/>
  <c r="C145" i="18" s="1"/>
  <c r="C146" i="18" s="1"/>
  <c r="C147" i="18" s="1"/>
  <c r="C148" i="18" s="1"/>
  <c r="C149" i="18" s="1"/>
  <c r="C150" i="18" s="1"/>
  <c r="C151" i="18" s="1"/>
  <c r="C152" i="18" s="1"/>
  <c r="C153" i="18" s="1"/>
  <c r="C154" i="18" s="1"/>
  <c r="C155" i="18" s="1"/>
  <c r="P111" i="23"/>
  <c r="P107" i="22"/>
  <c r="P118" i="23"/>
  <c r="C34" i="17"/>
  <c r="C35" i="17"/>
  <c r="C32" i="17"/>
  <c r="C33" i="17"/>
  <c r="C27" i="17"/>
  <c r="C31" i="17"/>
  <c r="C25" i="17"/>
  <c r="C20" i="17"/>
  <c r="C22" i="17"/>
  <c r="C29" i="17"/>
  <c r="C18" i="17"/>
  <c r="C30" i="17"/>
  <c r="C37" i="17"/>
  <c r="C21" i="17"/>
  <c r="C19" i="17"/>
  <c r="C24" i="17"/>
  <c r="C26" i="17"/>
  <c r="C36" i="17"/>
  <c r="C23" i="17"/>
  <c r="C28" i="17"/>
  <c r="D96" i="27" l="1"/>
  <c r="J97" i="27" s="1"/>
  <c r="D96" i="39"/>
  <c r="F100" i="20"/>
  <c r="F90" i="1"/>
  <c r="D13" i="31" s="1"/>
  <c r="I13" i="27"/>
  <c r="I13" i="39"/>
  <c r="C128" i="4"/>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D100" i="20"/>
  <c r="B100" i="20" s="1"/>
  <c r="C101" i="22"/>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C128" i="22" s="1"/>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C128" i="29"/>
  <c r="C129" i="29" s="1"/>
  <c r="C130" i="29" s="1"/>
  <c r="C131" i="29" s="1"/>
  <c r="C132" i="29" s="1"/>
  <c r="C133" i="29" s="1"/>
  <c r="C134" i="29" s="1"/>
  <c r="C135" i="29" s="1"/>
  <c r="C136" i="29" s="1"/>
  <c r="C137" i="29" s="1"/>
  <c r="C138" i="29" s="1"/>
  <c r="C139" i="29" s="1"/>
  <c r="C140" i="29" s="1"/>
  <c r="C141" i="29" s="1"/>
  <c r="C142" i="29" s="1"/>
  <c r="C143" i="29" s="1"/>
  <c r="C144" i="29" s="1"/>
  <c r="C145" i="29" s="1"/>
  <c r="C146" i="29" s="1"/>
  <c r="C147" i="29" s="1"/>
  <c r="C148" i="29" s="1"/>
  <c r="C149" i="29" s="1"/>
  <c r="C150" i="29" s="1"/>
  <c r="C151" i="29" s="1"/>
  <c r="C152" i="29" s="1"/>
  <c r="C153" i="29" s="1"/>
  <c r="C154" i="29" s="1"/>
  <c r="C155" i="29" s="1"/>
  <c r="C101" i="13"/>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F100" i="13"/>
  <c r="G18" i="20"/>
  <c r="E19" i="20"/>
  <c r="F19" i="20" s="1"/>
  <c r="H18" i="20"/>
  <c r="F20" i="1"/>
  <c r="E25" i="1" s="1"/>
  <c r="E26" i="1" s="1"/>
  <c r="E30" i="1" s="1"/>
  <c r="I13" i="13"/>
  <c r="G17" i="13"/>
  <c r="I13" i="24"/>
  <c r="D19" i="13"/>
  <c r="G18" i="13"/>
  <c r="D96" i="24"/>
  <c r="J97" i="24" s="1"/>
  <c r="D96" i="29"/>
  <c r="J97" i="29" s="1"/>
  <c r="D96" i="23"/>
  <c r="J97" i="23" s="1"/>
  <c r="D105" i="23" s="1"/>
  <c r="D96" i="21"/>
  <c r="J97" i="21" s="1"/>
  <c r="D96" i="18"/>
  <c r="J97" i="18" s="1"/>
  <c r="D96" i="20"/>
  <c r="D96" i="38"/>
  <c r="J97" i="38" s="1"/>
  <c r="D96" i="13"/>
  <c r="D96" i="34"/>
  <c r="J97" i="34" s="1"/>
  <c r="D96" i="22"/>
  <c r="J97" i="22" s="1"/>
  <c r="D96" i="3"/>
  <c r="J97" i="3" s="1"/>
  <c r="E109" i="3" s="1"/>
  <c r="F109" i="3" s="1"/>
  <c r="G109" i="3" s="1"/>
  <c r="D96" i="4"/>
  <c r="J97" i="4" s="1"/>
  <c r="D96" i="31"/>
  <c r="J97" i="31" s="1"/>
  <c r="D96" i="37"/>
  <c r="J97" i="37" s="1"/>
  <c r="D96" i="35"/>
  <c r="J97" i="35" s="1"/>
  <c r="D96" i="26"/>
  <c r="J97" i="26" s="1"/>
  <c r="D96" i="28"/>
  <c r="J97" i="28" s="1"/>
  <c r="D96" i="19"/>
  <c r="J97" i="19" s="1"/>
  <c r="D96" i="25"/>
  <c r="J97" i="25" s="1"/>
  <c r="D101" i="20"/>
  <c r="E101" i="20" s="1"/>
  <c r="C128" i="25"/>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C100" i="35"/>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C33" i="31" l="1"/>
  <c r="C34" i="31" s="1"/>
  <c r="C35" i="31" s="1"/>
  <c r="C36" i="31" s="1"/>
  <c r="C37" i="31" s="1"/>
  <c r="C38" i="31" s="1"/>
  <c r="C39" i="31" s="1"/>
  <c r="C40" i="31" s="1"/>
  <c r="C41" i="31" s="1"/>
  <c r="C42" i="31" s="1"/>
  <c r="C43" i="31" s="1"/>
  <c r="C44" i="31" s="1"/>
  <c r="C45" i="31" s="1"/>
  <c r="I14" i="31"/>
  <c r="D13" i="37"/>
  <c r="D13" i="24"/>
  <c r="I14" i="24" s="1"/>
  <c r="D13" i="29"/>
  <c r="C33" i="29" s="1"/>
  <c r="C34" i="29" s="1"/>
  <c r="C35" i="29" s="1"/>
  <c r="C36" i="29" s="1"/>
  <c r="C37" i="29" s="1"/>
  <c r="C38" i="29" s="1"/>
  <c r="C39" i="29" s="1"/>
  <c r="C40" i="29" s="1"/>
  <c r="C41" i="29" s="1"/>
  <c r="C42" i="29" s="1"/>
  <c r="C43" i="29" s="1"/>
  <c r="C44" i="29" s="1"/>
  <c r="C45" i="29" s="1"/>
  <c r="D13" i="25"/>
  <c r="I14" i="25" s="1"/>
  <c r="D13" i="23"/>
  <c r="I14" i="23" s="1"/>
  <c r="D13" i="20"/>
  <c r="D13" i="18"/>
  <c r="C33" i="18" s="1"/>
  <c r="C34" i="18" s="1"/>
  <c r="C35" i="18" s="1"/>
  <c r="C36" i="18" s="1"/>
  <c r="C37" i="18" s="1"/>
  <c r="C38" i="18" s="1"/>
  <c r="C39" i="18" s="1"/>
  <c r="C40" i="18" s="1"/>
  <c r="C41" i="18" s="1"/>
  <c r="C42" i="18" s="1"/>
  <c r="C43" i="18" s="1"/>
  <c r="C44" i="18" s="1"/>
  <c r="C45" i="18" s="1"/>
  <c r="C46" i="18" s="1"/>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D13" i="19"/>
  <c r="C33" i="19" s="1"/>
  <c r="C34" i="19" s="1"/>
  <c r="C35" i="19" s="1"/>
  <c r="C36" i="19" s="1"/>
  <c r="C37" i="19" s="1"/>
  <c r="C38" i="19" s="1"/>
  <c r="C39" i="19" s="1"/>
  <c r="C40" i="19" s="1"/>
  <c r="C41" i="19" s="1"/>
  <c r="C42" i="19" s="1"/>
  <c r="C43" i="19" s="1"/>
  <c r="C44" i="19" s="1"/>
  <c r="C45" i="19" s="1"/>
  <c r="D13" i="34"/>
  <c r="I14" i="34" s="1"/>
  <c r="D13" i="13"/>
  <c r="C73" i="13" s="1"/>
  <c r="D13" i="4"/>
  <c r="I14" i="4" s="1"/>
  <c r="D13" i="22"/>
  <c r="I14" i="22" s="1"/>
  <c r="D13" i="21"/>
  <c r="D13" i="38"/>
  <c r="C73" i="38" s="1"/>
  <c r="D13" i="28"/>
  <c r="I14" i="28" s="1"/>
  <c r="E23" i="28" s="1"/>
  <c r="D13" i="35"/>
  <c r="C73" i="35" s="1"/>
  <c r="D13" i="27"/>
  <c r="I14" i="27" s="1"/>
  <c r="E24" i="27" s="1"/>
  <c r="F24" i="27" s="1"/>
  <c r="G24" i="27" s="1"/>
  <c r="D13" i="39"/>
  <c r="D13" i="26"/>
  <c r="I14" i="29"/>
  <c r="C33" i="25"/>
  <c r="C34" i="25" s="1"/>
  <c r="C35" i="25" s="1"/>
  <c r="C36" i="25" s="1"/>
  <c r="C37" i="25" s="1"/>
  <c r="C38" i="25" s="1"/>
  <c r="C39" i="25" s="1"/>
  <c r="C40" i="25" s="1"/>
  <c r="C41" i="25" s="1"/>
  <c r="D13" i="3"/>
  <c r="G100" i="20"/>
  <c r="H100" i="20" s="1"/>
  <c r="L100" i="38"/>
  <c r="M100" i="38" s="1"/>
  <c r="N100" i="38"/>
  <c r="O100" i="38" s="1"/>
  <c r="D101" i="38"/>
  <c r="E101" i="38" s="1"/>
  <c r="H109" i="3"/>
  <c r="I109" i="3"/>
  <c r="I14" i="18"/>
  <c r="E32" i="1"/>
  <c r="E33" i="1" s="1"/>
  <c r="F52" i="1"/>
  <c r="G100" i="13"/>
  <c r="D101" i="13"/>
  <c r="I18" i="20"/>
  <c r="B20" i="20"/>
  <c r="H19" i="20"/>
  <c r="G19" i="20"/>
  <c r="E20" i="20"/>
  <c r="F20" i="20" s="1"/>
  <c r="H20" i="20" s="1"/>
  <c r="E105" i="23"/>
  <c r="F105" i="23" s="1"/>
  <c r="E106" i="23" s="1"/>
  <c r="B19" i="13"/>
  <c r="H17" i="13"/>
  <c r="I17" i="13" s="1"/>
  <c r="H18" i="13"/>
  <c r="E19" i="13"/>
  <c r="F19" i="13" s="1"/>
  <c r="C46" i="29"/>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C46" i="3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C46" i="19"/>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E109" i="4"/>
  <c r="E108" i="18"/>
  <c r="E102" i="31"/>
  <c r="E104" i="25"/>
  <c r="E100" i="37"/>
  <c r="F100" i="37" s="1"/>
  <c r="E106" i="28"/>
  <c r="E105" i="26"/>
  <c r="E102" i="35"/>
  <c r="B101" i="20"/>
  <c r="F101" i="20"/>
  <c r="D108" i="19"/>
  <c r="E108" i="19"/>
  <c r="C128" i="35"/>
  <c r="C129" i="35" s="1"/>
  <c r="C130" i="35" s="1"/>
  <c r="C131" i="35" s="1"/>
  <c r="C132" i="35" s="1"/>
  <c r="C133" i="35" s="1"/>
  <c r="C134" i="35" s="1"/>
  <c r="C135" i="35" s="1"/>
  <c r="C136" i="35" s="1"/>
  <c r="C137" i="35" s="1"/>
  <c r="C138" i="35" s="1"/>
  <c r="C139" i="35" s="1"/>
  <c r="C140" i="35" s="1"/>
  <c r="C141" i="35" s="1"/>
  <c r="C142" i="35" s="1"/>
  <c r="C143" i="35" s="1"/>
  <c r="C144" i="35" s="1"/>
  <c r="C145" i="35" s="1"/>
  <c r="C146" i="35" s="1"/>
  <c r="C147" i="35" s="1"/>
  <c r="C148" i="35" s="1"/>
  <c r="C149" i="35" s="1"/>
  <c r="C150" i="35" s="1"/>
  <c r="C151" i="35" s="1"/>
  <c r="C152" i="35" s="1"/>
  <c r="C153" i="35" s="1"/>
  <c r="C154" i="35" s="1"/>
  <c r="C155" i="35" s="1"/>
  <c r="D105" i="22"/>
  <c r="E105" i="22"/>
  <c r="C33" i="4" l="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33" i="22"/>
  <c r="C34" i="22" s="1"/>
  <c r="C35" i="22" s="1"/>
  <c r="C36" i="22" s="1"/>
  <c r="C37" i="22" s="1"/>
  <c r="C38" i="22" s="1"/>
  <c r="C39" i="22" s="1"/>
  <c r="C40" i="22" s="1"/>
  <c r="C41" i="22" s="1"/>
  <c r="C42" i="22" s="1"/>
  <c r="C43" i="22" s="1"/>
  <c r="C44" i="22" s="1"/>
  <c r="C45" i="22" s="1"/>
  <c r="C46" i="22" s="1"/>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C33" i="23"/>
  <c r="C34" i="23" s="1"/>
  <c r="C35" i="23" s="1"/>
  <c r="C36" i="23" s="1"/>
  <c r="C37" i="23" s="1"/>
  <c r="C38" i="23" s="1"/>
  <c r="C39" i="23" s="1"/>
  <c r="C40" i="23" s="1"/>
  <c r="C41" i="23" s="1"/>
  <c r="C42" i="23" s="1"/>
  <c r="C43" i="23" s="1"/>
  <c r="C44" i="23" s="1"/>
  <c r="C45" i="23" s="1"/>
  <c r="I14" i="19"/>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33" i="24"/>
  <c r="C34" i="24" s="1"/>
  <c r="C35" i="24" s="1"/>
  <c r="C36" i="24" s="1"/>
  <c r="C37" i="24" s="1"/>
  <c r="C38" i="24" s="1"/>
  <c r="C39" i="24" s="1"/>
  <c r="C40" i="24" s="1"/>
  <c r="C41" i="24" s="1"/>
  <c r="C42" i="24" s="1"/>
  <c r="C43" i="24" s="1"/>
  <c r="C44" i="24" s="1"/>
  <c r="C45" i="24" s="1"/>
  <c r="C46" i="24" s="1"/>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E36" i="1"/>
  <c r="F53" i="1" s="1"/>
  <c r="F54" i="1" s="1"/>
  <c r="C73" i="34"/>
  <c r="C33" i="21"/>
  <c r="C34" i="21" s="1"/>
  <c r="C35" i="21" s="1"/>
  <c r="C36" i="21" s="1"/>
  <c r="C37" i="21" s="1"/>
  <c r="C38" i="21" s="1"/>
  <c r="C39" i="21" s="1"/>
  <c r="C40" i="21" s="1"/>
  <c r="C41" i="21" s="1"/>
  <c r="C42" i="21" s="1"/>
  <c r="C43" i="21" s="1"/>
  <c r="C44" i="21" s="1"/>
  <c r="C45" i="21" s="1"/>
  <c r="C46" i="21" s="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I14" i="21"/>
  <c r="I14" i="37"/>
  <c r="E20" i="37" s="1"/>
  <c r="C73" i="37"/>
  <c r="I14" i="38"/>
  <c r="C33" i="27"/>
  <c r="C34" i="27" s="1"/>
  <c r="C35" i="27" s="1"/>
  <c r="C36" i="27" s="1"/>
  <c r="C37" i="27" s="1"/>
  <c r="C38" i="27" s="1"/>
  <c r="C39" i="27" s="1"/>
  <c r="C40" i="27" s="1"/>
  <c r="C41" i="27" s="1"/>
  <c r="C42" i="27" s="1"/>
  <c r="C43" i="27" s="1"/>
  <c r="C44" i="27" s="1"/>
  <c r="C45" i="27" s="1"/>
  <c r="I14" i="35"/>
  <c r="H24" i="27"/>
  <c r="B21" i="20"/>
  <c r="C33" i="3"/>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I14" i="3"/>
  <c r="I14" i="39"/>
  <c r="C73" i="39"/>
  <c r="C33" i="26"/>
  <c r="C34" i="26" s="1"/>
  <c r="C35" i="26" s="1"/>
  <c r="C36" i="26" s="1"/>
  <c r="C37" i="26" s="1"/>
  <c r="C38" i="26" s="1"/>
  <c r="C39" i="26" s="1"/>
  <c r="C40" i="26" s="1"/>
  <c r="C41" i="26" s="1"/>
  <c r="C42" i="26" s="1"/>
  <c r="C43" i="26" s="1"/>
  <c r="C44" i="26" s="1"/>
  <c r="C45" i="26" s="1"/>
  <c r="C46" i="26" s="1"/>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I14" i="26"/>
  <c r="I100" i="20"/>
  <c r="J100" i="20" s="1"/>
  <c r="J100" i="38"/>
  <c r="B101" i="38"/>
  <c r="P100" i="38"/>
  <c r="F101" i="38"/>
  <c r="D102" i="38" s="1"/>
  <c r="E102" i="38" s="1"/>
  <c r="E101" i="37"/>
  <c r="D101" i="37"/>
  <c r="D20" i="37"/>
  <c r="D106" i="23"/>
  <c r="F106" i="23" s="1"/>
  <c r="J104" i="23"/>
  <c r="C46" i="23"/>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G105" i="23"/>
  <c r="H105" i="23" s="1"/>
  <c r="E101" i="13"/>
  <c r="F101" i="13" s="1"/>
  <c r="B101" i="13"/>
  <c r="H100" i="13"/>
  <c r="I100" i="13"/>
  <c r="I19" i="20"/>
  <c r="G20" i="20"/>
  <c r="I20" i="20" s="1"/>
  <c r="E21" i="20"/>
  <c r="F21" i="20" s="1"/>
  <c r="D20" i="13"/>
  <c r="E20" i="13" s="1"/>
  <c r="F20" i="13" s="1"/>
  <c r="D21" i="13" s="1"/>
  <c r="H19" i="13"/>
  <c r="G19" i="13"/>
  <c r="I18" i="13"/>
  <c r="B23" i="23"/>
  <c r="F23" i="28"/>
  <c r="I22" i="23"/>
  <c r="D108" i="18"/>
  <c r="D109" i="4"/>
  <c r="D105" i="26"/>
  <c r="D106" i="28"/>
  <c r="D102" i="31"/>
  <c r="G100" i="37"/>
  <c r="D102" i="35"/>
  <c r="D104" i="25"/>
  <c r="B104" i="25" s="1"/>
  <c r="D106" i="24"/>
  <c r="E106" i="24"/>
  <c r="B108" i="19"/>
  <c r="F108" i="19"/>
  <c r="G101" i="20"/>
  <c r="D102" i="20"/>
  <c r="B102" i="20" s="1"/>
  <c r="G101" i="38"/>
  <c r="D102" i="34"/>
  <c r="E102" i="34"/>
  <c r="D103" i="29"/>
  <c r="E103" i="29"/>
  <c r="D106" i="21"/>
  <c r="E106" i="21"/>
  <c r="D106" i="27"/>
  <c r="E106" i="27"/>
  <c r="B105" i="22"/>
  <c r="F105" i="22"/>
  <c r="B109" i="3"/>
  <c r="C46" i="27" l="1"/>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F61" i="1"/>
  <c r="F64" i="1" s="1"/>
  <c r="F66" i="1" s="1"/>
  <c r="F68" i="1" s="1"/>
  <c r="F74" i="1"/>
  <c r="F75" i="1" s="1"/>
  <c r="E18" i="39"/>
  <c r="F18" i="39" s="1"/>
  <c r="E19" i="39" s="1"/>
  <c r="F101" i="37"/>
  <c r="D102" i="37" s="1"/>
  <c r="F20" i="37"/>
  <c r="H20" i="37" s="1"/>
  <c r="I105" i="23"/>
  <c r="J105" i="23" s="1"/>
  <c r="D102" i="13"/>
  <c r="G101" i="13"/>
  <c r="J100" i="13"/>
  <c r="I23" i="23"/>
  <c r="E21" i="13"/>
  <c r="F21" i="13" s="1"/>
  <c r="B21" i="13"/>
  <c r="I19" i="13"/>
  <c r="B20" i="13"/>
  <c r="H20" i="13"/>
  <c r="N6" i="13" s="1"/>
  <c r="G20" i="13"/>
  <c r="N5" i="13" s="1"/>
  <c r="G23" i="28"/>
  <c r="H23" i="28"/>
  <c r="I26" i="3"/>
  <c r="B27" i="3"/>
  <c r="B22" i="20"/>
  <c r="G21" i="20"/>
  <c r="H21" i="20"/>
  <c r="E22" i="20"/>
  <c r="F69" i="1"/>
  <c r="F70" i="1" s="1"/>
  <c r="F55" i="1" s="1"/>
  <c r="F56" i="1" s="1"/>
  <c r="F58" i="1" s="1"/>
  <c r="F77" i="1" s="1"/>
  <c r="F78" i="1" s="1"/>
  <c r="F80" i="1" s="1"/>
  <c r="D24" i="23"/>
  <c r="E24" i="23"/>
  <c r="B108" i="18"/>
  <c r="F108" i="18"/>
  <c r="E102" i="20"/>
  <c r="F102" i="20" s="1"/>
  <c r="G102" i="20" s="1"/>
  <c r="F104" i="25"/>
  <c r="D105" i="25" s="1"/>
  <c r="F109" i="4"/>
  <c r="B109" i="4"/>
  <c r="B101" i="37"/>
  <c r="H100" i="37"/>
  <c r="L100" i="37" s="1"/>
  <c r="M100" i="37" s="1"/>
  <c r="I100" i="37"/>
  <c r="N100" i="37" s="1"/>
  <c r="O100" i="37" s="1"/>
  <c r="B102" i="31"/>
  <c r="F102" i="31"/>
  <c r="B102" i="35"/>
  <c r="F102" i="35"/>
  <c r="B106" i="28"/>
  <c r="F106" i="28"/>
  <c r="B105" i="26"/>
  <c r="F105" i="26"/>
  <c r="I101" i="20"/>
  <c r="H101" i="20"/>
  <c r="G108" i="19"/>
  <c r="D109" i="19"/>
  <c r="E109" i="19"/>
  <c r="B106" i="27"/>
  <c r="F106" i="27"/>
  <c r="J107" i="19"/>
  <c r="F103" i="29"/>
  <c r="B102" i="38"/>
  <c r="F102" i="38"/>
  <c r="H101" i="38"/>
  <c r="I101" i="38"/>
  <c r="F106" i="21"/>
  <c r="B106" i="21"/>
  <c r="F102" i="34"/>
  <c r="B102" i="34"/>
  <c r="B106" i="24"/>
  <c r="F106" i="24"/>
  <c r="J108" i="3"/>
  <c r="D110" i="3"/>
  <c r="E110" i="3"/>
  <c r="D106" i="22"/>
  <c r="G105" i="22"/>
  <c r="E106" i="22"/>
  <c r="D107" i="23"/>
  <c r="G106" i="23"/>
  <c r="E107" i="23"/>
  <c r="J104" i="22"/>
  <c r="N7" i="13" l="1"/>
  <c r="G20" i="37"/>
  <c r="N5" i="37" s="1"/>
  <c r="D19" i="39"/>
  <c r="G18" i="39"/>
  <c r="H18" i="39"/>
  <c r="N20" i="37"/>
  <c r="O20" i="37" s="1"/>
  <c r="N6" i="37"/>
  <c r="N7" i="37" s="1"/>
  <c r="G101" i="37"/>
  <c r="I101" i="37" s="1"/>
  <c r="E102" i="37"/>
  <c r="F102" i="37" s="1"/>
  <c r="G102" i="37" s="1"/>
  <c r="P100" i="37"/>
  <c r="D103" i="20"/>
  <c r="E103" i="20" s="1"/>
  <c r="D25" i="24"/>
  <c r="E25" i="24"/>
  <c r="B24" i="24"/>
  <c r="I23" i="24"/>
  <c r="E105" i="25"/>
  <c r="F105" i="25" s="1"/>
  <c r="I101" i="13"/>
  <c r="H101" i="13"/>
  <c r="E102" i="13"/>
  <c r="F102" i="13" s="1"/>
  <c r="B102" i="13"/>
  <c r="H21" i="13"/>
  <c r="D22" i="13"/>
  <c r="E22" i="13" s="1"/>
  <c r="F22" i="13" s="1"/>
  <c r="G21" i="13"/>
  <c r="I20" i="13"/>
  <c r="B20" i="35"/>
  <c r="G104" i="25"/>
  <c r="H104" i="25" s="1"/>
  <c r="B19" i="37"/>
  <c r="I25" i="19"/>
  <c r="D28" i="3"/>
  <c r="E28" i="3"/>
  <c r="B24" i="21"/>
  <c r="I19" i="31"/>
  <c r="I23" i="27"/>
  <c r="C42" i="25"/>
  <c r="C43" i="25" s="1"/>
  <c r="C44" i="25" s="1"/>
  <c r="C45" i="25" s="1"/>
  <c r="B22" i="25"/>
  <c r="I22" i="26"/>
  <c r="I22" i="22"/>
  <c r="B26" i="19"/>
  <c r="F22" i="20"/>
  <c r="B18" i="38"/>
  <c r="B27" i="4"/>
  <c r="I23" i="28"/>
  <c r="B24" i="27"/>
  <c r="B26" i="18"/>
  <c r="I23" i="21"/>
  <c r="B23" i="22"/>
  <c r="I21" i="20"/>
  <c r="I26" i="4"/>
  <c r="B23" i="26"/>
  <c r="B20" i="34"/>
  <c r="B24" i="23"/>
  <c r="F24" i="23"/>
  <c r="H24" i="23" s="1"/>
  <c r="N6" i="23" s="1"/>
  <c r="I17" i="38"/>
  <c r="F24" i="28"/>
  <c r="G24" i="28" s="1"/>
  <c r="B24" i="28"/>
  <c r="I20" i="29"/>
  <c r="I19" i="34"/>
  <c r="I19" i="35"/>
  <c r="B20" i="31"/>
  <c r="I18" i="37"/>
  <c r="I21" i="25"/>
  <c r="I25" i="18"/>
  <c r="G109" i="4"/>
  <c r="D110" i="4"/>
  <c r="E110" i="4"/>
  <c r="J108" i="4"/>
  <c r="G108" i="18"/>
  <c r="E109" i="18"/>
  <c r="D109" i="18"/>
  <c r="J107" i="18"/>
  <c r="J101" i="35"/>
  <c r="J100" i="37"/>
  <c r="J103" i="25"/>
  <c r="G105" i="26"/>
  <c r="D106" i="26"/>
  <c r="E106" i="26"/>
  <c r="D107" i="28"/>
  <c r="G106" i="28"/>
  <c r="E107" i="28"/>
  <c r="J104" i="26"/>
  <c r="J105" i="28"/>
  <c r="E103" i="35"/>
  <c r="D103" i="35"/>
  <c r="G102" i="35"/>
  <c r="G102" i="31"/>
  <c r="D103" i="31"/>
  <c r="E103" i="31"/>
  <c r="B105" i="25"/>
  <c r="J105" i="27"/>
  <c r="G102" i="34"/>
  <c r="D103" i="34"/>
  <c r="E103" i="34"/>
  <c r="I108" i="19"/>
  <c r="H108" i="19"/>
  <c r="G103" i="29"/>
  <c r="D104" i="29"/>
  <c r="E104" i="29"/>
  <c r="J105" i="21"/>
  <c r="J102" i="29"/>
  <c r="D107" i="27"/>
  <c r="G106" i="27"/>
  <c r="E107" i="27"/>
  <c r="J101" i="20"/>
  <c r="J105" i="24"/>
  <c r="D107" i="24"/>
  <c r="G106" i="24"/>
  <c r="E107" i="24"/>
  <c r="J101" i="38"/>
  <c r="G102" i="38"/>
  <c r="D103" i="38"/>
  <c r="J101" i="34"/>
  <c r="D107" i="21"/>
  <c r="G106" i="21"/>
  <c r="E107" i="21"/>
  <c r="F109" i="19"/>
  <c r="B109" i="19"/>
  <c r="H105" i="22"/>
  <c r="I105" i="22"/>
  <c r="B110" i="3"/>
  <c r="F110" i="3"/>
  <c r="B106" i="22"/>
  <c r="F106" i="22"/>
  <c r="H102" i="20"/>
  <c r="I102" i="20"/>
  <c r="H106" i="23"/>
  <c r="I106" i="23"/>
  <c r="F107" i="23"/>
  <c r="F35" i="17"/>
  <c r="E35" i="17"/>
  <c r="H101" i="37" l="1"/>
  <c r="B19" i="39"/>
  <c r="N5" i="39"/>
  <c r="I18" i="39"/>
  <c r="N6" i="39"/>
  <c r="F19" i="39"/>
  <c r="G19" i="39" s="1"/>
  <c r="G35" i="17"/>
  <c r="B103" i="20"/>
  <c r="F103" i="20"/>
  <c r="D104" i="20" s="1"/>
  <c r="H102" i="37"/>
  <c r="I102" i="37"/>
  <c r="I24" i="24"/>
  <c r="B22" i="13"/>
  <c r="I21" i="13"/>
  <c r="H24" i="28"/>
  <c r="I24" i="28" s="1"/>
  <c r="F25" i="24"/>
  <c r="H25" i="24" s="1"/>
  <c r="N6" i="24" s="1"/>
  <c r="B25" i="24"/>
  <c r="I104" i="25"/>
  <c r="J104" i="25" s="1"/>
  <c r="G102" i="13"/>
  <c r="D103" i="13"/>
  <c r="B103" i="13" s="1"/>
  <c r="J101" i="13"/>
  <c r="I20" i="34"/>
  <c r="I23" i="22"/>
  <c r="I20" i="31"/>
  <c r="I24" i="21"/>
  <c r="I27" i="4"/>
  <c r="I26" i="18"/>
  <c r="I19" i="37"/>
  <c r="I26" i="19"/>
  <c r="G24" i="23"/>
  <c r="I20" i="35"/>
  <c r="D23" i="13"/>
  <c r="E23" i="13" s="1"/>
  <c r="G22" i="13"/>
  <c r="H22" i="13"/>
  <c r="D21" i="31"/>
  <c r="E21" i="31"/>
  <c r="D21" i="35"/>
  <c r="E21" i="35"/>
  <c r="D23" i="25"/>
  <c r="E23" i="25"/>
  <c r="E25" i="28"/>
  <c r="D25" i="23"/>
  <c r="E25" i="23"/>
  <c r="I27" i="3"/>
  <c r="D25" i="27"/>
  <c r="E25" i="27"/>
  <c r="D22" i="29"/>
  <c r="E22" i="29"/>
  <c r="D24" i="26"/>
  <c r="E24" i="26"/>
  <c r="G22" i="20"/>
  <c r="H22" i="20"/>
  <c r="E23" i="20"/>
  <c r="B23" i="20"/>
  <c r="B28" i="3"/>
  <c r="F28" i="3"/>
  <c r="G28" i="3" s="1"/>
  <c r="N5" i="3" s="1"/>
  <c r="I21" i="29"/>
  <c r="D27" i="18"/>
  <c r="E27" i="18"/>
  <c r="D28" i="4"/>
  <c r="E28" i="4"/>
  <c r="D25" i="21"/>
  <c r="E25" i="21"/>
  <c r="D21" i="34"/>
  <c r="E21" i="34"/>
  <c r="D24" i="22"/>
  <c r="E24" i="22"/>
  <c r="D27" i="19"/>
  <c r="E27" i="19"/>
  <c r="C46" i="25"/>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I108" i="18"/>
  <c r="H108" i="18"/>
  <c r="B110" i="4"/>
  <c r="F110" i="4"/>
  <c r="H109" i="4"/>
  <c r="I109" i="4"/>
  <c r="F109" i="18"/>
  <c r="B109" i="18"/>
  <c r="F104" i="29"/>
  <c r="D105" i="29" s="1"/>
  <c r="I102" i="35"/>
  <c r="H102" i="35"/>
  <c r="F103" i="35"/>
  <c r="B103" i="35"/>
  <c r="B107" i="28"/>
  <c r="F107" i="28"/>
  <c r="I105" i="26"/>
  <c r="H105" i="26"/>
  <c r="I102" i="31"/>
  <c r="H102" i="31"/>
  <c r="H106" i="28"/>
  <c r="I106" i="28"/>
  <c r="D106" i="25"/>
  <c r="E106" i="25"/>
  <c r="G105" i="25"/>
  <c r="P101" i="37"/>
  <c r="B106" i="26"/>
  <c r="F106" i="26"/>
  <c r="B102" i="37"/>
  <c r="F103" i="31"/>
  <c r="B103" i="31"/>
  <c r="I106" i="27"/>
  <c r="H106" i="27"/>
  <c r="H103" i="29"/>
  <c r="I103" i="29"/>
  <c r="B103" i="34"/>
  <c r="F103" i="34"/>
  <c r="F107" i="27"/>
  <c r="B107" i="27"/>
  <c r="H102" i="34"/>
  <c r="I102" i="34"/>
  <c r="H102" i="38"/>
  <c r="I102" i="38"/>
  <c r="B103" i="38"/>
  <c r="H106" i="21"/>
  <c r="I106" i="21"/>
  <c r="F107" i="21"/>
  <c r="B107" i="21"/>
  <c r="H106" i="24"/>
  <c r="I106" i="24"/>
  <c r="F107" i="24"/>
  <c r="B107" i="24"/>
  <c r="D110" i="19"/>
  <c r="G109" i="19"/>
  <c r="E110" i="19"/>
  <c r="E103" i="38"/>
  <c r="F103" i="38" s="1"/>
  <c r="J108" i="19"/>
  <c r="J105" i="22"/>
  <c r="J109" i="3"/>
  <c r="J102" i="20"/>
  <c r="J106" i="23"/>
  <c r="G106" i="22"/>
  <c r="D107" i="22"/>
  <c r="E107" i="22"/>
  <c r="G107" i="23"/>
  <c r="D108" i="23"/>
  <c r="E108" i="23"/>
  <c r="G110" i="3"/>
  <c r="D111" i="3"/>
  <c r="E111" i="3"/>
  <c r="E37" i="17"/>
  <c r="E18" i="17"/>
  <c r="H19" i="39" l="1"/>
  <c r="I19" i="39" s="1"/>
  <c r="N7" i="39"/>
  <c r="D20" i="39"/>
  <c r="E20" i="39"/>
  <c r="I24" i="23"/>
  <c r="N5" i="23"/>
  <c r="G103" i="20"/>
  <c r="H103" i="20" s="1"/>
  <c r="I18" i="38"/>
  <c r="E103" i="13"/>
  <c r="F103" i="13" s="1"/>
  <c r="D104" i="13" s="1"/>
  <c r="G25" i="24"/>
  <c r="E26" i="24"/>
  <c r="D26" i="24"/>
  <c r="J101" i="37"/>
  <c r="G103" i="13"/>
  <c r="H102" i="13"/>
  <c r="I102" i="13"/>
  <c r="I23" i="26"/>
  <c r="B21" i="34"/>
  <c r="F21" i="34"/>
  <c r="H21" i="34" s="1"/>
  <c r="N6" i="34" s="1"/>
  <c r="B20" i="37"/>
  <c r="B27" i="18"/>
  <c r="F27" i="18"/>
  <c r="G27" i="18" s="1"/>
  <c r="N5" i="18" s="1"/>
  <c r="J108" i="18"/>
  <c r="B27" i="19"/>
  <c r="F27" i="19"/>
  <c r="H27" i="19" s="1"/>
  <c r="N6" i="19" s="1"/>
  <c r="F23" i="20"/>
  <c r="B24" i="26"/>
  <c r="F24" i="26"/>
  <c r="H24" i="26" s="1"/>
  <c r="N6" i="26" s="1"/>
  <c r="J109" i="4"/>
  <c r="B25" i="21"/>
  <c r="F25" i="21"/>
  <c r="H25" i="21" s="1"/>
  <c r="N6" i="21" s="1"/>
  <c r="I22" i="20"/>
  <c r="I22" i="13"/>
  <c r="B24" i="22"/>
  <c r="F24" i="22"/>
  <c r="G24" i="22" s="1"/>
  <c r="N5" i="22" s="1"/>
  <c r="B28" i="4"/>
  <c r="F28" i="4"/>
  <c r="H28" i="4" s="1"/>
  <c r="N6" i="4" s="1"/>
  <c r="B25" i="23"/>
  <c r="F25" i="23"/>
  <c r="H25" i="23" s="1"/>
  <c r="I24" i="27"/>
  <c r="B19" i="38"/>
  <c r="I22" i="25"/>
  <c r="D29" i="3"/>
  <c r="E29" i="3"/>
  <c r="F23" i="25"/>
  <c r="H23" i="25" s="1"/>
  <c r="N6" i="25" s="1"/>
  <c r="B23" i="25"/>
  <c r="H28" i="3"/>
  <c r="N6" i="3" s="1"/>
  <c r="N7" i="3" s="1"/>
  <c r="B25" i="27"/>
  <c r="F25" i="27"/>
  <c r="H25" i="27" s="1"/>
  <c r="N6" i="27" s="1"/>
  <c r="B21" i="31"/>
  <c r="F21" i="31"/>
  <c r="G21" i="31" s="1"/>
  <c r="N5" i="31" s="1"/>
  <c r="F23" i="13"/>
  <c r="H23" i="13" s="1"/>
  <c r="B23" i="13"/>
  <c r="F22" i="29"/>
  <c r="G22" i="29" s="1"/>
  <c r="N5" i="29" s="1"/>
  <c r="B25" i="28"/>
  <c r="F25" i="28"/>
  <c r="H25" i="28" s="1"/>
  <c r="N6" i="28" s="1"/>
  <c r="B21" i="35"/>
  <c r="F21" i="35"/>
  <c r="H21" i="35" s="1"/>
  <c r="N6" i="35" s="1"/>
  <c r="E111" i="4"/>
  <c r="G110" i="4"/>
  <c r="D111" i="4"/>
  <c r="G109" i="18"/>
  <c r="E110" i="18"/>
  <c r="D110" i="18"/>
  <c r="G103" i="31"/>
  <c r="D104" i="31"/>
  <c r="E104" i="31"/>
  <c r="E103" i="37"/>
  <c r="D103" i="37"/>
  <c r="J102" i="31"/>
  <c r="G107" i="28"/>
  <c r="E108" i="28"/>
  <c r="D108" i="28"/>
  <c r="J105" i="26"/>
  <c r="E105" i="29"/>
  <c r="G104" i="29"/>
  <c r="I104" i="29" s="1"/>
  <c r="E107" i="26"/>
  <c r="G106" i="26"/>
  <c r="D107" i="26"/>
  <c r="B106" i="25"/>
  <c r="F106" i="25"/>
  <c r="H105" i="25"/>
  <c r="I105" i="25"/>
  <c r="G103" i="35"/>
  <c r="D104" i="35"/>
  <c r="E104" i="35"/>
  <c r="J106" i="28"/>
  <c r="J102" i="35"/>
  <c r="G107" i="21"/>
  <c r="D108" i="21"/>
  <c r="E108" i="21"/>
  <c r="J102" i="38"/>
  <c r="J106" i="27"/>
  <c r="F108" i="23"/>
  <c r="G108" i="23" s="1"/>
  <c r="J106" i="24"/>
  <c r="H104" i="29"/>
  <c r="H109" i="19"/>
  <c r="I109" i="19"/>
  <c r="F105" i="29"/>
  <c r="J102" i="34"/>
  <c r="B110" i="19"/>
  <c r="F110" i="19"/>
  <c r="D108" i="24"/>
  <c r="G107" i="24"/>
  <c r="E108" i="24"/>
  <c r="J106" i="21"/>
  <c r="G103" i="34"/>
  <c r="D104" i="34"/>
  <c r="E104" i="34"/>
  <c r="D104" i="38"/>
  <c r="E104" i="38" s="1"/>
  <c r="G103" i="38"/>
  <c r="G107" i="27"/>
  <c r="D108" i="27"/>
  <c r="E108" i="27"/>
  <c r="J103" i="29"/>
  <c r="B104" i="20"/>
  <c r="E104" i="20"/>
  <c r="F104" i="20" s="1"/>
  <c r="B111" i="3"/>
  <c r="F111" i="3"/>
  <c r="F107" i="22"/>
  <c r="B107" i="22"/>
  <c r="H110" i="3"/>
  <c r="I110" i="3"/>
  <c r="I107" i="23"/>
  <c r="H107" i="23"/>
  <c r="H106" i="22"/>
  <c r="I106" i="22"/>
  <c r="F18" i="17"/>
  <c r="E31" i="17"/>
  <c r="E24" i="17"/>
  <c r="E32" i="17"/>
  <c r="F37" i="17"/>
  <c r="E20" i="17"/>
  <c r="E25" i="17"/>
  <c r="I103" i="20" l="1"/>
  <c r="J103" i="20" s="1"/>
  <c r="G37" i="17"/>
  <c r="B20" i="39"/>
  <c r="F20" i="39"/>
  <c r="G18" i="17"/>
  <c r="N7" i="23"/>
  <c r="I25" i="24"/>
  <c r="N5" i="24"/>
  <c r="G21" i="34"/>
  <c r="F26" i="24"/>
  <c r="H26" i="24" s="1"/>
  <c r="B26" i="24"/>
  <c r="B104" i="13"/>
  <c r="I103" i="13"/>
  <c r="H103" i="13"/>
  <c r="J102" i="13"/>
  <c r="E104" i="13"/>
  <c r="F104" i="13" s="1"/>
  <c r="G23" i="25"/>
  <c r="G25" i="28"/>
  <c r="G21" i="35"/>
  <c r="G28" i="4"/>
  <c r="H24" i="22"/>
  <c r="H22" i="29"/>
  <c r="H21" i="31"/>
  <c r="E109" i="23"/>
  <c r="I19" i="38"/>
  <c r="D109" i="23"/>
  <c r="G25" i="23"/>
  <c r="I25" i="23" s="1"/>
  <c r="G24" i="26"/>
  <c r="G25" i="27"/>
  <c r="H23" i="20"/>
  <c r="G23" i="20"/>
  <c r="E24" i="20"/>
  <c r="B24" i="20"/>
  <c r="D22" i="35"/>
  <c r="E22" i="35"/>
  <c r="D23" i="29"/>
  <c r="E23" i="29"/>
  <c r="G23" i="13"/>
  <c r="I23" i="13" s="1"/>
  <c r="F29" i="3"/>
  <c r="G29" i="3" s="1"/>
  <c r="B29" i="3"/>
  <c r="D29" i="4"/>
  <c r="E29" i="4"/>
  <c r="D26" i="27"/>
  <c r="E26" i="27"/>
  <c r="D25" i="22"/>
  <c r="E25" i="22"/>
  <c r="D28" i="19"/>
  <c r="E28" i="19"/>
  <c r="D28" i="18"/>
  <c r="E28" i="18"/>
  <c r="D21" i="37"/>
  <c r="E21" i="37"/>
  <c r="G25" i="21"/>
  <c r="N5" i="21" s="1"/>
  <c r="D25" i="26"/>
  <c r="E25" i="26"/>
  <c r="G27" i="19"/>
  <c r="N5" i="19" s="1"/>
  <c r="H27" i="18"/>
  <c r="N6" i="18" s="1"/>
  <c r="N7" i="18" s="1"/>
  <c r="D22" i="34"/>
  <c r="E22" i="34"/>
  <c r="D24" i="13"/>
  <c r="E24" i="13" s="1"/>
  <c r="E26" i="28"/>
  <c r="D26" i="21"/>
  <c r="E26" i="21"/>
  <c r="D22" i="31"/>
  <c r="E22" i="31"/>
  <c r="I28" i="3"/>
  <c r="D24" i="25"/>
  <c r="E24" i="25"/>
  <c r="D20" i="38"/>
  <c r="E20" i="38"/>
  <c r="E26" i="23"/>
  <c r="D26" i="23"/>
  <c r="I109" i="18"/>
  <c r="H109" i="18"/>
  <c r="F111" i="4"/>
  <c r="B111" i="4"/>
  <c r="F110" i="18"/>
  <c r="B110" i="18"/>
  <c r="I110" i="4"/>
  <c r="H110" i="4"/>
  <c r="G106" i="25"/>
  <c r="D107" i="25"/>
  <c r="E107" i="25"/>
  <c r="F108" i="28"/>
  <c r="B108" i="28"/>
  <c r="B104" i="31"/>
  <c r="F104" i="31"/>
  <c r="I103" i="31"/>
  <c r="H103" i="31"/>
  <c r="B107" i="26"/>
  <c r="F107" i="26"/>
  <c r="H107" i="28"/>
  <c r="I107" i="28"/>
  <c r="I106" i="26"/>
  <c r="H106" i="26"/>
  <c r="B104" i="35"/>
  <c r="F104" i="35"/>
  <c r="B103" i="37"/>
  <c r="F103" i="37"/>
  <c r="I103" i="35"/>
  <c r="H103" i="35"/>
  <c r="J105" i="25"/>
  <c r="I107" i="21"/>
  <c r="H107" i="21"/>
  <c r="F104" i="34"/>
  <c r="B104" i="34"/>
  <c r="F108" i="27"/>
  <c r="B108" i="27"/>
  <c r="H103" i="34"/>
  <c r="I103" i="34"/>
  <c r="G105" i="29"/>
  <c r="D106" i="29"/>
  <c r="E106" i="29"/>
  <c r="H107" i="27"/>
  <c r="I107" i="27"/>
  <c r="H107" i="24"/>
  <c r="I107" i="24"/>
  <c r="H103" i="38"/>
  <c r="I103" i="38"/>
  <c r="B108" i="24"/>
  <c r="F108" i="24"/>
  <c r="J109" i="19"/>
  <c r="F104" i="38"/>
  <c r="B104" i="38"/>
  <c r="D111" i="19"/>
  <c r="G110" i="19"/>
  <c r="E111" i="19"/>
  <c r="J104" i="29"/>
  <c r="B108" i="21"/>
  <c r="F108" i="21"/>
  <c r="D105" i="20"/>
  <c r="G104" i="20"/>
  <c r="H108" i="23"/>
  <c r="I108" i="23"/>
  <c r="J106" i="22"/>
  <c r="J110" i="3"/>
  <c r="J107" i="23"/>
  <c r="D108" i="22"/>
  <c r="G107" i="22"/>
  <c r="E108" i="22"/>
  <c r="D112" i="3"/>
  <c r="E112" i="3"/>
  <c r="G111" i="3"/>
  <c r="F20" i="17"/>
  <c r="E21" i="17"/>
  <c r="F25" i="17"/>
  <c r="E27" i="17"/>
  <c r="E23" i="17"/>
  <c r="I25" i="27" l="1"/>
  <c r="N5" i="27"/>
  <c r="D21" i="39"/>
  <c r="E21" i="39"/>
  <c r="H20" i="39"/>
  <c r="G20" i="39"/>
  <c r="G20" i="17"/>
  <c r="G25" i="17"/>
  <c r="I24" i="22"/>
  <c r="N6" i="22"/>
  <c r="N7" i="22" s="1"/>
  <c r="I25" i="28"/>
  <c r="N5" i="28"/>
  <c r="I24" i="26"/>
  <c r="N5" i="26"/>
  <c r="I28" i="4"/>
  <c r="N5" i="4"/>
  <c r="I23" i="25"/>
  <c r="N5" i="25"/>
  <c r="I21" i="34"/>
  <c r="N5" i="34"/>
  <c r="N7" i="19"/>
  <c r="N7" i="21"/>
  <c r="I22" i="29"/>
  <c r="N6" i="29"/>
  <c r="N7" i="29" s="1"/>
  <c r="N7" i="24"/>
  <c r="I21" i="31"/>
  <c r="N6" i="31"/>
  <c r="N7" i="31" s="1"/>
  <c r="I21" i="35"/>
  <c r="N5" i="35"/>
  <c r="G26" i="24"/>
  <c r="I26" i="24" s="1"/>
  <c r="E27" i="24"/>
  <c r="D27" i="24"/>
  <c r="F109" i="23"/>
  <c r="E110" i="23" s="1"/>
  <c r="G104" i="13"/>
  <c r="D105" i="13"/>
  <c r="J103" i="13"/>
  <c r="B22" i="31"/>
  <c r="F22" i="31"/>
  <c r="H22" i="31" s="1"/>
  <c r="I27" i="18"/>
  <c r="B28" i="18"/>
  <c r="F28" i="18"/>
  <c r="D30" i="3"/>
  <c r="E30" i="3"/>
  <c r="F24" i="20"/>
  <c r="F26" i="27"/>
  <c r="G26" i="27" s="1"/>
  <c r="B26" i="27"/>
  <c r="B26" i="28"/>
  <c r="F26" i="28"/>
  <c r="G26" i="28" s="1"/>
  <c r="F25" i="26"/>
  <c r="G25" i="26" s="1"/>
  <c r="B25" i="26"/>
  <c r="B28" i="19"/>
  <c r="F28" i="19"/>
  <c r="G28" i="19" s="1"/>
  <c r="I23" i="20"/>
  <c r="B22" i="34"/>
  <c r="F22" i="34"/>
  <c r="I20" i="37"/>
  <c r="F24" i="25"/>
  <c r="G24" i="25" s="1"/>
  <c r="B24" i="25"/>
  <c r="B26" i="21"/>
  <c r="F26" i="21"/>
  <c r="G26" i="21" s="1"/>
  <c r="F23" i="29"/>
  <c r="G23" i="29" s="1"/>
  <c r="F26" i="23"/>
  <c r="H26" i="23" s="1"/>
  <c r="B26" i="23"/>
  <c r="B20" i="38"/>
  <c r="F20" i="38"/>
  <c r="G20" i="38" s="1"/>
  <c r="N5" i="38" s="1"/>
  <c r="I27" i="19"/>
  <c r="F24" i="13"/>
  <c r="H24" i="13" s="1"/>
  <c r="B24" i="13"/>
  <c r="B29" i="4"/>
  <c r="F29" i="4"/>
  <c r="G29" i="4" s="1"/>
  <c r="I25" i="21"/>
  <c r="F21" i="37"/>
  <c r="B21" i="37"/>
  <c r="F25" i="22"/>
  <c r="G25" i="22" s="1"/>
  <c r="B25" i="22"/>
  <c r="H29" i="3"/>
  <c r="B22" i="35"/>
  <c r="F22" i="35"/>
  <c r="G22" i="35" s="1"/>
  <c r="J108" i="23"/>
  <c r="J107" i="28"/>
  <c r="D111" i="18"/>
  <c r="E111" i="18"/>
  <c r="G110" i="18"/>
  <c r="E112" i="4"/>
  <c r="D112" i="4"/>
  <c r="G111" i="4"/>
  <c r="J110" i="4"/>
  <c r="J109" i="18"/>
  <c r="E105" i="35"/>
  <c r="D105" i="35"/>
  <c r="G104" i="35"/>
  <c r="H106" i="25"/>
  <c r="I106" i="25"/>
  <c r="J102" i="37"/>
  <c r="J103" i="31"/>
  <c r="E105" i="31"/>
  <c r="D105" i="31"/>
  <c r="G104" i="31"/>
  <c r="J106" i="26"/>
  <c r="J103" i="35"/>
  <c r="G108" i="28"/>
  <c r="D109" i="28"/>
  <c r="E109" i="28"/>
  <c r="G103" i="37"/>
  <c r="D104" i="37"/>
  <c r="E104" i="37"/>
  <c r="E108" i="26"/>
  <c r="G107" i="26"/>
  <c r="D108" i="26"/>
  <c r="B107" i="25"/>
  <c r="F107" i="25"/>
  <c r="F106" i="29"/>
  <c r="E107" i="29" s="1"/>
  <c r="D109" i="21"/>
  <c r="G108" i="21"/>
  <c r="E109" i="21"/>
  <c r="D105" i="38"/>
  <c r="E105" i="38" s="1"/>
  <c r="G104" i="38"/>
  <c r="G104" i="34"/>
  <c r="D105" i="34"/>
  <c r="E105" i="34"/>
  <c r="J107" i="27"/>
  <c r="D109" i="24"/>
  <c r="G108" i="24"/>
  <c r="E109" i="24"/>
  <c r="J103" i="34"/>
  <c r="J103" i="38"/>
  <c r="I105" i="29"/>
  <c r="H105" i="29"/>
  <c r="G108" i="27"/>
  <c r="D109" i="27"/>
  <c r="E109" i="27"/>
  <c r="B111" i="19"/>
  <c r="F111" i="19"/>
  <c r="I110" i="19"/>
  <c r="H110" i="19"/>
  <c r="J107" i="24"/>
  <c r="J107" i="21"/>
  <c r="B108" i="22"/>
  <c r="F108" i="22"/>
  <c r="H104" i="20"/>
  <c r="I104" i="20"/>
  <c r="H111" i="3"/>
  <c r="I111" i="3"/>
  <c r="F112" i="3"/>
  <c r="B112" i="3"/>
  <c r="B105" i="20"/>
  <c r="I107" i="22"/>
  <c r="H107" i="22"/>
  <c r="E105" i="20"/>
  <c r="F105" i="20" s="1"/>
  <c r="E34" i="17"/>
  <c r="E19" i="17"/>
  <c r="F24" i="17"/>
  <c r="F21" i="17"/>
  <c r="E26" i="17"/>
  <c r="E33" i="17"/>
  <c r="F27" i="17"/>
  <c r="E29" i="17"/>
  <c r="F31" i="17"/>
  <c r="E30" i="17"/>
  <c r="F23" i="17"/>
  <c r="E28" i="17"/>
  <c r="F32" i="17"/>
  <c r="E36" i="17"/>
  <c r="N7" i="27" l="1"/>
  <c r="I20" i="39"/>
  <c r="F21" i="39"/>
  <c r="B21" i="39"/>
  <c r="G23" i="17"/>
  <c r="G24" i="17"/>
  <c r="G27" i="17"/>
  <c r="G21" i="17"/>
  <c r="G32" i="17"/>
  <c r="G31" i="17"/>
  <c r="N7" i="35"/>
  <c r="N7" i="25"/>
  <c r="N7" i="26"/>
  <c r="N7" i="34"/>
  <c r="N7" i="4"/>
  <c r="N7" i="28"/>
  <c r="D110" i="23"/>
  <c r="F110" i="23" s="1"/>
  <c r="D111" i="23" s="1"/>
  <c r="G109" i="23"/>
  <c r="I109" i="23" s="1"/>
  <c r="B27" i="24"/>
  <c r="F27" i="24"/>
  <c r="H27" i="24" s="1"/>
  <c r="J106" i="25"/>
  <c r="E105" i="13"/>
  <c r="F105" i="13" s="1"/>
  <c r="B105" i="13"/>
  <c r="I104" i="13"/>
  <c r="H104" i="13"/>
  <c r="H25" i="22"/>
  <c r="I25" i="22" s="1"/>
  <c r="H22" i="35"/>
  <c r="I22" i="35" s="1"/>
  <c r="G22" i="31"/>
  <c r="I22" i="31" s="1"/>
  <c r="G26" i="23"/>
  <c r="I26" i="23" s="1"/>
  <c r="H26" i="21"/>
  <c r="I26" i="21" s="1"/>
  <c r="G24" i="13"/>
  <c r="I24" i="13" s="1"/>
  <c r="H23" i="29"/>
  <c r="I23" i="29" s="1"/>
  <c r="H26" i="27"/>
  <c r="I26" i="27" s="1"/>
  <c r="D22" i="37"/>
  <c r="E22" i="37"/>
  <c r="D29" i="18"/>
  <c r="E29" i="18"/>
  <c r="I29" i="3"/>
  <c r="H21" i="37"/>
  <c r="D26" i="26"/>
  <c r="E26" i="26"/>
  <c r="H25" i="26"/>
  <c r="H24" i="20"/>
  <c r="B25" i="20"/>
  <c r="E25" i="20"/>
  <c r="F25" i="20" s="1"/>
  <c r="G24" i="20"/>
  <c r="D26" i="22"/>
  <c r="E26" i="22"/>
  <c r="D25" i="13"/>
  <c r="D23" i="31"/>
  <c r="E23" i="31"/>
  <c r="D30" i="4"/>
  <c r="E30" i="4"/>
  <c r="D27" i="23"/>
  <c r="E27" i="23"/>
  <c r="D27" i="21"/>
  <c r="E27" i="21"/>
  <c r="D23" i="34"/>
  <c r="E23" i="34"/>
  <c r="D29" i="19"/>
  <c r="E29" i="19"/>
  <c r="D27" i="28"/>
  <c r="E27" i="28" s="1"/>
  <c r="B30" i="3"/>
  <c r="F30" i="3"/>
  <c r="H30" i="3" s="1"/>
  <c r="D23" i="35"/>
  <c r="E23" i="35"/>
  <c r="G21" i="37"/>
  <c r="H29" i="4"/>
  <c r="D21" i="38"/>
  <c r="E21" i="38"/>
  <c r="G22" i="34"/>
  <c r="H26" i="28"/>
  <c r="D27" i="27"/>
  <c r="E27" i="27"/>
  <c r="G28" i="18"/>
  <c r="D25" i="25"/>
  <c r="E25" i="25"/>
  <c r="H20" i="38"/>
  <c r="N6" i="38" s="1"/>
  <c r="N7" i="38" s="1"/>
  <c r="D24" i="29"/>
  <c r="E24" i="29"/>
  <c r="H24" i="25"/>
  <c r="H22" i="34"/>
  <c r="H28" i="19"/>
  <c r="H28" i="18"/>
  <c r="H110" i="18"/>
  <c r="I110" i="18"/>
  <c r="F112" i="4"/>
  <c r="B112" i="4"/>
  <c r="H111" i="4"/>
  <c r="I111" i="4"/>
  <c r="B111" i="18"/>
  <c r="F111" i="18"/>
  <c r="G107" i="25"/>
  <c r="D108" i="25"/>
  <c r="E108" i="25"/>
  <c r="F108" i="26"/>
  <c r="B108" i="26"/>
  <c r="H108" i="28"/>
  <c r="I108" i="28"/>
  <c r="B109" i="28"/>
  <c r="F109" i="28"/>
  <c r="I107" i="26"/>
  <c r="H107" i="26"/>
  <c r="H104" i="35"/>
  <c r="I104" i="35"/>
  <c r="B104" i="37"/>
  <c r="F104" i="37"/>
  <c r="I104" i="31"/>
  <c r="H104" i="31"/>
  <c r="B105" i="35"/>
  <c r="F105" i="35"/>
  <c r="I103" i="37"/>
  <c r="H103" i="37"/>
  <c r="F105" i="31"/>
  <c r="B105" i="31"/>
  <c r="G106" i="29"/>
  <c r="I106" i="29" s="1"/>
  <c r="D107" i="29"/>
  <c r="F107" i="29" s="1"/>
  <c r="E108" i="29" s="1"/>
  <c r="F109" i="24"/>
  <c r="B109" i="24"/>
  <c r="B105" i="38"/>
  <c r="F105" i="38"/>
  <c r="H104" i="34"/>
  <c r="I104" i="34"/>
  <c r="J110" i="19"/>
  <c r="H108" i="24"/>
  <c r="I108" i="24"/>
  <c r="D112" i="19"/>
  <c r="G111" i="19"/>
  <c r="E112" i="19"/>
  <c r="F109" i="27"/>
  <c r="B109" i="27"/>
  <c r="I108" i="21"/>
  <c r="H108" i="21"/>
  <c r="H104" i="38"/>
  <c r="I104" i="38"/>
  <c r="H108" i="27"/>
  <c r="I108" i="27"/>
  <c r="F109" i="21"/>
  <c r="B109" i="21"/>
  <c r="J105" i="29"/>
  <c r="B105" i="34"/>
  <c r="F105" i="34"/>
  <c r="G105" i="20"/>
  <c r="D106" i="20"/>
  <c r="E106" i="20" s="1"/>
  <c r="J104" i="20"/>
  <c r="D113" i="3"/>
  <c r="G112" i="3"/>
  <c r="E113" i="3"/>
  <c r="G108" i="22"/>
  <c r="D109" i="22"/>
  <c r="E109" i="22"/>
  <c r="J107" i="22"/>
  <c r="J111" i="3"/>
  <c r="F34" i="17"/>
  <c r="F26" i="17"/>
  <c r="F33" i="17"/>
  <c r="F29" i="17"/>
  <c r="F28" i="17"/>
  <c r="F19" i="17"/>
  <c r="F36" i="17"/>
  <c r="F30" i="17"/>
  <c r="G29" i="17" l="1"/>
  <c r="D22" i="39"/>
  <c r="E22" i="39"/>
  <c r="H21" i="39"/>
  <c r="G21" i="39"/>
  <c r="G30" i="17"/>
  <c r="G26" i="17"/>
  <c r="G33" i="17"/>
  <c r="G19" i="17"/>
  <c r="G34" i="17"/>
  <c r="G36" i="17"/>
  <c r="G28" i="17"/>
  <c r="H109" i="23"/>
  <c r="J109" i="23" s="1"/>
  <c r="G110" i="23"/>
  <c r="H110" i="23" s="1"/>
  <c r="G27" i="24"/>
  <c r="I27" i="24" s="1"/>
  <c r="D28" i="24"/>
  <c r="E28" i="24"/>
  <c r="E111" i="23"/>
  <c r="F111" i="23" s="1"/>
  <c r="D112" i="23" s="1"/>
  <c r="G30" i="3"/>
  <c r="I30" i="3" s="1"/>
  <c r="H106" i="29"/>
  <c r="J106" i="29" s="1"/>
  <c r="J104" i="31"/>
  <c r="G107" i="29"/>
  <c r="H107" i="29" s="1"/>
  <c r="J104" i="13"/>
  <c r="D106" i="13"/>
  <c r="G105" i="13"/>
  <c r="J110" i="18"/>
  <c r="B30" i="4"/>
  <c r="F30" i="4"/>
  <c r="H30" i="4" s="1"/>
  <c r="J111" i="4"/>
  <c r="I22" i="34"/>
  <c r="F21" i="38"/>
  <c r="G21" i="38" s="1"/>
  <c r="B21" i="38"/>
  <c r="F23" i="34"/>
  <c r="H23" i="34" s="1"/>
  <c r="B23" i="34"/>
  <c r="I24" i="25"/>
  <c r="I29" i="4"/>
  <c r="B25" i="13"/>
  <c r="B27" i="27"/>
  <c r="F27" i="27"/>
  <c r="H27" i="27" s="1"/>
  <c r="F27" i="21"/>
  <c r="G27" i="21" s="1"/>
  <c r="B27" i="21"/>
  <c r="E25" i="13"/>
  <c r="F25" i="13" s="1"/>
  <c r="F29" i="18"/>
  <c r="B29" i="18"/>
  <c r="F24" i="29"/>
  <c r="G24" i="29" s="1"/>
  <c r="I26" i="28"/>
  <c r="I28" i="19"/>
  <c r="B23" i="31"/>
  <c r="F23" i="31"/>
  <c r="H23" i="31" s="1"/>
  <c r="I20" i="38"/>
  <c r="F23" i="35"/>
  <c r="G23" i="35" s="1"/>
  <c r="B23" i="35"/>
  <c r="F27" i="28"/>
  <c r="B27" i="28"/>
  <c r="F27" i="23"/>
  <c r="G27" i="23" s="1"/>
  <c r="B27" i="23"/>
  <c r="F26" i="22"/>
  <c r="H26" i="22" s="1"/>
  <c r="B26" i="22"/>
  <c r="G25" i="20"/>
  <c r="B26" i="20"/>
  <c r="H25" i="20"/>
  <c r="E26" i="20"/>
  <c r="F26" i="20" s="1"/>
  <c r="B22" i="37"/>
  <c r="F22" i="37"/>
  <c r="H22" i="37" s="1"/>
  <c r="I25" i="26"/>
  <c r="B26" i="26"/>
  <c r="F26" i="26"/>
  <c r="G26" i="26" s="1"/>
  <c r="D108" i="29"/>
  <c r="F108" i="29" s="1"/>
  <c r="I28" i="18"/>
  <c r="F25" i="25"/>
  <c r="G25" i="25" s="1"/>
  <c r="B25" i="25"/>
  <c r="D31" i="3"/>
  <c r="E31" i="3"/>
  <c r="F29" i="19"/>
  <c r="H29" i="19" s="1"/>
  <c r="B29" i="19"/>
  <c r="I24" i="20"/>
  <c r="I21" i="37"/>
  <c r="J108" i="28"/>
  <c r="J104" i="35"/>
  <c r="D112" i="18"/>
  <c r="E112" i="18"/>
  <c r="G111" i="18"/>
  <c r="E113" i="4"/>
  <c r="D113" i="4"/>
  <c r="G112" i="4"/>
  <c r="D105" i="37"/>
  <c r="E105" i="37"/>
  <c r="G104" i="37"/>
  <c r="G105" i="31"/>
  <c r="D106" i="31"/>
  <c r="E106" i="31"/>
  <c r="J103" i="37"/>
  <c r="E109" i="26"/>
  <c r="G108" i="26"/>
  <c r="D109" i="26"/>
  <c r="G105" i="35"/>
  <c r="E106" i="35"/>
  <c r="D106" i="35"/>
  <c r="J107" i="26"/>
  <c r="B108" i="25"/>
  <c r="F108" i="25"/>
  <c r="D110" i="28"/>
  <c r="E110" i="28"/>
  <c r="G109" i="28"/>
  <c r="H107" i="25"/>
  <c r="I107" i="25"/>
  <c r="J108" i="27"/>
  <c r="G109" i="24"/>
  <c r="D110" i="24"/>
  <c r="E110" i="24"/>
  <c r="I111" i="19"/>
  <c r="H111" i="19"/>
  <c r="D106" i="38"/>
  <c r="G105" i="38"/>
  <c r="B112" i="19"/>
  <c r="F112" i="19"/>
  <c r="D106" i="34"/>
  <c r="G105" i="34"/>
  <c r="E106" i="34"/>
  <c r="G109" i="21"/>
  <c r="D110" i="21"/>
  <c r="E110" i="21"/>
  <c r="J108" i="21"/>
  <c r="J104" i="34"/>
  <c r="J104" i="38"/>
  <c r="G109" i="27"/>
  <c r="D110" i="27"/>
  <c r="E110" i="27"/>
  <c r="J108" i="24"/>
  <c r="H108" i="22"/>
  <c r="I108" i="22"/>
  <c r="I112" i="3"/>
  <c r="H112" i="3"/>
  <c r="F109" i="22"/>
  <c r="B109" i="22"/>
  <c r="F113" i="3"/>
  <c r="B113" i="3"/>
  <c r="F106" i="20"/>
  <c r="B106" i="20"/>
  <c r="I105" i="20"/>
  <c r="H105" i="20"/>
  <c r="F22" i="39" l="1"/>
  <c r="D23" i="39" s="1"/>
  <c r="I21" i="39"/>
  <c r="B23" i="39"/>
  <c r="B22" i="39"/>
  <c r="H22" i="39"/>
  <c r="I110" i="23"/>
  <c r="J110" i="23" s="1"/>
  <c r="G111" i="23"/>
  <c r="H111" i="23" s="1"/>
  <c r="E112" i="23"/>
  <c r="F112" i="23" s="1"/>
  <c r="G112" i="23" s="1"/>
  <c r="F28" i="24"/>
  <c r="G28" i="24" s="1"/>
  <c r="B28" i="24"/>
  <c r="I107" i="29"/>
  <c r="J107" i="29" s="1"/>
  <c r="J107" i="25"/>
  <c r="I105" i="13"/>
  <c r="H105" i="13"/>
  <c r="E106" i="13"/>
  <c r="F106" i="13" s="1"/>
  <c r="B106" i="13"/>
  <c r="G22" i="37"/>
  <c r="I22" i="37" s="1"/>
  <c r="G23" i="31"/>
  <c r="I23" i="31" s="1"/>
  <c r="H21" i="38"/>
  <c r="I21" i="38" s="1"/>
  <c r="H27" i="23"/>
  <c r="I27" i="23" s="1"/>
  <c r="H23" i="35"/>
  <c r="I23" i="35" s="1"/>
  <c r="G29" i="19"/>
  <c r="I29" i="19" s="1"/>
  <c r="E109" i="29"/>
  <c r="G108" i="29"/>
  <c r="H108" i="29" s="1"/>
  <c r="D109" i="29"/>
  <c r="D28" i="28"/>
  <c r="E28" i="28" s="1"/>
  <c r="D30" i="18"/>
  <c r="E30" i="18"/>
  <c r="I25" i="20"/>
  <c r="H27" i="28"/>
  <c r="D24" i="31"/>
  <c r="E24" i="31"/>
  <c r="G29" i="18"/>
  <c r="D24" i="34"/>
  <c r="E24" i="34"/>
  <c r="D31" i="4"/>
  <c r="E31" i="4"/>
  <c r="D30" i="19"/>
  <c r="E30" i="19"/>
  <c r="G27" i="28"/>
  <c r="H24" i="29"/>
  <c r="D28" i="27"/>
  <c r="E28" i="27"/>
  <c r="D26" i="25"/>
  <c r="E26" i="25"/>
  <c r="F31" i="3"/>
  <c r="B31" i="3"/>
  <c r="D27" i="26"/>
  <c r="E27" i="26"/>
  <c r="G27" i="27"/>
  <c r="I27" i="27" s="1"/>
  <c r="G30" i="4"/>
  <c r="I30" i="4" s="1"/>
  <c r="D27" i="22"/>
  <c r="E27" i="22"/>
  <c r="D26" i="13"/>
  <c r="E26" i="13" s="1"/>
  <c r="E27" i="20"/>
  <c r="F27" i="20" s="1"/>
  <c r="H26" i="20"/>
  <c r="N6" i="20" s="1"/>
  <c r="G26" i="20"/>
  <c r="N5" i="20" s="1"/>
  <c r="B27" i="20"/>
  <c r="D23" i="37"/>
  <c r="E23" i="37"/>
  <c r="G26" i="22"/>
  <c r="I26" i="22" s="1"/>
  <c r="D28" i="21"/>
  <c r="E28" i="21"/>
  <c r="H25" i="13"/>
  <c r="D22" i="38"/>
  <c r="E22" i="38"/>
  <c r="D25" i="29"/>
  <c r="E25" i="29"/>
  <c r="H25" i="25"/>
  <c r="H26" i="26"/>
  <c r="D28" i="23"/>
  <c r="E28" i="23"/>
  <c r="D24" i="35"/>
  <c r="E24" i="35"/>
  <c r="H29" i="18"/>
  <c r="H27" i="21"/>
  <c r="G25" i="13"/>
  <c r="G23" i="34"/>
  <c r="I23" i="34" s="1"/>
  <c r="F113" i="4"/>
  <c r="B113" i="4"/>
  <c r="H111" i="18"/>
  <c r="I111" i="18"/>
  <c r="I112" i="4"/>
  <c r="H112" i="4"/>
  <c r="B112" i="18"/>
  <c r="F112" i="18"/>
  <c r="G108" i="25"/>
  <c r="E109" i="25"/>
  <c r="D109" i="25"/>
  <c r="F106" i="35"/>
  <c r="B106" i="35"/>
  <c r="B106" i="31"/>
  <c r="F106" i="31"/>
  <c r="I105" i="31"/>
  <c r="H105" i="31"/>
  <c r="I109" i="28"/>
  <c r="H109" i="28"/>
  <c r="I105" i="35"/>
  <c r="H105" i="35"/>
  <c r="H104" i="37"/>
  <c r="I104" i="37"/>
  <c r="F109" i="26"/>
  <c r="B109" i="26"/>
  <c r="F110" i="28"/>
  <c r="B110" i="28"/>
  <c r="I108" i="26"/>
  <c r="H108" i="26"/>
  <c r="F105" i="37"/>
  <c r="B105" i="37"/>
  <c r="B110" i="27"/>
  <c r="F110" i="27"/>
  <c r="G112" i="19"/>
  <c r="D113" i="19"/>
  <c r="E113" i="19"/>
  <c r="I109" i="27"/>
  <c r="H109" i="27"/>
  <c r="J111" i="19"/>
  <c r="H109" i="21"/>
  <c r="I109" i="21"/>
  <c r="H105" i="38"/>
  <c r="I105" i="38"/>
  <c r="H105" i="34"/>
  <c r="I105" i="34"/>
  <c r="B106" i="38"/>
  <c r="F110" i="24"/>
  <c r="B110" i="24"/>
  <c r="F110" i="21"/>
  <c r="B110" i="21"/>
  <c r="B106" i="34"/>
  <c r="F106" i="34"/>
  <c r="E106" i="38"/>
  <c r="F106" i="38" s="1"/>
  <c r="I109" i="24"/>
  <c r="H109" i="24"/>
  <c r="J112" i="3"/>
  <c r="G109" i="22"/>
  <c r="D110" i="22"/>
  <c r="E110" i="22"/>
  <c r="J108" i="22"/>
  <c r="G106" i="20"/>
  <c r="D107" i="20"/>
  <c r="E107" i="20" s="1"/>
  <c r="E114" i="3"/>
  <c r="G113" i="3"/>
  <c r="D114" i="3"/>
  <c r="J105" i="20"/>
  <c r="E22" i="17"/>
  <c r="G22" i="39" l="1"/>
  <c r="I22" i="39" s="1"/>
  <c r="E23" i="39"/>
  <c r="F23" i="39" s="1"/>
  <c r="E39" i="17"/>
  <c r="M19" i="1"/>
  <c r="N19" i="1"/>
  <c r="N7" i="20"/>
  <c r="I111" i="23"/>
  <c r="J111" i="23" s="1"/>
  <c r="E113" i="23"/>
  <c r="D113" i="23"/>
  <c r="H112" i="23"/>
  <c r="I112" i="23"/>
  <c r="H28" i="24"/>
  <c r="I28" i="24" s="1"/>
  <c r="D29" i="24"/>
  <c r="E29" i="24"/>
  <c r="I108" i="29"/>
  <c r="J108" i="29" s="1"/>
  <c r="F109" i="29"/>
  <c r="E110" i="29" s="1"/>
  <c r="J105" i="31"/>
  <c r="G106" i="13"/>
  <c r="D107" i="13"/>
  <c r="J105" i="13"/>
  <c r="I26" i="20"/>
  <c r="I25" i="25"/>
  <c r="B26" i="13"/>
  <c r="F26" i="13"/>
  <c r="G26" i="13" s="1"/>
  <c r="B24" i="34"/>
  <c r="F24" i="34"/>
  <c r="H24" i="34" s="1"/>
  <c r="D32" i="3"/>
  <c r="D33" i="3"/>
  <c r="E32" i="3"/>
  <c r="E33" i="3"/>
  <c r="I27" i="21"/>
  <c r="B23" i="37"/>
  <c r="F23" i="37"/>
  <c r="G23" i="37" s="1"/>
  <c r="B26" i="25"/>
  <c r="F26" i="25"/>
  <c r="G26" i="25" s="1"/>
  <c r="J111" i="18"/>
  <c r="I29" i="18"/>
  <c r="F22" i="38"/>
  <c r="G22" i="38" s="1"/>
  <c r="B22" i="38"/>
  <c r="F27" i="22"/>
  <c r="B27" i="22"/>
  <c r="F27" i="26"/>
  <c r="H27" i="26" s="1"/>
  <c r="B27" i="26"/>
  <c r="B30" i="18"/>
  <c r="F30" i="18"/>
  <c r="G30" i="18" s="1"/>
  <c r="I26" i="26"/>
  <c r="F25" i="29"/>
  <c r="G25" i="29" s="1"/>
  <c r="I25" i="13"/>
  <c r="B30" i="19"/>
  <c r="F30" i="19"/>
  <c r="B24" i="35"/>
  <c r="F24" i="35"/>
  <c r="H24" i="35" s="1"/>
  <c r="H31" i="3"/>
  <c r="B28" i="27"/>
  <c r="F28" i="27"/>
  <c r="H28" i="27" s="1"/>
  <c r="F24" i="31"/>
  <c r="H24" i="31" s="1"/>
  <c r="B24" i="31"/>
  <c r="F28" i="28"/>
  <c r="H28" i="28" s="1"/>
  <c r="B28" i="28"/>
  <c r="B28" i="21"/>
  <c r="F28" i="21"/>
  <c r="H28" i="21" s="1"/>
  <c r="I24" i="29"/>
  <c r="I27" i="28"/>
  <c r="B28" i="23"/>
  <c r="F28" i="23"/>
  <c r="G28" i="23" s="1"/>
  <c r="B28" i="20"/>
  <c r="E28" i="20"/>
  <c r="F28" i="20" s="1"/>
  <c r="G27" i="20"/>
  <c r="H27" i="20"/>
  <c r="G31" i="3"/>
  <c r="F31" i="4"/>
  <c r="G31" i="4" s="1"/>
  <c r="B31" i="4"/>
  <c r="J104" i="37"/>
  <c r="J112" i="4"/>
  <c r="G112" i="18"/>
  <c r="E113" i="18"/>
  <c r="D113" i="18"/>
  <c r="D114" i="4"/>
  <c r="G113" i="4"/>
  <c r="E114" i="4"/>
  <c r="E110" i="26"/>
  <c r="D110" i="26"/>
  <c r="G109" i="26"/>
  <c r="E107" i="31"/>
  <c r="D107" i="31"/>
  <c r="G106" i="31"/>
  <c r="E106" i="37"/>
  <c r="D106" i="37"/>
  <c r="G105" i="37"/>
  <c r="J108" i="26"/>
  <c r="J105" i="35"/>
  <c r="G106" i="35"/>
  <c r="D107" i="35"/>
  <c r="E107" i="35"/>
  <c r="F109" i="25"/>
  <c r="B109" i="25"/>
  <c r="G110" i="28"/>
  <c r="D111" i="28"/>
  <c r="E111" i="28"/>
  <c r="J109" i="28"/>
  <c r="H108" i="25"/>
  <c r="I108" i="25"/>
  <c r="D107" i="38"/>
  <c r="E107" i="38" s="1"/>
  <c r="G106" i="38"/>
  <c r="J105" i="38"/>
  <c r="J109" i="21"/>
  <c r="J105" i="34"/>
  <c r="D107" i="34"/>
  <c r="G106" i="34"/>
  <c r="E107" i="34"/>
  <c r="J109" i="27"/>
  <c r="F113" i="19"/>
  <c r="B113" i="19"/>
  <c r="H112" i="19"/>
  <c r="I112" i="19"/>
  <c r="J109" i="24"/>
  <c r="D111" i="24"/>
  <c r="G110" i="24"/>
  <c r="E111" i="24"/>
  <c r="D111" i="27"/>
  <c r="G110" i="27"/>
  <c r="E111" i="27"/>
  <c r="G110" i="21"/>
  <c r="D111" i="21"/>
  <c r="E111" i="21"/>
  <c r="H109" i="22"/>
  <c r="I109" i="22"/>
  <c r="I106" i="20"/>
  <c r="H106" i="20"/>
  <c r="B114" i="3"/>
  <c r="F114" i="3"/>
  <c r="F110" i="22"/>
  <c r="B110" i="22"/>
  <c r="F107" i="20"/>
  <c r="B107" i="20"/>
  <c r="H113" i="3"/>
  <c r="I113" i="3"/>
  <c r="F22" i="17"/>
  <c r="D24" i="39" l="1"/>
  <c r="F24" i="39" s="1"/>
  <c r="H24" i="39" s="1"/>
  <c r="E24" i="39"/>
  <c r="G23" i="39"/>
  <c r="H23" i="39"/>
  <c r="I23" i="39" s="1"/>
  <c r="B24" i="39"/>
  <c r="F39" i="17"/>
  <c r="G22" i="17"/>
  <c r="G39" i="17" s="1"/>
  <c r="R130" i="1"/>
  <c r="O19" i="1"/>
  <c r="N20" i="1"/>
  <c r="M20" i="1"/>
  <c r="R129" i="1"/>
  <c r="F113" i="23"/>
  <c r="D114" i="23" s="1"/>
  <c r="J112" i="23"/>
  <c r="B29" i="24"/>
  <c r="F29" i="24"/>
  <c r="H29" i="24" s="1"/>
  <c r="G109" i="29"/>
  <c r="D110" i="29"/>
  <c r="F110" i="29" s="1"/>
  <c r="G110" i="29" s="1"/>
  <c r="H110" i="29" s="1"/>
  <c r="J113" i="3"/>
  <c r="E107" i="13"/>
  <c r="F107" i="13" s="1"/>
  <c r="B107" i="13"/>
  <c r="I106" i="13"/>
  <c r="H106" i="13"/>
  <c r="G24" i="31"/>
  <c r="I24" i="31" s="1"/>
  <c r="H31" i="4"/>
  <c r="I31" i="4" s="1"/>
  <c r="G28" i="28"/>
  <c r="I28" i="28" s="1"/>
  <c r="G24" i="34"/>
  <c r="I24" i="34" s="1"/>
  <c r="H25" i="29"/>
  <c r="I25" i="29" s="1"/>
  <c r="I27" i="20"/>
  <c r="G24" i="35"/>
  <c r="I24" i="35" s="1"/>
  <c r="H28" i="23"/>
  <c r="I28" i="23" s="1"/>
  <c r="G27" i="26"/>
  <c r="I27" i="26" s="1"/>
  <c r="H26" i="13"/>
  <c r="I26" i="13" s="1"/>
  <c r="D23" i="38"/>
  <c r="E23" i="38"/>
  <c r="D29" i="27"/>
  <c r="E29" i="27"/>
  <c r="D31" i="19"/>
  <c r="E31" i="19"/>
  <c r="D27" i="25"/>
  <c r="E27" i="25"/>
  <c r="D29" i="21"/>
  <c r="E29" i="21"/>
  <c r="G28" i="27"/>
  <c r="I28" i="27" s="1"/>
  <c r="D28" i="26"/>
  <c r="E28" i="26"/>
  <c r="H22" i="38"/>
  <c r="B33" i="3"/>
  <c r="F33" i="3"/>
  <c r="D27" i="13"/>
  <c r="E27" i="13" s="1"/>
  <c r="D32" i="4"/>
  <c r="E32" i="4"/>
  <c r="E33" i="4"/>
  <c r="D29" i="28"/>
  <c r="E29" i="28" s="1"/>
  <c r="H30" i="19"/>
  <c r="D24" i="37"/>
  <c r="E24" i="37"/>
  <c r="F32" i="3"/>
  <c r="H32" i="3" s="1"/>
  <c r="E29" i="23"/>
  <c r="D29" i="23"/>
  <c r="I31" i="3"/>
  <c r="G30" i="19"/>
  <c r="D31" i="18"/>
  <c r="E31" i="18"/>
  <c r="D28" i="22"/>
  <c r="E28" i="22"/>
  <c r="E29" i="20"/>
  <c r="F29" i="20" s="1"/>
  <c r="H28" i="20"/>
  <c r="G28" i="20"/>
  <c r="B29" i="20"/>
  <c r="G28" i="21"/>
  <c r="I28" i="21" s="1"/>
  <c r="H27" i="22"/>
  <c r="H23" i="37"/>
  <c r="D25" i="34"/>
  <c r="E25" i="34"/>
  <c r="D25" i="31"/>
  <c r="E25" i="31"/>
  <c r="D25" i="35"/>
  <c r="E25" i="35"/>
  <c r="D26" i="29"/>
  <c r="E26" i="29"/>
  <c r="H30" i="18"/>
  <c r="G27" i="22"/>
  <c r="H26" i="25"/>
  <c r="I26" i="25" s="1"/>
  <c r="I113" i="4"/>
  <c r="H113" i="4"/>
  <c r="B113" i="18"/>
  <c r="F113" i="18"/>
  <c r="I112" i="18"/>
  <c r="H112" i="18"/>
  <c r="B114" i="4"/>
  <c r="F114" i="4"/>
  <c r="B106" i="37"/>
  <c r="F106" i="37"/>
  <c r="D110" i="25"/>
  <c r="G109" i="25"/>
  <c r="E110" i="25"/>
  <c r="J108" i="25"/>
  <c r="H106" i="31"/>
  <c r="I106" i="31"/>
  <c r="F107" i="35"/>
  <c r="B107" i="35"/>
  <c r="B107" i="31"/>
  <c r="F107" i="31"/>
  <c r="H106" i="35"/>
  <c r="I106" i="35"/>
  <c r="I109" i="26"/>
  <c r="H109" i="26"/>
  <c r="B111" i="28"/>
  <c r="F111" i="28"/>
  <c r="F110" i="26"/>
  <c r="B110" i="26"/>
  <c r="H110" i="28"/>
  <c r="I110" i="28"/>
  <c r="H105" i="37"/>
  <c r="I105" i="37"/>
  <c r="H110" i="27"/>
  <c r="I110" i="27"/>
  <c r="B111" i="24"/>
  <c r="F111" i="24"/>
  <c r="I106" i="34"/>
  <c r="H106" i="34"/>
  <c r="B111" i="27"/>
  <c r="F111" i="27"/>
  <c r="B107" i="34"/>
  <c r="F107" i="34"/>
  <c r="J112" i="19"/>
  <c r="D114" i="19"/>
  <c r="G113" i="19"/>
  <c r="E114" i="19"/>
  <c r="J109" i="22"/>
  <c r="H106" i="38"/>
  <c r="I106" i="38"/>
  <c r="B111" i="21"/>
  <c r="F111" i="21"/>
  <c r="H110" i="24"/>
  <c r="I110" i="24"/>
  <c r="H110" i="21"/>
  <c r="I110" i="21"/>
  <c r="B107" i="38"/>
  <c r="F107" i="38"/>
  <c r="G110" i="22"/>
  <c r="D111" i="22"/>
  <c r="E111" i="22"/>
  <c r="E115" i="3"/>
  <c r="G114" i="3"/>
  <c r="D115" i="3"/>
  <c r="G107" i="20"/>
  <c r="D108" i="20"/>
  <c r="E108" i="20" s="1"/>
  <c r="J106" i="20"/>
  <c r="D25" i="39" l="1"/>
  <c r="E25" i="39"/>
  <c r="G24" i="39"/>
  <c r="I24" i="39" s="1"/>
  <c r="R131" i="1"/>
  <c r="O20" i="1"/>
  <c r="F40" i="17"/>
  <c r="E114" i="23"/>
  <c r="F114" i="23" s="1"/>
  <c r="E115" i="23" s="1"/>
  <c r="G113" i="23"/>
  <c r="H113" i="23" s="1"/>
  <c r="E111" i="29"/>
  <c r="D111" i="29"/>
  <c r="I110" i="29"/>
  <c r="J110" i="29" s="1"/>
  <c r="G29" i="24"/>
  <c r="I29" i="24" s="1"/>
  <c r="D30" i="24"/>
  <c r="E30" i="24"/>
  <c r="I109" i="29"/>
  <c r="H109" i="29"/>
  <c r="J106" i="13"/>
  <c r="J110" i="28"/>
  <c r="J106" i="35"/>
  <c r="D108" i="13"/>
  <c r="G107" i="13"/>
  <c r="I28" i="20"/>
  <c r="I30" i="19"/>
  <c r="F25" i="31"/>
  <c r="H25" i="31" s="1"/>
  <c r="B25" i="31"/>
  <c r="I23" i="37"/>
  <c r="B29" i="28"/>
  <c r="F29" i="28"/>
  <c r="G29" i="28" s="1"/>
  <c r="D34" i="3"/>
  <c r="E34" i="3"/>
  <c r="B29" i="21"/>
  <c r="F29" i="21"/>
  <c r="F29" i="27"/>
  <c r="G29" i="27" s="1"/>
  <c r="B29" i="27"/>
  <c r="I27" i="22"/>
  <c r="F28" i="22"/>
  <c r="B28" i="22"/>
  <c r="G32" i="3"/>
  <c r="I32" i="3" s="1"/>
  <c r="G33" i="3"/>
  <c r="F31" i="18"/>
  <c r="G31" i="18" s="1"/>
  <c r="B31" i="18"/>
  <c r="I22" i="38"/>
  <c r="F23" i="38"/>
  <c r="G23" i="38" s="1"/>
  <c r="B23" i="38"/>
  <c r="I30" i="18"/>
  <c r="F26" i="29"/>
  <c r="B32" i="4"/>
  <c r="F32" i="4"/>
  <c r="D33" i="4" s="1"/>
  <c r="B27" i="25"/>
  <c r="F27" i="25"/>
  <c r="B24" i="37"/>
  <c r="F24" i="37"/>
  <c r="G24" i="37" s="1"/>
  <c r="B27" i="13"/>
  <c r="F27" i="13"/>
  <c r="H27" i="13" s="1"/>
  <c r="F28" i="26"/>
  <c r="G28" i="26" s="1"/>
  <c r="B28" i="26"/>
  <c r="F25" i="35"/>
  <c r="H25" i="35" s="1"/>
  <c r="B25" i="35"/>
  <c r="B31" i="19"/>
  <c r="F31" i="19"/>
  <c r="H31" i="19" s="1"/>
  <c r="F25" i="34"/>
  <c r="H25" i="34" s="1"/>
  <c r="B25" i="34"/>
  <c r="G29" i="20"/>
  <c r="H29" i="20"/>
  <c r="B30" i="20"/>
  <c r="E30" i="20"/>
  <c r="F30" i="20" s="1"/>
  <c r="B29" i="23"/>
  <c r="F29" i="23"/>
  <c r="G29" i="23" s="1"/>
  <c r="H33" i="3"/>
  <c r="D115" i="4"/>
  <c r="E115" i="4"/>
  <c r="G114" i="4"/>
  <c r="J112" i="18"/>
  <c r="G113" i="18"/>
  <c r="D114" i="18"/>
  <c r="E114" i="18"/>
  <c r="J109" i="26"/>
  <c r="J113" i="4"/>
  <c r="J106" i="38"/>
  <c r="J105" i="37"/>
  <c r="J106" i="31"/>
  <c r="E108" i="31"/>
  <c r="G107" i="31"/>
  <c r="D108" i="31"/>
  <c r="I109" i="25"/>
  <c r="H109" i="25"/>
  <c r="F110" i="25"/>
  <c r="B110" i="25"/>
  <c r="D111" i="26"/>
  <c r="G110" i="26"/>
  <c r="E111" i="26"/>
  <c r="G111" i="28"/>
  <c r="E112" i="28"/>
  <c r="D112" i="28"/>
  <c r="G106" i="37"/>
  <c r="E107" i="37"/>
  <c r="D107" i="37"/>
  <c r="J110" i="24"/>
  <c r="G107" i="35"/>
  <c r="D108" i="35"/>
  <c r="E108" i="35"/>
  <c r="J110" i="27"/>
  <c r="F114" i="19"/>
  <c r="B114" i="19"/>
  <c r="J106" i="34"/>
  <c r="H113" i="19"/>
  <c r="I113" i="19"/>
  <c r="D108" i="38"/>
  <c r="E108" i="38" s="1"/>
  <c r="G107" i="38"/>
  <c r="G107" i="34"/>
  <c r="D108" i="34"/>
  <c r="E108" i="34"/>
  <c r="G111" i="24"/>
  <c r="D112" i="24"/>
  <c r="E112" i="24"/>
  <c r="D112" i="27"/>
  <c r="G111" i="27"/>
  <c r="E112" i="27"/>
  <c r="D112" i="21"/>
  <c r="G111" i="21"/>
  <c r="E112" i="21"/>
  <c r="J110" i="21"/>
  <c r="I107" i="20"/>
  <c r="H107" i="20"/>
  <c r="F115" i="3"/>
  <c r="B115" i="3"/>
  <c r="H114" i="3"/>
  <c r="I114" i="3"/>
  <c r="B111" i="22"/>
  <c r="F111" i="22"/>
  <c r="B108" i="20"/>
  <c r="F108" i="20"/>
  <c r="I110" i="22"/>
  <c r="H110" i="22"/>
  <c r="D115" i="23" l="1"/>
  <c r="F115" i="23" s="1"/>
  <c r="I113" i="23"/>
  <c r="J113" i="23" s="1"/>
  <c r="F25" i="39"/>
  <c r="H25" i="39" s="1"/>
  <c r="B25" i="39"/>
  <c r="G114" i="23"/>
  <c r="I114" i="23" s="1"/>
  <c r="F111" i="29"/>
  <c r="G111" i="29" s="1"/>
  <c r="H111" i="29" s="1"/>
  <c r="D112" i="29"/>
  <c r="B30" i="24"/>
  <c r="F30" i="24"/>
  <c r="G30" i="24" s="1"/>
  <c r="J109" i="29"/>
  <c r="H28" i="26"/>
  <c r="I28" i="26" s="1"/>
  <c r="I107" i="13"/>
  <c r="H107" i="13"/>
  <c r="E108" i="13"/>
  <c r="F108" i="13" s="1"/>
  <c r="B108" i="13"/>
  <c r="I33" i="3"/>
  <c r="H29" i="23"/>
  <c r="I29" i="23" s="1"/>
  <c r="H24" i="37"/>
  <c r="I24" i="37" s="1"/>
  <c r="H23" i="38"/>
  <c r="I23" i="38" s="1"/>
  <c r="H31" i="18"/>
  <c r="I31" i="18" s="1"/>
  <c r="G25" i="31"/>
  <c r="I25" i="31" s="1"/>
  <c r="I29" i="20"/>
  <c r="H29" i="28"/>
  <c r="I29" i="28" s="1"/>
  <c r="D27" i="29"/>
  <c r="E27" i="29"/>
  <c r="D32" i="19"/>
  <c r="E32" i="19"/>
  <c r="E33" i="19"/>
  <c r="G32" i="4"/>
  <c r="D29" i="22"/>
  <c r="E29" i="22"/>
  <c r="D30" i="21"/>
  <c r="E30" i="21"/>
  <c r="D29" i="26"/>
  <c r="E29" i="26"/>
  <c r="G28" i="22"/>
  <c r="G29" i="21"/>
  <c r="D28" i="13"/>
  <c r="D28" i="25"/>
  <c r="E28" i="25"/>
  <c r="D32" i="18"/>
  <c r="E33" i="18"/>
  <c r="E32" i="18"/>
  <c r="H32" i="4"/>
  <c r="H29" i="21"/>
  <c r="E30" i="23"/>
  <c r="D30" i="23"/>
  <c r="D26" i="34"/>
  <c r="E26" i="34"/>
  <c r="D26" i="35"/>
  <c r="E26" i="35"/>
  <c r="F34" i="3"/>
  <c r="B34" i="3"/>
  <c r="F33" i="4"/>
  <c r="H33" i="4" s="1"/>
  <c r="B33" i="4"/>
  <c r="G25" i="34"/>
  <c r="I25" i="34" s="1"/>
  <c r="G25" i="35"/>
  <c r="I25" i="35" s="1"/>
  <c r="G27" i="13"/>
  <c r="I27" i="13" s="1"/>
  <c r="G27" i="25"/>
  <c r="H26" i="29"/>
  <c r="D24" i="38"/>
  <c r="E24" i="38"/>
  <c r="D30" i="27"/>
  <c r="E30" i="27"/>
  <c r="D30" i="28"/>
  <c r="E30" i="28" s="1"/>
  <c r="G30" i="20"/>
  <c r="H30" i="20"/>
  <c r="B31" i="20"/>
  <c r="E31" i="20"/>
  <c r="F31" i="20" s="1"/>
  <c r="G31" i="19"/>
  <c r="I31" i="19" s="1"/>
  <c r="D25" i="37"/>
  <c r="E25" i="37"/>
  <c r="H27" i="25"/>
  <c r="G26" i="29"/>
  <c r="H28" i="22"/>
  <c r="H29" i="27"/>
  <c r="I29" i="27" s="1"/>
  <c r="D26" i="31"/>
  <c r="E26" i="31"/>
  <c r="F115" i="4"/>
  <c r="B115" i="4"/>
  <c r="F114" i="18"/>
  <c r="B114" i="18"/>
  <c r="H113" i="18"/>
  <c r="I113" i="18"/>
  <c r="I114" i="4"/>
  <c r="H114" i="4"/>
  <c r="J109" i="25"/>
  <c r="B112" i="28"/>
  <c r="F112" i="28"/>
  <c r="B108" i="35"/>
  <c r="F108" i="35"/>
  <c r="I111" i="28"/>
  <c r="H111" i="28"/>
  <c r="B108" i="31"/>
  <c r="F108" i="31"/>
  <c r="H107" i="35"/>
  <c r="I107" i="35"/>
  <c r="I107" i="31"/>
  <c r="H107" i="31"/>
  <c r="H110" i="26"/>
  <c r="I110" i="26"/>
  <c r="B111" i="26"/>
  <c r="F111" i="26"/>
  <c r="B107" i="37"/>
  <c r="F107" i="37"/>
  <c r="J113" i="19"/>
  <c r="I106" i="37"/>
  <c r="H106" i="37"/>
  <c r="D111" i="25"/>
  <c r="G110" i="25"/>
  <c r="E111" i="25"/>
  <c r="I111" i="21"/>
  <c r="H111" i="21"/>
  <c r="I107" i="34"/>
  <c r="H107" i="34"/>
  <c r="F108" i="38"/>
  <c r="B108" i="38"/>
  <c r="B112" i="21"/>
  <c r="F112" i="21"/>
  <c r="H111" i="27"/>
  <c r="I111" i="27"/>
  <c r="D115" i="19"/>
  <c r="G114" i="19"/>
  <c r="E115" i="19"/>
  <c r="B112" i="27"/>
  <c r="F112" i="27"/>
  <c r="F112" i="24"/>
  <c r="B112" i="24"/>
  <c r="I111" i="24"/>
  <c r="H111" i="24"/>
  <c r="J114" i="3"/>
  <c r="B108" i="34"/>
  <c r="F108" i="34"/>
  <c r="H107" i="38"/>
  <c r="I107" i="38"/>
  <c r="G111" i="22"/>
  <c r="D112" i="22"/>
  <c r="E112" i="22"/>
  <c r="D116" i="3"/>
  <c r="G115" i="3"/>
  <c r="E116" i="3"/>
  <c r="J107" i="20"/>
  <c r="J110" i="22"/>
  <c r="G115" i="23"/>
  <c r="E116" i="23"/>
  <c r="D116" i="23"/>
  <c r="G108" i="20"/>
  <c r="D109" i="20"/>
  <c r="E109" i="20" s="1"/>
  <c r="H114" i="23" l="1"/>
  <c r="J114" i="23" s="1"/>
  <c r="G25" i="39"/>
  <c r="E112" i="29"/>
  <c r="I25" i="39"/>
  <c r="D26" i="39"/>
  <c r="E26" i="39"/>
  <c r="I111" i="29"/>
  <c r="J111" i="29" s="1"/>
  <c r="F112" i="29"/>
  <c r="G112" i="29" s="1"/>
  <c r="I112" i="29" s="1"/>
  <c r="H30" i="24"/>
  <c r="I30" i="24" s="1"/>
  <c r="D31" i="24"/>
  <c r="E31" i="24"/>
  <c r="F116" i="23"/>
  <c r="G116" i="23" s="1"/>
  <c r="D109" i="13"/>
  <c r="G108" i="13"/>
  <c r="J107" i="13"/>
  <c r="I30" i="20"/>
  <c r="I28" i="22"/>
  <c r="I29" i="21"/>
  <c r="J114" i="4"/>
  <c r="D35" i="3"/>
  <c r="E35" i="3"/>
  <c r="F26" i="34"/>
  <c r="H26" i="34" s="1"/>
  <c r="B26" i="34"/>
  <c r="F32" i="18"/>
  <c r="D33" i="18" s="1"/>
  <c r="B32" i="18"/>
  <c r="B29" i="22"/>
  <c r="F29" i="22"/>
  <c r="H29" i="22" s="1"/>
  <c r="F24" i="38"/>
  <c r="H24" i="38" s="1"/>
  <c r="B24" i="38"/>
  <c r="D34" i="4"/>
  <c r="E34" i="4"/>
  <c r="F30" i="23"/>
  <c r="B30" i="23"/>
  <c r="J111" i="21"/>
  <c r="I27" i="25"/>
  <c r="I26" i="29"/>
  <c r="G33" i="4"/>
  <c r="I33" i="4" s="1"/>
  <c r="B28" i="25"/>
  <c r="F28" i="25"/>
  <c r="G28" i="25" s="1"/>
  <c r="B28" i="13"/>
  <c r="B29" i="26"/>
  <c r="F29" i="26"/>
  <c r="H29" i="26" s="1"/>
  <c r="B25" i="37"/>
  <c r="F25" i="37"/>
  <c r="H25" i="37" s="1"/>
  <c r="I32" i="4"/>
  <c r="E28" i="13"/>
  <c r="F28" i="13" s="1"/>
  <c r="J110" i="26"/>
  <c r="B30" i="28"/>
  <c r="F30" i="28"/>
  <c r="G30" i="28" s="1"/>
  <c r="G34" i="3"/>
  <c r="B32" i="19"/>
  <c r="F32" i="19"/>
  <c r="D33" i="19" s="1"/>
  <c r="B26" i="31"/>
  <c r="F26" i="31"/>
  <c r="G26" i="31" s="1"/>
  <c r="E32" i="20"/>
  <c r="F32" i="20" s="1"/>
  <c r="E33" i="20"/>
  <c r="F33" i="20" s="1"/>
  <c r="B32" i="20"/>
  <c r="H31" i="20"/>
  <c r="G31" i="20"/>
  <c r="H34" i="3"/>
  <c r="B26" i="35"/>
  <c r="F26" i="35"/>
  <c r="H26" i="35" s="1"/>
  <c r="F30" i="21"/>
  <c r="H30" i="21" s="1"/>
  <c r="B30" i="21"/>
  <c r="J113" i="18"/>
  <c r="B30" i="27"/>
  <c r="F30" i="27"/>
  <c r="H30" i="27" s="1"/>
  <c r="F27" i="29"/>
  <c r="H27" i="29" s="1"/>
  <c r="J107" i="31"/>
  <c r="D115" i="18"/>
  <c r="E115" i="18"/>
  <c r="G114" i="18"/>
  <c r="E116" i="4"/>
  <c r="G115" i="4"/>
  <c r="D116" i="4"/>
  <c r="D112" i="26"/>
  <c r="G111" i="26"/>
  <c r="E112" i="26"/>
  <c r="G108" i="31"/>
  <c r="E109" i="31"/>
  <c r="D109" i="31"/>
  <c r="H110" i="25"/>
  <c r="I110" i="25"/>
  <c r="B111" i="25"/>
  <c r="F111" i="25"/>
  <c r="J111" i="28"/>
  <c r="J106" i="37"/>
  <c r="D109" i="35"/>
  <c r="E109" i="35"/>
  <c r="G108" i="35"/>
  <c r="G107" i="37"/>
  <c r="D108" i="37"/>
  <c r="E108" i="37"/>
  <c r="J107" i="35"/>
  <c r="G112" i="28"/>
  <c r="D113" i="28"/>
  <c r="E113" i="28"/>
  <c r="J107" i="38"/>
  <c r="J111" i="27"/>
  <c r="J111" i="24"/>
  <c r="F115" i="19"/>
  <c r="B115" i="19"/>
  <c r="D109" i="34"/>
  <c r="G108" i="34"/>
  <c r="E109" i="34"/>
  <c r="D109" i="38"/>
  <c r="E109" i="38" s="1"/>
  <c r="G108" i="38"/>
  <c r="J107" i="34"/>
  <c r="G112" i="24"/>
  <c r="D113" i="24"/>
  <c r="E113" i="24"/>
  <c r="D113" i="27"/>
  <c r="G112" i="27"/>
  <c r="E113" i="27"/>
  <c r="I114" i="19"/>
  <c r="H114" i="19"/>
  <c r="G112" i="21"/>
  <c r="D113" i="21"/>
  <c r="E113" i="21"/>
  <c r="I108" i="20"/>
  <c r="H108" i="20"/>
  <c r="F109" i="20"/>
  <c r="B109" i="20"/>
  <c r="F112" i="22"/>
  <c r="B112" i="22"/>
  <c r="B116" i="3"/>
  <c r="F116" i="3"/>
  <c r="H111" i="22"/>
  <c r="I111" i="22"/>
  <c r="H115" i="23"/>
  <c r="I115" i="23"/>
  <c r="H115" i="3"/>
  <c r="I115" i="3"/>
  <c r="H112" i="29" l="1"/>
  <c r="F26" i="39"/>
  <c r="D27" i="39" s="1"/>
  <c r="B27" i="39" s="1"/>
  <c r="E27" i="39"/>
  <c r="B26" i="39"/>
  <c r="D113" i="29"/>
  <c r="E113" i="29"/>
  <c r="E117" i="23"/>
  <c r="D117" i="23"/>
  <c r="B31" i="24"/>
  <c r="F31" i="24"/>
  <c r="G31" i="24" s="1"/>
  <c r="G26" i="34"/>
  <c r="I26" i="34" s="1"/>
  <c r="H108" i="13"/>
  <c r="I108" i="13"/>
  <c r="E109" i="13"/>
  <c r="F109" i="13" s="1"/>
  <c r="B109" i="13"/>
  <c r="G25" i="37"/>
  <c r="I25" i="37" s="1"/>
  <c r="G29" i="26"/>
  <c r="I29" i="26" s="1"/>
  <c r="I34" i="3"/>
  <c r="G30" i="21"/>
  <c r="I30" i="21" s="1"/>
  <c r="I31" i="20"/>
  <c r="G32" i="19"/>
  <c r="D29" i="13"/>
  <c r="E29" i="13" s="1"/>
  <c r="H28" i="13"/>
  <c r="G28" i="13"/>
  <c r="G26" i="35"/>
  <c r="I26" i="35" s="1"/>
  <c r="G32" i="18"/>
  <c r="D27" i="31"/>
  <c r="E27" i="31"/>
  <c r="D31" i="23"/>
  <c r="E31" i="23"/>
  <c r="D25" i="38"/>
  <c r="E25" i="38"/>
  <c r="B33" i="18"/>
  <c r="F33" i="18"/>
  <c r="G33" i="18" s="1"/>
  <c r="D28" i="29"/>
  <c r="E28" i="29"/>
  <c r="H26" i="31"/>
  <c r="I26" i="31" s="1"/>
  <c r="D31" i="28"/>
  <c r="E31" i="28" s="1"/>
  <c r="H30" i="23"/>
  <c r="G27" i="29"/>
  <c r="I27" i="29" s="1"/>
  <c r="D26" i="37"/>
  <c r="E26" i="37"/>
  <c r="G30" i="23"/>
  <c r="D30" i="22"/>
  <c r="E30" i="22"/>
  <c r="D31" i="27"/>
  <c r="E31" i="27"/>
  <c r="B33" i="19"/>
  <c r="F33" i="19"/>
  <c r="G33" i="19" s="1"/>
  <c r="H30" i="28"/>
  <c r="I30" i="28" s="1"/>
  <c r="G29" i="22"/>
  <c r="I29" i="22" s="1"/>
  <c r="G30" i="27"/>
  <c r="I30" i="27" s="1"/>
  <c r="D31" i="21"/>
  <c r="E31" i="21"/>
  <c r="F34" i="4"/>
  <c r="H34" i="4" s="1"/>
  <c r="B34" i="4"/>
  <c r="D27" i="34"/>
  <c r="E27" i="34"/>
  <c r="D27" i="35"/>
  <c r="E27" i="35"/>
  <c r="E34" i="20"/>
  <c r="F34" i="20" s="1"/>
  <c r="B34" i="20"/>
  <c r="H33" i="20"/>
  <c r="G33" i="20"/>
  <c r="D29" i="25"/>
  <c r="E29" i="25"/>
  <c r="G32" i="20"/>
  <c r="H32" i="20"/>
  <c r="B33" i="20"/>
  <c r="H32" i="19"/>
  <c r="D30" i="26"/>
  <c r="E30" i="26"/>
  <c r="H28" i="25"/>
  <c r="I28" i="25" s="1"/>
  <c r="G24" i="38"/>
  <c r="I24" i="38" s="1"/>
  <c r="H32" i="18"/>
  <c r="F35" i="3"/>
  <c r="H35" i="3" s="1"/>
  <c r="B35" i="3"/>
  <c r="J110" i="25"/>
  <c r="B116" i="4"/>
  <c r="F116" i="4"/>
  <c r="H115" i="4"/>
  <c r="I115" i="4"/>
  <c r="H114" i="18"/>
  <c r="I114" i="18"/>
  <c r="B115" i="18"/>
  <c r="F115" i="18"/>
  <c r="I107" i="37"/>
  <c r="H107" i="37"/>
  <c r="H108" i="35"/>
  <c r="I108" i="35"/>
  <c r="B109" i="31"/>
  <c r="F109" i="31"/>
  <c r="B113" i="28"/>
  <c r="F113" i="28"/>
  <c r="B109" i="35"/>
  <c r="F109" i="35"/>
  <c r="I112" i="28"/>
  <c r="H112" i="28"/>
  <c r="H108" i="31"/>
  <c r="I108" i="31"/>
  <c r="G111" i="25"/>
  <c r="D112" i="25"/>
  <c r="E112" i="25"/>
  <c r="I111" i="26"/>
  <c r="H111" i="26"/>
  <c r="F108" i="37"/>
  <c r="B108" i="37"/>
  <c r="F112" i="26"/>
  <c r="B112" i="26"/>
  <c r="J115" i="3"/>
  <c r="J112" i="29"/>
  <c r="J114" i="19"/>
  <c r="B113" i="24"/>
  <c r="F113" i="24"/>
  <c r="J111" i="22"/>
  <c r="H112" i="24"/>
  <c r="I112" i="24"/>
  <c r="B109" i="38"/>
  <c r="F109" i="38"/>
  <c r="D116" i="19"/>
  <c r="G115" i="19"/>
  <c r="E116" i="19"/>
  <c r="H112" i="27"/>
  <c r="I112" i="27"/>
  <c r="F113" i="27"/>
  <c r="B113" i="27"/>
  <c r="B113" i="21"/>
  <c r="F113" i="21"/>
  <c r="I108" i="34"/>
  <c r="H108" i="34"/>
  <c r="J115" i="23"/>
  <c r="H112" i="21"/>
  <c r="I112" i="21"/>
  <c r="H108" i="38"/>
  <c r="I108" i="38"/>
  <c r="B109" i="34"/>
  <c r="F109" i="34"/>
  <c r="G112" i="22"/>
  <c r="D113" i="22"/>
  <c r="E113" i="22"/>
  <c r="D117" i="3"/>
  <c r="G116" i="3"/>
  <c r="E117" i="3"/>
  <c r="G109" i="20"/>
  <c r="D110" i="20"/>
  <c r="E110" i="20" s="1"/>
  <c r="H116" i="23"/>
  <c r="I116" i="23"/>
  <c r="J108" i="20"/>
  <c r="H26" i="39" l="1"/>
  <c r="G26" i="39"/>
  <c r="I26" i="39"/>
  <c r="F27" i="39"/>
  <c r="D28" i="39" s="1"/>
  <c r="B28" i="39" s="1"/>
  <c r="F113" i="29"/>
  <c r="D114" i="29" s="1"/>
  <c r="F117" i="23"/>
  <c r="E118" i="23" s="1"/>
  <c r="I32" i="19"/>
  <c r="E114" i="29"/>
  <c r="G35" i="3"/>
  <c r="I35" i="3" s="1"/>
  <c r="J108" i="13"/>
  <c r="H31" i="24"/>
  <c r="I31" i="24" s="1"/>
  <c r="D32" i="24"/>
  <c r="E32" i="24"/>
  <c r="G109" i="13"/>
  <c r="D110" i="13"/>
  <c r="I33" i="20"/>
  <c r="I30" i="23"/>
  <c r="I32" i="18"/>
  <c r="F29" i="25"/>
  <c r="G29" i="25" s="1"/>
  <c r="B29" i="25"/>
  <c r="H33" i="18"/>
  <c r="I33" i="18" s="1"/>
  <c r="B27" i="34"/>
  <c r="F27" i="34"/>
  <c r="G27" i="34" s="1"/>
  <c r="B31" i="28"/>
  <c r="F31" i="28"/>
  <c r="H31" i="28" s="1"/>
  <c r="B30" i="26"/>
  <c r="F30" i="26"/>
  <c r="B31" i="27"/>
  <c r="F31" i="27"/>
  <c r="G31" i="27" s="1"/>
  <c r="B25" i="38"/>
  <c r="F25" i="38"/>
  <c r="G25" i="38" s="1"/>
  <c r="J108" i="31"/>
  <c r="J114" i="18"/>
  <c r="F26" i="37"/>
  <c r="G26" i="37" s="1"/>
  <c r="B26" i="37"/>
  <c r="I28" i="13"/>
  <c r="B35" i="20"/>
  <c r="H34" i="20"/>
  <c r="G34" i="20"/>
  <c r="E35" i="20"/>
  <c r="F35" i="20" s="1"/>
  <c r="D35" i="4"/>
  <c r="E35" i="4"/>
  <c r="D34" i="19"/>
  <c r="E34" i="19"/>
  <c r="F30" i="22"/>
  <c r="H30" i="22" s="1"/>
  <c r="B30" i="22"/>
  <c r="F28" i="29"/>
  <c r="H28" i="29" s="1"/>
  <c r="F31" i="23"/>
  <c r="B31" i="23"/>
  <c r="J108" i="35"/>
  <c r="J115" i="4"/>
  <c r="D36" i="3"/>
  <c r="E36" i="3"/>
  <c r="I32" i="20"/>
  <c r="G34" i="4"/>
  <c r="I34" i="4" s="1"/>
  <c r="H33" i="19"/>
  <c r="I33" i="19" s="1"/>
  <c r="B29" i="13"/>
  <c r="F29" i="13"/>
  <c r="H29" i="13" s="1"/>
  <c r="B27" i="35"/>
  <c r="F27" i="35"/>
  <c r="H27" i="35" s="1"/>
  <c r="D34" i="18"/>
  <c r="E34" i="18"/>
  <c r="F27" i="31"/>
  <c r="H27" i="31" s="1"/>
  <c r="B27" i="31"/>
  <c r="B31" i="21"/>
  <c r="F31" i="21"/>
  <c r="H31" i="21" s="1"/>
  <c r="D117" i="4"/>
  <c r="G116" i="4"/>
  <c r="E117" i="4"/>
  <c r="G115" i="18"/>
  <c r="D116" i="18"/>
  <c r="E116" i="18"/>
  <c r="J108" i="38"/>
  <c r="B112" i="25"/>
  <c r="F112" i="25"/>
  <c r="G113" i="28"/>
  <c r="D114" i="28"/>
  <c r="E114" i="28"/>
  <c r="G112" i="26"/>
  <c r="D113" i="26"/>
  <c r="E113" i="26"/>
  <c r="E110" i="31"/>
  <c r="D110" i="31"/>
  <c r="G109" i="31"/>
  <c r="D109" i="37"/>
  <c r="G108" i="37"/>
  <c r="E109" i="37"/>
  <c r="H111" i="25"/>
  <c r="I111" i="25"/>
  <c r="J112" i="28"/>
  <c r="J111" i="26"/>
  <c r="D110" i="35"/>
  <c r="E110" i="35"/>
  <c r="G109" i="35"/>
  <c r="J107" i="37"/>
  <c r="J112" i="27"/>
  <c r="D114" i="21"/>
  <c r="G113" i="21"/>
  <c r="E114" i="21"/>
  <c r="I115" i="19"/>
  <c r="H115" i="19"/>
  <c r="F116" i="19"/>
  <c r="B116" i="19"/>
  <c r="G109" i="34"/>
  <c r="D110" i="34"/>
  <c r="E110" i="34"/>
  <c r="J108" i="34"/>
  <c r="D114" i="27"/>
  <c r="G113" i="27"/>
  <c r="E114" i="27"/>
  <c r="G109" i="38"/>
  <c r="D110" i="38"/>
  <c r="E110" i="38" s="1"/>
  <c r="J112" i="24"/>
  <c r="G113" i="24"/>
  <c r="D114" i="24"/>
  <c r="E114" i="24"/>
  <c r="J116" i="23"/>
  <c r="J112" i="21"/>
  <c r="H116" i="3"/>
  <c r="I116" i="3"/>
  <c r="B110" i="20"/>
  <c r="F110" i="20"/>
  <c r="B113" i="22"/>
  <c r="F113" i="22"/>
  <c r="H109" i="20"/>
  <c r="I109" i="20"/>
  <c r="I112" i="22"/>
  <c r="H112" i="22"/>
  <c r="F117" i="3"/>
  <c r="B117" i="3"/>
  <c r="E28" i="39" l="1"/>
  <c r="F28" i="39" s="1"/>
  <c r="G28" i="39" s="1"/>
  <c r="F114" i="29"/>
  <c r="G114" i="29" s="1"/>
  <c r="G27" i="39"/>
  <c r="H27" i="39"/>
  <c r="I27" i="39" s="1"/>
  <c r="D118" i="23"/>
  <c r="F118" i="23" s="1"/>
  <c r="D119" i="23" s="1"/>
  <c r="G113" i="29"/>
  <c r="H113" i="29" s="1"/>
  <c r="D29" i="39"/>
  <c r="E29" i="39"/>
  <c r="H28" i="39"/>
  <c r="I28" i="39" s="1"/>
  <c r="G117" i="23"/>
  <c r="H117" i="23" s="1"/>
  <c r="I113" i="29"/>
  <c r="B32" i="24"/>
  <c r="F32" i="24"/>
  <c r="H32" i="24" s="1"/>
  <c r="G27" i="35"/>
  <c r="I27" i="35" s="1"/>
  <c r="J115" i="19"/>
  <c r="E110" i="13"/>
  <c r="F110" i="13" s="1"/>
  <c r="B110" i="13"/>
  <c r="I109" i="13"/>
  <c r="H109" i="13"/>
  <c r="G29" i="13"/>
  <c r="I29" i="13" s="1"/>
  <c r="G28" i="29"/>
  <c r="I28" i="29" s="1"/>
  <c r="G31" i="28"/>
  <c r="I31" i="28" s="1"/>
  <c r="G30" i="22"/>
  <c r="I30" i="22" s="1"/>
  <c r="F35" i="4"/>
  <c r="G35" i="4" s="1"/>
  <c r="B35" i="4"/>
  <c r="G35" i="20"/>
  <c r="E36" i="20"/>
  <c r="F36" i="20" s="1"/>
  <c r="B36" i="20"/>
  <c r="H35" i="20"/>
  <c r="D27" i="37"/>
  <c r="E27" i="37"/>
  <c r="D32" i="27"/>
  <c r="E32" i="27"/>
  <c r="D32" i="28"/>
  <c r="E32" i="28" s="1"/>
  <c r="D32" i="21"/>
  <c r="E32" i="21"/>
  <c r="E33" i="21"/>
  <c r="B34" i="18"/>
  <c r="F34" i="18"/>
  <c r="H34" i="18" s="1"/>
  <c r="D32" i="23"/>
  <c r="E32" i="23"/>
  <c r="I34" i="20"/>
  <c r="H31" i="27"/>
  <c r="I31" i="27" s="1"/>
  <c r="H29" i="25"/>
  <c r="I29" i="25" s="1"/>
  <c r="G31" i="21"/>
  <c r="I31" i="21" s="1"/>
  <c r="D28" i="35"/>
  <c r="E28" i="35"/>
  <c r="H31" i="23"/>
  <c r="D31" i="22"/>
  <c r="E31" i="22"/>
  <c r="H25" i="38"/>
  <c r="I25" i="38" s="1"/>
  <c r="D31" i="26"/>
  <c r="E31" i="26"/>
  <c r="G31" i="23"/>
  <c r="H30" i="26"/>
  <c r="D28" i="34"/>
  <c r="E28" i="34"/>
  <c r="D28" i="31"/>
  <c r="E28" i="31"/>
  <c r="B34" i="19"/>
  <c r="F34" i="19"/>
  <c r="H34" i="19" s="1"/>
  <c r="D26" i="38"/>
  <c r="E26" i="38"/>
  <c r="D30" i="25"/>
  <c r="E30" i="25"/>
  <c r="G27" i="31"/>
  <c r="I27" i="31" s="1"/>
  <c r="D30" i="13"/>
  <c r="E30" i="13" s="1"/>
  <c r="F36" i="3"/>
  <c r="H36" i="3" s="1"/>
  <c r="B36" i="3"/>
  <c r="D29" i="29"/>
  <c r="E29" i="29"/>
  <c r="H26" i="37"/>
  <c r="I26" i="37" s="1"/>
  <c r="G30" i="26"/>
  <c r="H27" i="34"/>
  <c r="I27" i="34" s="1"/>
  <c r="B116" i="18"/>
  <c r="F116" i="18"/>
  <c r="H115" i="18"/>
  <c r="I115" i="18"/>
  <c r="H116" i="4"/>
  <c r="I116" i="4"/>
  <c r="F117" i="4"/>
  <c r="B117" i="4"/>
  <c r="B113" i="26"/>
  <c r="F113" i="26"/>
  <c r="H112" i="26"/>
  <c r="I112" i="26"/>
  <c r="I109" i="35"/>
  <c r="H109" i="35"/>
  <c r="I108" i="37"/>
  <c r="H108" i="37"/>
  <c r="F109" i="37"/>
  <c r="B109" i="37"/>
  <c r="F114" i="28"/>
  <c r="B114" i="28"/>
  <c r="F110" i="35"/>
  <c r="B110" i="35"/>
  <c r="H109" i="31"/>
  <c r="I109" i="31"/>
  <c r="H113" i="28"/>
  <c r="I113" i="28"/>
  <c r="B110" i="31"/>
  <c r="F110" i="31"/>
  <c r="G112" i="25"/>
  <c r="D113" i="25"/>
  <c r="E113" i="25"/>
  <c r="J109" i="20"/>
  <c r="J116" i="3"/>
  <c r="J111" i="25"/>
  <c r="E115" i="29"/>
  <c r="D115" i="29"/>
  <c r="J113" i="29"/>
  <c r="B110" i="38"/>
  <c r="F110" i="38"/>
  <c r="H109" i="38"/>
  <c r="I109" i="38"/>
  <c r="I114" i="29"/>
  <c r="H114" i="29"/>
  <c r="F110" i="34"/>
  <c r="B110" i="34"/>
  <c r="B114" i="27"/>
  <c r="F114" i="27"/>
  <c r="H109" i="34"/>
  <c r="I109" i="34"/>
  <c r="H113" i="21"/>
  <c r="I113" i="21"/>
  <c r="H113" i="24"/>
  <c r="I113" i="24"/>
  <c r="B114" i="24"/>
  <c r="F114" i="24"/>
  <c r="H113" i="27"/>
  <c r="I113" i="27"/>
  <c r="D117" i="19"/>
  <c r="G116" i="19"/>
  <c r="E117" i="19"/>
  <c r="F114" i="21"/>
  <c r="B114" i="21"/>
  <c r="J112" i="22"/>
  <c r="D114" i="22"/>
  <c r="G113" i="22"/>
  <c r="E114" i="22"/>
  <c r="D111" i="20"/>
  <c r="E111" i="20" s="1"/>
  <c r="G110" i="20"/>
  <c r="G117" i="3"/>
  <c r="E118" i="3"/>
  <c r="D118" i="3"/>
  <c r="F29" i="39" l="1"/>
  <c r="G29" i="39" s="1"/>
  <c r="I117" i="23"/>
  <c r="E30" i="39"/>
  <c r="B29" i="39"/>
  <c r="G32" i="24"/>
  <c r="I32" i="24" s="1"/>
  <c r="D33" i="24"/>
  <c r="E33" i="24"/>
  <c r="F115" i="29"/>
  <c r="G115" i="29" s="1"/>
  <c r="J109" i="13"/>
  <c r="D111" i="13"/>
  <c r="G110" i="13"/>
  <c r="H35" i="4"/>
  <c r="I35" i="4" s="1"/>
  <c r="G36" i="3"/>
  <c r="I36" i="3" s="1"/>
  <c r="G34" i="19"/>
  <c r="I34" i="19" s="1"/>
  <c r="I31" i="23"/>
  <c r="F30" i="25"/>
  <c r="G30" i="25" s="1"/>
  <c r="B30" i="25"/>
  <c r="B28" i="31"/>
  <c r="F28" i="31"/>
  <c r="H28" i="31" s="1"/>
  <c r="B32" i="28"/>
  <c r="F32" i="28"/>
  <c r="F31" i="22"/>
  <c r="B31" i="22"/>
  <c r="D35" i="18"/>
  <c r="E35" i="18"/>
  <c r="B26" i="38"/>
  <c r="F26" i="38"/>
  <c r="G26" i="38" s="1"/>
  <c r="B28" i="34"/>
  <c r="F28" i="34"/>
  <c r="H28" i="34" s="1"/>
  <c r="B32" i="23"/>
  <c r="F32" i="23"/>
  <c r="H32" i="23" s="1"/>
  <c r="F32" i="27"/>
  <c r="H32" i="27" s="1"/>
  <c r="B32" i="27"/>
  <c r="D37" i="3"/>
  <c r="E37" i="3"/>
  <c r="I30" i="26"/>
  <c r="G34" i="18"/>
  <c r="I34" i="18" s="1"/>
  <c r="B28" i="35"/>
  <c r="F28" i="35"/>
  <c r="G28" i="35" s="1"/>
  <c r="B27" i="37"/>
  <c r="F27" i="37"/>
  <c r="D36" i="4"/>
  <c r="E36" i="4"/>
  <c r="G118" i="23"/>
  <c r="H118" i="23" s="1"/>
  <c r="J116" i="4"/>
  <c r="F30" i="13"/>
  <c r="G30" i="13" s="1"/>
  <c r="B30" i="13"/>
  <c r="D35" i="19"/>
  <c r="E35" i="19"/>
  <c r="I35" i="20"/>
  <c r="F31" i="26"/>
  <c r="H31" i="26" s="1"/>
  <c r="B31" i="26"/>
  <c r="F32" i="21"/>
  <c r="D33" i="21" s="1"/>
  <c r="B32" i="21"/>
  <c r="J112" i="26"/>
  <c r="J115" i="18"/>
  <c r="F29" i="29"/>
  <c r="H36" i="20"/>
  <c r="E37" i="20"/>
  <c r="F37" i="20" s="1"/>
  <c r="G36" i="20"/>
  <c r="B37" i="20"/>
  <c r="J108" i="37"/>
  <c r="D118" i="4"/>
  <c r="G117" i="4"/>
  <c r="E118" i="4"/>
  <c r="J113" i="28"/>
  <c r="D117" i="18"/>
  <c r="G116" i="18"/>
  <c r="E117" i="18"/>
  <c r="J109" i="31"/>
  <c r="F113" i="25"/>
  <c r="B113" i="25"/>
  <c r="J109" i="38"/>
  <c r="H112" i="25"/>
  <c r="I112" i="25"/>
  <c r="D111" i="35"/>
  <c r="G110" i="35"/>
  <c r="E111" i="35"/>
  <c r="J109" i="35"/>
  <c r="G110" i="31"/>
  <c r="E111" i="31"/>
  <c r="D111" i="31"/>
  <c r="D115" i="28"/>
  <c r="G114" i="28"/>
  <c r="E115" i="28"/>
  <c r="G113" i="26"/>
  <c r="E114" i="26"/>
  <c r="D114" i="26"/>
  <c r="J113" i="21"/>
  <c r="D110" i="37"/>
  <c r="G109" i="37"/>
  <c r="E110" i="37"/>
  <c r="E119" i="23"/>
  <c r="F119" i="23" s="1"/>
  <c r="J109" i="34"/>
  <c r="J117" i="23"/>
  <c r="G114" i="21"/>
  <c r="D115" i="21"/>
  <c r="E115" i="21"/>
  <c r="J113" i="27"/>
  <c r="J113" i="24"/>
  <c r="D115" i="24"/>
  <c r="G114" i="24"/>
  <c r="E115" i="24"/>
  <c r="D115" i="27"/>
  <c r="G114" i="27"/>
  <c r="E115" i="27"/>
  <c r="J114" i="29"/>
  <c r="I116" i="19"/>
  <c r="H116" i="19"/>
  <c r="B117" i="19"/>
  <c r="F117" i="19"/>
  <c r="D111" i="38"/>
  <c r="E111" i="38" s="1"/>
  <c r="G110" i="38"/>
  <c r="G110" i="34"/>
  <c r="D111" i="34"/>
  <c r="E111" i="34"/>
  <c r="H113" i="22"/>
  <c r="I113" i="22"/>
  <c r="H117" i="3"/>
  <c r="I117" i="3"/>
  <c r="B114" i="22"/>
  <c r="F114" i="22"/>
  <c r="B111" i="20"/>
  <c r="F111" i="20"/>
  <c r="I110" i="20"/>
  <c r="H110" i="20"/>
  <c r="F118" i="3"/>
  <c r="B118" i="3"/>
  <c r="H29" i="39" l="1"/>
  <c r="D30" i="39"/>
  <c r="F30" i="39" s="1"/>
  <c r="I29" i="39"/>
  <c r="B30" i="39"/>
  <c r="I118" i="23"/>
  <c r="D116" i="29"/>
  <c r="E116" i="29"/>
  <c r="F33" i="24"/>
  <c r="H33" i="24" s="1"/>
  <c r="B33" i="24"/>
  <c r="G32" i="27"/>
  <c r="I32" i="27" s="1"/>
  <c r="J112" i="25"/>
  <c r="I110" i="13"/>
  <c r="H110" i="13"/>
  <c r="E111" i="13"/>
  <c r="F111" i="13" s="1"/>
  <c r="B111" i="13"/>
  <c r="G31" i="26"/>
  <c r="I31" i="26" s="1"/>
  <c r="G28" i="31"/>
  <c r="I28" i="31" s="1"/>
  <c r="G32" i="23"/>
  <c r="I32" i="23" s="1"/>
  <c r="D31" i="13"/>
  <c r="E31" i="13" s="1"/>
  <c r="D28" i="37"/>
  <c r="E28" i="37"/>
  <c r="D32" i="26"/>
  <c r="E32" i="26"/>
  <c r="D27" i="38"/>
  <c r="E27" i="38"/>
  <c r="D32" i="22"/>
  <c r="E33" i="22"/>
  <c r="E32" i="22"/>
  <c r="B38" i="20"/>
  <c r="G37" i="20"/>
  <c r="E38" i="20"/>
  <c r="F38" i="20" s="1"/>
  <c r="H37" i="20"/>
  <c r="D33" i="23"/>
  <c r="E33" i="23"/>
  <c r="D33" i="28"/>
  <c r="E33" i="28" s="1"/>
  <c r="I36" i="20"/>
  <c r="H32" i="21"/>
  <c r="F37" i="3"/>
  <c r="G37" i="3" s="1"/>
  <c r="B37" i="3"/>
  <c r="H26" i="38"/>
  <c r="I26" i="38" s="1"/>
  <c r="H30" i="25"/>
  <c r="I30" i="25" s="1"/>
  <c r="G32" i="21"/>
  <c r="D29" i="35"/>
  <c r="E29" i="35"/>
  <c r="G28" i="34"/>
  <c r="I28" i="34" s="1"/>
  <c r="G32" i="28"/>
  <c r="D30" i="29"/>
  <c r="E30" i="29"/>
  <c r="B33" i="21"/>
  <c r="F33" i="21"/>
  <c r="G33" i="21" s="1"/>
  <c r="B35" i="19"/>
  <c r="F35" i="19"/>
  <c r="G35" i="19" s="1"/>
  <c r="B36" i="4"/>
  <c r="F36" i="4"/>
  <c r="G36" i="4" s="1"/>
  <c r="H28" i="35"/>
  <c r="I28" i="35" s="1"/>
  <c r="B35" i="18"/>
  <c r="F35" i="18"/>
  <c r="G35" i="18" s="1"/>
  <c r="H32" i="28"/>
  <c r="I32" i="28" s="1"/>
  <c r="G29" i="29"/>
  <c r="H30" i="13"/>
  <c r="I30" i="13" s="1"/>
  <c r="G27" i="37"/>
  <c r="D29" i="34"/>
  <c r="E29" i="34"/>
  <c r="G31" i="22"/>
  <c r="D31" i="25"/>
  <c r="E31" i="25"/>
  <c r="H29" i="29"/>
  <c r="H27" i="37"/>
  <c r="D33" i="27"/>
  <c r="E33" i="27"/>
  <c r="H31" i="22"/>
  <c r="D29" i="31"/>
  <c r="E29" i="31"/>
  <c r="B117" i="18"/>
  <c r="F117" i="18"/>
  <c r="J118" i="23"/>
  <c r="I116" i="18"/>
  <c r="H116" i="18"/>
  <c r="I117" i="4"/>
  <c r="H117" i="4"/>
  <c r="B118" i="4"/>
  <c r="F118" i="4"/>
  <c r="J116" i="19"/>
  <c r="I110" i="35"/>
  <c r="H110" i="35"/>
  <c r="I114" i="28"/>
  <c r="H114" i="28"/>
  <c r="F111" i="35"/>
  <c r="B111" i="35"/>
  <c r="H109" i="37"/>
  <c r="I109" i="37"/>
  <c r="B115" i="28"/>
  <c r="F115" i="28"/>
  <c r="F110" i="37"/>
  <c r="B110" i="37"/>
  <c r="F111" i="31"/>
  <c r="B111" i="31"/>
  <c r="F114" i="26"/>
  <c r="B114" i="26"/>
  <c r="I110" i="31"/>
  <c r="H110" i="31"/>
  <c r="G113" i="25"/>
  <c r="E114" i="25"/>
  <c r="D114" i="25"/>
  <c r="J117" i="3"/>
  <c r="H113" i="26"/>
  <c r="I113" i="26"/>
  <c r="H110" i="34"/>
  <c r="I110" i="34"/>
  <c r="I114" i="24"/>
  <c r="H114" i="24"/>
  <c r="H110" i="38"/>
  <c r="I110" i="38"/>
  <c r="H114" i="27"/>
  <c r="I114" i="27"/>
  <c r="B115" i="24"/>
  <c r="F115" i="24"/>
  <c r="B111" i="38"/>
  <c r="F111" i="38"/>
  <c r="F115" i="27"/>
  <c r="B115" i="27"/>
  <c r="H115" i="29"/>
  <c r="I115" i="29"/>
  <c r="F115" i="21"/>
  <c r="B115" i="21"/>
  <c r="J113" i="22"/>
  <c r="F116" i="29"/>
  <c r="I114" i="21"/>
  <c r="H114" i="21"/>
  <c r="G117" i="19"/>
  <c r="D118" i="19"/>
  <c r="E118" i="19"/>
  <c r="B111" i="34"/>
  <c r="F111" i="34"/>
  <c r="G111" i="20"/>
  <c r="D112" i="20"/>
  <c r="E119" i="3"/>
  <c r="G118" i="3"/>
  <c r="D119" i="3"/>
  <c r="D115" i="22"/>
  <c r="E115" i="22"/>
  <c r="G114" i="22"/>
  <c r="J110" i="20"/>
  <c r="G119" i="23"/>
  <c r="D120" i="23"/>
  <c r="E120" i="23" s="1"/>
  <c r="E31" i="39" l="1"/>
  <c r="G30" i="39"/>
  <c r="D31" i="39"/>
  <c r="B31" i="39" s="1"/>
  <c r="H30" i="39"/>
  <c r="I30" i="39" s="1"/>
  <c r="I29" i="29"/>
  <c r="G33" i="24"/>
  <c r="I33" i="24" s="1"/>
  <c r="D34" i="24"/>
  <c r="E34" i="24"/>
  <c r="D112" i="13"/>
  <c r="G111" i="13"/>
  <c r="J110" i="13"/>
  <c r="I37" i="20"/>
  <c r="J117" i="4"/>
  <c r="I31" i="22"/>
  <c r="I32" i="21"/>
  <c r="B29" i="31"/>
  <c r="F29" i="31"/>
  <c r="G29" i="31" s="1"/>
  <c r="F27" i="38"/>
  <c r="H27" i="38" s="1"/>
  <c r="B27" i="38"/>
  <c r="D36" i="18"/>
  <c r="E36" i="18"/>
  <c r="D36" i="19"/>
  <c r="E36" i="19"/>
  <c r="F30" i="29"/>
  <c r="H30" i="29" s="1"/>
  <c r="B33" i="28"/>
  <c r="F33" i="28"/>
  <c r="H33" i="28" s="1"/>
  <c r="G38" i="20"/>
  <c r="B39" i="20"/>
  <c r="E39" i="20"/>
  <c r="F39" i="20" s="1"/>
  <c r="H38" i="20"/>
  <c r="B29" i="34"/>
  <c r="F29" i="34"/>
  <c r="H29" i="34" s="1"/>
  <c r="H35" i="19"/>
  <c r="I35" i="19" s="1"/>
  <c r="B32" i="26"/>
  <c r="F32" i="26"/>
  <c r="G32" i="26" s="1"/>
  <c r="B33" i="27"/>
  <c r="F33" i="27"/>
  <c r="H33" i="27" s="1"/>
  <c r="F33" i="23"/>
  <c r="H33" i="23" s="1"/>
  <c r="B33" i="23"/>
  <c r="J110" i="31"/>
  <c r="I27" i="37"/>
  <c r="H36" i="4"/>
  <c r="I36" i="4" s="1"/>
  <c r="H33" i="21"/>
  <c r="I33" i="21" s="1"/>
  <c r="D38" i="3"/>
  <c r="E38" i="3"/>
  <c r="B28" i="37"/>
  <c r="F28" i="37"/>
  <c r="G28" i="37" s="1"/>
  <c r="J113" i="26"/>
  <c r="J109" i="37"/>
  <c r="H37" i="3"/>
  <c r="I37" i="3" s="1"/>
  <c r="D37" i="4"/>
  <c r="E37" i="4"/>
  <c r="D34" i="21"/>
  <c r="E34" i="21"/>
  <c r="B29" i="35"/>
  <c r="F29" i="35"/>
  <c r="G29" i="35" s="1"/>
  <c r="B32" i="22"/>
  <c r="F32" i="22"/>
  <c r="D33" i="22" s="1"/>
  <c r="F31" i="13"/>
  <c r="G31" i="13" s="1"/>
  <c r="B31" i="13"/>
  <c r="F31" i="25"/>
  <c r="G31" i="25" s="1"/>
  <c r="B31" i="25"/>
  <c r="H35" i="18"/>
  <c r="I35" i="18" s="1"/>
  <c r="J116" i="18"/>
  <c r="E118" i="18"/>
  <c r="D118" i="18"/>
  <c r="G117" i="18"/>
  <c r="D119" i="4"/>
  <c r="E119" i="4"/>
  <c r="G118" i="4"/>
  <c r="G114" i="26"/>
  <c r="D115" i="26"/>
  <c r="E115" i="26"/>
  <c r="F114" i="25"/>
  <c r="B114" i="25"/>
  <c r="E112" i="31"/>
  <c r="G111" i="31"/>
  <c r="D112" i="31"/>
  <c r="D112" i="35"/>
  <c r="E112" i="35"/>
  <c r="G111" i="35"/>
  <c r="I113" i="25"/>
  <c r="H113" i="25"/>
  <c r="E111" i="37"/>
  <c r="G110" i="37"/>
  <c r="D111" i="37"/>
  <c r="J114" i="28"/>
  <c r="J110" i="38"/>
  <c r="G115" i="28"/>
  <c r="E116" i="28"/>
  <c r="D116" i="28"/>
  <c r="J110" i="35"/>
  <c r="J114" i="27"/>
  <c r="D112" i="34"/>
  <c r="G111" i="34"/>
  <c r="E112" i="34"/>
  <c r="J114" i="21"/>
  <c r="G115" i="21"/>
  <c r="D116" i="21"/>
  <c r="E116" i="21"/>
  <c r="G115" i="27"/>
  <c r="D116" i="27"/>
  <c r="E116" i="27"/>
  <c r="G115" i="24"/>
  <c r="D116" i="24"/>
  <c r="E116" i="24"/>
  <c r="B118" i="19"/>
  <c r="F118" i="19"/>
  <c r="H117" i="19"/>
  <c r="I117" i="19"/>
  <c r="J115" i="29"/>
  <c r="D117" i="29"/>
  <c r="G116" i="29"/>
  <c r="E117" i="29"/>
  <c r="D112" i="38"/>
  <c r="G111" i="38"/>
  <c r="J114" i="24"/>
  <c r="J110" i="34"/>
  <c r="H118" i="3"/>
  <c r="I118" i="3"/>
  <c r="B119" i="3"/>
  <c r="F119" i="3"/>
  <c r="B112" i="20"/>
  <c r="F120" i="23"/>
  <c r="I111" i="20"/>
  <c r="H111" i="20"/>
  <c r="F115" i="22"/>
  <c r="B115" i="22"/>
  <c r="H119" i="23"/>
  <c r="I119" i="23"/>
  <c r="H114" i="22"/>
  <c r="I114" i="22"/>
  <c r="E112" i="20"/>
  <c r="F112" i="20" s="1"/>
  <c r="F31" i="39" l="1"/>
  <c r="G31" i="39" s="1"/>
  <c r="B34" i="24"/>
  <c r="F34" i="24"/>
  <c r="H34" i="24" s="1"/>
  <c r="H28" i="37"/>
  <c r="I28" i="37" s="1"/>
  <c r="H111" i="13"/>
  <c r="I111" i="13"/>
  <c r="E112" i="13"/>
  <c r="F112" i="13" s="1"/>
  <c r="B112" i="13"/>
  <c r="H31" i="25"/>
  <c r="I31" i="25" s="1"/>
  <c r="G32" i="22"/>
  <c r="H32" i="22"/>
  <c r="G27" i="38"/>
  <c r="I27" i="38" s="1"/>
  <c r="G33" i="23"/>
  <c r="I33" i="23" s="1"/>
  <c r="I38" i="20"/>
  <c r="H29" i="35"/>
  <c r="I29" i="35" s="1"/>
  <c r="G33" i="28"/>
  <c r="I33" i="28" s="1"/>
  <c r="J119" i="23"/>
  <c r="F34" i="21"/>
  <c r="H34" i="21" s="1"/>
  <c r="B34" i="21"/>
  <c r="D33" i="26"/>
  <c r="E33" i="26"/>
  <c r="G29" i="34"/>
  <c r="I29" i="34" s="1"/>
  <c r="D32" i="25"/>
  <c r="E32" i="25"/>
  <c r="F37" i="4"/>
  <c r="H37" i="4" s="1"/>
  <c r="B37" i="4"/>
  <c r="E40" i="20"/>
  <c r="F40" i="20" s="1"/>
  <c r="B40" i="20"/>
  <c r="G39" i="20"/>
  <c r="H39" i="20"/>
  <c r="D31" i="29"/>
  <c r="E31" i="29"/>
  <c r="H31" i="13"/>
  <c r="I31" i="13" s="1"/>
  <c r="B38" i="3"/>
  <c r="F38" i="3"/>
  <c r="H38" i="3" s="1"/>
  <c r="D34" i="23"/>
  <c r="E34" i="23"/>
  <c r="H32" i="26"/>
  <c r="I32" i="26" s="1"/>
  <c r="G30" i="29"/>
  <c r="I30" i="29" s="1"/>
  <c r="D28" i="38"/>
  <c r="E28" i="38"/>
  <c r="G33" i="27"/>
  <c r="I33" i="27" s="1"/>
  <c r="H29" i="31"/>
  <c r="I29" i="31" s="1"/>
  <c r="D30" i="35"/>
  <c r="E30" i="35"/>
  <c r="D34" i="28"/>
  <c r="E34" i="28" s="1"/>
  <c r="B36" i="19"/>
  <c r="F36" i="19"/>
  <c r="G36" i="19" s="1"/>
  <c r="D32" i="13"/>
  <c r="E32" i="13" s="1"/>
  <c r="D34" i="27"/>
  <c r="E34" i="27"/>
  <c r="D30" i="34"/>
  <c r="E30" i="34"/>
  <c r="D30" i="31"/>
  <c r="E30" i="31"/>
  <c r="B33" i="22"/>
  <c r="F33" i="22"/>
  <c r="G33" i="22" s="1"/>
  <c r="D29" i="37"/>
  <c r="E29" i="37"/>
  <c r="B36" i="18"/>
  <c r="F36" i="18"/>
  <c r="H36" i="18" s="1"/>
  <c r="I118" i="4"/>
  <c r="H118" i="4"/>
  <c r="I117" i="18"/>
  <c r="H117" i="18"/>
  <c r="B119" i="4"/>
  <c r="F119" i="4"/>
  <c r="B118" i="18"/>
  <c r="F118" i="18"/>
  <c r="B111" i="37"/>
  <c r="F111" i="37"/>
  <c r="B112" i="31"/>
  <c r="F112" i="31"/>
  <c r="I110" i="37"/>
  <c r="H110" i="37"/>
  <c r="H111" i="31"/>
  <c r="I111" i="31"/>
  <c r="F116" i="28"/>
  <c r="B116" i="28"/>
  <c r="J113" i="25"/>
  <c r="G114" i="25"/>
  <c r="D115" i="25"/>
  <c r="E115" i="25"/>
  <c r="H115" i="28"/>
  <c r="I115" i="28"/>
  <c r="H111" i="35"/>
  <c r="I111" i="35"/>
  <c r="B115" i="26"/>
  <c r="F115" i="26"/>
  <c r="J114" i="22"/>
  <c r="B112" i="35"/>
  <c r="F112" i="35"/>
  <c r="H114" i="26"/>
  <c r="I114" i="26"/>
  <c r="J118" i="3"/>
  <c r="J117" i="19"/>
  <c r="F117" i="29"/>
  <c r="D118" i="29" s="1"/>
  <c r="E118" i="29" s="1"/>
  <c r="B112" i="38"/>
  <c r="B116" i="24"/>
  <c r="F116" i="24"/>
  <c r="F116" i="21"/>
  <c r="B116" i="21"/>
  <c r="I115" i="24"/>
  <c r="H115" i="24"/>
  <c r="I115" i="21"/>
  <c r="H115" i="21"/>
  <c r="H111" i="38"/>
  <c r="I111" i="38"/>
  <c r="J111" i="20"/>
  <c r="E119" i="19"/>
  <c r="D119" i="19"/>
  <c r="G118" i="19"/>
  <c r="I115" i="27"/>
  <c r="H115" i="27"/>
  <c r="I111" i="34"/>
  <c r="H111" i="34"/>
  <c r="E112" i="38"/>
  <c r="F112" i="38" s="1"/>
  <c r="I116" i="29"/>
  <c r="H116" i="29"/>
  <c r="F116" i="27"/>
  <c r="B116" i="27"/>
  <c r="F112" i="34"/>
  <c r="B112" i="34"/>
  <c r="D113" i="20"/>
  <c r="E113" i="20" s="1"/>
  <c r="G112" i="20"/>
  <c r="G119" i="3"/>
  <c r="D120" i="3"/>
  <c r="E120" i="3"/>
  <c r="G120" i="23"/>
  <c r="D121" i="23"/>
  <c r="E121" i="23" s="1"/>
  <c r="D116" i="22"/>
  <c r="G115" i="22"/>
  <c r="E116" i="22"/>
  <c r="D32" i="39" l="1"/>
  <c r="E32" i="39"/>
  <c r="F32" i="39" s="1"/>
  <c r="G32" i="39" s="1"/>
  <c r="H31" i="39"/>
  <c r="I31" i="39" s="1"/>
  <c r="B32" i="39"/>
  <c r="G34" i="24"/>
  <c r="I34" i="24" s="1"/>
  <c r="D35" i="24"/>
  <c r="E35" i="24"/>
  <c r="J114" i="26"/>
  <c r="I32" i="22"/>
  <c r="G34" i="21"/>
  <c r="I34" i="21" s="1"/>
  <c r="J111" i="13"/>
  <c r="J111" i="38"/>
  <c r="D113" i="13"/>
  <c r="B113" i="13" s="1"/>
  <c r="G112" i="13"/>
  <c r="H36" i="19"/>
  <c r="I36" i="19" s="1"/>
  <c r="G36" i="18"/>
  <c r="I36" i="18" s="1"/>
  <c r="I39" i="20"/>
  <c r="B30" i="31"/>
  <c r="F30" i="31"/>
  <c r="H30" i="31" s="1"/>
  <c r="F31" i="29"/>
  <c r="D38" i="4"/>
  <c r="E38" i="4"/>
  <c r="B29" i="37"/>
  <c r="F29" i="37"/>
  <c r="G29" i="37" s="1"/>
  <c r="B30" i="34"/>
  <c r="F30" i="34"/>
  <c r="H30" i="34" s="1"/>
  <c r="B34" i="23"/>
  <c r="F34" i="23"/>
  <c r="G34" i="23" s="1"/>
  <c r="J111" i="35"/>
  <c r="D34" i="22"/>
  <c r="E34" i="22"/>
  <c r="B34" i="27"/>
  <c r="F34" i="27"/>
  <c r="H34" i="27" s="1"/>
  <c r="F34" i="28"/>
  <c r="G34" i="28" s="1"/>
  <c r="B34" i="28"/>
  <c r="D39" i="3"/>
  <c r="E39" i="3"/>
  <c r="B32" i="25"/>
  <c r="F32" i="25"/>
  <c r="H32" i="25" s="1"/>
  <c r="D35" i="21"/>
  <c r="E35" i="21"/>
  <c r="J115" i="28"/>
  <c r="J111" i="31"/>
  <c r="D37" i="18"/>
  <c r="E37" i="18"/>
  <c r="H33" i="22"/>
  <c r="I33" i="22" s="1"/>
  <c r="H40" i="20"/>
  <c r="B41" i="20"/>
  <c r="E41" i="20"/>
  <c r="F41" i="20" s="1"/>
  <c r="G40" i="20"/>
  <c r="F32" i="13"/>
  <c r="H32" i="13" s="1"/>
  <c r="B32" i="13"/>
  <c r="B30" i="35"/>
  <c r="F30" i="35"/>
  <c r="H30" i="35" s="1"/>
  <c r="B28" i="38"/>
  <c r="F28" i="38"/>
  <c r="H28" i="38" s="1"/>
  <c r="G38" i="3"/>
  <c r="I38" i="3" s="1"/>
  <c r="G37" i="4"/>
  <c r="I37" i="4" s="1"/>
  <c r="D37" i="19"/>
  <c r="E37" i="19"/>
  <c r="B33" i="26"/>
  <c r="F33" i="26"/>
  <c r="G33" i="26" s="1"/>
  <c r="G119" i="4"/>
  <c r="E120" i="4"/>
  <c r="D120" i="4"/>
  <c r="J117" i="18"/>
  <c r="G118" i="18"/>
  <c r="D119" i="18"/>
  <c r="E119" i="18"/>
  <c r="J115" i="21"/>
  <c r="J118" i="4"/>
  <c r="D113" i="35"/>
  <c r="E113" i="35"/>
  <c r="G112" i="35"/>
  <c r="J115" i="24"/>
  <c r="B115" i="25"/>
  <c r="F115" i="25"/>
  <c r="J110" i="37"/>
  <c r="E116" i="26"/>
  <c r="G115" i="26"/>
  <c r="D116" i="26"/>
  <c r="I114" i="25"/>
  <c r="H114" i="25"/>
  <c r="D113" i="31"/>
  <c r="E113" i="31"/>
  <c r="G112" i="31"/>
  <c r="G117" i="29"/>
  <c r="H117" i="29" s="1"/>
  <c r="D112" i="37"/>
  <c r="G111" i="37"/>
  <c r="E112" i="37"/>
  <c r="E117" i="28"/>
  <c r="G116" i="28"/>
  <c r="D117" i="28"/>
  <c r="J115" i="27"/>
  <c r="D113" i="38"/>
  <c r="E113" i="38" s="1"/>
  <c r="G112" i="38"/>
  <c r="G116" i="21"/>
  <c r="D117" i="21"/>
  <c r="E117" i="21"/>
  <c r="G116" i="27"/>
  <c r="D117" i="27"/>
  <c r="E117" i="27"/>
  <c r="H118" i="19"/>
  <c r="I118" i="19"/>
  <c r="G116" i="24"/>
  <c r="D117" i="24"/>
  <c r="E117" i="24"/>
  <c r="F119" i="19"/>
  <c r="B119" i="19"/>
  <c r="F118" i="29"/>
  <c r="J116" i="29"/>
  <c r="J111" i="34"/>
  <c r="D113" i="34"/>
  <c r="G112" i="34"/>
  <c r="E113" i="34"/>
  <c r="H115" i="22"/>
  <c r="I115" i="22"/>
  <c r="H119" i="3"/>
  <c r="I119" i="3"/>
  <c r="F120" i="3"/>
  <c r="B120" i="3"/>
  <c r="B116" i="22"/>
  <c r="F116" i="22"/>
  <c r="F121" i="23"/>
  <c r="H120" i="23"/>
  <c r="I120" i="23"/>
  <c r="H112" i="20"/>
  <c r="I112" i="20"/>
  <c r="B113" i="20"/>
  <c r="F113" i="20"/>
  <c r="H32" i="39" l="1"/>
  <c r="I32" i="39" s="1"/>
  <c r="D33" i="39"/>
  <c r="E33" i="39"/>
  <c r="B35" i="24"/>
  <c r="F35" i="24"/>
  <c r="G35" i="24" s="1"/>
  <c r="I117" i="29"/>
  <c r="J117" i="29" s="1"/>
  <c r="E113" i="13"/>
  <c r="F113" i="13" s="1"/>
  <c r="H112" i="13"/>
  <c r="I112" i="13"/>
  <c r="H34" i="23"/>
  <c r="I34" i="23" s="1"/>
  <c r="H34" i="28"/>
  <c r="I34" i="28" s="1"/>
  <c r="G30" i="34"/>
  <c r="I30" i="34" s="1"/>
  <c r="G34" i="27"/>
  <c r="I34" i="27" s="1"/>
  <c r="D34" i="26"/>
  <c r="E34" i="26"/>
  <c r="D29" i="38"/>
  <c r="E29" i="38"/>
  <c r="D33" i="13"/>
  <c r="B37" i="18"/>
  <c r="F37" i="18"/>
  <c r="D30" i="37"/>
  <c r="E30" i="37"/>
  <c r="G32" i="13"/>
  <c r="I32" i="13" s="1"/>
  <c r="D35" i="27"/>
  <c r="E35" i="27"/>
  <c r="J115" i="22"/>
  <c r="B39" i="3"/>
  <c r="F39" i="3"/>
  <c r="H39" i="3" s="1"/>
  <c r="D31" i="31"/>
  <c r="E31" i="31"/>
  <c r="F37" i="19"/>
  <c r="H37" i="19" s="1"/>
  <c r="B37" i="19"/>
  <c r="D31" i="35"/>
  <c r="E31" i="35"/>
  <c r="E42" i="20"/>
  <c r="F42" i="20" s="1"/>
  <c r="H41" i="20"/>
  <c r="B42" i="20"/>
  <c r="G41" i="20"/>
  <c r="F38" i="4"/>
  <c r="G38" i="4" s="1"/>
  <c r="B38" i="4"/>
  <c r="G30" i="31"/>
  <c r="I30" i="31" s="1"/>
  <c r="G30" i="35"/>
  <c r="I30" i="35" s="1"/>
  <c r="B35" i="21"/>
  <c r="F35" i="21"/>
  <c r="G35" i="21" s="1"/>
  <c r="B34" i="22"/>
  <c r="F34" i="22"/>
  <c r="H34" i="22" s="1"/>
  <c r="D31" i="34"/>
  <c r="E31" i="34"/>
  <c r="D32" i="29"/>
  <c r="E32" i="29"/>
  <c r="I40" i="20"/>
  <c r="D33" i="25"/>
  <c r="E33" i="25"/>
  <c r="G31" i="29"/>
  <c r="H33" i="26"/>
  <c r="I33" i="26" s="1"/>
  <c r="G28" i="38"/>
  <c r="I28" i="38" s="1"/>
  <c r="G32" i="25"/>
  <c r="I32" i="25" s="1"/>
  <c r="D35" i="28"/>
  <c r="E35" i="28" s="1"/>
  <c r="D35" i="23"/>
  <c r="E35" i="23"/>
  <c r="H29" i="37"/>
  <c r="I29" i="37" s="1"/>
  <c r="H31" i="29"/>
  <c r="I118" i="18"/>
  <c r="H118" i="18"/>
  <c r="F120" i="4"/>
  <c r="B120" i="4"/>
  <c r="B119" i="18"/>
  <c r="F119" i="18"/>
  <c r="H119" i="4"/>
  <c r="I119" i="4"/>
  <c r="I112" i="31"/>
  <c r="H112" i="31"/>
  <c r="B117" i="28"/>
  <c r="F117" i="28"/>
  <c r="G115" i="25"/>
  <c r="D116" i="25"/>
  <c r="E116" i="25"/>
  <c r="H116" i="28"/>
  <c r="I116" i="28"/>
  <c r="B113" i="31"/>
  <c r="F113" i="31"/>
  <c r="J114" i="25"/>
  <c r="I112" i="35"/>
  <c r="H112" i="35"/>
  <c r="I111" i="37"/>
  <c r="H111" i="37"/>
  <c r="F116" i="26"/>
  <c r="B116" i="26"/>
  <c r="F112" i="37"/>
  <c r="B112" i="37"/>
  <c r="I115" i="26"/>
  <c r="H115" i="26"/>
  <c r="B113" i="35"/>
  <c r="F113" i="35"/>
  <c r="J120" i="23"/>
  <c r="H112" i="34"/>
  <c r="I112" i="34"/>
  <c r="H112" i="38"/>
  <c r="I112" i="38"/>
  <c r="D119" i="29"/>
  <c r="E119" i="29" s="1"/>
  <c r="G118" i="29"/>
  <c r="B117" i="24"/>
  <c r="F117" i="24"/>
  <c r="B117" i="27"/>
  <c r="F117" i="27"/>
  <c r="H116" i="24"/>
  <c r="I116" i="24"/>
  <c r="I116" i="27"/>
  <c r="H116" i="27"/>
  <c r="B113" i="38"/>
  <c r="F113" i="38"/>
  <c r="B113" i="34"/>
  <c r="F113" i="34"/>
  <c r="J119" i="3"/>
  <c r="F117" i="21"/>
  <c r="B117" i="21"/>
  <c r="D120" i="19"/>
  <c r="G119" i="19"/>
  <c r="E120" i="19"/>
  <c r="J118" i="19"/>
  <c r="H116" i="21"/>
  <c r="I116" i="21"/>
  <c r="G120" i="3"/>
  <c r="D121" i="3"/>
  <c r="E121" i="3"/>
  <c r="D122" i="23"/>
  <c r="E122" i="23" s="1"/>
  <c r="G121" i="23"/>
  <c r="D114" i="20"/>
  <c r="E114" i="20" s="1"/>
  <c r="G113" i="20"/>
  <c r="G116" i="22"/>
  <c r="E117" i="22"/>
  <c r="D117" i="22"/>
  <c r="J112" i="20"/>
  <c r="F33" i="39" l="1"/>
  <c r="D34" i="39" s="1"/>
  <c r="B33" i="39"/>
  <c r="G33" i="39"/>
  <c r="G37" i="19"/>
  <c r="I37" i="19" s="1"/>
  <c r="H35" i="24"/>
  <c r="I35" i="24" s="1"/>
  <c r="D36" i="24"/>
  <c r="E36" i="24"/>
  <c r="J112" i="13"/>
  <c r="J119" i="4"/>
  <c r="D114" i="13"/>
  <c r="G113" i="13"/>
  <c r="I31" i="29"/>
  <c r="I41" i="20"/>
  <c r="H38" i="4"/>
  <c r="I38" i="4" s="1"/>
  <c r="B33" i="13"/>
  <c r="F35" i="23"/>
  <c r="B35" i="23"/>
  <c r="D35" i="22"/>
  <c r="E35" i="22"/>
  <c r="B33" i="25"/>
  <c r="F33" i="25"/>
  <c r="H33" i="25" s="1"/>
  <c r="G42" i="20"/>
  <c r="E43" i="20"/>
  <c r="F43" i="20" s="1"/>
  <c r="B43" i="20"/>
  <c r="H42" i="20"/>
  <c r="F31" i="31"/>
  <c r="H31" i="31" s="1"/>
  <c r="B31" i="31"/>
  <c r="F30" i="37"/>
  <c r="G30" i="37" s="1"/>
  <c r="B30" i="37"/>
  <c r="B29" i="38"/>
  <c r="F29" i="38"/>
  <c r="F35" i="28"/>
  <c r="H35" i="28" s="1"/>
  <c r="B35" i="28"/>
  <c r="G34" i="22"/>
  <c r="I34" i="22" s="1"/>
  <c r="F35" i="27"/>
  <c r="H35" i="27" s="1"/>
  <c r="B35" i="27"/>
  <c r="D38" i="18"/>
  <c r="E38" i="18"/>
  <c r="H35" i="21"/>
  <c r="I35" i="21" s="1"/>
  <c r="B31" i="35"/>
  <c r="F31" i="35"/>
  <c r="G31" i="35" s="1"/>
  <c r="D40" i="3"/>
  <c r="E40" i="3"/>
  <c r="H37" i="18"/>
  <c r="J118" i="18"/>
  <c r="F32" i="29"/>
  <c r="D39" i="4"/>
  <c r="E39" i="4"/>
  <c r="G39" i="3"/>
  <c r="I39" i="3" s="1"/>
  <c r="G37" i="18"/>
  <c r="F34" i="26"/>
  <c r="G34" i="26" s="1"/>
  <c r="B34" i="26"/>
  <c r="D36" i="21"/>
  <c r="E36" i="21"/>
  <c r="F31" i="34"/>
  <c r="G31" i="34" s="1"/>
  <c r="B31" i="34"/>
  <c r="D38" i="19"/>
  <c r="E38" i="19"/>
  <c r="E33" i="13"/>
  <c r="F33" i="13" s="1"/>
  <c r="J111" i="37"/>
  <c r="G119" i="18"/>
  <c r="D120" i="18"/>
  <c r="E120" i="18"/>
  <c r="E121" i="4"/>
  <c r="G120" i="4"/>
  <c r="D121" i="4"/>
  <c r="G113" i="35"/>
  <c r="D114" i="35"/>
  <c r="E114" i="35"/>
  <c r="B116" i="25"/>
  <c r="F116" i="25"/>
  <c r="J116" i="24"/>
  <c r="J115" i="26"/>
  <c r="J112" i="35"/>
  <c r="H115" i="25"/>
  <c r="I115" i="25"/>
  <c r="E118" i="28"/>
  <c r="G117" i="28"/>
  <c r="D118" i="28"/>
  <c r="D113" i="37"/>
  <c r="E113" i="37"/>
  <c r="G112" i="37"/>
  <c r="G113" i="31"/>
  <c r="E114" i="31"/>
  <c r="D114" i="31"/>
  <c r="G116" i="26"/>
  <c r="D117" i="26"/>
  <c r="E117" i="26"/>
  <c r="J116" i="28"/>
  <c r="J112" i="31"/>
  <c r="H119" i="19"/>
  <c r="I119" i="19"/>
  <c r="F120" i="19"/>
  <c r="B120" i="19"/>
  <c r="J116" i="27"/>
  <c r="H118" i="29"/>
  <c r="I118" i="29"/>
  <c r="J112" i="34"/>
  <c r="D118" i="24"/>
  <c r="G117" i="24"/>
  <c r="E118" i="24"/>
  <c r="G117" i="21"/>
  <c r="D118" i="21"/>
  <c r="E118" i="21"/>
  <c r="F119" i="29"/>
  <c r="D114" i="38"/>
  <c r="G113" i="38"/>
  <c r="J116" i="21"/>
  <c r="J112" i="38"/>
  <c r="D114" i="34"/>
  <c r="G113" i="34"/>
  <c r="E114" i="34"/>
  <c r="D118" i="27"/>
  <c r="G117" i="27"/>
  <c r="E118" i="27"/>
  <c r="B121" i="3"/>
  <c r="F121" i="3"/>
  <c r="I113" i="20"/>
  <c r="H113" i="20"/>
  <c r="H120" i="3"/>
  <c r="I120" i="3"/>
  <c r="F122" i="23"/>
  <c r="F117" i="22"/>
  <c r="B117" i="22"/>
  <c r="B114" i="20"/>
  <c r="F114" i="20"/>
  <c r="I116" i="22"/>
  <c r="H116" i="22"/>
  <c r="H121" i="23"/>
  <c r="I121" i="23"/>
  <c r="E34" i="39" l="1"/>
  <c r="F34" i="39"/>
  <c r="E35" i="39" s="1"/>
  <c r="H33" i="39"/>
  <c r="I33" i="39" s="1"/>
  <c r="D35" i="39"/>
  <c r="B34" i="39"/>
  <c r="G34" i="39"/>
  <c r="H34" i="39"/>
  <c r="I34" i="39" s="1"/>
  <c r="B36" i="24"/>
  <c r="F36" i="24"/>
  <c r="G36" i="24" s="1"/>
  <c r="H113" i="13"/>
  <c r="I113" i="13"/>
  <c r="J115" i="25"/>
  <c r="E114" i="13"/>
  <c r="F114" i="13" s="1"/>
  <c r="B114" i="13"/>
  <c r="H34" i="26"/>
  <c r="I34" i="26" s="1"/>
  <c r="H31" i="35"/>
  <c r="I31" i="35" s="1"/>
  <c r="D34" i="13"/>
  <c r="E34" i="13" s="1"/>
  <c r="H33" i="13"/>
  <c r="G33" i="13"/>
  <c r="D33" i="29"/>
  <c r="E33" i="29"/>
  <c r="D30" i="38"/>
  <c r="E30" i="38"/>
  <c r="E36" i="23"/>
  <c r="D36" i="23"/>
  <c r="D32" i="34"/>
  <c r="E32" i="34"/>
  <c r="H32" i="29"/>
  <c r="G29" i="38"/>
  <c r="D32" i="31"/>
  <c r="E32" i="31"/>
  <c r="D34" i="25"/>
  <c r="E34" i="25"/>
  <c r="H31" i="34"/>
  <c r="I31" i="34" s="1"/>
  <c r="I37" i="18"/>
  <c r="I42" i="20"/>
  <c r="F38" i="18"/>
  <c r="G38" i="18" s="1"/>
  <c r="B38" i="18"/>
  <c r="G35" i="28"/>
  <c r="I35" i="28" s="1"/>
  <c r="H30" i="37"/>
  <c r="I30" i="37" s="1"/>
  <c r="B35" i="22"/>
  <c r="F35" i="22"/>
  <c r="G35" i="22" s="1"/>
  <c r="B36" i="21"/>
  <c r="F36" i="21"/>
  <c r="H36" i="21" s="1"/>
  <c r="B40" i="3"/>
  <c r="F40" i="3"/>
  <c r="H40" i="3" s="1"/>
  <c r="E44" i="20"/>
  <c r="F44" i="20" s="1"/>
  <c r="B44" i="20"/>
  <c r="H43" i="20"/>
  <c r="G43" i="20"/>
  <c r="H35" i="23"/>
  <c r="F39" i="4"/>
  <c r="H39" i="4" s="1"/>
  <c r="B39" i="4"/>
  <c r="D36" i="27"/>
  <c r="E36" i="27"/>
  <c r="D36" i="28"/>
  <c r="E36" i="28" s="1"/>
  <c r="D31" i="37"/>
  <c r="E31" i="37"/>
  <c r="F38" i="19"/>
  <c r="H38" i="19" s="1"/>
  <c r="B38" i="19"/>
  <c r="D35" i="26"/>
  <c r="E35" i="26"/>
  <c r="G32" i="29"/>
  <c r="D32" i="35"/>
  <c r="E32" i="35"/>
  <c r="G35" i="27"/>
  <c r="I35" i="27" s="1"/>
  <c r="H29" i="38"/>
  <c r="G31" i="31"/>
  <c r="I31" i="31" s="1"/>
  <c r="G33" i="25"/>
  <c r="I33" i="25" s="1"/>
  <c r="G35" i="23"/>
  <c r="F121" i="4"/>
  <c r="B121" i="4"/>
  <c r="J120" i="3"/>
  <c r="F120" i="18"/>
  <c r="B120" i="18"/>
  <c r="I119" i="18"/>
  <c r="H119" i="18"/>
  <c r="H120" i="4"/>
  <c r="I120" i="4"/>
  <c r="F113" i="37"/>
  <c r="B113" i="37"/>
  <c r="B117" i="26"/>
  <c r="F117" i="26"/>
  <c r="F118" i="28"/>
  <c r="B118" i="28"/>
  <c r="D117" i="25"/>
  <c r="E117" i="25"/>
  <c r="G116" i="25"/>
  <c r="H116" i="26"/>
  <c r="I116" i="26"/>
  <c r="I117" i="28"/>
  <c r="H117" i="28"/>
  <c r="B114" i="31"/>
  <c r="F114" i="31"/>
  <c r="B114" i="35"/>
  <c r="F114" i="35"/>
  <c r="H113" i="31"/>
  <c r="I113" i="31"/>
  <c r="H113" i="35"/>
  <c r="I113" i="35"/>
  <c r="I112" i="37"/>
  <c r="H112" i="37"/>
  <c r="H113" i="34"/>
  <c r="I113" i="34"/>
  <c r="F114" i="34"/>
  <c r="B114" i="34"/>
  <c r="D120" i="29"/>
  <c r="E120" i="29" s="1"/>
  <c r="G119" i="29"/>
  <c r="J118" i="29"/>
  <c r="D121" i="19"/>
  <c r="E121" i="19" s="1"/>
  <c r="G120" i="19"/>
  <c r="B114" i="38"/>
  <c r="E114" i="38"/>
  <c r="F114" i="38" s="1"/>
  <c r="B118" i="21"/>
  <c r="F118" i="21"/>
  <c r="I117" i="21"/>
  <c r="H117" i="21"/>
  <c r="H117" i="27"/>
  <c r="I117" i="27"/>
  <c r="B118" i="24"/>
  <c r="F118" i="24"/>
  <c r="J121" i="23"/>
  <c r="F118" i="27"/>
  <c r="B118" i="27"/>
  <c r="H113" i="38"/>
  <c r="I113" i="38"/>
  <c r="H117" i="24"/>
  <c r="I117" i="24"/>
  <c r="J119" i="19"/>
  <c r="D115" i="20"/>
  <c r="G114" i="20"/>
  <c r="J113" i="20"/>
  <c r="E118" i="22"/>
  <c r="G117" i="22"/>
  <c r="D118" i="22"/>
  <c r="J116" i="22"/>
  <c r="D122" i="3"/>
  <c r="G121" i="3"/>
  <c r="G122" i="23"/>
  <c r="D123" i="23"/>
  <c r="B35" i="39" l="1"/>
  <c r="F35" i="39"/>
  <c r="G35" i="39"/>
  <c r="H35" i="39"/>
  <c r="I35" i="39" s="1"/>
  <c r="I29" i="38"/>
  <c r="H36" i="24"/>
  <c r="I36" i="24" s="1"/>
  <c r="D37" i="24"/>
  <c r="E37" i="24"/>
  <c r="J113" i="13"/>
  <c r="J117" i="27"/>
  <c r="D115" i="13"/>
  <c r="G114" i="13"/>
  <c r="G36" i="21"/>
  <c r="I36" i="21" s="1"/>
  <c r="G39" i="4"/>
  <c r="I39" i="4" s="1"/>
  <c r="H38" i="18"/>
  <c r="I38" i="18" s="1"/>
  <c r="G40" i="3"/>
  <c r="I40" i="3" s="1"/>
  <c r="F36" i="27"/>
  <c r="H36" i="27" s="1"/>
  <c r="B36" i="27"/>
  <c r="F33" i="29"/>
  <c r="G33" i="29" s="1"/>
  <c r="B45" i="20"/>
  <c r="H44" i="20"/>
  <c r="E45" i="20"/>
  <c r="F45" i="20" s="1"/>
  <c r="G44" i="20"/>
  <c r="F32" i="34"/>
  <c r="G32" i="34" s="1"/>
  <c r="B32" i="34"/>
  <c r="B35" i="26"/>
  <c r="F35" i="26"/>
  <c r="G35" i="26" s="1"/>
  <c r="B34" i="25"/>
  <c r="F34" i="25"/>
  <c r="H34" i="25" s="1"/>
  <c r="B36" i="23"/>
  <c r="F36" i="23"/>
  <c r="H36" i="23" s="1"/>
  <c r="J113" i="35"/>
  <c r="J119" i="18"/>
  <c r="G38" i="19"/>
  <c r="I38" i="19" s="1"/>
  <c r="D39" i="18"/>
  <c r="E39" i="18"/>
  <c r="F31" i="37"/>
  <c r="H31" i="37" s="1"/>
  <c r="B31" i="37"/>
  <c r="D40" i="4"/>
  <c r="E40" i="4"/>
  <c r="D41" i="3"/>
  <c r="E41" i="3"/>
  <c r="D36" i="22"/>
  <c r="E36" i="22"/>
  <c r="B32" i="31"/>
  <c r="F32" i="31"/>
  <c r="H32" i="31" s="1"/>
  <c r="I33" i="13"/>
  <c r="J113" i="38"/>
  <c r="J113" i="31"/>
  <c r="J116" i="26"/>
  <c r="I35" i="23"/>
  <c r="F30" i="38"/>
  <c r="H30" i="38" s="1"/>
  <c r="B30" i="38"/>
  <c r="B34" i="13"/>
  <c r="F34" i="13"/>
  <c r="H34" i="13" s="1"/>
  <c r="D39" i="19"/>
  <c r="E39" i="19"/>
  <c r="B36" i="28"/>
  <c r="F36" i="28"/>
  <c r="G36" i="28" s="1"/>
  <c r="H35" i="22"/>
  <c r="I35" i="22" s="1"/>
  <c r="I32" i="29"/>
  <c r="J113" i="34"/>
  <c r="F32" i="35"/>
  <c r="H32" i="35" s="1"/>
  <c r="B32" i="35"/>
  <c r="I43" i="20"/>
  <c r="D37" i="21"/>
  <c r="E37" i="21"/>
  <c r="J117" i="24"/>
  <c r="G120" i="18"/>
  <c r="D121" i="18"/>
  <c r="B121" i="18" s="1"/>
  <c r="J120" i="4"/>
  <c r="G121" i="4"/>
  <c r="D122" i="4"/>
  <c r="D115" i="31"/>
  <c r="G114" i="31"/>
  <c r="E115" i="31"/>
  <c r="F117" i="25"/>
  <c r="B117" i="25"/>
  <c r="J112" i="37"/>
  <c r="G118" i="28"/>
  <c r="E119" i="28"/>
  <c r="D119" i="28"/>
  <c r="J117" i="28"/>
  <c r="D118" i="26"/>
  <c r="G117" i="26"/>
  <c r="E118" i="26"/>
  <c r="G114" i="35"/>
  <c r="E115" i="35"/>
  <c r="D115" i="35"/>
  <c r="H116" i="25"/>
  <c r="I116" i="25"/>
  <c r="D114" i="37"/>
  <c r="G113" i="37"/>
  <c r="E114" i="37"/>
  <c r="J117" i="21"/>
  <c r="F121" i="19"/>
  <c r="B121" i="19"/>
  <c r="G114" i="34"/>
  <c r="D115" i="34"/>
  <c r="E115" i="34"/>
  <c r="G118" i="27"/>
  <c r="D119" i="27"/>
  <c r="E119" i="27"/>
  <c r="D115" i="38"/>
  <c r="E115" i="38" s="1"/>
  <c r="G114" i="38"/>
  <c r="G118" i="21"/>
  <c r="D119" i="21"/>
  <c r="E119" i="21"/>
  <c r="G118" i="24"/>
  <c r="D119" i="24"/>
  <c r="E119" i="24"/>
  <c r="I120" i="19"/>
  <c r="H120" i="19"/>
  <c r="F120" i="29"/>
  <c r="H119" i="29"/>
  <c r="I119" i="29"/>
  <c r="B118" i="22"/>
  <c r="F118" i="22"/>
  <c r="B122" i="3"/>
  <c r="B115" i="20"/>
  <c r="H122" i="23"/>
  <c r="I122" i="23"/>
  <c r="H121" i="3"/>
  <c r="I121" i="3"/>
  <c r="H114" i="20"/>
  <c r="I114" i="20"/>
  <c r="I117" i="22"/>
  <c r="H117" i="22"/>
  <c r="E123" i="23"/>
  <c r="F123" i="23" s="1"/>
  <c r="E122" i="3"/>
  <c r="F122" i="3" s="1"/>
  <c r="E115" i="20"/>
  <c r="F115" i="20" s="1"/>
  <c r="D36" i="39" l="1"/>
  <c r="E36" i="39"/>
  <c r="B37" i="24"/>
  <c r="F37" i="24"/>
  <c r="G37" i="24" s="1"/>
  <c r="H114" i="13"/>
  <c r="I114" i="13"/>
  <c r="E115" i="13"/>
  <c r="F115" i="13" s="1"/>
  <c r="B115" i="13"/>
  <c r="G36" i="27"/>
  <c r="I36" i="27" s="1"/>
  <c r="G32" i="31"/>
  <c r="I32" i="31" s="1"/>
  <c r="G30" i="38"/>
  <c r="I30" i="38" s="1"/>
  <c r="H32" i="34"/>
  <c r="I32" i="34" s="1"/>
  <c r="G34" i="13"/>
  <c r="I34" i="13" s="1"/>
  <c r="G31" i="37"/>
  <c r="I31" i="37" s="1"/>
  <c r="F37" i="21"/>
  <c r="G37" i="21" s="1"/>
  <c r="B37" i="21"/>
  <c r="G34" i="25"/>
  <c r="I34" i="25" s="1"/>
  <c r="D33" i="34"/>
  <c r="E33" i="34"/>
  <c r="D35" i="13"/>
  <c r="E37" i="23"/>
  <c r="D37" i="23"/>
  <c r="G32" i="35"/>
  <c r="I32" i="35" s="1"/>
  <c r="D37" i="28"/>
  <c r="E37" i="28" s="1"/>
  <c r="B36" i="22"/>
  <c r="F36" i="22"/>
  <c r="D32" i="37"/>
  <c r="E32" i="37"/>
  <c r="D36" i="26"/>
  <c r="E36" i="26"/>
  <c r="E46" i="20"/>
  <c r="F46" i="20" s="1"/>
  <c r="G45" i="20"/>
  <c r="H45" i="20"/>
  <c r="B46" i="20"/>
  <c r="G36" i="23"/>
  <c r="I36" i="23" s="1"/>
  <c r="I44" i="20"/>
  <c r="D37" i="27"/>
  <c r="E37" i="27"/>
  <c r="J122" i="23"/>
  <c r="H36" i="28"/>
  <c r="I36" i="28" s="1"/>
  <c r="F41" i="3"/>
  <c r="B41" i="3"/>
  <c r="F39" i="18"/>
  <c r="H39" i="18" s="1"/>
  <c r="B39" i="18"/>
  <c r="H35" i="26"/>
  <c r="I35" i="26" s="1"/>
  <c r="D33" i="35"/>
  <c r="E33" i="35"/>
  <c r="D35" i="25"/>
  <c r="E35" i="25"/>
  <c r="D34" i="29"/>
  <c r="E34" i="29"/>
  <c r="B39" i="19"/>
  <c r="F39" i="19"/>
  <c r="H39" i="19" s="1"/>
  <c r="D31" i="38"/>
  <c r="E31" i="38"/>
  <c r="D33" i="31"/>
  <c r="E33" i="31"/>
  <c r="F40" i="4"/>
  <c r="H40" i="4" s="1"/>
  <c r="B40" i="4"/>
  <c r="H33" i="29"/>
  <c r="I33" i="29" s="1"/>
  <c r="E122" i="4"/>
  <c r="F122" i="4" s="1"/>
  <c r="B122" i="4"/>
  <c r="H121" i="4"/>
  <c r="I121" i="4"/>
  <c r="J119" i="29"/>
  <c r="E121" i="18"/>
  <c r="F121" i="18" s="1"/>
  <c r="I120" i="18"/>
  <c r="H120" i="18"/>
  <c r="B115" i="35"/>
  <c r="F115" i="35"/>
  <c r="H118" i="28"/>
  <c r="I118" i="28"/>
  <c r="H114" i="35"/>
  <c r="I114" i="35"/>
  <c r="H113" i="37"/>
  <c r="I113" i="37"/>
  <c r="I117" i="26"/>
  <c r="H117" i="26"/>
  <c r="D118" i="25"/>
  <c r="G117" i="25"/>
  <c r="E118" i="25"/>
  <c r="B114" i="37"/>
  <c r="F114" i="37"/>
  <c r="F118" i="26"/>
  <c r="B118" i="26"/>
  <c r="J116" i="25"/>
  <c r="I114" i="31"/>
  <c r="H114" i="31"/>
  <c r="J121" i="3"/>
  <c r="B119" i="28"/>
  <c r="F119" i="28"/>
  <c r="F115" i="31"/>
  <c r="B115" i="31"/>
  <c r="H118" i="24"/>
  <c r="I118" i="24"/>
  <c r="H114" i="38"/>
  <c r="I114" i="38"/>
  <c r="B119" i="21"/>
  <c r="F119" i="21"/>
  <c r="I118" i="21"/>
  <c r="H118" i="21"/>
  <c r="H114" i="34"/>
  <c r="I114" i="34"/>
  <c r="B119" i="24"/>
  <c r="F119" i="24"/>
  <c r="B115" i="34"/>
  <c r="F115" i="34"/>
  <c r="F119" i="27"/>
  <c r="B119" i="27"/>
  <c r="D122" i="19"/>
  <c r="G121" i="19"/>
  <c r="J120" i="19"/>
  <c r="D121" i="29"/>
  <c r="G120" i="29"/>
  <c r="F115" i="38"/>
  <c r="B115" i="38"/>
  <c r="J114" i="20"/>
  <c r="I118" i="27"/>
  <c r="H118" i="27"/>
  <c r="G115" i="20"/>
  <c r="D116" i="20"/>
  <c r="E116" i="20" s="1"/>
  <c r="D123" i="3"/>
  <c r="E123" i="3" s="1"/>
  <c r="G122" i="3"/>
  <c r="G123" i="23"/>
  <c r="D124" i="23"/>
  <c r="E124" i="23" s="1"/>
  <c r="J117" i="22"/>
  <c r="G118" i="22"/>
  <c r="D119" i="22"/>
  <c r="F36" i="39" l="1"/>
  <c r="B36" i="39"/>
  <c r="G36" i="39"/>
  <c r="H36" i="39"/>
  <c r="I36" i="39" s="1"/>
  <c r="H37" i="24"/>
  <c r="I37" i="24" s="1"/>
  <c r="E38" i="24"/>
  <c r="D38" i="24"/>
  <c r="H37" i="21"/>
  <c r="I37" i="21" s="1"/>
  <c r="J114" i="13"/>
  <c r="G115" i="13"/>
  <c r="D116" i="13"/>
  <c r="J114" i="35"/>
  <c r="J118" i="28"/>
  <c r="I45" i="20"/>
  <c r="G39" i="18"/>
  <c r="I39" i="18" s="1"/>
  <c r="J121" i="4"/>
  <c r="J120" i="18"/>
  <c r="D42" i="3"/>
  <c r="E42" i="3"/>
  <c r="F33" i="34"/>
  <c r="G33" i="34" s="1"/>
  <c r="B33" i="34"/>
  <c r="B31" i="38"/>
  <c r="F31" i="38"/>
  <c r="G31" i="38" s="1"/>
  <c r="B32" i="37"/>
  <c r="F32" i="37"/>
  <c r="G32" i="37" s="1"/>
  <c r="B37" i="23"/>
  <c r="F37" i="23"/>
  <c r="H37" i="23" s="1"/>
  <c r="D37" i="22"/>
  <c r="E37" i="22"/>
  <c r="D40" i="19"/>
  <c r="E40" i="19"/>
  <c r="F34" i="29"/>
  <c r="H36" i="22"/>
  <c r="B35" i="13"/>
  <c r="D41" i="4"/>
  <c r="E41" i="4"/>
  <c r="D40" i="18"/>
  <c r="E40" i="18"/>
  <c r="G36" i="22"/>
  <c r="E35" i="13"/>
  <c r="F35" i="13" s="1"/>
  <c r="G40" i="4"/>
  <c r="I40" i="4" s="1"/>
  <c r="G39" i="19"/>
  <c r="I39" i="19" s="1"/>
  <c r="B35" i="25"/>
  <c r="F35" i="25"/>
  <c r="H35" i="25" s="1"/>
  <c r="B37" i="27"/>
  <c r="F37" i="27"/>
  <c r="H37" i="27" s="1"/>
  <c r="G46" i="20"/>
  <c r="B47" i="20"/>
  <c r="H46" i="20"/>
  <c r="E47" i="20"/>
  <c r="F47" i="20" s="1"/>
  <c r="D38" i="21"/>
  <c r="E38" i="21"/>
  <c r="H41" i="3"/>
  <c r="F33" i="31"/>
  <c r="H33" i="31" s="1"/>
  <c r="B33" i="31"/>
  <c r="F33" i="35"/>
  <c r="B33" i="35"/>
  <c r="G41" i="3"/>
  <c r="B36" i="26"/>
  <c r="F36" i="26"/>
  <c r="G36" i="26" s="1"/>
  <c r="B37" i="28"/>
  <c r="F37" i="28"/>
  <c r="H37" i="28" s="1"/>
  <c r="G121" i="18"/>
  <c r="D122" i="18"/>
  <c r="J114" i="31"/>
  <c r="D123" i="4"/>
  <c r="G122" i="4"/>
  <c r="G119" i="28"/>
  <c r="D120" i="28"/>
  <c r="B120" i="28" s="1"/>
  <c r="E120" i="28"/>
  <c r="G114" i="37"/>
  <c r="E115" i="37"/>
  <c r="D115" i="37"/>
  <c r="I117" i="25"/>
  <c r="H117" i="25"/>
  <c r="F118" i="25"/>
  <c r="B118" i="25"/>
  <c r="J117" i="26"/>
  <c r="E116" i="35"/>
  <c r="G115" i="35"/>
  <c r="D116" i="35"/>
  <c r="J114" i="34"/>
  <c r="D116" i="31"/>
  <c r="G115" i="31"/>
  <c r="E116" i="31"/>
  <c r="D119" i="26"/>
  <c r="E119" i="26" s="1"/>
  <c r="G118" i="26"/>
  <c r="J113" i="37"/>
  <c r="G119" i="27"/>
  <c r="D120" i="27"/>
  <c r="E120" i="27" s="1"/>
  <c r="J118" i="21"/>
  <c r="B122" i="19"/>
  <c r="G115" i="34"/>
  <c r="D116" i="34"/>
  <c r="E116" i="34"/>
  <c r="D120" i="21"/>
  <c r="E120" i="21" s="1"/>
  <c r="G119" i="21"/>
  <c r="J118" i="27"/>
  <c r="G115" i="38"/>
  <c r="D116" i="38"/>
  <c r="E116" i="38" s="1"/>
  <c r="E122" i="19"/>
  <c r="F122" i="19" s="1"/>
  <c r="H120" i="29"/>
  <c r="I120" i="29"/>
  <c r="E121" i="29"/>
  <c r="F121" i="29" s="1"/>
  <c r="I121" i="19"/>
  <c r="H121" i="19"/>
  <c r="D120" i="24"/>
  <c r="G119" i="24"/>
  <c r="E120" i="24"/>
  <c r="J114" i="38"/>
  <c r="J118" i="24"/>
  <c r="H122" i="3"/>
  <c r="I122" i="3"/>
  <c r="B123" i="3"/>
  <c r="F123" i="3"/>
  <c r="B119" i="22"/>
  <c r="I118" i="22"/>
  <c r="H118" i="22"/>
  <c r="B116" i="20"/>
  <c r="F116" i="20"/>
  <c r="I123" i="23"/>
  <c r="H123" i="23"/>
  <c r="E119" i="22"/>
  <c r="F119" i="22" s="1"/>
  <c r="F124" i="23"/>
  <c r="I115" i="20"/>
  <c r="H115" i="20"/>
  <c r="D37" i="39" l="1"/>
  <c r="E37" i="39"/>
  <c r="I46" i="20"/>
  <c r="F38" i="24"/>
  <c r="G38" i="24" s="1"/>
  <c r="B38" i="24"/>
  <c r="F120" i="28"/>
  <c r="G120" i="28" s="1"/>
  <c r="E116" i="13"/>
  <c r="F116" i="13" s="1"/>
  <c r="B116" i="13"/>
  <c r="H115" i="13"/>
  <c r="I115" i="13"/>
  <c r="H31" i="38"/>
  <c r="I31" i="38" s="1"/>
  <c r="H33" i="34"/>
  <c r="I33" i="34" s="1"/>
  <c r="G33" i="31"/>
  <c r="I33" i="31" s="1"/>
  <c r="G37" i="27"/>
  <c r="I37" i="27" s="1"/>
  <c r="G35" i="25"/>
  <c r="I35" i="25" s="1"/>
  <c r="D36" i="13"/>
  <c r="E36" i="13" s="1"/>
  <c r="G35" i="13"/>
  <c r="H35" i="13"/>
  <c r="D34" i="35"/>
  <c r="E34" i="35"/>
  <c r="F40" i="19"/>
  <c r="H40" i="19" s="1"/>
  <c r="B40" i="19"/>
  <c r="D33" i="37"/>
  <c r="E33" i="37"/>
  <c r="D37" i="26"/>
  <c r="E37" i="26"/>
  <c r="B38" i="21"/>
  <c r="F38" i="21"/>
  <c r="G38" i="21" s="1"/>
  <c r="H47" i="20"/>
  <c r="E48" i="20"/>
  <c r="F48" i="20" s="1"/>
  <c r="G47" i="20"/>
  <c r="B48" i="20"/>
  <c r="B37" i="22"/>
  <c r="F37" i="22"/>
  <c r="H37" i="22" s="1"/>
  <c r="H32" i="37"/>
  <c r="I32" i="37" s="1"/>
  <c r="H36" i="26"/>
  <c r="I36" i="26" s="1"/>
  <c r="I36" i="22"/>
  <c r="D34" i="34"/>
  <c r="E34" i="34"/>
  <c r="D36" i="25"/>
  <c r="E36" i="25"/>
  <c r="B40" i="18"/>
  <c r="F40" i="18"/>
  <c r="D35" i="29"/>
  <c r="E35" i="29"/>
  <c r="D38" i="28"/>
  <c r="E38" i="28" s="1"/>
  <c r="G33" i="35"/>
  <c r="G34" i="29"/>
  <c r="D38" i="23"/>
  <c r="E38" i="23"/>
  <c r="B42" i="3"/>
  <c r="F42" i="3"/>
  <c r="G42" i="3" s="1"/>
  <c r="H33" i="35"/>
  <c r="D34" i="31"/>
  <c r="E34" i="31"/>
  <c r="B41" i="4"/>
  <c r="F41" i="4"/>
  <c r="H34" i="29"/>
  <c r="D32" i="38"/>
  <c r="E32" i="38"/>
  <c r="G37" i="28"/>
  <c r="I37" i="28" s="1"/>
  <c r="I41" i="3"/>
  <c r="D38" i="27"/>
  <c r="E38" i="27"/>
  <c r="G37" i="23"/>
  <c r="I37" i="23" s="1"/>
  <c r="H122" i="4"/>
  <c r="I122" i="4"/>
  <c r="J117" i="25"/>
  <c r="E123" i="4"/>
  <c r="F123" i="4" s="1"/>
  <c r="B123" i="4"/>
  <c r="E122" i="18"/>
  <c r="F122" i="18" s="1"/>
  <c r="B122" i="18"/>
  <c r="H121" i="18"/>
  <c r="I121" i="18"/>
  <c r="F116" i="31"/>
  <c r="B116" i="31"/>
  <c r="B116" i="35"/>
  <c r="F116" i="35"/>
  <c r="B115" i="37"/>
  <c r="F115" i="37"/>
  <c r="H115" i="35"/>
  <c r="I115" i="35"/>
  <c r="H118" i="26"/>
  <c r="I118" i="26"/>
  <c r="I114" i="37"/>
  <c r="H114" i="37"/>
  <c r="B119" i="26"/>
  <c r="F119" i="26"/>
  <c r="H115" i="31"/>
  <c r="I115" i="31"/>
  <c r="G118" i="25"/>
  <c r="D119" i="25"/>
  <c r="E119" i="25" s="1"/>
  <c r="I119" i="28"/>
  <c r="H119" i="28"/>
  <c r="J120" i="29"/>
  <c r="J121" i="19"/>
  <c r="G122" i="19"/>
  <c r="D123" i="19"/>
  <c r="E123" i="19" s="1"/>
  <c r="G121" i="29"/>
  <c r="D122" i="29"/>
  <c r="E122" i="29" s="1"/>
  <c r="F120" i="21"/>
  <c r="B120" i="21"/>
  <c r="H115" i="38"/>
  <c r="I115" i="38"/>
  <c r="I119" i="21"/>
  <c r="H119" i="21"/>
  <c r="H119" i="24"/>
  <c r="I119" i="24"/>
  <c r="B120" i="27"/>
  <c r="F120" i="27"/>
  <c r="F116" i="38"/>
  <c r="B116" i="38"/>
  <c r="J115" i="20"/>
  <c r="J122" i="3"/>
  <c r="B116" i="34"/>
  <c r="F116" i="34"/>
  <c r="H119" i="27"/>
  <c r="I119" i="27"/>
  <c r="B120" i="24"/>
  <c r="F120" i="24"/>
  <c r="I115" i="34"/>
  <c r="H115" i="34"/>
  <c r="G119" i="22"/>
  <c r="D120" i="22"/>
  <c r="E120" i="22" s="1"/>
  <c r="D125" i="23"/>
  <c r="G124" i="23"/>
  <c r="J123" i="23"/>
  <c r="J118" i="22"/>
  <c r="D124" i="3"/>
  <c r="E124" i="3" s="1"/>
  <c r="G123" i="3"/>
  <c r="G116" i="20"/>
  <c r="D117" i="20"/>
  <c r="F37" i="39" l="1"/>
  <c r="B37" i="39"/>
  <c r="G37" i="39"/>
  <c r="H37" i="39"/>
  <c r="I37" i="39" s="1"/>
  <c r="D121" i="28"/>
  <c r="E121" i="28" s="1"/>
  <c r="H38" i="24"/>
  <c r="H38" i="21"/>
  <c r="I38" i="21" s="1"/>
  <c r="I38" i="24"/>
  <c r="D39" i="24"/>
  <c r="E39" i="24"/>
  <c r="I34" i="29"/>
  <c r="J115" i="35"/>
  <c r="J118" i="26"/>
  <c r="G37" i="22"/>
  <c r="I37" i="22" s="1"/>
  <c r="J115" i="31"/>
  <c r="D117" i="13"/>
  <c r="G116" i="13"/>
  <c r="J119" i="28"/>
  <c r="J115" i="13"/>
  <c r="I33" i="35"/>
  <c r="I35" i="13"/>
  <c r="I47" i="20"/>
  <c r="G40" i="19"/>
  <c r="I40" i="19" s="1"/>
  <c r="J121" i="18"/>
  <c r="D41" i="18"/>
  <c r="E41" i="18"/>
  <c r="B49" i="20"/>
  <c r="H48" i="20"/>
  <c r="G48" i="20"/>
  <c r="E49" i="20"/>
  <c r="F49" i="20" s="1"/>
  <c r="D42" i="4"/>
  <c r="E42" i="4"/>
  <c r="H41" i="4"/>
  <c r="D43" i="3"/>
  <c r="E43" i="3"/>
  <c r="B38" i="28"/>
  <c r="F38" i="28"/>
  <c r="B38" i="27"/>
  <c r="F38" i="27"/>
  <c r="G41" i="4"/>
  <c r="H42" i="3"/>
  <c r="I42" i="3" s="1"/>
  <c r="B36" i="25"/>
  <c r="F36" i="25"/>
  <c r="G36" i="25" s="1"/>
  <c r="B37" i="26"/>
  <c r="F37" i="26"/>
  <c r="G37" i="26" s="1"/>
  <c r="B34" i="35"/>
  <c r="F34" i="35"/>
  <c r="D38" i="22"/>
  <c r="E38" i="22"/>
  <c r="D39" i="21"/>
  <c r="E39" i="21"/>
  <c r="F35" i="29"/>
  <c r="H35" i="29" s="1"/>
  <c r="F33" i="37"/>
  <c r="G33" i="37" s="1"/>
  <c r="B33" i="37"/>
  <c r="F38" i="23"/>
  <c r="B38" i="23"/>
  <c r="H40" i="18"/>
  <c r="B34" i="34"/>
  <c r="F34" i="34"/>
  <c r="G34" i="34" s="1"/>
  <c r="J122" i="4"/>
  <c r="F32" i="38"/>
  <c r="B32" i="38"/>
  <c r="B34" i="31"/>
  <c r="F34" i="31"/>
  <c r="G40" i="18"/>
  <c r="D41" i="19"/>
  <c r="E41" i="19"/>
  <c r="F36" i="13"/>
  <c r="H36" i="13" s="1"/>
  <c r="B36" i="13"/>
  <c r="D123" i="18"/>
  <c r="G122" i="18"/>
  <c r="G123" i="4"/>
  <c r="D124" i="4"/>
  <c r="B124" i="4" s="1"/>
  <c r="J115" i="38"/>
  <c r="F121" i="28"/>
  <c r="B121" i="28"/>
  <c r="G119" i="26"/>
  <c r="D120" i="26"/>
  <c r="G115" i="37"/>
  <c r="D116" i="37"/>
  <c r="E116" i="37"/>
  <c r="B119" i="25"/>
  <c r="F119" i="25"/>
  <c r="H118" i="25"/>
  <c r="I118" i="25"/>
  <c r="G116" i="35"/>
  <c r="D117" i="35"/>
  <c r="J114" i="37"/>
  <c r="H120" i="28"/>
  <c r="I120" i="28"/>
  <c r="D117" i="31"/>
  <c r="B117" i="31" s="1"/>
  <c r="G116" i="31"/>
  <c r="D121" i="21"/>
  <c r="E121" i="21" s="1"/>
  <c r="G120" i="21"/>
  <c r="D121" i="24"/>
  <c r="E121" i="24" s="1"/>
  <c r="G120" i="24"/>
  <c r="J119" i="27"/>
  <c r="J119" i="24"/>
  <c r="F122" i="29"/>
  <c r="J119" i="21"/>
  <c r="H121" i="29"/>
  <c r="I121" i="29"/>
  <c r="D117" i="34"/>
  <c r="G116" i="34"/>
  <c r="D117" i="38"/>
  <c r="E117" i="38" s="1"/>
  <c r="G116" i="38"/>
  <c r="F123" i="19"/>
  <c r="B123" i="19"/>
  <c r="J115" i="34"/>
  <c r="D121" i="27"/>
  <c r="G120" i="27"/>
  <c r="H122" i="19"/>
  <c r="I122" i="19"/>
  <c r="B117" i="20"/>
  <c r="H119" i="22"/>
  <c r="I119" i="22"/>
  <c r="F120" i="22"/>
  <c r="B120" i="22"/>
  <c r="I116" i="20"/>
  <c r="H116" i="20"/>
  <c r="H123" i="3"/>
  <c r="I123" i="3"/>
  <c r="I124" i="23"/>
  <c r="H124" i="23"/>
  <c r="E117" i="20"/>
  <c r="F117" i="20" s="1"/>
  <c r="B124" i="3"/>
  <c r="F124" i="3"/>
  <c r="E125" i="23"/>
  <c r="F125" i="23" s="1"/>
  <c r="D38" i="39" l="1"/>
  <c r="E38" i="39"/>
  <c r="F39" i="24"/>
  <c r="G39" i="24" s="1"/>
  <c r="B39" i="24"/>
  <c r="I116" i="13"/>
  <c r="H116" i="13"/>
  <c r="E117" i="13"/>
  <c r="F117" i="13" s="1"/>
  <c r="B117" i="13"/>
  <c r="G35" i="29"/>
  <c r="I35" i="29" s="1"/>
  <c r="H33" i="37"/>
  <c r="I33" i="37" s="1"/>
  <c r="I40" i="18"/>
  <c r="H36" i="25"/>
  <c r="I36" i="25" s="1"/>
  <c r="D35" i="31"/>
  <c r="E35" i="31"/>
  <c r="D35" i="34"/>
  <c r="E35" i="34"/>
  <c r="D39" i="23"/>
  <c r="E39" i="23"/>
  <c r="D39" i="28"/>
  <c r="E39" i="28" s="1"/>
  <c r="B39" i="21"/>
  <c r="F39" i="21"/>
  <c r="G39" i="21" s="1"/>
  <c r="D38" i="26"/>
  <c r="E38" i="26"/>
  <c r="F42" i="4"/>
  <c r="G42" i="4" s="1"/>
  <c r="B42" i="4"/>
  <c r="J120" i="28"/>
  <c r="D37" i="13"/>
  <c r="E37" i="13" s="1"/>
  <c r="G34" i="31"/>
  <c r="H38" i="28"/>
  <c r="H49" i="20"/>
  <c r="G49" i="20"/>
  <c r="E50" i="20"/>
  <c r="F50" i="20" s="1"/>
  <c r="B50" i="20"/>
  <c r="H34" i="34"/>
  <c r="I34" i="34" s="1"/>
  <c r="B38" i="22"/>
  <c r="F38" i="22"/>
  <c r="H37" i="26"/>
  <c r="I37" i="26" s="1"/>
  <c r="D39" i="27"/>
  <c r="E39" i="27"/>
  <c r="B41" i="19"/>
  <c r="F41" i="19"/>
  <c r="D33" i="38"/>
  <c r="E33" i="38"/>
  <c r="D34" i="37"/>
  <c r="E34" i="37"/>
  <c r="D35" i="35"/>
  <c r="E35" i="35"/>
  <c r="H38" i="27"/>
  <c r="B43" i="3"/>
  <c r="F43" i="3"/>
  <c r="H43" i="3" s="1"/>
  <c r="I48" i="20"/>
  <c r="H32" i="38"/>
  <c r="G38" i="23"/>
  <c r="I41" i="4"/>
  <c r="G32" i="38"/>
  <c r="H38" i="23"/>
  <c r="D36" i="29"/>
  <c r="E36" i="29"/>
  <c r="G34" i="35"/>
  <c r="G38" i="27"/>
  <c r="G36" i="13"/>
  <c r="I36" i="13" s="1"/>
  <c r="H34" i="31"/>
  <c r="H34" i="35"/>
  <c r="D37" i="25"/>
  <c r="E37" i="25"/>
  <c r="G38" i="28"/>
  <c r="F41" i="18"/>
  <c r="H41" i="18" s="1"/>
  <c r="B41" i="18"/>
  <c r="J121" i="29"/>
  <c r="E124" i="4"/>
  <c r="F124" i="4" s="1"/>
  <c r="H123" i="4"/>
  <c r="I123" i="4"/>
  <c r="I122" i="18"/>
  <c r="H122" i="18"/>
  <c r="E117" i="31"/>
  <c r="F117" i="31" s="1"/>
  <c r="D118" i="31" s="1"/>
  <c r="J118" i="25"/>
  <c r="E123" i="18"/>
  <c r="F123" i="18" s="1"/>
  <c r="B123" i="18"/>
  <c r="B116" i="37"/>
  <c r="F116" i="37"/>
  <c r="E117" i="35"/>
  <c r="F117" i="35" s="1"/>
  <c r="B117" i="35"/>
  <c r="I115" i="37"/>
  <c r="H115" i="37"/>
  <c r="I116" i="35"/>
  <c r="H116" i="35"/>
  <c r="E120" i="26"/>
  <c r="F120" i="26" s="1"/>
  <c r="B120" i="26"/>
  <c r="I119" i="26"/>
  <c r="H119" i="26"/>
  <c r="I116" i="31"/>
  <c r="H116" i="31"/>
  <c r="D120" i="25"/>
  <c r="G119" i="25"/>
  <c r="G121" i="28"/>
  <c r="D122" i="28"/>
  <c r="E122" i="28" s="1"/>
  <c r="J122" i="19"/>
  <c r="H120" i="24"/>
  <c r="I120" i="24"/>
  <c r="B117" i="34"/>
  <c r="F117" i="38"/>
  <c r="B117" i="38"/>
  <c r="F121" i="24"/>
  <c r="B121" i="24"/>
  <c r="B121" i="27"/>
  <c r="H116" i="38"/>
  <c r="I116" i="38"/>
  <c r="J124" i="23"/>
  <c r="G123" i="19"/>
  <c r="D124" i="19"/>
  <c r="E121" i="27"/>
  <c r="F121" i="27" s="1"/>
  <c r="E117" i="34"/>
  <c r="F117" i="34" s="1"/>
  <c r="G122" i="29"/>
  <c r="D123" i="29"/>
  <c r="E123" i="29" s="1"/>
  <c r="H120" i="21"/>
  <c r="I120" i="21"/>
  <c r="J123" i="3"/>
  <c r="J119" i="22"/>
  <c r="I120" i="27"/>
  <c r="H120" i="27"/>
  <c r="H116" i="34"/>
  <c r="I116" i="34"/>
  <c r="B121" i="21"/>
  <c r="F121" i="21"/>
  <c r="G125" i="23"/>
  <c r="D126" i="23"/>
  <c r="G117" i="20"/>
  <c r="D118" i="20"/>
  <c r="E118" i="20" s="1"/>
  <c r="G120" i="22"/>
  <c r="D121" i="22"/>
  <c r="E121" i="22" s="1"/>
  <c r="J116" i="20"/>
  <c r="G124" i="3"/>
  <c r="D125" i="3"/>
  <c r="E125" i="3" s="1"/>
  <c r="F38" i="39" l="1"/>
  <c r="D39" i="39"/>
  <c r="E39" i="39"/>
  <c r="B38" i="39"/>
  <c r="G38" i="39"/>
  <c r="H38" i="39"/>
  <c r="H39" i="24"/>
  <c r="I39" i="24" s="1"/>
  <c r="E40" i="24"/>
  <c r="D40" i="24"/>
  <c r="I34" i="31"/>
  <c r="G117" i="13"/>
  <c r="D118" i="13"/>
  <c r="B118" i="13" s="1"/>
  <c r="G117" i="31"/>
  <c r="I117" i="31" s="1"/>
  <c r="J116" i="13"/>
  <c r="I38" i="27"/>
  <c r="H42" i="4"/>
  <c r="I42" i="4" s="1"/>
  <c r="G43" i="3"/>
  <c r="I43" i="3" s="1"/>
  <c r="I32" i="38"/>
  <c r="D42" i="19"/>
  <c r="E42" i="19"/>
  <c r="D39" i="22"/>
  <c r="E39" i="22"/>
  <c r="I38" i="28"/>
  <c r="F39" i="28"/>
  <c r="G39" i="28" s="1"/>
  <c r="B39" i="28"/>
  <c r="H41" i="19"/>
  <c r="H38" i="22"/>
  <c r="B38" i="26"/>
  <c r="F38" i="26"/>
  <c r="B39" i="23"/>
  <c r="F39" i="23"/>
  <c r="G39" i="23" s="1"/>
  <c r="B35" i="35"/>
  <c r="F35" i="35"/>
  <c r="G35" i="35" s="1"/>
  <c r="G41" i="19"/>
  <c r="B37" i="13"/>
  <c r="F37" i="13"/>
  <c r="D40" i="21"/>
  <c r="E40" i="21"/>
  <c r="B35" i="34"/>
  <c r="F35" i="34"/>
  <c r="G35" i="34" s="1"/>
  <c r="D42" i="18"/>
  <c r="E42" i="18"/>
  <c r="F37" i="25"/>
  <c r="G37" i="25" s="1"/>
  <c r="B37" i="25"/>
  <c r="F36" i="29"/>
  <c r="G36" i="29" s="1"/>
  <c r="F34" i="37"/>
  <c r="H34" i="37" s="1"/>
  <c r="B34" i="37"/>
  <c r="B39" i="27"/>
  <c r="F39" i="27"/>
  <c r="B51" i="20"/>
  <c r="H50" i="20"/>
  <c r="G50" i="20"/>
  <c r="E51" i="20"/>
  <c r="F51" i="20" s="1"/>
  <c r="G41" i="18"/>
  <c r="I41" i="18" s="1"/>
  <c r="I34" i="35"/>
  <c r="I38" i="23"/>
  <c r="H39" i="21"/>
  <c r="I39" i="21" s="1"/>
  <c r="B35" i="31"/>
  <c r="F35" i="31"/>
  <c r="J123" i="4"/>
  <c r="D44" i="3"/>
  <c r="E44" i="3"/>
  <c r="B33" i="38"/>
  <c r="F33" i="38"/>
  <c r="G33" i="38" s="1"/>
  <c r="G38" i="22"/>
  <c r="I49" i="20"/>
  <c r="D43" i="4"/>
  <c r="E43" i="4"/>
  <c r="J116" i="38"/>
  <c r="J120" i="24"/>
  <c r="J122" i="18"/>
  <c r="G123" i="18"/>
  <c r="D124" i="18"/>
  <c r="E124" i="18" s="1"/>
  <c r="J116" i="35"/>
  <c r="D125" i="4"/>
  <c r="G124" i="4"/>
  <c r="D118" i="35"/>
  <c r="E118" i="35" s="1"/>
  <c r="G117" i="35"/>
  <c r="F122" i="28"/>
  <c r="B122" i="28"/>
  <c r="J119" i="26"/>
  <c r="H121" i="28"/>
  <c r="I121" i="28"/>
  <c r="J115" i="37"/>
  <c r="H119" i="25"/>
  <c r="I119" i="25"/>
  <c r="E118" i="31"/>
  <c r="F118" i="31" s="1"/>
  <c r="B118" i="31"/>
  <c r="E120" i="25"/>
  <c r="F120" i="25" s="1"/>
  <c r="B120" i="25"/>
  <c r="G120" i="26"/>
  <c r="D121" i="26"/>
  <c r="B121" i="26" s="1"/>
  <c r="J120" i="21"/>
  <c r="G116" i="37"/>
  <c r="D117" i="37"/>
  <c r="J116" i="31"/>
  <c r="J116" i="34"/>
  <c r="G121" i="27"/>
  <c r="D122" i="27"/>
  <c r="E122" i="27" s="1"/>
  <c r="G117" i="38"/>
  <c r="D118" i="38"/>
  <c r="E118" i="38" s="1"/>
  <c r="J120" i="27"/>
  <c r="F123" i="29"/>
  <c r="B124" i="19"/>
  <c r="G117" i="34"/>
  <c r="D118" i="34"/>
  <c r="E118" i="34" s="1"/>
  <c r="H122" i="29"/>
  <c r="I122" i="29"/>
  <c r="H123" i="19"/>
  <c r="I123" i="19"/>
  <c r="D122" i="24"/>
  <c r="E122" i="24" s="1"/>
  <c r="G121" i="24"/>
  <c r="D122" i="21"/>
  <c r="E122" i="21" s="1"/>
  <c r="G121" i="21"/>
  <c r="E124" i="19"/>
  <c r="F124" i="19" s="1"/>
  <c r="F121" i="22"/>
  <c r="B121" i="22"/>
  <c r="B125" i="3"/>
  <c r="F125" i="3"/>
  <c r="I120" i="22"/>
  <c r="H120" i="22"/>
  <c r="H125" i="23"/>
  <c r="I125" i="23"/>
  <c r="F118" i="20"/>
  <c r="B118" i="20"/>
  <c r="I117" i="20"/>
  <c r="H117" i="20"/>
  <c r="I124" i="3"/>
  <c r="H124" i="3"/>
  <c r="E126" i="23"/>
  <c r="F126" i="23" s="1"/>
  <c r="I38" i="39" l="1"/>
  <c r="F39" i="39"/>
  <c r="B39" i="39"/>
  <c r="G39" i="39"/>
  <c r="H117" i="31"/>
  <c r="B40" i="24"/>
  <c r="F40" i="24"/>
  <c r="H40" i="24" s="1"/>
  <c r="E118" i="13"/>
  <c r="F118" i="13" s="1"/>
  <c r="G118" i="13" s="1"/>
  <c r="H118" i="13" s="1"/>
  <c r="H39" i="23"/>
  <c r="I39" i="23" s="1"/>
  <c r="J119" i="25"/>
  <c r="I117" i="13"/>
  <c r="H117" i="13"/>
  <c r="G34" i="37"/>
  <c r="I34" i="37" s="1"/>
  <c r="H37" i="25"/>
  <c r="I37" i="25" s="1"/>
  <c r="H36" i="29"/>
  <c r="I36" i="29" s="1"/>
  <c r="F43" i="4"/>
  <c r="H43" i="4" s="1"/>
  <c r="B43" i="4"/>
  <c r="B44" i="3"/>
  <c r="F44" i="3"/>
  <c r="D38" i="13"/>
  <c r="E38" i="13" s="1"/>
  <c r="D39" i="26"/>
  <c r="E39" i="26"/>
  <c r="D40" i="27"/>
  <c r="E40" i="27"/>
  <c r="B42" i="18"/>
  <c r="F42" i="18"/>
  <c r="H37" i="13"/>
  <c r="D37" i="29"/>
  <c r="E37" i="29"/>
  <c r="D36" i="34"/>
  <c r="E36" i="34"/>
  <c r="G37" i="13"/>
  <c r="I38" i="22"/>
  <c r="D40" i="28"/>
  <c r="E40" i="28" s="1"/>
  <c r="D36" i="31"/>
  <c r="E36" i="31"/>
  <c r="H39" i="27"/>
  <c r="I41" i="19"/>
  <c r="D34" i="38"/>
  <c r="E34" i="38"/>
  <c r="G39" i="27"/>
  <c r="D40" i="23"/>
  <c r="E40" i="23"/>
  <c r="H35" i="31"/>
  <c r="H51" i="20"/>
  <c r="G51" i="20"/>
  <c r="E52" i="20"/>
  <c r="F52" i="20" s="1"/>
  <c r="B52" i="20"/>
  <c r="H35" i="34"/>
  <c r="I35" i="34" s="1"/>
  <c r="D36" i="35"/>
  <c r="E36" i="35"/>
  <c r="B39" i="22"/>
  <c r="F39" i="22"/>
  <c r="G39" i="22" s="1"/>
  <c r="H33" i="38"/>
  <c r="I33" i="38" s="1"/>
  <c r="G35" i="31"/>
  <c r="H38" i="26"/>
  <c r="J117" i="31"/>
  <c r="I50" i="20"/>
  <c r="D35" i="37"/>
  <c r="E35" i="37"/>
  <c r="D38" i="25"/>
  <c r="E38" i="25"/>
  <c r="F40" i="21"/>
  <c r="B40" i="21"/>
  <c r="H35" i="35"/>
  <c r="I35" i="35" s="1"/>
  <c r="G38" i="26"/>
  <c r="H39" i="28"/>
  <c r="I39" i="28" s="1"/>
  <c r="F42" i="19"/>
  <c r="G42" i="19" s="1"/>
  <c r="B42" i="19"/>
  <c r="E125" i="4"/>
  <c r="F125" i="4" s="1"/>
  <c r="B125" i="4"/>
  <c r="J125" i="23"/>
  <c r="H123" i="18"/>
  <c r="I123" i="18"/>
  <c r="F124" i="18"/>
  <c r="B124" i="18"/>
  <c r="J121" i="28"/>
  <c r="H124" i="4"/>
  <c r="I124" i="4"/>
  <c r="D121" i="25"/>
  <c r="E121" i="25" s="1"/>
  <c r="G120" i="25"/>
  <c r="H116" i="37"/>
  <c r="I116" i="37"/>
  <c r="G118" i="31"/>
  <c r="D119" i="31"/>
  <c r="E121" i="26"/>
  <c r="F121" i="26" s="1"/>
  <c r="I120" i="26"/>
  <c r="H120" i="26"/>
  <c r="G122" i="28"/>
  <c r="D123" i="28"/>
  <c r="H117" i="35"/>
  <c r="I117" i="35"/>
  <c r="E117" i="37"/>
  <c r="F117" i="37" s="1"/>
  <c r="B117" i="37"/>
  <c r="F118" i="35"/>
  <c r="B118" i="35"/>
  <c r="G124" i="19"/>
  <c r="D125" i="19"/>
  <c r="F118" i="34"/>
  <c r="B118" i="34"/>
  <c r="F118" i="38"/>
  <c r="B118" i="38"/>
  <c r="H121" i="24"/>
  <c r="I121" i="24"/>
  <c r="I117" i="34"/>
  <c r="H117" i="34"/>
  <c r="H117" i="38"/>
  <c r="I117" i="38"/>
  <c r="H121" i="21"/>
  <c r="I121" i="21"/>
  <c r="F122" i="24"/>
  <c r="B122" i="24"/>
  <c r="F122" i="21"/>
  <c r="B122" i="21"/>
  <c r="J123" i="19"/>
  <c r="B122" i="27"/>
  <c r="F122" i="27"/>
  <c r="G123" i="29"/>
  <c r="D124" i="29"/>
  <c r="J122" i="29"/>
  <c r="H121" i="27"/>
  <c r="I121" i="27"/>
  <c r="J120" i="22"/>
  <c r="J117" i="20"/>
  <c r="D122" i="22"/>
  <c r="G121" i="22"/>
  <c r="D126" i="3"/>
  <c r="E126" i="3" s="1"/>
  <c r="G125" i="3"/>
  <c r="J124" i="3"/>
  <c r="D127" i="23"/>
  <c r="G126" i="23"/>
  <c r="G118" i="20"/>
  <c r="D119" i="20"/>
  <c r="E119" i="20" s="1"/>
  <c r="D40" i="39" l="1"/>
  <c r="E40" i="39"/>
  <c r="H39" i="39"/>
  <c r="I39" i="39" s="1"/>
  <c r="G40" i="24"/>
  <c r="I40" i="24" s="1"/>
  <c r="D41" i="24"/>
  <c r="E41" i="24"/>
  <c r="I118" i="13"/>
  <c r="J118" i="13" s="1"/>
  <c r="D119" i="13"/>
  <c r="J121" i="27"/>
  <c r="J123" i="18"/>
  <c r="J116" i="37"/>
  <c r="J117" i="13"/>
  <c r="G43" i="4"/>
  <c r="I43" i="4" s="1"/>
  <c r="H39" i="22"/>
  <c r="I39" i="22" s="1"/>
  <c r="I39" i="27"/>
  <c r="J124" i="4"/>
  <c r="D41" i="21"/>
  <c r="E41" i="21"/>
  <c r="B36" i="35"/>
  <c r="F36" i="35"/>
  <c r="G36" i="35" s="1"/>
  <c r="D43" i="18"/>
  <c r="E43" i="18"/>
  <c r="D45" i="3"/>
  <c r="E45" i="3"/>
  <c r="D43" i="19"/>
  <c r="E43" i="19"/>
  <c r="H44" i="3"/>
  <c r="B38" i="25"/>
  <c r="F38" i="25"/>
  <c r="G38" i="25" s="1"/>
  <c r="F36" i="34"/>
  <c r="H36" i="34" s="1"/>
  <c r="B36" i="34"/>
  <c r="G44" i="3"/>
  <c r="E53" i="20"/>
  <c r="F53" i="20" s="1"/>
  <c r="G52" i="20"/>
  <c r="H52" i="20"/>
  <c r="B53" i="20"/>
  <c r="F40" i="27"/>
  <c r="H40" i="27" s="1"/>
  <c r="B40" i="27"/>
  <c r="B35" i="37"/>
  <c r="F35" i="37"/>
  <c r="H35" i="37" s="1"/>
  <c r="F40" i="23"/>
  <c r="B40" i="23"/>
  <c r="F36" i="31"/>
  <c r="H36" i="31" s="1"/>
  <c r="B36" i="31"/>
  <c r="F37" i="29"/>
  <c r="H37" i="29" s="1"/>
  <c r="D40" i="22"/>
  <c r="E40" i="22"/>
  <c r="I51" i="20"/>
  <c r="I37" i="13"/>
  <c r="F39" i="26"/>
  <c r="H39" i="26" s="1"/>
  <c r="B39" i="26"/>
  <c r="H40" i="21"/>
  <c r="I35" i="31"/>
  <c r="F40" i="28"/>
  <c r="B40" i="28"/>
  <c r="G42" i="18"/>
  <c r="H42" i="19"/>
  <c r="I42" i="19" s="1"/>
  <c r="G40" i="21"/>
  <c r="I38" i="26"/>
  <c r="F34" i="38"/>
  <c r="G34" i="38" s="1"/>
  <c r="B34" i="38"/>
  <c r="H42" i="18"/>
  <c r="F38" i="13"/>
  <c r="H38" i="13" s="1"/>
  <c r="B38" i="13"/>
  <c r="D44" i="4"/>
  <c r="E44" i="4"/>
  <c r="G124" i="18"/>
  <c r="D125" i="18"/>
  <c r="B125" i="18" s="1"/>
  <c r="G125" i="4"/>
  <c r="D126" i="4"/>
  <c r="J117" i="35"/>
  <c r="D118" i="37"/>
  <c r="G117" i="37"/>
  <c r="G121" i="26"/>
  <c r="D122" i="26"/>
  <c r="E119" i="31"/>
  <c r="F119" i="31" s="1"/>
  <c r="B119" i="31"/>
  <c r="I118" i="31"/>
  <c r="H118" i="31"/>
  <c r="E123" i="28"/>
  <c r="F123" i="28" s="1"/>
  <c r="B123" i="28"/>
  <c r="G118" i="35"/>
  <c r="D119" i="35"/>
  <c r="E119" i="35" s="1"/>
  <c r="H122" i="28"/>
  <c r="I122" i="28"/>
  <c r="H120" i="25"/>
  <c r="I120" i="25"/>
  <c r="J117" i="38"/>
  <c r="J120" i="26"/>
  <c r="B121" i="25"/>
  <c r="F121" i="25"/>
  <c r="J121" i="21"/>
  <c r="J121" i="24"/>
  <c r="D119" i="38"/>
  <c r="E119" i="38" s="1"/>
  <c r="G118" i="38"/>
  <c r="B125" i="19"/>
  <c r="G122" i="24"/>
  <c r="D123" i="24"/>
  <c r="J117" i="34"/>
  <c r="D119" i="34"/>
  <c r="E119" i="34" s="1"/>
  <c r="G118" i="34"/>
  <c r="H124" i="19"/>
  <c r="I124" i="19"/>
  <c r="E125" i="19"/>
  <c r="F125" i="19" s="1"/>
  <c r="H123" i="29"/>
  <c r="I123" i="29"/>
  <c r="G122" i="27"/>
  <c r="D123" i="27"/>
  <c r="G122" i="21"/>
  <c r="D123" i="21"/>
  <c r="E123" i="21" s="1"/>
  <c r="E124" i="29"/>
  <c r="F124" i="29" s="1"/>
  <c r="H125" i="3"/>
  <c r="I125" i="3"/>
  <c r="I121" i="22"/>
  <c r="H121" i="22"/>
  <c r="B126" i="3"/>
  <c r="F126" i="3"/>
  <c r="B122" i="22"/>
  <c r="B119" i="20"/>
  <c r="F119" i="20"/>
  <c r="H118" i="20"/>
  <c r="I118" i="20"/>
  <c r="H126" i="23"/>
  <c r="I126" i="23"/>
  <c r="E127" i="23"/>
  <c r="F127" i="23" s="1"/>
  <c r="E122" i="22"/>
  <c r="F122" i="22" s="1"/>
  <c r="B40" i="39" l="1"/>
  <c r="F40" i="39"/>
  <c r="G40" i="39"/>
  <c r="H40" i="39"/>
  <c r="I40" i="39" s="1"/>
  <c r="H36" i="35"/>
  <c r="I42" i="18"/>
  <c r="F41" i="24"/>
  <c r="H41" i="24" s="1"/>
  <c r="B41" i="24"/>
  <c r="E119" i="13"/>
  <c r="F119" i="13" s="1"/>
  <c r="B119" i="13"/>
  <c r="G37" i="29"/>
  <c r="I37" i="29" s="1"/>
  <c r="G36" i="34"/>
  <c r="I36" i="34" s="1"/>
  <c r="J118" i="31"/>
  <c r="J124" i="19"/>
  <c r="G39" i="26"/>
  <c r="I39" i="26" s="1"/>
  <c r="H34" i="38"/>
  <c r="I34" i="38" s="1"/>
  <c r="G35" i="37"/>
  <c r="I35" i="37" s="1"/>
  <c r="J126" i="23"/>
  <c r="G40" i="27"/>
  <c r="I40" i="27" s="1"/>
  <c r="D39" i="13"/>
  <c r="D41" i="28"/>
  <c r="E41" i="28" s="1"/>
  <c r="D37" i="31"/>
  <c r="E37" i="31"/>
  <c r="B54" i="20"/>
  <c r="G53" i="20"/>
  <c r="H53" i="20"/>
  <c r="E54" i="20"/>
  <c r="F54" i="20" s="1"/>
  <c r="D39" i="25"/>
  <c r="E39" i="25"/>
  <c r="B43" i="18"/>
  <c r="F43" i="18"/>
  <c r="H43" i="18" s="1"/>
  <c r="I40" i="21"/>
  <c r="B40" i="22"/>
  <c r="F40" i="22"/>
  <c r="D41" i="23"/>
  <c r="E41" i="23"/>
  <c r="I44" i="3"/>
  <c r="I36" i="35"/>
  <c r="G40" i="23"/>
  <c r="D37" i="35"/>
  <c r="E37" i="35"/>
  <c r="B44" i="4"/>
  <c r="F44" i="4"/>
  <c r="H44" i="4" s="1"/>
  <c r="D38" i="29"/>
  <c r="E38" i="29"/>
  <c r="H40" i="23"/>
  <c r="D41" i="27"/>
  <c r="E41" i="27"/>
  <c r="F43" i="19"/>
  <c r="H43" i="19" s="1"/>
  <c r="B43" i="19"/>
  <c r="G38" i="13"/>
  <c r="I38" i="13" s="1"/>
  <c r="D35" i="38"/>
  <c r="E35" i="38"/>
  <c r="H40" i="28"/>
  <c r="D40" i="26"/>
  <c r="E40" i="26"/>
  <c r="D36" i="37"/>
  <c r="E36" i="37"/>
  <c r="D37" i="34"/>
  <c r="E37" i="34"/>
  <c r="G40" i="28"/>
  <c r="G36" i="31"/>
  <c r="I36" i="31" s="1"/>
  <c r="I52" i="20"/>
  <c r="H38" i="25"/>
  <c r="I38" i="25" s="1"/>
  <c r="F45" i="3"/>
  <c r="H45" i="3" s="1"/>
  <c r="B45" i="3"/>
  <c r="F41" i="21"/>
  <c r="G41" i="21" s="1"/>
  <c r="B41" i="21"/>
  <c r="J123" i="29"/>
  <c r="E126" i="4"/>
  <c r="F126" i="4" s="1"/>
  <c r="B126" i="4"/>
  <c r="I125" i="4"/>
  <c r="H125" i="4"/>
  <c r="E125" i="18"/>
  <c r="F125" i="18" s="1"/>
  <c r="J120" i="25"/>
  <c r="I124" i="18"/>
  <c r="H124" i="18"/>
  <c r="J122" i="28"/>
  <c r="D122" i="25"/>
  <c r="E122" i="25" s="1"/>
  <c r="G121" i="25"/>
  <c r="F119" i="35"/>
  <c r="B119" i="35"/>
  <c r="G119" i="31"/>
  <c r="D120" i="31"/>
  <c r="B120" i="31" s="1"/>
  <c r="H118" i="35"/>
  <c r="I118" i="35"/>
  <c r="E122" i="26"/>
  <c r="F122" i="26" s="1"/>
  <c r="B122" i="26"/>
  <c r="D124" i="28"/>
  <c r="E124" i="28" s="1"/>
  <c r="G123" i="28"/>
  <c r="H121" i="26"/>
  <c r="I121" i="26"/>
  <c r="H117" i="37"/>
  <c r="I117" i="37"/>
  <c r="E118" i="37"/>
  <c r="F118" i="37" s="1"/>
  <c r="B118" i="37"/>
  <c r="H122" i="27"/>
  <c r="I122" i="27"/>
  <c r="I122" i="24"/>
  <c r="H122" i="24"/>
  <c r="G124" i="29"/>
  <c r="D125" i="29"/>
  <c r="D126" i="19"/>
  <c r="E126" i="19" s="1"/>
  <c r="G125" i="19"/>
  <c r="F119" i="38"/>
  <c r="B119" i="38"/>
  <c r="B123" i="27"/>
  <c r="H118" i="38"/>
  <c r="I118" i="38"/>
  <c r="I118" i="34"/>
  <c r="H118" i="34"/>
  <c r="F119" i="34"/>
  <c r="B119" i="34"/>
  <c r="H122" i="21"/>
  <c r="I122" i="21"/>
  <c r="B123" i="24"/>
  <c r="J118" i="20"/>
  <c r="J125" i="3"/>
  <c r="B123" i="21"/>
  <c r="F123" i="21"/>
  <c r="E123" i="27"/>
  <c r="F123" i="27" s="1"/>
  <c r="E123" i="24"/>
  <c r="F123" i="24" s="1"/>
  <c r="G122" i="22"/>
  <c r="D123" i="22"/>
  <c r="D128" i="23"/>
  <c r="G127" i="23"/>
  <c r="D120" i="20"/>
  <c r="E120" i="20" s="1"/>
  <c r="G119" i="20"/>
  <c r="D127" i="3"/>
  <c r="E127" i="3" s="1"/>
  <c r="G126" i="3"/>
  <c r="J121" i="22"/>
  <c r="D41" i="39" l="1"/>
  <c r="E41" i="39"/>
  <c r="I53" i="20"/>
  <c r="G41" i="24"/>
  <c r="I41" i="24" s="1"/>
  <c r="E42" i="24"/>
  <c r="D42" i="24"/>
  <c r="D120" i="13"/>
  <c r="G119" i="13"/>
  <c r="J118" i="35"/>
  <c r="H41" i="21"/>
  <c r="I41" i="21" s="1"/>
  <c r="I40" i="23"/>
  <c r="G45" i="3"/>
  <c r="I45" i="3" s="1"/>
  <c r="G43" i="18"/>
  <c r="I43" i="18" s="1"/>
  <c r="F41" i="27"/>
  <c r="G41" i="27" s="1"/>
  <c r="B41" i="27"/>
  <c r="F41" i="23"/>
  <c r="B41" i="23"/>
  <c r="B35" i="38"/>
  <c r="F35" i="38"/>
  <c r="G35" i="38" s="1"/>
  <c r="D41" i="22"/>
  <c r="E41" i="22"/>
  <c r="B37" i="31"/>
  <c r="F37" i="31"/>
  <c r="H37" i="31" s="1"/>
  <c r="B37" i="34"/>
  <c r="F37" i="34"/>
  <c r="G37" i="34" s="1"/>
  <c r="F37" i="35"/>
  <c r="G37" i="35" s="1"/>
  <c r="B37" i="35"/>
  <c r="F38" i="29"/>
  <c r="G38" i="29" s="1"/>
  <c r="G40" i="22"/>
  <c r="B39" i="25"/>
  <c r="F39" i="25"/>
  <c r="D42" i="21"/>
  <c r="E42" i="21"/>
  <c r="B36" i="37"/>
  <c r="F36" i="37"/>
  <c r="H36" i="37" s="1"/>
  <c r="H40" i="22"/>
  <c r="B55" i="20"/>
  <c r="G54" i="20"/>
  <c r="E55" i="20"/>
  <c r="F55" i="20" s="1"/>
  <c r="H54" i="20"/>
  <c r="B41" i="28"/>
  <c r="F41" i="28"/>
  <c r="D44" i="19"/>
  <c r="E44" i="19"/>
  <c r="D45" i="4"/>
  <c r="E45" i="4"/>
  <c r="B39" i="13"/>
  <c r="J121" i="26"/>
  <c r="F40" i="26"/>
  <c r="G40" i="26" s="1"/>
  <c r="B40" i="26"/>
  <c r="G43" i="19"/>
  <c r="I43" i="19" s="1"/>
  <c r="G44" i="4"/>
  <c r="I44" i="4" s="1"/>
  <c r="E39" i="13"/>
  <c r="F39" i="13" s="1"/>
  <c r="J122" i="27"/>
  <c r="D46" i="3"/>
  <c r="E46" i="3"/>
  <c r="I40" i="28"/>
  <c r="D44" i="18"/>
  <c r="E44" i="18"/>
  <c r="D126" i="18"/>
  <c r="E126" i="18" s="1"/>
  <c r="G125" i="18"/>
  <c r="J118" i="38"/>
  <c r="J117" i="37"/>
  <c r="J125" i="4"/>
  <c r="G126" i="4"/>
  <c r="D127" i="4"/>
  <c r="B127" i="4" s="1"/>
  <c r="J124" i="18"/>
  <c r="G118" i="37"/>
  <c r="D119" i="37"/>
  <c r="E119" i="37" s="1"/>
  <c r="I123" i="28"/>
  <c r="H123" i="28"/>
  <c r="H119" i="31"/>
  <c r="I119" i="31"/>
  <c r="F124" i="28"/>
  <c r="B124" i="28"/>
  <c r="E120" i="31"/>
  <c r="F120" i="31" s="1"/>
  <c r="G122" i="26"/>
  <c r="D123" i="26"/>
  <c r="B123" i="26" s="1"/>
  <c r="D120" i="35"/>
  <c r="B120" i="35" s="1"/>
  <c r="G119" i="35"/>
  <c r="I121" i="25"/>
  <c r="H121" i="25"/>
  <c r="B122" i="25"/>
  <c r="F122" i="25"/>
  <c r="J122" i="21"/>
  <c r="D124" i="24"/>
  <c r="E124" i="24" s="1"/>
  <c r="G123" i="24"/>
  <c r="G123" i="27"/>
  <c r="D124" i="27"/>
  <c r="E124" i="27" s="1"/>
  <c r="I124" i="29"/>
  <c r="H124" i="29"/>
  <c r="D120" i="38"/>
  <c r="G119" i="38"/>
  <c r="H125" i="19"/>
  <c r="I125" i="19"/>
  <c r="J122" i="24"/>
  <c r="J118" i="34"/>
  <c r="F126" i="19"/>
  <c r="B126" i="19"/>
  <c r="D124" i="21"/>
  <c r="E124" i="21" s="1"/>
  <c r="G123" i="21"/>
  <c r="D120" i="34"/>
  <c r="E120" i="34" s="1"/>
  <c r="G119" i="34"/>
  <c r="E125" i="29"/>
  <c r="F125" i="29" s="1"/>
  <c r="H119" i="20"/>
  <c r="I119" i="20"/>
  <c r="B123" i="22"/>
  <c r="F120" i="20"/>
  <c r="B120" i="20"/>
  <c r="H126" i="3"/>
  <c r="I126" i="3"/>
  <c r="I122" i="22"/>
  <c r="H122" i="22"/>
  <c r="E128" i="23"/>
  <c r="F128" i="23" s="1"/>
  <c r="B127" i="3"/>
  <c r="F127" i="3"/>
  <c r="I127" i="23"/>
  <c r="H127" i="23"/>
  <c r="E123" i="22"/>
  <c r="F123" i="22" s="1"/>
  <c r="F41" i="39" l="1"/>
  <c r="B41" i="39"/>
  <c r="G41" i="39"/>
  <c r="H41" i="39"/>
  <c r="I40" i="22"/>
  <c r="F42" i="24"/>
  <c r="G42" i="24" s="1"/>
  <c r="B42" i="24"/>
  <c r="H119" i="13"/>
  <c r="I119" i="13"/>
  <c r="E120" i="13"/>
  <c r="F120" i="13" s="1"/>
  <c r="B120" i="13"/>
  <c r="H37" i="35"/>
  <c r="I37" i="35" s="1"/>
  <c r="H40" i="26"/>
  <c r="I40" i="26" s="1"/>
  <c r="H41" i="27"/>
  <c r="I41" i="27" s="1"/>
  <c r="D40" i="13"/>
  <c r="E40" i="13" s="1"/>
  <c r="G39" i="13"/>
  <c r="H39" i="13"/>
  <c r="B56" i="20"/>
  <c r="G55" i="20"/>
  <c r="E56" i="20"/>
  <c r="F56" i="20" s="1"/>
  <c r="H55" i="20"/>
  <c r="H38" i="29"/>
  <c r="I38" i="29" s="1"/>
  <c r="F41" i="22"/>
  <c r="G41" i="22" s="1"/>
  <c r="B41" i="22"/>
  <c r="D42" i="23"/>
  <c r="E42" i="23"/>
  <c r="F44" i="19"/>
  <c r="H44" i="19" s="1"/>
  <c r="B44" i="19"/>
  <c r="D38" i="34"/>
  <c r="E38" i="34"/>
  <c r="B42" i="21"/>
  <c r="F42" i="21"/>
  <c r="G42" i="21" s="1"/>
  <c r="D36" i="38"/>
  <c r="E36" i="38"/>
  <c r="D39" i="29"/>
  <c r="E39" i="29"/>
  <c r="B44" i="18"/>
  <c r="F44" i="18"/>
  <c r="H44" i="18" s="1"/>
  <c r="D42" i="28"/>
  <c r="E42" i="28" s="1"/>
  <c r="D40" i="25"/>
  <c r="E40" i="25"/>
  <c r="H39" i="25"/>
  <c r="D38" i="31"/>
  <c r="E38" i="31"/>
  <c r="H35" i="38"/>
  <c r="I35" i="38" s="1"/>
  <c r="H41" i="28"/>
  <c r="D37" i="37"/>
  <c r="E37" i="37"/>
  <c r="G37" i="31"/>
  <c r="I37" i="31" s="1"/>
  <c r="G41" i="23"/>
  <c r="D42" i="27"/>
  <c r="E42" i="27"/>
  <c r="J119" i="20"/>
  <c r="D41" i="26"/>
  <c r="E41" i="26"/>
  <c r="G41" i="28"/>
  <c r="G36" i="37"/>
  <c r="I36" i="37" s="1"/>
  <c r="G39" i="25"/>
  <c r="D38" i="35"/>
  <c r="E38" i="35"/>
  <c r="H41" i="23"/>
  <c r="F46" i="3"/>
  <c r="H46" i="3" s="1"/>
  <c r="B46" i="3"/>
  <c r="F45" i="4"/>
  <c r="G45" i="4" s="1"/>
  <c r="B45" i="4"/>
  <c r="I54" i="20"/>
  <c r="H37" i="34"/>
  <c r="I37" i="34" s="1"/>
  <c r="E123" i="26"/>
  <c r="F123" i="26" s="1"/>
  <c r="D124" i="26" s="1"/>
  <c r="I126" i="4"/>
  <c r="H126" i="4"/>
  <c r="E120" i="35"/>
  <c r="F120" i="35" s="1"/>
  <c r="D121" i="35" s="1"/>
  <c r="H125" i="18"/>
  <c r="I125" i="18"/>
  <c r="J119" i="31"/>
  <c r="E127" i="4"/>
  <c r="F127" i="4" s="1"/>
  <c r="B126" i="18"/>
  <c r="F126" i="18"/>
  <c r="D125" i="28"/>
  <c r="G124" i="28"/>
  <c r="H119" i="35"/>
  <c r="I119" i="35"/>
  <c r="G122" i="25"/>
  <c r="D123" i="25"/>
  <c r="J123" i="28"/>
  <c r="I122" i="26"/>
  <c r="H122" i="26"/>
  <c r="D121" i="31"/>
  <c r="E121" i="31" s="1"/>
  <c r="G120" i="31"/>
  <c r="B119" i="37"/>
  <c r="F119" i="37"/>
  <c r="J121" i="25"/>
  <c r="H118" i="37"/>
  <c r="I118" i="37"/>
  <c r="H119" i="34"/>
  <c r="I119" i="34"/>
  <c r="G125" i="29"/>
  <c r="D126" i="29"/>
  <c r="E126" i="29" s="1"/>
  <c r="B120" i="34"/>
  <c r="F120" i="34"/>
  <c r="J125" i="19"/>
  <c r="B124" i="27"/>
  <c r="F124" i="27"/>
  <c r="J122" i="22"/>
  <c r="H119" i="38"/>
  <c r="I119" i="38"/>
  <c r="I123" i="27"/>
  <c r="H123" i="27"/>
  <c r="G126" i="19"/>
  <c r="D127" i="19"/>
  <c r="E127" i="19" s="1"/>
  <c r="B120" i="38"/>
  <c r="J127" i="23"/>
  <c r="I123" i="21"/>
  <c r="H123" i="21"/>
  <c r="E120" i="38"/>
  <c r="F120" i="38" s="1"/>
  <c r="J124" i="29"/>
  <c r="I123" i="24"/>
  <c r="H123" i="24"/>
  <c r="J126" i="3"/>
  <c r="F124" i="21"/>
  <c r="B124" i="21"/>
  <c r="F124" i="24"/>
  <c r="B124" i="24"/>
  <c r="D129" i="23"/>
  <c r="E129" i="23" s="1"/>
  <c r="G128" i="23"/>
  <c r="G123" i="22"/>
  <c r="D124" i="22"/>
  <c r="E124" i="22" s="1"/>
  <c r="G127" i="3"/>
  <c r="D128" i="3"/>
  <c r="E128" i="3" s="1"/>
  <c r="G120" i="20"/>
  <c r="D121" i="20"/>
  <c r="I41" i="39" l="1"/>
  <c r="D42" i="39"/>
  <c r="E42" i="39"/>
  <c r="J119" i="13"/>
  <c r="H42" i="24"/>
  <c r="I42" i="24" s="1"/>
  <c r="E43" i="24"/>
  <c r="D43" i="24"/>
  <c r="D121" i="13"/>
  <c r="G120" i="13"/>
  <c r="G120" i="35"/>
  <c r="H120" i="35" s="1"/>
  <c r="I55" i="20"/>
  <c r="I39" i="13"/>
  <c r="H41" i="22"/>
  <c r="I41" i="22" s="1"/>
  <c r="H45" i="4"/>
  <c r="I45" i="4" s="1"/>
  <c r="J125" i="18"/>
  <c r="G44" i="18"/>
  <c r="I44" i="18" s="1"/>
  <c r="H42" i="21"/>
  <c r="I42" i="21" s="1"/>
  <c r="G44" i="19"/>
  <c r="I44" i="19" s="1"/>
  <c r="I41" i="28"/>
  <c r="I41" i="23"/>
  <c r="D47" i="3"/>
  <c r="E47" i="3"/>
  <c r="B37" i="37"/>
  <c r="F37" i="37"/>
  <c r="G37" i="37" s="1"/>
  <c r="B41" i="26"/>
  <c r="F41" i="26"/>
  <c r="H41" i="26" s="1"/>
  <c r="F42" i="23"/>
  <c r="H42" i="23" s="1"/>
  <c r="B42" i="23"/>
  <c r="G56" i="20"/>
  <c r="B57" i="20"/>
  <c r="E57" i="20"/>
  <c r="F57" i="20" s="1"/>
  <c r="H56" i="20"/>
  <c r="J126" i="4"/>
  <c r="F40" i="25"/>
  <c r="G40" i="25" s="1"/>
  <c r="B40" i="25"/>
  <c r="F39" i="29"/>
  <c r="H39" i="29" s="1"/>
  <c r="B38" i="34"/>
  <c r="F38" i="34"/>
  <c r="H38" i="34" s="1"/>
  <c r="G123" i="26"/>
  <c r="I123" i="26" s="1"/>
  <c r="B38" i="35"/>
  <c r="F38" i="35"/>
  <c r="G38" i="35" s="1"/>
  <c r="B42" i="27"/>
  <c r="F42" i="27"/>
  <c r="D46" i="4"/>
  <c r="E46" i="4"/>
  <c r="F42" i="28"/>
  <c r="H42" i="28" s="1"/>
  <c r="B42" i="28"/>
  <c r="B36" i="38"/>
  <c r="F36" i="38"/>
  <c r="H36" i="38" s="1"/>
  <c r="D42" i="22"/>
  <c r="E42" i="22"/>
  <c r="G46" i="3"/>
  <c r="I46" i="3" s="1"/>
  <c r="B38" i="31"/>
  <c r="F38" i="31"/>
  <c r="G38" i="31" s="1"/>
  <c r="I39" i="25"/>
  <c r="D45" i="18"/>
  <c r="E45" i="18"/>
  <c r="D43" i="21"/>
  <c r="E43" i="21"/>
  <c r="D45" i="19"/>
  <c r="E45" i="19"/>
  <c r="B40" i="13"/>
  <c r="F40" i="13"/>
  <c r="G40" i="13" s="1"/>
  <c r="G127" i="4"/>
  <c r="D128" i="4"/>
  <c r="B128" i="4" s="1"/>
  <c r="E121" i="35"/>
  <c r="F121" i="35" s="1"/>
  <c r="J119" i="34"/>
  <c r="D127" i="18"/>
  <c r="E127" i="18" s="1"/>
  <c r="G126" i="18"/>
  <c r="J119" i="35"/>
  <c r="J122" i="26"/>
  <c r="H124" i="28"/>
  <c r="I124" i="28"/>
  <c r="D120" i="37"/>
  <c r="G119" i="37"/>
  <c r="B123" i="25"/>
  <c r="B125" i="28"/>
  <c r="I122" i="25"/>
  <c r="H122" i="25"/>
  <c r="E125" i="28"/>
  <c r="F125" i="28" s="1"/>
  <c r="I120" i="31"/>
  <c r="H120" i="31"/>
  <c r="E123" i="25"/>
  <c r="F123" i="25" s="1"/>
  <c r="B124" i="26"/>
  <c r="E124" i="26"/>
  <c r="F124" i="26" s="1"/>
  <c r="J118" i="37"/>
  <c r="F121" i="31"/>
  <c r="B121" i="31"/>
  <c r="B121" i="35"/>
  <c r="J123" i="21"/>
  <c r="J123" i="27"/>
  <c r="F126" i="29"/>
  <c r="I125" i="29"/>
  <c r="H125" i="29"/>
  <c r="H126" i="19"/>
  <c r="I126" i="19"/>
  <c r="D125" i="21"/>
  <c r="E125" i="21" s="1"/>
  <c r="G124" i="21"/>
  <c r="J119" i="38"/>
  <c r="G120" i="38"/>
  <c r="D121" i="38"/>
  <c r="D125" i="27"/>
  <c r="E125" i="27" s="1"/>
  <c r="G124" i="27"/>
  <c r="G120" i="34"/>
  <c r="D121" i="34"/>
  <c r="E121" i="34"/>
  <c r="J123" i="24"/>
  <c r="D125" i="24"/>
  <c r="E125" i="24" s="1"/>
  <c r="G124" i="24"/>
  <c r="B127" i="19"/>
  <c r="F127" i="19"/>
  <c r="I123" i="22"/>
  <c r="H123" i="22"/>
  <c r="F129" i="23"/>
  <c r="H128" i="23"/>
  <c r="I128" i="23"/>
  <c r="B121" i="20"/>
  <c r="I120" i="20"/>
  <c r="H120" i="20"/>
  <c r="H127" i="3"/>
  <c r="I127" i="3"/>
  <c r="E121" i="20"/>
  <c r="F121" i="20" s="1"/>
  <c r="B128" i="3"/>
  <c r="F128" i="3"/>
  <c r="B124" i="22"/>
  <c r="F124" i="22"/>
  <c r="F42" i="39" l="1"/>
  <c r="B42" i="39"/>
  <c r="G42" i="39"/>
  <c r="H42" i="39"/>
  <c r="I42" i="39" s="1"/>
  <c r="B43" i="24"/>
  <c r="F43" i="24"/>
  <c r="H43" i="24" s="1"/>
  <c r="I120" i="35"/>
  <c r="J120" i="35" s="1"/>
  <c r="H120" i="13"/>
  <c r="I120" i="13"/>
  <c r="E121" i="13"/>
  <c r="F121" i="13" s="1"/>
  <c r="B121" i="13"/>
  <c r="G41" i="26"/>
  <c r="I41" i="26" s="1"/>
  <c r="H123" i="26"/>
  <c r="J123" i="26" s="1"/>
  <c r="G42" i="28"/>
  <c r="I42" i="28" s="1"/>
  <c r="G38" i="34"/>
  <c r="I38" i="34" s="1"/>
  <c r="G39" i="29"/>
  <c r="I39" i="29" s="1"/>
  <c r="H38" i="31"/>
  <c r="I38" i="31" s="1"/>
  <c r="G36" i="38"/>
  <c r="I36" i="38" s="1"/>
  <c r="H40" i="13"/>
  <c r="I40" i="13" s="1"/>
  <c r="G42" i="23"/>
  <c r="I42" i="23" s="1"/>
  <c r="D43" i="27"/>
  <c r="E43" i="27"/>
  <c r="B42" i="22"/>
  <c r="F42" i="22"/>
  <c r="H42" i="27"/>
  <c r="D41" i="25"/>
  <c r="E41" i="25"/>
  <c r="E128" i="4"/>
  <c r="F128" i="4" s="1"/>
  <c r="G128" i="4" s="1"/>
  <c r="F45" i="19"/>
  <c r="H45" i="19" s="1"/>
  <c r="B45" i="19"/>
  <c r="D43" i="28"/>
  <c r="E43" i="28" s="1"/>
  <c r="D39" i="34"/>
  <c r="E39" i="34"/>
  <c r="H40" i="25"/>
  <c r="I40" i="25" s="1"/>
  <c r="D38" i="37"/>
  <c r="E38" i="37"/>
  <c r="D39" i="35"/>
  <c r="E39" i="35"/>
  <c r="E43" i="23"/>
  <c r="D43" i="23"/>
  <c r="F43" i="21"/>
  <c r="B43" i="21"/>
  <c r="F46" i="4"/>
  <c r="H46" i="4" s="1"/>
  <c r="B46" i="4"/>
  <c r="H38" i="35"/>
  <c r="I38" i="35" s="1"/>
  <c r="I56" i="20"/>
  <c r="H37" i="37"/>
  <c r="I37" i="37" s="1"/>
  <c r="D39" i="31"/>
  <c r="E39" i="31"/>
  <c r="D37" i="38"/>
  <c r="E37" i="38"/>
  <c r="D40" i="29"/>
  <c r="E40" i="29"/>
  <c r="E58" i="20"/>
  <c r="F58" i="20" s="1"/>
  <c r="B58" i="20"/>
  <c r="H57" i="20"/>
  <c r="G57" i="20"/>
  <c r="D41" i="13"/>
  <c r="B45" i="18"/>
  <c r="F45" i="18"/>
  <c r="G45" i="18" s="1"/>
  <c r="G42" i="27"/>
  <c r="D42" i="26"/>
  <c r="E42" i="26"/>
  <c r="B47" i="3"/>
  <c r="F47" i="3"/>
  <c r="G47" i="3" s="1"/>
  <c r="B127" i="18"/>
  <c r="F127" i="18"/>
  <c r="J124" i="28"/>
  <c r="H126" i="18"/>
  <c r="I126" i="18"/>
  <c r="J126" i="19"/>
  <c r="H127" i="4"/>
  <c r="I127" i="4"/>
  <c r="D126" i="28"/>
  <c r="E126" i="28" s="1"/>
  <c r="G125" i="28"/>
  <c r="G123" i="25"/>
  <c r="D124" i="25"/>
  <c r="G121" i="31"/>
  <c r="D122" i="31"/>
  <c r="J120" i="31"/>
  <c r="I119" i="37"/>
  <c r="H119" i="37"/>
  <c r="E120" i="37"/>
  <c r="F120" i="37" s="1"/>
  <c r="B120" i="37"/>
  <c r="G121" i="35"/>
  <c r="D122" i="35"/>
  <c r="J122" i="25"/>
  <c r="J127" i="3"/>
  <c r="J128" i="23"/>
  <c r="G124" i="26"/>
  <c r="D125" i="26"/>
  <c r="H124" i="24"/>
  <c r="I124" i="24"/>
  <c r="F121" i="34"/>
  <c r="B121" i="34"/>
  <c r="H120" i="38"/>
  <c r="I120" i="38"/>
  <c r="B121" i="38"/>
  <c r="B125" i="24"/>
  <c r="F125" i="24"/>
  <c r="H120" i="34"/>
  <c r="I120" i="34"/>
  <c r="E121" i="38"/>
  <c r="F121" i="38" s="1"/>
  <c r="I124" i="21"/>
  <c r="H124" i="21"/>
  <c r="F125" i="21"/>
  <c r="B125" i="21"/>
  <c r="J125" i="29"/>
  <c r="D128" i="19"/>
  <c r="E128" i="19" s="1"/>
  <c r="G127" i="19"/>
  <c r="H124" i="27"/>
  <c r="I124" i="27"/>
  <c r="F125" i="27"/>
  <c r="B125" i="27"/>
  <c r="D127" i="29"/>
  <c r="E127" i="29" s="1"/>
  <c r="G126" i="29"/>
  <c r="D122" i="20"/>
  <c r="E122" i="20" s="1"/>
  <c r="G121" i="20"/>
  <c r="D125" i="22"/>
  <c r="E125" i="22" s="1"/>
  <c r="G124" i="22"/>
  <c r="D129" i="3"/>
  <c r="G128" i="3"/>
  <c r="D130" i="23"/>
  <c r="G129" i="23"/>
  <c r="J120" i="20"/>
  <c r="J123" i="22"/>
  <c r="D43" i="39" l="1"/>
  <c r="E43" i="39"/>
  <c r="G46" i="4"/>
  <c r="J120" i="13"/>
  <c r="G43" i="24"/>
  <c r="I43" i="24" s="1"/>
  <c r="D44" i="24"/>
  <c r="E44" i="24"/>
  <c r="H45" i="18"/>
  <c r="I45" i="18" s="1"/>
  <c r="G121" i="13"/>
  <c r="D122" i="13"/>
  <c r="D129" i="4"/>
  <c r="B129" i="4" s="1"/>
  <c r="J124" i="27"/>
  <c r="I57" i="20"/>
  <c r="H47" i="3"/>
  <c r="I47" i="3" s="1"/>
  <c r="G45" i="19"/>
  <c r="I45" i="19" s="1"/>
  <c r="D44" i="21"/>
  <c r="E44" i="21"/>
  <c r="B41" i="13"/>
  <c r="F40" i="29"/>
  <c r="G40" i="29" s="1"/>
  <c r="F43" i="23"/>
  <c r="H43" i="23" s="1"/>
  <c r="B43" i="23"/>
  <c r="F39" i="34"/>
  <c r="H39" i="34" s="1"/>
  <c r="B39" i="34"/>
  <c r="E41" i="13"/>
  <c r="F41" i="13" s="1"/>
  <c r="B41" i="25"/>
  <c r="F41" i="25"/>
  <c r="G41" i="25" s="1"/>
  <c r="B42" i="26"/>
  <c r="F42" i="26"/>
  <c r="F37" i="38"/>
  <c r="B37" i="38"/>
  <c r="I46" i="4"/>
  <c r="F43" i="28"/>
  <c r="G43" i="28" s="1"/>
  <c r="B43" i="28"/>
  <c r="I42" i="27"/>
  <c r="D47" i="4"/>
  <c r="E47" i="4"/>
  <c r="F39" i="35"/>
  <c r="B39" i="35"/>
  <c r="D43" i="22"/>
  <c r="E43" i="22"/>
  <c r="B39" i="31"/>
  <c r="F39" i="31"/>
  <c r="G39" i="31" s="1"/>
  <c r="G43" i="21"/>
  <c r="J126" i="18"/>
  <c r="D46" i="18"/>
  <c r="E46" i="18"/>
  <c r="H43" i="21"/>
  <c r="B38" i="37"/>
  <c r="F38" i="37"/>
  <c r="G38" i="37" s="1"/>
  <c r="H42" i="22"/>
  <c r="D48" i="3"/>
  <c r="E48" i="3"/>
  <c r="G58" i="20"/>
  <c r="H58" i="20"/>
  <c r="E59" i="20"/>
  <c r="F59" i="20" s="1"/>
  <c r="B59" i="20"/>
  <c r="D46" i="19"/>
  <c r="E46" i="19"/>
  <c r="G42" i="22"/>
  <c r="B43" i="27"/>
  <c r="F43" i="27"/>
  <c r="G43" i="27" s="1"/>
  <c r="E129" i="4"/>
  <c r="J120" i="34"/>
  <c r="J120" i="38"/>
  <c r="H128" i="4"/>
  <c r="I128" i="4"/>
  <c r="J127" i="4"/>
  <c r="G127" i="18"/>
  <c r="D128" i="18"/>
  <c r="J124" i="24"/>
  <c r="E122" i="35"/>
  <c r="F122" i="35" s="1"/>
  <c r="B122" i="35"/>
  <c r="E122" i="31"/>
  <c r="F122" i="31" s="1"/>
  <c r="B122" i="31"/>
  <c r="H121" i="35"/>
  <c r="I121" i="35"/>
  <c r="I121" i="31"/>
  <c r="H121" i="31"/>
  <c r="B124" i="25"/>
  <c r="E125" i="26"/>
  <c r="F125" i="26" s="1"/>
  <c r="B125" i="26"/>
  <c r="G120" i="37"/>
  <c r="D121" i="37"/>
  <c r="B121" i="37" s="1"/>
  <c r="I123" i="25"/>
  <c r="H123" i="25"/>
  <c r="I124" i="26"/>
  <c r="H124" i="26"/>
  <c r="E124" i="25"/>
  <c r="F124" i="25" s="1"/>
  <c r="J119" i="37"/>
  <c r="I125" i="28"/>
  <c r="H125" i="28"/>
  <c r="B126" i="28"/>
  <c r="F126" i="28"/>
  <c r="H127" i="19"/>
  <c r="I127" i="19"/>
  <c r="J124" i="21"/>
  <c r="B128" i="19"/>
  <c r="F128" i="19"/>
  <c r="G121" i="38"/>
  <c r="D122" i="38"/>
  <c r="E122" i="38" s="1"/>
  <c r="F127" i="29"/>
  <c r="D126" i="24"/>
  <c r="G125" i="24"/>
  <c r="G125" i="27"/>
  <c r="D126" i="27"/>
  <c r="E126" i="27" s="1"/>
  <c r="H126" i="29"/>
  <c r="I126" i="29"/>
  <c r="D126" i="21"/>
  <c r="G125" i="21"/>
  <c r="D122" i="34"/>
  <c r="E122" i="34" s="1"/>
  <c r="G121" i="34"/>
  <c r="H128" i="3"/>
  <c r="I128" i="3"/>
  <c r="B129" i="3"/>
  <c r="H124" i="22"/>
  <c r="I124" i="22"/>
  <c r="E129" i="3"/>
  <c r="F129" i="3" s="1"/>
  <c r="E130" i="23"/>
  <c r="F130" i="23" s="1"/>
  <c r="F125" i="22"/>
  <c r="B125" i="22"/>
  <c r="H121" i="20"/>
  <c r="I121" i="20"/>
  <c r="H129" i="23"/>
  <c r="I129" i="23"/>
  <c r="F122" i="20"/>
  <c r="B122" i="20"/>
  <c r="B43" i="39" l="1"/>
  <c r="F43" i="39"/>
  <c r="G43" i="39" s="1"/>
  <c r="H43" i="39"/>
  <c r="F44" i="24"/>
  <c r="G44" i="24" s="1"/>
  <c r="B44" i="24"/>
  <c r="F129" i="4"/>
  <c r="D130" i="4" s="1"/>
  <c r="E122" i="13"/>
  <c r="F122" i="13" s="1"/>
  <c r="B122" i="13"/>
  <c r="I121" i="13"/>
  <c r="H121" i="13"/>
  <c r="J127" i="19"/>
  <c r="J128" i="3"/>
  <c r="H43" i="28"/>
  <c r="I43" i="28" s="1"/>
  <c r="I58" i="20"/>
  <c r="G39" i="34"/>
  <c r="I39" i="34" s="1"/>
  <c r="H41" i="25"/>
  <c r="I41" i="25" s="1"/>
  <c r="G43" i="23"/>
  <c r="I43" i="23" s="1"/>
  <c r="D42" i="13"/>
  <c r="H41" i="13"/>
  <c r="G41" i="13"/>
  <c r="B48" i="3"/>
  <c r="F48" i="3"/>
  <c r="B46" i="18"/>
  <c r="F46" i="18"/>
  <c r="B43" i="22"/>
  <c r="F43" i="22"/>
  <c r="H43" i="22" s="1"/>
  <c r="I42" i="22"/>
  <c r="D38" i="38"/>
  <c r="E38" i="38"/>
  <c r="B46" i="19"/>
  <c r="F46" i="19"/>
  <c r="H46" i="19" s="1"/>
  <c r="D40" i="35"/>
  <c r="E40" i="35"/>
  <c r="D43" i="26"/>
  <c r="E43" i="26"/>
  <c r="D39" i="37"/>
  <c r="E39" i="37"/>
  <c r="G39" i="35"/>
  <c r="H42" i="26"/>
  <c r="E44" i="23"/>
  <c r="D44" i="23"/>
  <c r="H59" i="20"/>
  <c r="E60" i="20"/>
  <c r="F60" i="20" s="1"/>
  <c r="B60" i="20"/>
  <c r="G59" i="20"/>
  <c r="D40" i="31"/>
  <c r="E40" i="31"/>
  <c r="H39" i="35"/>
  <c r="D44" i="28"/>
  <c r="E44" i="28" s="1"/>
  <c r="J125" i="28"/>
  <c r="D44" i="27"/>
  <c r="E44" i="27"/>
  <c r="H38" i="37"/>
  <c r="I38" i="37" s="1"/>
  <c r="G42" i="26"/>
  <c r="D41" i="29"/>
  <c r="E41" i="29"/>
  <c r="J128" i="4"/>
  <c r="H43" i="27"/>
  <c r="I43" i="27" s="1"/>
  <c r="I43" i="21"/>
  <c r="H39" i="31"/>
  <c r="I39" i="31" s="1"/>
  <c r="B47" i="4"/>
  <c r="F47" i="4"/>
  <c r="G47" i="4" s="1"/>
  <c r="G37" i="38"/>
  <c r="D42" i="25"/>
  <c r="E42" i="25"/>
  <c r="H40" i="29"/>
  <c r="I40" i="29" s="1"/>
  <c r="H37" i="38"/>
  <c r="D40" i="34"/>
  <c r="E40" i="34"/>
  <c r="B44" i="21"/>
  <c r="F44" i="21"/>
  <c r="G44" i="21" s="1"/>
  <c r="I127" i="18"/>
  <c r="H127" i="18"/>
  <c r="J121" i="35"/>
  <c r="E128" i="18"/>
  <c r="F128" i="18" s="1"/>
  <c r="B128" i="18"/>
  <c r="G124" i="25"/>
  <c r="D125" i="25"/>
  <c r="J124" i="22"/>
  <c r="I120" i="37"/>
  <c r="H120" i="37"/>
  <c r="D123" i="31"/>
  <c r="G122" i="31"/>
  <c r="G125" i="26"/>
  <c r="D126" i="26"/>
  <c r="J124" i="26"/>
  <c r="D127" i="28"/>
  <c r="G126" i="28"/>
  <c r="J123" i="25"/>
  <c r="D123" i="35"/>
  <c r="E123" i="35" s="1"/>
  <c r="G122" i="35"/>
  <c r="E121" i="37"/>
  <c r="F121" i="37" s="1"/>
  <c r="J121" i="31"/>
  <c r="J129" i="23"/>
  <c r="I125" i="21"/>
  <c r="H125" i="21"/>
  <c r="B126" i="21"/>
  <c r="D129" i="19"/>
  <c r="E129" i="19" s="1"/>
  <c r="G128" i="19"/>
  <c r="B126" i="24"/>
  <c r="B126" i="27"/>
  <c r="F126" i="27"/>
  <c r="H121" i="38"/>
  <c r="I121" i="38"/>
  <c r="F122" i="38"/>
  <c r="B122" i="38"/>
  <c r="I125" i="27"/>
  <c r="H125" i="27"/>
  <c r="H121" i="34"/>
  <c r="I121" i="34"/>
  <c r="B122" i="34"/>
  <c r="F122" i="34"/>
  <c r="E126" i="24"/>
  <c r="F126" i="24" s="1"/>
  <c r="E126" i="21"/>
  <c r="F126" i="21" s="1"/>
  <c r="J126" i="29"/>
  <c r="H125" i="24"/>
  <c r="I125" i="24"/>
  <c r="D128" i="29"/>
  <c r="E128" i="29" s="1"/>
  <c r="G127" i="29"/>
  <c r="G130" i="23"/>
  <c r="D131" i="23"/>
  <c r="G129" i="3"/>
  <c r="D130" i="3"/>
  <c r="E130" i="3" s="1"/>
  <c r="G125" i="22"/>
  <c r="D126" i="22"/>
  <c r="E126" i="22" s="1"/>
  <c r="D123" i="20"/>
  <c r="G122" i="20"/>
  <c r="J121" i="20"/>
  <c r="I43" i="39" l="1"/>
  <c r="D44" i="39"/>
  <c r="E44" i="39"/>
  <c r="G129" i="4"/>
  <c r="I129" i="4" s="1"/>
  <c r="H44" i="24"/>
  <c r="I44" i="24" s="1"/>
  <c r="D45" i="24"/>
  <c r="E45" i="24"/>
  <c r="J121" i="13"/>
  <c r="D123" i="13"/>
  <c r="G122" i="13"/>
  <c r="J121" i="34"/>
  <c r="J121" i="38"/>
  <c r="H47" i="4"/>
  <c r="I47" i="4" s="1"/>
  <c r="D45" i="21"/>
  <c r="E45" i="21"/>
  <c r="B42" i="25"/>
  <c r="F42" i="25"/>
  <c r="I42" i="26"/>
  <c r="D44" i="22"/>
  <c r="E44" i="22"/>
  <c r="D49" i="3"/>
  <c r="E49" i="3"/>
  <c r="B40" i="31"/>
  <c r="F40" i="31"/>
  <c r="D47" i="19"/>
  <c r="E47" i="19"/>
  <c r="G43" i="22"/>
  <c r="I43" i="22" s="1"/>
  <c r="H48" i="3"/>
  <c r="B44" i="27"/>
  <c r="F44" i="27"/>
  <c r="H44" i="27" s="1"/>
  <c r="B39" i="37"/>
  <c r="F39" i="37"/>
  <c r="H39" i="37" s="1"/>
  <c r="G46" i="19"/>
  <c r="I46" i="19" s="1"/>
  <c r="G48" i="3"/>
  <c r="B40" i="34"/>
  <c r="F40" i="34"/>
  <c r="D48" i="4"/>
  <c r="E48" i="4"/>
  <c r="B61" i="20"/>
  <c r="H60" i="20"/>
  <c r="G60" i="20"/>
  <c r="E61" i="20"/>
  <c r="F61" i="20" s="1"/>
  <c r="D47" i="18"/>
  <c r="E47" i="18"/>
  <c r="I37" i="38"/>
  <c r="I59" i="20"/>
  <c r="F43" i="26"/>
  <c r="G43" i="26" s="1"/>
  <c r="B43" i="26"/>
  <c r="H46" i="18"/>
  <c r="I41" i="13"/>
  <c r="J127" i="18"/>
  <c r="F44" i="28"/>
  <c r="G44" i="28" s="1"/>
  <c r="B44" i="28"/>
  <c r="B44" i="23"/>
  <c r="F44" i="23"/>
  <c r="H44" i="23" s="1"/>
  <c r="F38" i="38"/>
  <c r="G38" i="38" s="1"/>
  <c r="B38" i="38"/>
  <c r="G46" i="18"/>
  <c r="B42" i="13"/>
  <c r="H44" i="21"/>
  <c r="I44" i="21" s="1"/>
  <c r="F41" i="29"/>
  <c r="H41" i="29" s="1"/>
  <c r="I39" i="35"/>
  <c r="F40" i="35"/>
  <c r="H40" i="35" s="1"/>
  <c r="B40" i="35"/>
  <c r="E42" i="13"/>
  <c r="F42" i="13" s="1"/>
  <c r="B130" i="4"/>
  <c r="G128" i="18"/>
  <c r="D129" i="18"/>
  <c r="E130" i="4"/>
  <c r="F130" i="4" s="1"/>
  <c r="I125" i="26"/>
  <c r="H125" i="26"/>
  <c r="B123" i="35"/>
  <c r="F123" i="35"/>
  <c r="I122" i="31"/>
  <c r="H122" i="31"/>
  <c r="E123" i="31"/>
  <c r="F123" i="31" s="1"/>
  <c r="B123" i="31"/>
  <c r="H126" i="28"/>
  <c r="I126" i="28"/>
  <c r="E127" i="28"/>
  <c r="F127" i="28" s="1"/>
  <c r="B127" i="28"/>
  <c r="J120" i="37"/>
  <c r="G121" i="37"/>
  <c r="D122" i="37"/>
  <c r="B122" i="37" s="1"/>
  <c r="B126" i="26"/>
  <c r="E125" i="25"/>
  <c r="F125" i="25" s="1"/>
  <c r="B125" i="25"/>
  <c r="H122" i="35"/>
  <c r="I122" i="35"/>
  <c r="E126" i="26"/>
  <c r="F126" i="26" s="1"/>
  <c r="H124" i="25"/>
  <c r="I124" i="25"/>
  <c r="D127" i="21"/>
  <c r="E127" i="21" s="1"/>
  <c r="G126" i="21"/>
  <c r="D127" i="24"/>
  <c r="E127" i="24" s="1"/>
  <c r="G126" i="24"/>
  <c r="J125" i="21"/>
  <c r="F129" i="19"/>
  <c r="B129" i="19"/>
  <c r="D127" i="27"/>
  <c r="E127" i="27" s="1"/>
  <c r="G126" i="27"/>
  <c r="H127" i="29"/>
  <c r="I127" i="29"/>
  <c r="J125" i="27"/>
  <c r="I128" i="19"/>
  <c r="H128" i="19"/>
  <c r="F128" i="29"/>
  <c r="J125" i="24"/>
  <c r="D123" i="34"/>
  <c r="E123" i="34" s="1"/>
  <c r="G122" i="34"/>
  <c r="G122" i="38"/>
  <c r="D123" i="38"/>
  <c r="E123" i="38" s="1"/>
  <c r="I122" i="20"/>
  <c r="H122" i="20"/>
  <c r="B123" i="20"/>
  <c r="H129" i="3"/>
  <c r="I129" i="3"/>
  <c r="B130" i="3"/>
  <c r="F130" i="3"/>
  <c r="B126" i="22"/>
  <c r="F126" i="22"/>
  <c r="H125" i="22"/>
  <c r="I125" i="22"/>
  <c r="H130" i="23"/>
  <c r="I130" i="23"/>
  <c r="E123" i="20"/>
  <c r="F123" i="20" s="1"/>
  <c r="E131" i="23"/>
  <c r="F131" i="23" s="1"/>
  <c r="F44" i="39" l="1"/>
  <c r="B44" i="39"/>
  <c r="G44" i="39"/>
  <c r="H44" i="39"/>
  <c r="I44" i="39" s="1"/>
  <c r="H129" i="4"/>
  <c r="J129" i="4" s="1"/>
  <c r="J126" i="28"/>
  <c r="H44" i="28"/>
  <c r="I44" i="28" s="1"/>
  <c r="B45" i="24"/>
  <c r="F45" i="24"/>
  <c r="G45" i="24" s="1"/>
  <c r="H122" i="13"/>
  <c r="I122" i="13"/>
  <c r="E123" i="13"/>
  <c r="F123" i="13" s="1"/>
  <c r="B123" i="13"/>
  <c r="G39" i="37"/>
  <c r="I39" i="37" s="1"/>
  <c r="G40" i="35"/>
  <c r="I40" i="35" s="1"/>
  <c r="H38" i="38"/>
  <c r="I38" i="38" s="1"/>
  <c r="H43" i="26"/>
  <c r="I43" i="26" s="1"/>
  <c r="I60" i="20"/>
  <c r="D43" i="13"/>
  <c r="G42" i="13"/>
  <c r="H42" i="13"/>
  <c r="E45" i="23"/>
  <c r="D45" i="23"/>
  <c r="D41" i="31"/>
  <c r="E41" i="31"/>
  <c r="F48" i="4"/>
  <c r="G48" i="4" s="1"/>
  <c r="B48" i="4"/>
  <c r="D43" i="25"/>
  <c r="E43" i="25"/>
  <c r="G44" i="23"/>
  <c r="I44" i="23" s="1"/>
  <c r="I46" i="18"/>
  <c r="D41" i="34"/>
  <c r="E41" i="34"/>
  <c r="D40" i="37"/>
  <c r="E40" i="37"/>
  <c r="H40" i="31"/>
  <c r="F47" i="18"/>
  <c r="G47" i="18" s="1"/>
  <c r="B47" i="18"/>
  <c r="G40" i="31"/>
  <c r="H42" i="25"/>
  <c r="D42" i="29"/>
  <c r="E42" i="29"/>
  <c r="B62" i="20"/>
  <c r="G61" i="20"/>
  <c r="H61" i="20"/>
  <c r="E62" i="20"/>
  <c r="F62" i="20" s="1"/>
  <c r="H40" i="34"/>
  <c r="I48" i="3"/>
  <c r="G42" i="25"/>
  <c r="G41" i="29"/>
  <c r="I41" i="29" s="1"/>
  <c r="G40" i="34"/>
  <c r="D45" i="27"/>
  <c r="E45" i="27"/>
  <c r="B49" i="3"/>
  <c r="F49" i="3"/>
  <c r="E122" i="37"/>
  <c r="F122" i="37" s="1"/>
  <c r="D123" i="37" s="1"/>
  <c r="E123" i="37" s="1"/>
  <c r="D44" i="26"/>
  <c r="E44" i="26"/>
  <c r="F45" i="21"/>
  <c r="H45" i="21" s="1"/>
  <c r="B45" i="21"/>
  <c r="D41" i="35"/>
  <c r="E41" i="35"/>
  <c r="D39" i="38"/>
  <c r="E39" i="38"/>
  <c r="D45" i="28"/>
  <c r="E45" i="28" s="1"/>
  <c r="G44" i="27"/>
  <c r="I44" i="27" s="1"/>
  <c r="B47" i="19"/>
  <c r="F47" i="19"/>
  <c r="H47" i="19" s="1"/>
  <c r="B44" i="22"/>
  <c r="F44" i="22"/>
  <c r="D131" i="4"/>
  <c r="E131" i="4" s="1"/>
  <c r="G130" i="4"/>
  <c r="E129" i="18"/>
  <c r="F129" i="18" s="1"/>
  <c r="B129" i="18"/>
  <c r="H128" i="18"/>
  <c r="I128" i="18"/>
  <c r="J130" i="23"/>
  <c r="J124" i="25"/>
  <c r="G123" i="31"/>
  <c r="D124" i="31"/>
  <c r="E124" i="31"/>
  <c r="J129" i="3"/>
  <c r="I121" i="37"/>
  <c r="H121" i="37"/>
  <c r="G125" i="25"/>
  <c r="D126" i="25"/>
  <c r="J122" i="31"/>
  <c r="D128" i="28"/>
  <c r="E128" i="28"/>
  <c r="G127" i="28"/>
  <c r="G123" i="35"/>
  <c r="D124" i="35"/>
  <c r="E124" i="35" s="1"/>
  <c r="G126" i="26"/>
  <c r="D127" i="26"/>
  <c r="B127" i="26" s="1"/>
  <c r="J125" i="26"/>
  <c r="J122" i="35"/>
  <c r="J125" i="22"/>
  <c r="I122" i="34"/>
  <c r="H122" i="34"/>
  <c r="J127" i="29"/>
  <c r="H126" i="27"/>
  <c r="I126" i="27"/>
  <c r="B127" i="27"/>
  <c r="F127" i="27"/>
  <c r="I126" i="24"/>
  <c r="H126" i="24"/>
  <c r="G129" i="19"/>
  <c r="D130" i="19"/>
  <c r="E130" i="19" s="1"/>
  <c r="B127" i="24"/>
  <c r="F127" i="24"/>
  <c r="B123" i="34"/>
  <c r="F123" i="34"/>
  <c r="F123" i="38"/>
  <c r="B123" i="38"/>
  <c r="H126" i="21"/>
  <c r="I126" i="21"/>
  <c r="G128" i="29"/>
  <c r="D129" i="29"/>
  <c r="E129" i="29" s="1"/>
  <c r="H122" i="38"/>
  <c r="I122" i="38"/>
  <c r="J128" i="19"/>
  <c r="B127" i="21"/>
  <c r="F127" i="21"/>
  <c r="G123" i="20"/>
  <c r="D124" i="20"/>
  <c r="E124" i="20" s="1"/>
  <c r="G126" i="22"/>
  <c r="D127" i="22"/>
  <c r="E127" i="22" s="1"/>
  <c r="D132" i="23"/>
  <c r="G131" i="23"/>
  <c r="D131" i="3"/>
  <c r="E131" i="3" s="1"/>
  <c r="G130" i="3"/>
  <c r="J122" i="20"/>
  <c r="D45" i="39" l="1"/>
  <c r="E45" i="39"/>
  <c r="G122" i="37"/>
  <c r="H47" i="18"/>
  <c r="I47" i="18" s="1"/>
  <c r="H45" i="24"/>
  <c r="I45" i="24" s="1"/>
  <c r="D46" i="24"/>
  <c r="E46" i="24"/>
  <c r="J122" i="13"/>
  <c r="D124" i="13"/>
  <c r="G123" i="13"/>
  <c r="I42" i="13"/>
  <c r="I61" i="20"/>
  <c r="G45" i="21"/>
  <c r="I45" i="21" s="1"/>
  <c r="J128" i="18"/>
  <c r="I40" i="34"/>
  <c r="I40" i="31"/>
  <c r="B43" i="25"/>
  <c r="F43" i="25"/>
  <c r="G43" i="25" s="1"/>
  <c r="D48" i="19"/>
  <c r="E48" i="19"/>
  <c r="F41" i="35"/>
  <c r="B41" i="35"/>
  <c r="D50" i="3"/>
  <c r="E50" i="3" s="1"/>
  <c r="B45" i="23"/>
  <c r="F45" i="23"/>
  <c r="G45" i="23" s="1"/>
  <c r="G49" i="3"/>
  <c r="B40" i="37"/>
  <c r="F40" i="37"/>
  <c r="H40" i="37" s="1"/>
  <c r="D45" i="22"/>
  <c r="E45" i="22"/>
  <c r="H49" i="3"/>
  <c r="F42" i="29"/>
  <c r="D49" i="4"/>
  <c r="E49" i="4"/>
  <c r="G44" i="22"/>
  <c r="G62" i="20"/>
  <c r="H62" i="20"/>
  <c r="B63" i="20"/>
  <c r="E63" i="20"/>
  <c r="F63" i="20" s="1"/>
  <c r="I42" i="25"/>
  <c r="B41" i="34"/>
  <c r="F41" i="34"/>
  <c r="H41" i="34" s="1"/>
  <c r="H48" i="4"/>
  <c r="I48" i="4" s="1"/>
  <c r="H44" i="22"/>
  <c r="F45" i="28"/>
  <c r="H45" i="28" s="1"/>
  <c r="B45" i="28"/>
  <c r="D46" i="21"/>
  <c r="E46" i="21"/>
  <c r="D48" i="18"/>
  <c r="E48" i="18"/>
  <c r="B43" i="13"/>
  <c r="F45" i="27"/>
  <c r="B45" i="27"/>
  <c r="E43" i="13"/>
  <c r="F43" i="13" s="1"/>
  <c r="E127" i="26"/>
  <c r="F127" i="26" s="1"/>
  <c r="G47" i="19"/>
  <c r="I47" i="19" s="1"/>
  <c r="B39" i="38"/>
  <c r="F39" i="38"/>
  <c r="H39" i="38" s="1"/>
  <c r="B44" i="26"/>
  <c r="F44" i="26"/>
  <c r="G44" i="26" s="1"/>
  <c r="B41" i="31"/>
  <c r="F41" i="31"/>
  <c r="G129" i="18"/>
  <c r="D130" i="18"/>
  <c r="B130" i="18" s="1"/>
  <c r="I130" i="4"/>
  <c r="H130" i="4"/>
  <c r="J122" i="38"/>
  <c r="F131" i="4"/>
  <c r="B131" i="4"/>
  <c r="I126" i="26"/>
  <c r="H126" i="26"/>
  <c r="E126" i="25"/>
  <c r="F126" i="25" s="1"/>
  <c r="B126" i="25"/>
  <c r="H125" i="25"/>
  <c r="I125" i="25"/>
  <c r="B124" i="35"/>
  <c r="F124" i="35"/>
  <c r="J126" i="21"/>
  <c r="H122" i="37"/>
  <c r="I122" i="37"/>
  <c r="H123" i="35"/>
  <c r="I123" i="35"/>
  <c r="J121" i="37"/>
  <c r="I127" i="28"/>
  <c r="H127" i="28"/>
  <c r="B123" i="37"/>
  <c r="F123" i="37"/>
  <c r="B128" i="28"/>
  <c r="F128" i="28"/>
  <c r="B124" i="31"/>
  <c r="F124" i="31"/>
  <c r="H123" i="31"/>
  <c r="I123" i="31"/>
  <c r="J126" i="27"/>
  <c r="D124" i="34"/>
  <c r="E124" i="34" s="1"/>
  <c r="G123" i="34"/>
  <c r="G127" i="24"/>
  <c r="D128" i="24"/>
  <c r="E128" i="24" s="1"/>
  <c r="D124" i="38"/>
  <c r="E124" i="38" s="1"/>
  <c r="G123" i="38"/>
  <c r="F129" i="29"/>
  <c r="J122" i="34"/>
  <c r="I128" i="29"/>
  <c r="H128" i="29"/>
  <c r="B130" i="19"/>
  <c r="F130" i="19"/>
  <c r="J126" i="24"/>
  <c r="I129" i="19"/>
  <c r="H129" i="19"/>
  <c r="D128" i="27"/>
  <c r="E128" i="27" s="1"/>
  <c r="G127" i="27"/>
  <c r="G127" i="21"/>
  <c r="D128" i="21"/>
  <c r="E128" i="21" s="1"/>
  <c r="H126" i="22"/>
  <c r="I126" i="22"/>
  <c r="H131" i="23"/>
  <c r="I131" i="23"/>
  <c r="B127" i="22"/>
  <c r="F127" i="22"/>
  <c r="B124" i="20"/>
  <c r="F124" i="20"/>
  <c r="H130" i="3"/>
  <c r="I130" i="3"/>
  <c r="B131" i="3"/>
  <c r="F131" i="3"/>
  <c r="E132" i="23"/>
  <c r="F132" i="23" s="1"/>
  <c r="H123" i="20"/>
  <c r="I123" i="20"/>
  <c r="F45" i="39" l="1"/>
  <c r="D46" i="39" s="1"/>
  <c r="B45" i="39"/>
  <c r="G45" i="39"/>
  <c r="B46" i="24"/>
  <c r="F46" i="24"/>
  <c r="H46" i="24" s="1"/>
  <c r="H123" i="13"/>
  <c r="I123" i="13"/>
  <c r="J123" i="13" s="1"/>
  <c r="E124" i="13"/>
  <c r="F124" i="13" s="1"/>
  <c r="B124" i="13"/>
  <c r="J130" i="4"/>
  <c r="G45" i="28"/>
  <c r="I45" i="28" s="1"/>
  <c r="G41" i="34"/>
  <c r="I41" i="34" s="1"/>
  <c r="G39" i="38"/>
  <c r="I39" i="38" s="1"/>
  <c r="I62" i="20"/>
  <c r="D44" i="13"/>
  <c r="E44" i="13" s="1"/>
  <c r="H43" i="13"/>
  <c r="G43" i="13"/>
  <c r="D46" i="27"/>
  <c r="E46" i="27"/>
  <c r="F46" i="21"/>
  <c r="G46" i="21" s="1"/>
  <c r="B46" i="21"/>
  <c r="D42" i="35"/>
  <c r="E42" i="35"/>
  <c r="E130" i="18"/>
  <c r="F130" i="18" s="1"/>
  <c r="G130" i="18" s="1"/>
  <c r="D45" i="26"/>
  <c r="E45" i="26"/>
  <c r="G127" i="26"/>
  <c r="D128" i="26"/>
  <c r="F45" i="22"/>
  <c r="H45" i="22" s="1"/>
  <c r="B45" i="22"/>
  <c r="D46" i="23"/>
  <c r="E46" i="23"/>
  <c r="B48" i="19"/>
  <c r="F48" i="19"/>
  <c r="G48" i="19" s="1"/>
  <c r="J123" i="31"/>
  <c r="H44" i="26"/>
  <c r="I44" i="26" s="1"/>
  <c r="D46" i="28"/>
  <c r="E46" i="28" s="1"/>
  <c r="B49" i="4"/>
  <c r="F49" i="4"/>
  <c r="D41" i="37"/>
  <c r="E41" i="37"/>
  <c r="D42" i="31"/>
  <c r="E42" i="31"/>
  <c r="G63" i="20"/>
  <c r="B64" i="20"/>
  <c r="H63" i="20"/>
  <c r="E64" i="20"/>
  <c r="F64" i="20" s="1"/>
  <c r="D43" i="29"/>
  <c r="E43" i="29"/>
  <c r="B50" i="3"/>
  <c r="F50" i="3"/>
  <c r="H50" i="3" s="1"/>
  <c r="D44" i="25"/>
  <c r="E44" i="25"/>
  <c r="J127" i="28"/>
  <c r="H41" i="31"/>
  <c r="G45" i="27"/>
  <c r="I44" i="22"/>
  <c r="G42" i="29"/>
  <c r="G40" i="37"/>
  <c r="I40" i="37" s="1"/>
  <c r="H41" i="35"/>
  <c r="H43" i="25"/>
  <c r="I43" i="25" s="1"/>
  <c r="D40" i="38"/>
  <c r="E40" i="38"/>
  <c r="H45" i="27"/>
  <c r="I45" i="27" s="1"/>
  <c r="B48" i="18"/>
  <c r="F48" i="18"/>
  <c r="H42" i="29"/>
  <c r="J130" i="3"/>
  <c r="J123" i="35"/>
  <c r="G41" i="31"/>
  <c r="D42" i="34"/>
  <c r="E42" i="34"/>
  <c r="I49" i="3"/>
  <c r="H45" i="23"/>
  <c r="I45" i="23" s="1"/>
  <c r="G41" i="35"/>
  <c r="J125" i="25"/>
  <c r="D132" i="4"/>
  <c r="G131" i="4"/>
  <c r="J122" i="37"/>
  <c r="I129" i="18"/>
  <c r="H129" i="18"/>
  <c r="G124" i="31"/>
  <c r="D125" i="31"/>
  <c r="G128" i="28"/>
  <c r="D129" i="28"/>
  <c r="E129" i="28" s="1"/>
  <c r="D127" i="25"/>
  <c r="E127" i="25" s="1"/>
  <c r="G126" i="25"/>
  <c r="G123" i="37"/>
  <c r="D124" i="37"/>
  <c r="D125" i="35"/>
  <c r="G124" i="35"/>
  <c r="J126" i="26"/>
  <c r="J129" i="19"/>
  <c r="J128" i="29"/>
  <c r="H123" i="34"/>
  <c r="I123" i="34"/>
  <c r="H123" i="38"/>
  <c r="I123" i="38"/>
  <c r="F124" i="34"/>
  <c r="B124" i="34"/>
  <c r="B124" i="38"/>
  <c r="F124" i="38"/>
  <c r="I127" i="27"/>
  <c r="H127" i="27"/>
  <c r="G129" i="29"/>
  <c r="D130" i="29"/>
  <c r="B128" i="21"/>
  <c r="F128" i="21"/>
  <c r="F128" i="27"/>
  <c r="B128" i="27"/>
  <c r="G130" i="19"/>
  <c r="D131" i="19"/>
  <c r="F128" i="24"/>
  <c r="B128" i="24"/>
  <c r="J131" i="23"/>
  <c r="H127" i="21"/>
  <c r="I127" i="21"/>
  <c r="I127" i="24"/>
  <c r="H127" i="24"/>
  <c r="G131" i="3"/>
  <c r="D132" i="3"/>
  <c r="J123" i="20"/>
  <c r="G132" i="23"/>
  <c r="D133" i="23"/>
  <c r="E133" i="23" s="1"/>
  <c r="D128" i="22"/>
  <c r="G127" i="22"/>
  <c r="D125" i="20"/>
  <c r="E125" i="20" s="1"/>
  <c r="G124" i="20"/>
  <c r="J126" i="22"/>
  <c r="E46" i="39" l="1"/>
  <c r="F46" i="39" s="1"/>
  <c r="G46" i="39" s="1"/>
  <c r="H45" i="39"/>
  <c r="I45" i="39" s="1"/>
  <c r="D47" i="39"/>
  <c r="E47" i="39"/>
  <c r="B46" i="39"/>
  <c r="H46" i="39"/>
  <c r="G46" i="24"/>
  <c r="I46" i="24" s="1"/>
  <c r="E47" i="24"/>
  <c r="D47" i="24"/>
  <c r="D131" i="18"/>
  <c r="B131" i="18" s="1"/>
  <c r="G124" i="13"/>
  <c r="D125" i="13"/>
  <c r="B125" i="13" s="1"/>
  <c r="I41" i="35"/>
  <c r="G45" i="22"/>
  <c r="I45" i="22" s="1"/>
  <c r="I63" i="20"/>
  <c r="D49" i="18"/>
  <c r="E49" i="18"/>
  <c r="B44" i="25"/>
  <c r="F44" i="25"/>
  <c r="G44" i="25" s="1"/>
  <c r="B42" i="31"/>
  <c r="F42" i="31"/>
  <c r="F46" i="28"/>
  <c r="G46" i="28" s="1"/>
  <c r="B46" i="28"/>
  <c r="I127" i="26"/>
  <c r="H127" i="26"/>
  <c r="H48" i="18"/>
  <c r="D47" i="21"/>
  <c r="E47" i="21"/>
  <c r="D51" i="3"/>
  <c r="E51" i="3"/>
  <c r="F41" i="37"/>
  <c r="G41" i="37" s="1"/>
  <c r="B41" i="37"/>
  <c r="F46" i="23"/>
  <c r="G46" i="23" s="1"/>
  <c r="B46" i="23"/>
  <c r="B45" i="26"/>
  <c r="F45" i="26"/>
  <c r="H45" i="26" s="1"/>
  <c r="F42" i="34"/>
  <c r="H42" i="34" s="1"/>
  <c r="B42" i="34"/>
  <c r="G48" i="18"/>
  <c r="G50" i="3"/>
  <c r="I50" i="3" s="1"/>
  <c r="D50" i="4"/>
  <c r="E50" i="4"/>
  <c r="B46" i="27"/>
  <c r="F46" i="27"/>
  <c r="D49" i="19"/>
  <c r="E49" i="19"/>
  <c r="I41" i="31"/>
  <c r="G49" i="4"/>
  <c r="H48" i="19"/>
  <c r="I48" i="19" s="1"/>
  <c r="B42" i="35"/>
  <c r="F42" i="35"/>
  <c r="G42" i="35" s="1"/>
  <c r="I43" i="13"/>
  <c r="F40" i="38"/>
  <c r="H40" i="38" s="1"/>
  <c r="B40" i="38"/>
  <c r="F43" i="29"/>
  <c r="H43" i="29" s="1"/>
  <c r="H49" i="4"/>
  <c r="D46" i="22"/>
  <c r="E46" i="22"/>
  <c r="H46" i="21"/>
  <c r="I46" i="21" s="1"/>
  <c r="I42" i="29"/>
  <c r="E65" i="20"/>
  <c r="F65" i="20" s="1"/>
  <c r="B65" i="20"/>
  <c r="G64" i="20"/>
  <c r="H64" i="20"/>
  <c r="B128" i="26"/>
  <c r="E128" i="26"/>
  <c r="F128" i="26" s="1"/>
  <c r="B44" i="13"/>
  <c r="F44" i="13"/>
  <c r="G44" i="13" s="1"/>
  <c r="H130" i="18"/>
  <c r="I130" i="18"/>
  <c r="E131" i="18"/>
  <c r="J129" i="18"/>
  <c r="J127" i="21"/>
  <c r="H131" i="4"/>
  <c r="I131" i="4"/>
  <c r="E132" i="4"/>
  <c r="F132" i="4" s="1"/>
  <c r="B132" i="4"/>
  <c r="I126" i="25"/>
  <c r="H126" i="25"/>
  <c r="B127" i="25"/>
  <c r="F127" i="25"/>
  <c r="I124" i="35"/>
  <c r="H124" i="35"/>
  <c r="F129" i="28"/>
  <c r="B129" i="28"/>
  <c r="E125" i="35"/>
  <c r="F125" i="35" s="1"/>
  <c r="B125" i="35"/>
  <c r="I128" i="28"/>
  <c r="H128" i="28"/>
  <c r="E124" i="37"/>
  <c r="F124" i="37" s="1"/>
  <c r="B124" i="37"/>
  <c r="E125" i="31"/>
  <c r="F125" i="31" s="1"/>
  <c r="B125" i="31"/>
  <c r="J123" i="38"/>
  <c r="H123" i="37"/>
  <c r="I123" i="37"/>
  <c r="I124" i="31"/>
  <c r="H124" i="31"/>
  <c r="J127" i="27"/>
  <c r="I129" i="29"/>
  <c r="H129" i="29"/>
  <c r="G128" i="21"/>
  <c r="D129" i="21"/>
  <c r="E129" i="21" s="1"/>
  <c r="G124" i="34"/>
  <c r="D125" i="34"/>
  <c r="E125" i="34" s="1"/>
  <c r="B131" i="19"/>
  <c r="H130" i="19"/>
  <c r="I130" i="19"/>
  <c r="J127" i="24"/>
  <c r="E131" i="19"/>
  <c r="F131" i="19" s="1"/>
  <c r="D125" i="38"/>
  <c r="E125" i="38" s="1"/>
  <c r="G124" i="38"/>
  <c r="J123" i="34"/>
  <c r="D129" i="24"/>
  <c r="E129" i="24" s="1"/>
  <c r="G128" i="24"/>
  <c r="G128" i="27"/>
  <c r="D129" i="27"/>
  <c r="E129" i="27" s="1"/>
  <c r="E130" i="29"/>
  <c r="F130" i="29" s="1"/>
  <c r="B128" i="22"/>
  <c r="F133" i="23"/>
  <c r="H124" i="20"/>
  <c r="I124" i="20"/>
  <c r="H132" i="23"/>
  <c r="I132" i="23"/>
  <c r="B132" i="3"/>
  <c r="I127" i="22"/>
  <c r="H127" i="22"/>
  <c r="E128" i="22"/>
  <c r="F128" i="22" s="1"/>
  <c r="H131" i="3"/>
  <c r="I131" i="3"/>
  <c r="F125" i="20"/>
  <c r="B125" i="20"/>
  <c r="E132" i="3"/>
  <c r="F132" i="3" s="1"/>
  <c r="I46" i="39" l="1"/>
  <c r="F47" i="39"/>
  <c r="H47" i="39" s="1"/>
  <c r="B47" i="39"/>
  <c r="G47" i="39"/>
  <c r="H46" i="28"/>
  <c r="F131" i="18"/>
  <c r="G131" i="18" s="1"/>
  <c r="E125" i="13"/>
  <c r="F125" i="13" s="1"/>
  <c r="D126" i="13" s="1"/>
  <c r="E126" i="13" s="1"/>
  <c r="B47" i="24"/>
  <c r="F47" i="24"/>
  <c r="G47" i="24" s="1"/>
  <c r="G45" i="26"/>
  <c r="I45" i="26" s="1"/>
  <c r="J131" i="3"/>
  <c r="H124" i="13"/>
  <c r="I124" i="13"/>
  <c r="J127" i="26"/>
  <c r="J132" i="23"/>
  <c r="H44" i="13"/>
  <c r="I44" i="13" s="1"/>
  <c r="I64" i="20"/>
  <c r="I49" i="4"/>
  <c r="G40" i="38"/>
  <c r="I40" i="38" s="1"/>
  <c r="G42" i="34"/>
  <c r="I42" i="34" s="1"/>
  <c r="H46" i="23"/>
  <c r="I46" i="23" s="1"/>
  <c r="J130" i="18"/>
  <c r="H42" i="35"/>
  <c r="I42" i="35" s="1"/>
  <c r="G65" i="20"/>
  <c r="E66" i="20"/>
  <c r="F66" i="20" s="1"/>
  <c r="B66" i="20"/>
  <c r="H65" i="20"/>
  <c r="D43" i="31"/>
  <c r="E43" i="31"/>
  <c r="D44" i="29"/>
  <c r="E44" i="29"/>
  <c r="D42" i="37"/>
  <c r="E42" i="37"/>
  <c r="D47" i="27"/>
  <c r="E47" i="27"/>
  <c r="D129" i="26"/>
  <c r="G128" i="26"/>
  <c r="H46" i="27"/>
  <c r="B51" i="3"/>
  <c r="F51" i="3"/>
  <c r="H51" i="3" s="1"/>
  <c r="I46" i="28"/>
  <c r="D45" i="25"/>
  <c r="E45" i="25"/>
  <c r="F46" i="22"/>
  <c r="H46" i="22" s="1"/>
  <c r="B46" i="22"/>
  <c r="G46" i="27"/>
  <c r="H44" i="25"/>
  <c r="I44" i="25" s="1"/>
  <c r="D41" i="38"/>
  <c r="E41" i="38"/>
  <c r="D43" i="34"/>
  <c r="E43" i="34"/>
  <c r="D47" i="23"/>
  <c r="E47" i="23"/>
  <c r="B47" i="21"/>
  <c r="F47" i="21"/>
  <c r="G47" i="21" s="1"/>
  <c r="D47" i="28"/>
  <c r="E47" i="28" s="1"/>
  <c r="J123" i="37"/>
  <c r="G42" i="31"/>
  <c r="D45" i="13"/>
  <c r="E45" i="13" s="1"/>
  <c r="G43" i="29"/>
  <c r="I43" i="29" s="1"/>
  <c r="D43" i="35"/>
  <c r="E43" i="35"/>
  <c r="F49" i="19"/>
  <c r="H49" i="19" s="1"/>
  <c r="B49" i="19"/>
  <c r="F50" i="4"/>
  <c r="G50" i="4" s="1"/>
  <c r="B50" i="4"/>
  <c r="D46" i="26"/>
  <c r="E46" i="26"/>
  <c r="H41" i="37"/>
  <c r="I41" i="37" s="1"/>
  <c r="I48" i="18"/>
  <c r="H42" i="31"/>
  <c r="F49" i="18"/>
  <c r="H49" i="18" s="1"/>
  <c r="B49" i="18"/>
  <c r="D133" i="4"/>
  <c r="G132" i="4"/>
  <c r="J130" i="19"/>
  <c r="J131" i="4"/>
  <c r="J124" i="31"/>
  <c r="G124" i="37"/>
  <c r="D125" i="37"/>
  <c r="D130" i="28"/>
  <c r="G129" i="28"/>
  <c r="J124" i="35"/>
  <c r="J128" i="28"/>
  <c r="G127" i="25"/>
  <c r="D128" i="25"/>
  <c r="B128" i="25" s="1"/>
  <c r="D126" i="35"/>
  <c r="E126" i="35" s="1"/>
  <c r="G125" i="35"/>
  <c r="G125" i="31"/>
  <c r="D126" i="31"/>
  <c r="J126" i="25"/>
  <c r="J124" i="20"/>
  <c r="D131" i="29"/>
  <c r="E131" i="29" s="1"/>
  <c r="G130" i="29"/>
  <c r="J129" i="29"/>
  <c r="F129" i="27"/>
  <c r="B129" i="27"/>
  <c r="H128" i="27"/>
  <c r="I128" i="27"/>
  <c r="I128" i="24"/>
  <c r="H128" i="24"/>
  <c r="H124" i="38"/>
  <c r="I124" i="38"/>
  <c r="I124" i="34"/>
  <c r="H124" i="34"/>
  <c r="B129" i="24"/>
  <c r="F129" i="24"/>
  <c r="B125" i="38"/>
  <c r="F125" i="38"/>
  <c r="B129" i="21"/>
  <c r="F129" i="21"/>
  <c r="D132" i="19"/>
  <c r="E132" i="19" s="1"/>
  <c r="G131" i="19"/>
  <c r="B125" i="34"/>
  <c r="F125" i="34"/>
  <c r="I128" i="21"/>
  <c r="H128" i="21"/>
  <c r="G128" i="22"/>
  <c r="D129" i="22"/>
  <c r="E129" i="22" s="1"/>
  <c r="D134" i="23"/>
  <c r="G133" i="23"/>
  <c r="J127" i="22"/>
  <c r="G125" i="20"/>
  <c r="D126" i="20"/>
  <c r="D133" i="3"/>
  <c r="E133" i="3" s="1"/>
  <c r="G132" i="3"/>
  <c r="I47" i="39" l="1"/>
  <c r="D48" i="39"/>
  <c r="E48" i="39"/>
  <c r="B126" i="13"/>
  <c r="F126" i="13"/>
  <c r="G125" i="13"/>
  <c r="H125" i="13" s="1"/>
  <c r="D132" i="18"/>
  <c r="E132" i="18" s="1"/>
  <c r="I42" i="31"/>
  <c r="H47" i="24"/>
  <c r="I47" i="24" s="1"/>
  <c r="D48" i="24"/>
  <c r="E48" i="24"/>
  <c r="J124" i="13"/>
  <c r="J128" i="27"/>
  <c r="H50" i="4"/>
  <c r="I50" i="4" s="1"/>
  <c r="I65" i="20"/>
  <c r="G46" i="22"/>
  <c r="I46" i="22" s="1"/>
  <c r="I46" i="27"/>
  <c r="F47" i="23"/>
  <c r="H47" i="23" s="1"/>
  <c r="B47" i="23"/>
  <c r="B46" i="26"/>
  <c r="F46" i="26"/>
  <c r="D50" i="19"/>
  <c r="E50" i="19" s="1"/>
  <c r="B42" i="37"/>
  <c r="F42" i="37"/>
  <c r="G42" i="37" s="1"/>
  <c r="G49" i="18"/>
  <c r="I49" i="18" s="1"/>
  <c r="F47" i="28"/>
  <c r="G47" i="28" s="1"/>
  <c r="B47" i="28"/>
  <c r="B43" i="34"/>
  <c r="F43" i="34"/>
  <c r="H43" i="34" s="1"/>
  <c r="D47" i="22"/>
  <c r="E47" i="22"/>
  <c r="B43" i="35"/>
  <c r="F43" i="35"/>
  <c r="H43" i="35" s="1"/>
  <c r="D48" i="21"/>
  <c r="E48" i="21"/>
  <c r="H128" i="26"/>
  <c r="I128" i="26"/>
  <c r="F44" i="29"/>
  <c r="D50" i="18"/>
  <c r="E50" i="18" s="1"/>
  <c r="B41" i="38"/>
  <c r="F41" i="38"/>
  <c r="B45" i="25"/>
  <c r="F45" i="25"/>
  <c r="E129" i="26"/>
  <c r="F129" i="26" s="1"/>
  <c r="B129" i="26"/>
  <c r="D51" i="4"/>
  <c r="E51" i="4" s="1"/>
  <c r="H47" i="21"/>
  <c r="I47" i="21" s="1"/>
  <c r="G49" i="19"/>
  <c r="I49" i="19" s="1"/>
  <c r="F45" i="13"/>
  <c r="H45" i="13" s="1"/>
  <c r="B45" i="13"/>
  <c r="D52" i="3"/>
  <c r="E52" i="3"/>
  <c r="B43" i="31"/>
  <c r="F43" i="31"/>
  <c r="H43" i="31" s="1"/>
  <c r="G66" i="20"/>
  <c r="B67" i="20"/>
  <c r="E67" i="20"/>
  <c r="F67" i="20" s="1"/>
  <c r="H66" i="20"/>
  <c r="E128" i="25"/>
  <c r="F128" i="25" s="1"/>
  <c r="G128" i="25" s="1"/>
  <c r="G51" i="3"/>
  <c r="I51" i="3" s="1"/>
  <c r="B47" i="27"/>
  <c r="F47" i="27"/>
  <c r="H47" i="27" s="1"/>
  <c r="B133" i="4"/>
  <c r="E133" i="4"/>
  <c r="F133" i="4" s="1"/>
  <c r="H132" i="4"/>
  <c r="I132" i="4"/>
  <c r="H131" i="18"/>
  <c r="I131" i="18"/>
  <c r="I127" i="25"/>
  <c r="H127" i="25"/>
  <c r="E126" i="31"/>
  <c r="F126" i="31" s="1"/>
  <c r="B126" i="31"/>
  <c r="H125" i="31"/>
  <c r="I125" i="31"/>
  <c r="H125" i="35"/>
  <c r="I125" i="35"/>
  <c r="I129" i="28"/>
  <c r="H129" i="28"/>
  <c r="B130" i="28"/>
  <c r="E130" i="28"/>
  <c r="F130" i="28" s="1"/>
  <c r="B126" i="35"/>
  <c r="F126" i="35"/>
  <c r="B125" i="37"/>
  <c r="E125" i="37"/>
  <c r="F125" i="37" s="1"/>
  <c r="I124" i="37"/>
  <c r="H124" i="37"/>
  <c r="J124" i="34"/>
  <c r="J124" i="38"/>
  <c r="J128" i="21"/>
  <c r="D130" i="21"/>
  <c r="E130" i="21" s="1"/>
  <c r="G129" i="21"/>
  <c r="I131" i="19"/>
  <c r="H131" i="19"/>
  <c r="G125" i="38"/>
  <c r="D126" i="38"/>
  <c r="E126" i="38" s="1"/>
  <c r="D130" i="24"/>
  <c r="E130" i="24" s="1"/>
  <c r="G129" i="24"/>
  <c r="G129" i="27"/>
  <c r="D130" i="27"/>
  <c r="E130" i="27" s="1"/>
  <c r="F132" i="19"/>
  <c r="B132" i="19"/>
  <c r="H130" i="29"/>
  <c r="I130" i="29"/>
  <c r="G125" i="34"/>
  <c r="D126" i="34"/>
  <c r="E126" i="34" s="1"/>
  <c r="J128" i="24"/>
  <c r="G126" i="13"/>
  <c r="D127" i="13"/>
  <c r="E127" i="13" s="1"/>
  <c r="F131" i="29"/>
  <c r="B129" i="22"/>
  <c r="F129" i="22"/>
  <c r="H125" i="20"/>
  <c r="I125" i="20"/>
  <c r="I128" i="22"/>
  <c r="H128" i="22"/>
  <c r="B126" i="20"/>
  <c r="E134" i="23"/>
  <c r="F134" i="23" s="1"/>
  <c r="I132" i="3"/>
  <c r="H132" i="3"/>
  <c r="E126" i="20"/>
  <c r="F126" i="20" s="1"/>
  <c r="F133" i="3"/>
  <c r="B133" i="3"/>
  <c r="H133" i="23"/>
  <c r="I133" i="23"/>
  <c r="B48" i="39" l="1"/>
  <c r="F48" i="39"/>
  <c r="G48" i="39" s="1"/>
  <c r="I125" i="13"/>
  <c r="J125" i="13" s="1"/>
  <c r="B132" i="18"/>
  <c r="D129" i="25"/>
  <c r="B129" i="25" s="1"/>
  <c r="F132" i="18"/>
  <c r="G132" i="18" s="1"/>
  <c r="F48" i="24"/>
  <c r="G48" i="24" s="1"/>
  <c r="B48" i="24"/>
  <c r="G47" i="23"/>
  <c r="I47" i="23" s="1"/>
  <c r="G43" i="34"/>
  <c r="I43" i="34" s="1"/>
  <c r="H47" i="28"/>
  <c r="I47" i="28" s="1"/>
  <c r="G43" i="31"/>
  <c r="I43" i="31" s="1"/>
  <c r="J132" i="4"/>
  <c r="G45" i="13"/>
  <c r="I45" i="13" s="1"/>
  <c r="I66" i="20"/>
  <c r="D42" i="38"/>
  <c r="E42" i="38"/>
  <c r="D45" i="29"/>
  <c r="E45" i="29"/>
  <c r="J131" i="19"/>
  <c r="G67" i="20"/>
  <c r="B68" i="20"/>
  <c r="H67" i="20"/>
  <c r="E68" i="20"/>
  <c r="F68" i="20" s="1"/>
  <c r="B52" i="3"/>
  <c r="F52" i="3"/>
  <c r="B51" i="4"/>
  <c r="F51" i="4"/>
  <c r="G41" i="38"/>
  <c r="J128" i="26"/>
  <c r="D43" i="37"/>
  <c r="E43" i="37"/>
  <c r="J131" i="18"/>
  <c r="D48" i="27"/>
  <c r="E48" i="27"/>
  <c r="D130" i="26"/>
  <c r="G129" i="26"/>
  <c r="H41" i="38"/>
  <c r="D48" i="28"/>
  <c r="E48" i="28" s="1"/>
  <c r="D46" i="25"/>
  <c r="E46" i="25"/>
  <c r="B48" i="21"/>
  <c r="F48" i="21"/>
  <c r="F47" i="22"/>
  <c r="G47" i="22" s="1"/>
  <c r="B47" i="22"/>
  <c r="B50" i="19"/>
  <c r="F50" i="19"/>
  <c r="G50" i="19" s="1"/>
  <c r="G47" i="27"/>
  <c r="I47" i="27" s="1"/>
  <c r="D46" i="13"/>
  <c r="E46" i="13" s="1"/>
  <c r="H45" i="25"/>
  <c r="B50" i="18"/>
  <c r="F50" i="18"/>
  <c r="H50" i="18" s="1"/>
  <c r="D44" i="35"/>
  <c r="E44" i="35"/>
  <c r="D47" i="26"/>
  <c r="E47" i="26"/>
  <c r="D48" i="23"/>
  <c r="E48" i="23" s="1"/>
  <c r="D44" i="31"/>
  <c r="E44" i="31"/>
  <c r="H44" i="29"/>
  <c r="G46" i="26"/>
  <c r="G45" i="25"/>
  <c r="G44" i="29"/>
  <c r="G43" i="35"/>
  <c r="I43" i="35" s="1"/>
  <c r="D44" i="34"/>
  <c r="E44" i="34"/>
  <c r="H42" i="37"/>
  <c r="I42" i="37" s="1"/>
  <c r="H46" i="26"/>
  <c r="J125" i="31"/>
  <c r="D134" i="4"/>
  <c r="G133" i="4"/>
  <c r="J133" i="23"/>
  <c r="D131" i="28"/>
  <c r="E131" i="28" s="1"/>
  <c r="G130" i="28"/>
  <c r="D126" i="37"/>
  <c r="E126" i="37" s="1"/>
  <c r="G125" i="37"/>
  <c r="J130" i="29"/>
  <c r="G126" i="35"/>
  <c r="D127" i="35"/>
  <c r="J125" i="20"/>
  <c r="J124" i="37"/>
  <c r="E129" i="25"/>
  <c r="G126" i="31"/>
  <c r="D127" i="31"/>
  <c r="H128" i="25"/>
  <c r="I128" i="25"/>
  <c r="J129" i="28"/>
  <c r="J125" i="35"/>
  <c r="J127" i="25"/>
  <c r="F130" i="27"/>
  <c r="B130" i="27"/>
  <c r="I129" i="27"/>
  <c r="H129" i="27"/>
  <c r="B126" i="34"/>
  <c r="F126" i="34"/>
  <c r="H125" i="38"/>
  <c r="I125" i="38"/>
  <c r="D132" i="29"/>
  <c r="G131" i="29"/>
  <c r="H125" i="34"/>
  <c r="I125" i="34"/>
  <c r="I129" i="24"/>
  <c r="H129" i="24"/>
  <c r="J128" i="22"/>
  <c r="D133" i="19"/>
  <c r="E133" i="19" s="1"/>
  <c r="G132" i="19"/>
  <c r="B130" i="24"/>
  <c r="F130" i="24"/>
  <c r="H129" i="21"/>
  <c r="I129" i="21"/>
  <c r="B127" i="13"/>
  <c r="F127" i="13"/>
  <c r="F130" i="21"/>
  <c r="B130" i="21"/>
  <c r="H126" i="13"/>
  <c r="I126" i="13"/>
  <c r="B126" i="38"/>
  <c r="F126" i="38"/>
  <c r="G126" i="20"/>
  <c r="D127" i="20"/>
  <c r="E127" i="20" s="1"/>
  <c r="D135" i="23"/>
  <c r="E135" i="23" s="1"/>
  <c r="G134" i="23"/>
  <c r="G133" i="3"/>
  <c r="D134" i="3"/>
  <c r="D130" i="22"/>
  <c r="G129" i="22"/>
  <c r="J132" i="3"/>
  <c r="H48" i="39" l="1"/>
  <c r="I48" i="39" s="1"/>
  <c r="D49" i="39"/>
  <c r="E49" i="39" s="1"/>
  <c r="D133" i="18"/>
  <c r="B133" i="18" s="1"/>
  <c r="F129" i="25"/>
  <c r="D130" i="25" s="1"/>
  <c r="H48" i="24"/>
  <c r="I48" i="24" s="1"/>
  <c r="D49" i="24"/>
  <c r="E49" i="24"/>
  <c r="J125" i="34"/>
  <c r="H50" i="19"/>
  <c r="I50" i="19" s="1"/>
  <c r="I41" i="38"/>
  <c r="I46" i="26"/>
  <c r="F48" i="23"/>
  <c r="G48" i="23" s="1"/>
  <c r="B48" i="23"/>
  <c r="D49" i="21"/>
  <c r="E49" i="21"/>
  <c r="H129" i="26"/>
  <c r="I129" i="26"/>
  <c r="D52" i="4"/>
  <c r="E52" i="4" s="1"/>
  <c r="I45" i="25"/>
  <c r="E130" i="26"/>
  <c r="F130" i="26" s="1"/>
  <c r="B130" i="26"/>
  <c r="F47" i="26"/>
  <c r="B47" i="26"/>
  <c r="D53" i="3"/>
  <c r="E53" i="3" s="1"/>
  <c r="F46" i="13"/>
  <c r="B46" i="13"/>
  <c r="F46" i="25"/>
  <c r="G46" i="25" s="1"/>
  <c r="B46" i="25"/>
  <c r="B48" i="27"/>
  <c r="F48" i="27"/>
  <c r="G48" i="27" s="1"/>
  <c r="B43" i="37"/>
  <c r="F43" i="37"/>
  <c r="H43" i="37" s="1"/>
  <c r="G52" i="3"/>
  <c r="I44" i="29"/>
  <c r="F44" i="35"/>
  <c r="G44" i="35" s="1"/>
  <c r="B44" i="35"/>
  <c r="D48" i="22"/>
  <c r="E48" i="22"/>
  <c r="G50" i="18"/>
  <c r="I50" i="18" s="1"/>
  <c r="H47" i="22"/>
  <c r="I47" i="22" s="1"/>
  <c r="H52" i="3"/>
  <c r="F45" i="29"/>
  <c r="H45" i="29" s="1"/>
  <c r="F44" i="34"/>
  <c r="H44" i="34" s="1"/>
  <c r="B44" i="34"/>
  <c r="B44" i="31"/>
  <c r="F44" i="31"/>
  <c r="G44" i="31" s="1"/>
  <c r="D51" i="19"/>
  <c r="E51" i="19" s="1"/>
  <c r="H48" i="21"/>
  <c r="B48" i="28"/>
  <c r="F48" i="28"/>
  <c r="H48" i="28" s="1"/>
  <c r="H51" i="4"/>
  <c r="E69" i="20"/>
  <c r="F69" i="20" s="1"/>
  <c r="G68" i="20"/>
  <c r="H68" i="20"/>
  <c r="B69" i="20"/>
  <c r="J125" i="38"/>
  <c r="D51" i="18"/>
  <c r="E51" i="18" s="1"/>
  <c r="G48" i="21"/>
  <c r="G51" i="4"/>
  <c r="I67" i="20"/>
  <c r="F42" i="38"/>
  <c r="G42" i="38" s="1"/>
  <c r="B42" i="38"/>
  <c r="E134" i="4"/>
  <c r="F134" i="4" s="1"/>
  <c r="B134" i="4"/>
  <c r="H132" i="18"/>
  <c r="I132" i="18"/>
  <c r="E133" i="18"/>
  <c r="I133" i="4"/>
  <c r="H133" i="4"/>
  <c r="E127" i="31"/>
  <c r="F127" i="31" s="1"/>
  <c r="B127" i="31"/>
  <c r="H126" i="35"/>
  <c r="I126" i="35"/>
  <c r="H126" i="31"/>
  <c r="I126" i="31"/>
  <c r="G129" i="25"/>
  <c r="I125" i="37"/>
  <c r="H125" i="37"/>
  <c r="F126" i="37"/>
  <c r="B126" i="37"/>
  <c r="J128" i="25"/>
  <c r="H130" i="28"/>
  <c r="I130" i="28"/>
  <c r="E127" i="35"/>
  <c r="F127" i="35" s="1"/>
  <c r="B127" i="35"/>
  <c r="B131" i="28"/>
  <c r="F131" i="28"/>
  <c r="J129" i="24"/>
  <c r="J129" i="27"/>
  <c r="G127" i="13"/>
  <c r="D128" i="13"/>
  <c r="E128" i="13" s="1"/>
  <c r="I132" i="19"/>
  <c r="H132" i="19"/>
  <c r="B133" i="19"/>
  <c r="F133" i="19"/>
  <c r="D127" i="34"/>
  <c r="G126" i="34"/>
  <c r="D131" i="21"/>
  <c r="G130" i="21"/>
  <c r="J129" i="21"/>
  <c r="D127" i="38"/>
  <c r="E127" i="38" s="1"/>
  <c r="G126" i="38"/>
  <c r="E132" i="29"/>
  <c r="F132" i="29" s="1"/>
  <c r="J126" i="13"/>
  <c r="D131" i="24"/>
  <c r="E131" i="24" s="1"/>
  <c r="G130" i="24"/>
  <c r="I131" i="29"/>
  <c r="H131" i="29"/>
  <c r="G130" i="27"/>
  <c r="D131" i="27"/>
  <c r="H133" i="3"/>
  <c r="I133" i="3"/>
  <c r="B134" i="3"/>
  <c r="I134" i="23"/>
  <c r="H134" i="23"/>
  <c r="F135" i="23"/>
  <c r="B130" i="22"/>
  <c r="I129" i="22"/>
  <c r="H129" i="22"/>
  <c r="F127" i="20"/>
  <c r="B127" i="20"/>
  <c r="E130" i="22"/>
  <c r="F130" i="22" s="1"/>
  <c r="E134" i="3"/>
  <c r="F134" i="3" s="1"/>
  <c r="H126" i="20"/>
  <c r="I126" i="20"/>
  <c r="F133" i="18" l="1"/>
  <c r="F49" i="39"/>
  <c r="H49" i="39" s="1"/>
  <c r="B49" i="39"/>
  <c r="G49" i="39"/>
  <c r="F49" i="24"/>
  <c r="H49" i="24" s="1"/>
  <c r="B49" i="24"/>
  <c r="J126" i="35"/>
  <c r="J126" i="31"/>
  <c r="H44" i="31"/>
  <c r="I44" i="31" s="1"/>
  <c r="G45" i="29"/>
  <c r="H44" i="35"/>
  <c r="I44" i="35" s="1"/>
  <c r="I68" i="20"/>
  <c r="I51" i="4"/>
  <c r="I45" i="29"/>
  <c r="G48" i="28"/>
  <c r="I48" i="28" s="1"/>
  <c r="H46" i="25"/>
  <c r="I46" i="25" s="1"/>
  <c r="J132" i="18"/>
  <c r="H48" i="23"/>
  <c r="I48" i="23" s="1"/>
  <c r="G130" i="26"/>
  <c r="D131" i="26"/>
  <c r="J133" i="3"/>
  <c r="G69" i="20"/>
  <c r="H69" i="20"/>
  <c r="B70" i="20"/>
  <c r="E70" i="20"/>
  <c r="F70" i="20" s="1"/>
  <c r="D47" i="13"/>
  <c r="E47" i="13" s="1"/>
  <c r="B51" i="19"/>
  <c r="F51" i="19"/>
  <c r="H51" i="19" s="1"/>
  <c r="D45" i="34"/>
  <c r="E45" i="34"/>
  <c r="B48" i="22"/>
  <c r="F48" i="22"/>
  <c r="G48" i="22" s="1"/>
  <c r="D44" i="37"/>
  <c r="E44" i="37"/>
  <c r="F53" i="3"/>
  <c r="H53" i="3" s="1"/>
  <c r="B53" i="3"/>
  <c r="B49" i="21"/>
  <c r="F49" i="21"/>
  <c r="H49" i="21" s="1"/>
  <c r="B51" i="18"/>
  <c r="F51" i="18"/>
  <c r="G51" i="18" s="1"/>
  <c r="D46" i="29"/>
  <c r="E46" i="29"/>
  <c r="D43" i="38"/>
  <c r="E43" i="38"/>
  <c r="D45" i="31"/>
  <c r="E45" i="31"/>
  <c r="G43" i="37"/>
  <c r="I43" i="37" s="1"/>
  <c r="D47" i="25"/>
  <c r="E47" i="25"/>
  <c r="D48" i="26"/>
  <c r="E48" i="26"/>
  <c r="F52" i="4"/>
  <c r="H52" i="4" s="1"/>
  <c r="B52" i="4"/>
  <c r="H42" i="38"/>
  <c r="I42" i="38" s="1"/>
  <c r="D49" i="28"/>
  <c r="E49" i="28" s="1"/>
  <c r="I52" i="3"/>
  <c r="H47" i="26"/>
  <c r="J132" i="19"/>
  <c r="G44" i="34"/>
  <c r="I44" i="34" s="1"/>
  <c r="D45" i="35"/>
  <c r="E45" i="35"/>
  <c r="D49" i="27"/>
  <c r="E49" i="27"/>
  <c r="G46" i="13"/>
  <c r="G47" i="26"/>
  <c r="D49" i="23"/>
  <c r="E49" i="23" s="1"/>
  <c r="I48" i="21"/>
  <c r="H48" i="27"/>
  <c r="I48" i="27" s="1"/>
  <c r="H46" i="13"/>
  <c r="J129" i="26"/>
  <c r="D134" i="18"/>
  <c r="G133" i="18"/>
  <c r="G134" i="4"/>
  <c r="D135" i="4"/>
  <c r="J130" i="28"/>
  <c r="J133" i="4"/>
  <c r="D128" i="35"/>
  <c r="B128" i="35" s="1"/>
  <c r="G127" i="35"/>
  <c r="I129" i="25"/>
  <c r="H129" i="25"/>
  <c r="E130" i="25"/>
  <c r="F130" i="25" s="1"/>
  <c r="B130" i="25"/>
  <c r="G131" i="28"/>
  <c r="D132" i="28"/>
  <c r="G126" i="37"/>
  <c r="D127" i="37"/>
  <c r="J125" i="37"/>
  <c r="D128" i="31"/>
  <c r="G127" i="31"/>
  <c r="G132" i="29"/>
  <c r="D133" i="29"/>
  <c r="E133" i="29" s="1"/>
  <c r="B127" i="34"/>
  <c r="I127" i="13"/>
  <c r="H127" i="13"/>
  <c r="H126" i="34"/>
  <c r="I126" i="34"/>
  <c r="F131" i="24"/>
  <c r="B131" i="24"/>
  <c r="D134" i="19"/>
  <c r="E134" i="19" s="1"/>
  <c r="G133" i="19"/>
  <c r="H130" i="24"/>
  <c r="I130" i="24"/>
  <c r="F127" i="38"/>
  <c r="B127" i="38"/>
  <c r="B131" i="21"/>
  <c r="B128" i="13"/>
  <c r="F128" i="13"/>
  <c r="B131" i="27"/>
  <c r="J131" i="29"/>
  <c r="J156" i="29" s="1"/>
  <c r="E131" i="21"/>
  <c r="F131" i="21" s="1"/>
  <c r="E131" i="27"/>
  <c r="F131" i="27" s="1"/>
  <c r="H126" i="38"/>
  <c r="I126" i="38"/>
  <c r="H130" i="27"/>
  <c r="I130" i="27"/>
  <c r="I130" i="21"/>
  <c r="H130" i="21"/>
  <c r="E127" i="34"/>
  <c r="F127" i="34" s="1"/>
  <c r="G130" i="22"/>
  <c r="D131" i="22"/>
  <c r="D135" i="3"/>
  <c r="E135" i="3" s="1"/>
  <c r="G134" i="3"/>
  <c r="D136" i="23"/>
  <c r="E136" i="23" s="1"/>
  <c r="G135" i="23"/>
  <c r="J134" i="23"/>
  <c r="J129" i="22"/>
  <c r="G127" i="20"/>
  <c r="D128" i="20"/>
  <c r="J126" i="20"/>
  <c r="I49" i="39" l="1"/>
  <c r="D50" i="39"/>
  <c r="E50" i="39" s="1"/>
  <c r="F50" i="39" s="1"/>
  <c r="G49" i="24"/>
  <c r="I49" i="24" s="1"/>
  <c r="D50" i="24"/>
  <c r="J126" i="38"/>
  <c r="G53" i="3"/>
  <c r="I53" i="3" s="1"/>
  <c r="G49" i="21"/>
  <c r="I49" i="21" s="1"/>
  <c r="I69" i="20"/>
  <c r="H48" i="22"/>
  <c r="I48" i="22" s="1"/>
  <c r="B43" i="38"/>
  <c r="F43" i="38"/>
  <c r="G43" i="38" s="1"/>
  <c r="B45" i="34"/>
  <c r="F45" i="34"/>
  <c r="F48" i="26"/>
  <c r="H48" i="26" s="1"/>
  <c r="B48" i="26"/>
  <c r="B44" i="37"/>
  <c r="F44" i="37"/>
  <c r="G44" i="37" s="1"/>
  <c r="F49" i="28"/>
  <c r="G49" i="28" s="1"/>
  <c r="B49" i="28"/>
  <c r="F46" i="29"/>
  <c r="D52" i="19"/>
  <c r="E52" i="19" s="1"/>
  <c r="B47" i="25"/>
  <c r="F47" i="25"/>
  <c r="H47" i="25" s="1"/>
  <c r="D52" i="18"/>
  <c r="E52" i="18" s="1"/>
  <c r="D49" i="22"/>
  <c r="E49" i="22"/>
  <c r="G51" i="19"/>
  <c r="I51" i="19" s="1"/>
  <c r="I46" i="13"/>
  <c r="F49" i="27"/>
  <c r="B49" i="27"/>
  <c r="B45" i="35"/>
  <c r="F45" i="35"/>
  <c r="G45" i="35" s="1"/>
  <c r="I47" i="26"/>
  <c r="D53" i="4"/>
  <c r="E53" i="4" s="1"/>
  <c r="F45" i="31"/>
  <c r="G45" i="31" s="1"/>
  <c r="B45" i="31"/>
  <c r="H51" i="18"/>
  <c r="I51" i="18" s="1"/>
  <c r="D54" i="3"/>
  <c r="E54" i="3" s="1"/>
  <c r="F47" i="13"/>
  <c r="G47" i="13" s="1"/>
  <c r="B47" i="13"/>
  <c r="E131" i="26"/>
  <c r="F131" i="26" s="1"/>
  <c r="B131" i="26"/>
  <c r="B49" i="23"/>
  <c r="F49" i="23"/>
  <c r="H49" i="23" s="1"/>
  <c r="G52" i="4"/>
  <c r="I52" i="4" s="1"/>
  <c r="D50" i="21"/>
  <c r="E50" i="21" s="1"/>
  <c r="B71" i="20"/>
  <c r="H70" i="20"/>
  <c r="G70" i="20"/>
  <c r="E71" i="20"/>
  <c r="F71" i="20" s="1"/>
  <c r="H130" i="26"/>
  <c r="I130" i="26"/>
  <c r="E135" i="4"/>
  <c r="F135" i="4" s="1"/>
  <c r="B135" i="4"/>
  <c r="I134" i="4"/>
  <c r="H134" i="4"/>
  <c r="I133" i="18"/>
  <c r="H133" i="18"/>
  <c r="E128" i="35"/>
  <c r="F128" i="35" s="1"/>
  <c r="E134" i="18"/>
  <c r="F134" i="18" s="1"/>
  <c r="B134" i="18"/>
  <c r="B128" i="31"/>
  <c r="D131" i="25"/>
  <c r="E131" i="25" s="1"/>
  <c r="G130" i="25"/>
  <c r="J126" i="34"/>
  <c r="B127" i="37"/>
  <c r="E127" i="37"/>
  <c r="F127" i="37" s="1"/>
  <c r="H126" i="37"/>
  <c r="I126" i="37"/>
  <c r="J129" i="25"/>
  <c r="B132" i="28"/>
  <c r="I127" i="31"/>
  <c r="H127" i="31"/>
  <c r="I131" i="28"/>
  <c r="H131" i="28"/>
  <c r="I127" i="35"/>
  <c r="H127" i="35"/>
  <c r="E128" i="31"/>
  <c r="F128" i="31" s="1"/>
  <c r="E132" i="28"/>
  <c r="F132" i="28" s="1"/>
  <c r="J130" i="27"/>
  <c r="D128" i="34"/>
  <c r="E128" i="34" s="1"/>
  <c r="G127" i="34"/>
  <c r="D132" i="27"/>
  <c r="E132" i="27" s="1"/>
  <c r="G131" i="27"/>
  <c r="G131" i="21"/>
  <c r="D132" i="21"/>
  <c r="I133" i="19"/>
  <c r="H133" i="19"/>
  <c r="J130" i="21"/>
  <c r="G131" i="24"/>
  <c r="D132" i="24"/>
  <c r="E132" i="24" s="1"/>
  <c r="B134" i="19"/>
  <c r="F134" i="19"/>
  <c r="F133" i="29"/>
  <c r="J127" i="13"/>
  <c r="H132" i="29"/>
  <c r="I132" i="29"/>
  <c r="G127" i="38"/>
  <c r="D128" i="38"/>
  <c r="D129" i="13"/>
  <c r="G128" i="13"/>
  <c r="J130" i="24"/>
  <c r="B135" i="3"/>
  <c r="F135" i="3"/>
  <c r="F136" i="23"/>
  <c r="I134" i="3"/>
  <c r="H134" i="3"/>
  <c r="B128" i="20"/>
  <c r="B131" i="22"/>
  <c r="I127" i="20"/>
  <c r="H127" i="20"/>
  <c r="E131" i="22"/>
  <c r="F131" i="22" s="1"/>
  <c r="E128" i="20"/>
  <c r="F128" i="20" s="1"/>
  <c r="H135" i="23"/>
  <c r="I135" i="23"/>
  <c r="I130" i="22"/>
  <c r="H130" i="22"/>
  <c r="D51" i="39" l="1"/>
  <c r="E51" i="39" s="1"/>
  <c r="B50" i="39"/>
  <c r="G50" i="39"/>
  <c r="H50" i="39"/>
  <c r="E50" i="24"/>
  <c r="F50" i="24" s="1"/>
  <c r="G50" i="24" s="1"/>
  <c r="B50" i="24"/>
  <c r="H49" i="28"/>
  <c r="I49" i="28" s="1"/>
  <c r="H47" i="13"/>
  <c r="I47" i="13" s="1"/>
  <c r="G49" i="23"/>
  <c r="I49" i="23" s="1"/>
  <c r="J130" i="26"/>
  <c r="J131" i="28"/>
  <c r="G48" i="26"/>
  <c r="I48" i="26" s="1"/>
  <c r="H45" i="31"/>
  <c r="I45" i="31" s="1"/>
  <c r="H43" i="38"/>
  <c r="I43" i="38" s="1"/>
  <c r="G131" i="26"/>
  <c r="D132" i="26"/>
  <c r="B132" i="26" s="1"/>
  <c r="F50" i="21"/>
  <c r="H50" i="21" s="1"/>
  <c r="B50" i="21"/>
  <c r="D46" i="35"/>
  <c r="E46" i="35"/>
  <c r="D50" i="27"/>
  <c r="E50" i="27" s="1"/>
  <c r="D47" i="29"/>
  <c r="E47" i="29" s="1"/>
  <c r="D46" i="34"/>
  <c r="E46" i="34"/>
  <c r="D48" i="25"/>
  <c r="E48" i="25" s="1"/>
  <c r="D45" i="37"/>
  <c r="E45" i="37"/>
  <c r="G45" i="34"/>
  <c r="J133" i="18"/>
  <c r="G71" i="20"/>
  <c r="B72" i="20"/>
  <c r="E72" i="20"/>
  <c r="F72" i="20" s="1"/>
  <c r="H71" i="20"/>
  <c r="D50" i="23"/>
  <c r="E50" i="23" s="1"/>
  <c r="D46" i="31"/>
  <c r="E46" i="31"/>
  <c r="H44" i="37"/>
  <c r="I44" i="37" s="1"/>
  <c r="H45" i="34"/>
  <c r="D48" i="13"/>
  <c r="E48" i="13" s="1"/>
  <c r="F49" i="22"/>
  <c r="H49" i="22" s="1"/>
  <c r="B49" i="22"/>
  <c r="D50" i="28"/>
  <c r="E50" i="28" s="1"/>
  <c r="J134" i="4"/>
  <c r="I70" i="20"/>
  <c r="B53" i="4"/>
  <c r="F53" i="4"/>
  <c r="H53" i="4" s="1"/>
  <c r="F52" i="19"/>
  <c r="G52" i="19" s="1"/>
  <c r="B52" i="19"/>
  <c r="B54" i="3"/>
  <c r="F54" i="3"/>
  <c r="H54" i="3" s="1"/>
  <c r="H49" i="27"/>
  <c r="B52" i="18"/>
  <c r="F52" i="18"/>
  <c r="H52" i="18" s="1"/>
  <c r="G46" i="29"/>
  <c r="D44" i="38"/>
  <c r="E44" i="38"/>
  <c r="H45" i="35"/>
  <c r="I45" i="35" s="1"/>
  <c r="G49" i="27"/>
  <c r="G47" i="25"/>
  <c r="I47" i="25" s="1"/>
  <c r="H46" i="29"/>
  <c r="D49" i="26"/>
  <c r="E49" i="26" s="1"/>
  <c r="D129" i="35"/>
  <c r="G128" i="35"/>
  <c r="J126" i="37"/>
  <c r="D135" i="18"/>
  <c r="G134" i="18"/>
  <c r="G135" i="4"/>
  <c r="D136" i="4"/>
  <c r="D133" i="28"/>
  <c r="E133" i="28" s="1"/>
  <c r="G132" i="28"/>
  <c r="D129" i="31"/>
  <c r="G128" i="31"/>
  <c r="G127" i="37"/>
  <c r="D128" i="37"/>
  <c r="B128" i="37" s="1"/>
  <c r="J127" i="31"/>
  <c r="H130" i="25"/>
  <c r="I130" i="25"/>
  <c r="F131" i="25"/>
  <c r="B131" i="25"/>
  <c r="J127" i="35"/>
  <c r="J127" i="20"/>
  <c r="H131" i="21"/>
  <c r="I131" i="21"/>
  <c r="B129" i="13"/>
  <c r="B128" i="38"/>
  <c r="D134" i="29"/>
  <c r="E134" i="29" s="1"/>
  <c r="G133" i="29"/>
  <c r="E128" i="38"/>
  <c r="F128" i="38" s="1"/>
  <c r="G134" i="19"/>
  <c r="D135" i="19"/>
  <c r="H131" i="27"/>
  <c r="I131" i="27"/>
  <c r="B132" i="21"/>
  <c r="J130" i="22"/>
  <c r="J134" i="3"/>
  <c r="H127" i="38"/>
  <c r="I127" i="38"/>
  <c r="J133" i="19"/>
  <c r="F132" i="27"/>
  <c r="B132" i="27"/>
  <c r="I128" i="13"/>
  <c r="H128" i="13"/>
  <c r="B132" i="24"/>
  <c r="F132" i="24"/>
  <c r="I127" i="34"/>
  <c r="H127" i="34"/>
  <c r="E129" i="13"/>
  <c r="F129" i="13" s="1"/>
  <c r="H131" i="24"/>
  <c r="I131" i="24"/>
  <c r="E132" i="21"/>
  <c r="F132" i="21" s="1"/>
  <c r="F128" i="34"/>
  <c r="B128" i="34"/>
  <c r="G131" i="22"/>
  <c r="D132" i="22"/>
  <c r="G128" i="20"/>
  <c r="D129" i="20"/>
  <c r="J135" i="23"/>
  <c r="D137" i="23"/>
  <c r="G136" i="23"/>
  <c r="D136" i="3"/>
  <c r="G135" i="3"/>
  <c r="I50" i="39" l="1"/>
  <c r="B51" i="39"/>
  <c r="F51" i="39"/>
  <c r="D52" i="39" s="1"/>
  <c r="G51" i="39"/>
  <c r="E132" i="26"/>
  <c r="H50" i="24"/>
  <c r="I50" i="24" s="1"/>
  <c r="D51" i="24"/>
  <c r="F132" i="26"/>
  <c r="G49" i="22"/>
  <c r="I49" i="22" s="1"/>
  <c r="H52" i="19"/>
  <c r="I52" i="19" s="1"/>
  <c r="G50" i="21"/>
  <c r="I50" i="21" s="1"/>
  <c r="I46" i="29"/>
  <c r="D53" i="18"/>
  <c r="E53" i="18" s="1"/>
  <c r="D54" i="4"/>
  <c r="E54" i="4" s="1"/>
  <c r="B46" i="34"/>
  <c r="F46" i="34"/>
  <c r="G46" i="34" s="1"/>
  <c r="G53" i="4"/>
  <c r="I53" i="4" s="1"/>
  <c r="F46" i="31"/>
  <c r="G46" i="31" s="1"/>
  <c r="B46" i="31"/>
  <c r="I49" i="27"/>
  <c r="D50" i="22"/>
  <c r="E50" i="22" s="1"/>
  <c r="B50" i="23"/>
  <c r="F50" i="23"/>
  <c r="H50" i="23" s="1"/>
  <c r="F47" i="29"/>
  <c r="H47" i="29" s="1"/>
  <c r="D51" i="21"/>
  <c r="E51" i="21" s="1"/>
  <c r="D55" i="3"/>
  <c r="E55" i="3" s="1"/>
  <c r="B44" i="38"/>
  <c r="F44" i="38"/>
  <c r="F48" i="13"/>
  <c r="B48" i="13"/>
  <c r="I71" i="20"/>
  <c r="F45" i="37"/>
  <c r="G45" i="37" s="1"/>
  <c r="B45" i="37"/>
  <c r="B50" i="27"/>
  <c r="F50" i="27"/>
  <c r="H50" i="27" s="1"/>
  <c r="I45" i="34"/>
  <c r="G72" i="20"/>
  <c r="E73" i="20"/>
  <c r="B73" i="20"/>
  <c r="H72" i="20"/>
  <c r="I131" i="26"/>
  <c r="H131" i="26"/>
  <c r="B49" i="26"/>
  <c r="F49" i="26"/>
  <c r="H49" i="26" s="1"/>
  <c r="G52" i="18"/>
  <c r="I52" i="18" s="1"/>
  <c r="G54" i="3"/>
  <c r="I54" i="3" s="1"/>
  <c r="D53" i="19"/>
  <c r="E53" i="19" s="1"/>
  <c r="B50" i="28"/>
  <c r="F50" i="28"/>
  <c r="G50" i="28" s="1"/>
  <c r="B48" i="25"/>
  <c r="F48" i="25"/>
  <c r="G48" i="25" s="1"/>
  <c r="F46" i="35"/>
  <c r="G46" i="35" s="1"/>
  <c r="B46" i="35"/>
  <c r="E136" i="4"/>
  <c r="F136" i="4" s="1"/>
  <c r="B136" i="4"/>
  <c r="I135" i="4"/>
  <c r="H135" i="4"/>
  <c r="J131" i="27"/>
  <c r="H134" i="18"/>
  <c r="I134" i="18"/>
  <c r="E135" i="18"/>
  <c r="F135" i="18" s="1"/>
  <c r="B135" i="18"/>
  <c r="I128" i="35"/>
  <c r="H128" i="35"/>
  <c r="E129" i="35"/>
  <c r="F129" i="35" s="1"/>
  <c r="B129" i="35"/>
  <c r="I127" i="37"/>
  <c r="H127" i="37"/>
  <c r="I128" i="31"/>
  <c r="H128" i="31"/>
  <c r="D132" i="25"/>
  <c r="G131" i="25"/>
  <c r="E129" i="31"/>
  <c r="F129" i="31" s="1"/>
  <c r="B129" i="31"/>
  <c r="E128" i="37"/>
  <c r="F128" i="37" s="1"/>
  <c r="I132" i="28"/>
  <c r="H132" i="28"/>
  <c r="J130" i="25"/>
  <c r="J131" i="21"/>
  <c r="F133" i="28"/>
  <c r="B133" i="28"/>
  <c r="J128" i="13"/>
  <c r="J131" i="24"/>
  <c r="D129" i="38"/>
  <c r="G128" i="38"/>
  <c r="D133" i="21"/>
  <c r="E133" i="21" s="1"/>
  <c r="G132" i="21"/>
  <c r="J127" i="34"/>
  <c r="H134" i="19"/>
  <c r="I134" i="19"/>
  <c r="D130" i="13"/>
  <c r="E130" i="13" s="1"/>
  <c r="G129" i="13"/>
  <c r="B135" i="19"/>
  <c r="D133" i="24"/>
  <c r="E133" i="24" s="1"/>
  <c r="G132" i="24"/>
  <c r="G132" i="27"/>
  <c r="D133" i="27"/>
  <c r="E133" i="27" s="1"/>
  <c r="G128" i="34"/>
  <c r="D129" i="34"/>
  <c r="E129" i="34" s="1"/>
  <c r="H133" i="29"/>
  <c r="I133" i="29"/>
  <c r="J127" i="38"/>
  <c r="E135" i="19"/>
  <c r="F135" i="19" s="1"/>
  <c r="F134" i="29"/>
  <c r="B136" i="3"/>
  <c r="B129" i="20"/>
  <c r="E129" i="20"/>
  <c r="F129" i="20" s="1"/>
  <c r="H128" i="20"/>
  <c r="I128" i="20"/>
  <c r="B132" i="22"/>
  <c r="I135" i="3"/>
  <c r="H135" i="3"/>
  <c r="H136" i="23"/>
  <c r="I136" i="23"/>
  <c r="H131" i="22"/>
  <c r="I131" i="22"/>
  <c r="E136" i="3"/>
  <c r="F136" i="3" s="1"/>
  <c r="E137" i="23"/>
  <c r="F137" i="23" s="1"/>
  <c r="E132" i="22"/>
  <c r="F132" i="22" s="1"/>
  <c r="E52" i="39" l="1"/>
  <c r="F52" i="39" s="1"/>
  <c r="G52" i="39" s="1"/>
  <c r="B52" i="39"/>
  <c r="H51" i="39"/>
  <c r="I51" i="39" s="1"/>
  <c r="E51" i="24"/>
  <c r="F51" i="24" s="1"/>
  <c r="D52" i="24" s="1"/>
  <c r="B51" i="24"/>
  <c r="G47" i="29"/>
  <c r="I47" i="29" s="1"/>
  <c r="H46" i="34"/>
  <c r="I46" i="34" s="1"/>
  <c r="G132" i="26"/>
  <c r="D133" i="26"/>
  <c r="B133" i="26" s="1"/>
  <c r="H46" i="31"/>
  <c r="I46" i="31" s="1"/>
  <c r="H46" i="35"/>
  <c r="I46" i="35" s="1"/>
  <c r="G50" i="23"/>
  <c r="I50" i="23" s="1"/>
  <c r="H48" i="25"/>
  <c r="I48" i="25" s="1"/>
  <c r="H45" i="37"/>
  <c r="I45" i="37" s="1"/>
  <c r="I72" i="20"/>
  <c r="D49" i="13"/>
  <c r="F55" i="3"/>
  <c r="G55" i="3" s="1"/>
  <c r="B55" i="3"/>
  <c r="B54" i="4"/>
  <c r="F54" i="4"/>
  <c r="J132" i="28"/>
  <c r="F73" i="20"/>
  <c r="E74" i="20"/>
  <c r="D47" i="31"/>
  <c r="E47" i="31" s="1"/>
  <c r="J134" i="18"/>
  <c r="D51" i="28"/>
  <c r="E51" i="28" s="1"/>
  <c r="D50" i="26"/>
  <c r="E50" i="26" s="1"/>
  <c r="F51" i="21"/>
  <c r="H51" i="21" s="1"/>
  <c r="B51" i="21"/>
  <c r="D46" i="37"/>
  <c r="E46" i="37"/>
  <c r="D45" i="38"/>
  <c r="E45" i="38"/>
  <c r="F50" i="22"/>
  <c r="H50" i="22" s="1"/>
  <c r="B50" i="22"/>
  <c r="D47" i="35"/>
  <c r="E47" i="35" s="1"/>
  <c r="H50" i="28"/>
  <c r="I50" i="28" s="1"/>
  <c r="G49" i="26"/>
  <c r="I49" i="26" s="1"/>
  <c r="G44" i="38"/>
  <c r="D51" i="27"/>
  <c r="E51" i="27" s="1"/>
  <c r="G48" i="13"/>
  <c r="D48" i="29"/>
  <c r="E48" i="29" s="1"/>
  <c r="D47" i="34"/>
  <c r="E47" i="34"/>
  <c r="F53" i="18"/>
  <c r="G53" i="18" s="1"/>
  <c r="B53" i="18"/>
  <c r="D49" i="25"/>
  <c r="E49" i="25"/>
  <c r="F53" i="19"/>
  <c r="H53" i="19" s="1"/>
  <c r="B53" i="19"/>
  <c r="J131" i="26"/>
  <c r="G50" i="27"/>
  <c r="I50" i="27" s="1"/>
  <c r="H48" i="13"/>
  <c r="H44" i="38"/>
  <c r="D51" i="23"/>
  <c r="E51" i="23" s="1"/>
  <c r="D136" i="18"/>
  <c r="B136" i="18" s="1"/>
  <c r="G135" i="18"/>
  <c r="G136" i="4"/>
  <c r="D137" i="4"/>
  <c r="J128" i="35"/>
  <c r="J135" i="4"/>
  <c r="G129" i="35"/>
  <c r="D130" i="35"/>
  <c r="J136" i="23"/>
  <c r="G129" i="31"/>
  <c r="D130" i="31"/>
  <c r="G133" i="28"/>
  <c r="D134" i="28"/>
  <c r="H131" i="25"/>
  <c r="I131" i="25"/>
  <c r="E132" i="25"/>
  <c r="F132" i="25" s="1"/>
  <c r="B132" i="25"/>
  <c r="J128" i="31"/>
  <c r="G128" i="37"/>
  <c r="D129" i="37"/>
  <c r="J127" i="37"/>
  <c r="G135" i="19"/>
  <c r="D136" i="19"/>
  <c r="J128" i="20"/>
  <c r="F129" i="34"/>
  <c r="B129" i="34"/>
  <c r="I128" i="34"/>
  <c r="H128" i="34"/>
  <c r="I132" i="21"/>
  <c r="H132" i="21"/>
  <c r="F133" i="27"/>
  <c r="B133" i="27"/>
  <c r="I132" i="24"/>
  <c r="H132" i="24"/>
  <c r="I129" i="13"/>
  <c r="H129" i="13"/>
  <c r="B133" i="21"/>
  <c r="F133" i="21"/>
  <c r="H132" i="27"/>
  <c r="I132" i="27"/>
  <c r="B133" i="24"/>
  <c r="F133" i="24"/>
  <c r="B130" i="13"/>
  <c r="F130" i="13"/>
  <c r="J134" i="19"/>
  <c r="H128" i="38"/>
  <c r="I128" i="38"/>
  <c r="B129" i="38"/>
  <c r="G134" i="29"/>
  <c r="D135" i="29"/>
  <c r="E135" i="29" s="1"/>
  <c r="E129" i="38"/>
  <c r="F129" i="38" s="1"/>
  <c r="G132" i="22"/>
  <c r="D133" i="22"/>
  <c r="E133" i="22" s="1"/>
  <c r="G137" i="23"/>
  <c r="D138" i="23"/>
  <c r="E138" i="23" s="1"/>
  <c r="G129" i="20"/>
  <c r="D130" i="20"/>
  <c r="E130" i="20" s="1"/>
  <c r="G136" i="3"/>
  <c r="D137" i="3"/>
  <c r="E137" i="3" s="1"/>
  <c r="J135" i="3"/>
  <c r="J131" i="22"/>
  <c r="D53" i="39" l="1"/>
  <c r="E53" i="39" s="1"/>
  <c r="H52" i="39"/>
  <c r="I52" i="39" s="1"/>
  <c r="E133" i="26"/>
  <c r="I44" i="38"/>
  <c r="H55" i="3"/>
  <c r="I55" i="3" s="1"/>
  <c r="H51" i="24"/>
  <c r="E52" i="24"/>
  <c r="F52" i="24" s="1"/>
  <c r="B52" i="24"/>
  <c r="G51" i="24"/>
  <c r="H132" i="26"/>
  <c r="I132" i="26"/>
  <c r="F133" i="26"/>
  <c r="I48" i="13"/>
  <c r="G53" i="19"/>
  <c r="I53" i="19" s="1"/>
  <c r="G51" i="21"/>
  <c r="I51" i="21" s="1"/>
  <c r="F51" i="28"/>
  <c r="H51" i="28" s="1"/>
  <c r="B51" i="28"/>
  <c r="B51" i="27"/>
  <c r="F51" i="27"/>
  <c r="G51" i="27" s="1"/>
  <c r="H73" i="20"/>
  <c r="G73" i="20"/>
  <c r="G74" i="20" s="1"/>
  <c r="D54" i="18"/>
  <c r="E54" i="18" s="1"/>
  <c r="D51" i="22"/>
  <c r="E51" i="22" s="1"/>
  <c r="B51" i="23"/>
  <c r="F51" i="23"/>
  <c r="G50" i="22"/>
  <c r="I50" i="22" s="1"/>
  <c r="D56" i="3"/>
  <c r="E56" i="3" s="1"/>
  <c r="D54" i="19"/>
  <c r="E54" i="19" s="1"/>
  <c r="F47" i="34"/>
  <c r="H47" i="34" s="1"/>
  <c r="B47" i="34"/>
  <c r="D52" i="21"/>
  <c r="E52" i="21" s="1"/>
  <c r="D55" i="4"/>
  <c r="E55" i="4" s="1"/>
  <c r="B49" i="13"/>
  <c r="F45" i="38"/>
  <c r="H45" i="38" s="1"/>
  <c r="B45" i="38"/>
  <c r="H54" i="4"/>
  <c r="E49" i="13"/>
  <c r="F49" i="13" s="1"/>
  <c r="F49" i="25"/>
  <c r="H49" i="25" s="1"/>
  <c r="B49" i="25"/>
  <c r="F48" i="29"/>
  <c r="B50" i="26"/>
  <c r="F50" i="26"/>
  <c r="G50" i="26" s="1"/>
  <c r="J132" i="27"/>
  <c r="H53" i="18"/>
  <c r="I53" i="18" s="1"/>
  <c r="F47" i="35"/>
  <c r="H47" i="35" s="1"/>
  <c r="B47" i="35"/>
  <c r="F46" i="37"/>
  <c r="H46" i="37" s="1"/>
  <c r="B46" i="37"/>
  <c r="B47" i="31"/>
  <c r="F47" i="31"/>
  <c r="H47" i="31" s="1"/>
  <c r="G54" i="4"/>
  <c r="E137" i="4"/>
  <c r="F137" i="4" s="1"/>
  <c r="B137" i="4"/>
  <c r="I136" i="4"/>
  <c r="H136" i="4"/>
  <c r="E136" i="18"/>
  <c r="F136" i="18" s="1"/>
  <c r="H135" i="18"/>
  <c r="I135" i="18"/>
  <c r="H129" i="35"/>
  <c r="I129" i="35"/>
  <c r="J131" i="25"/>
  <c r="J156" i="25" s="1"/>
  <c r="E130" i="35"/>
  <c r="F130" i="35" s="1"/>
  <c r="B130" i="35"/>
  <c r="E129" i="37"/>
  <c r="F129" i="37" s="1"/>
  <c r="B129" i="37"/>
  <c r="I128" i="37"/>
  <c r="H128" i="37"/>
  <c r="B134" i="28"/>
  <c r="E134" i="28"/>
  <c r="F134" i="28" s="1"/>
  <c r="H133" i="28"/>
  <c r="I133" i="28"/>
  <c r="D133" i="25"/>
  <c r="G132" i="25"/>
  <c r="B130" i="31"/>
  <c r="H129" i="31"/>
  <c r="I129" i="31"/>
  <c r="E130" i="31"/>
  <c r="F130" i="31" s="1"/>
  <c r="D130" i="38"/>
  <c r="E130" i="38" s="1"/>
  <c r="G129" i="38"/>
  <c r="J132" i="21"/>
  <c r="J128" i="34"/>
  <c r="H134" i="29"/>
  <c r="I134" i="29"/>
  <c r="G130" i="13"/>
  <c r="D131" i="13"/>
  <c r="E131" i="13" s="1"/>
  <c r="J129" i="13"/>
  <c r="G133" i="24"/>
  <c r="D134" i="24"/>
  <c r="E134" i="24" s="1"/>
  <c r="G133" i="21"/>
  <c r="D134" i="21"/>
  <c r="E134" i="21"/>
  <c r="J132" i="24"/>
  <c r="B136" i="19"/>
  <c r="G129" i="34"/>
  <c r="D130" i="34"/>
  <c r="E130" i="34" s="1"/>
  <c r="E136" i="19"/>
  <c r="F136" i="19" s="1"/>
  <c r="F135" i="29"/>
  <c r="J128" i="38"/>
  <c r="G133" i="27"/>
  <c r="D134" i="27"/>
  <c r="E134" i="27" s="1"/>
  <c r="I135" i="19"/>
  <c r="H135" i="19"/>
  <c r="F138" i="23"/>
  <c r="H137" i="23"/>
  <c r="I137" i="23"/>
  <c r="B137" i="3"/>
  <c r="F137" i="3"/>
  <c r="H136" i="3"/>
  <c r="I136" i="3"/>
  <c r="F133" i="22"/>
  <c r="B133" i="22"/>
  <c r="H129" i="20"/>
  <c r="I129" i="20"/>
  <c r="B130" i="20"/>
  <c r="F130" i="20"/>
  <c r="I132" i="22"/>
  <c r="H132" i="22"/>
  <c r="F53" i="39" l="1"/>
  <c r="B53" i="39"/>
  <c r="G53" i="39"/>
  <c r="H53" i="39"/>
  <c r="I53" i="39" s="1"/>
  <c r="D53" i="24"/>
  <c r="G52" i="24"/>
  <c r="H52" i="24"/>
  <c r="I51" i="24"/>
  <c r="D134" i="26"/>
  <c r="G133" i="26"/>
  <c r="G51" i="28"/>
  <c r="I51" i="28" s="1"/>
  <c r="J132" i="26"/>
  <c r="J133" i="28"/>
  <c r="J129" i="35"/>
  <c r="G47" i="31"/>
  <c r="I47" i="31" s="1"/>
  <c r="G45" i="38"/>
  <c r="I45" i="38" s="1"/>
  <c r="H50" i="26"/>
  <c r="I50" i="26" s="1"/>
  <c r="G47" i="34"/>
  <c r="I47" i="34" s="1"/>
  <c r="G46" i="37"/>
  <c r="I46" i="37" s="1"/>
  <c r="J137" i="23"/>
  <c r="G47" i="35"/>
  <c r="I47" i="35" s="1"/>
  <c r="D50" i="13"/>
  <c r="E50" i="13" s="1"/>
  <c r="H49" i="13"/>
  <c r="G49" i="13"/>
  <c r="J135" i="18"/>
  <c r="F52" i="21"/>
  <c r="G52" i="21" s="1"/>
  <c r="B52" i="21"/>
  <c r="B56" i="3"/>
  <c r="F56" i="3"/>
  <c r="D50" i="25"/>
  <c r="E50" i="25"/>
  <c r="D52" i="27"/>
  <c r="E52" i="27" s="1"/>
  <c r="F51" i="22"/>
  <c r="G51" i="22" s="1"/>
  <c r="B51" i="22"/>
  <c r="H51" i="27"/>
  <c r="I51" i="27" s="1"/>
  <c r="D48" i="31"/>
  <c r="E48" i="31" s="1"/>
  <c r="D49" i="29"/>
  <c r="E49" i="29" s="1"/>
  <c r="I54" i="4"/>
  <c r="J129" i="31"/>
  <c r="D48" i="35"/>
  <c r="E48" i="35"/>
  <c r="G48" i="29"/>
  <c r="D48" i="34"/>
  <c r="E48" i="34" s="1"/>
  <c r="D52" i="23"/>
  <c r="E52" i="23" s="1"/>
  <c r="B54" i="18"/>
  <c r="F54" i="18"/>
  <c r="H54" i="18" s="1"/>
  <c r="H48" i="29"/>
  <c r="G49" i="25"/>
  <c r="I49" i="25" s="1"/>
  <c r="B55" i="4"/>
  <c r="F55" i="4"/>
  <c r="F54" i="19"/>
  <c r="H54" i="19" s="1"/>
  <c r="B54" i="19"/>
  <c r="G51" i="23"/>
  <c r="I73" i="20"/>
  <c r="I74" i="20" s="1"/>
  <c r="H74" i="20"/>
  <c r="J136" i="3"/>
  <c r="D47" i="37"/>
  <c r="E47" i="37" s="1"/>
  <c r="D51" i="26"/>
  <c r="E51" i="26"/>
  <c r="D46" i="38"/>
  <c r="E46" i="38" s="1"/>
  <c r="H51" i="23"/>
  <c r="D52" i="28"/>
  <c r="E52" i="28" s="1"/>
  <c r="G130" i="35"/>
  <c r="D131" i="35"/>
  <c r="E131" i="35" s="1"/>
  <c r="G136" i="18"/>
  <c r="D137" i="18"/>
  <c r="J136" i="4"/>
  <c r="D138" i="4"/>
  <c r="G137" i="4"/>
  <c r="G134" i="28"/>
  <c r="D135" i="28"/>
  <c r="E135" i="28" s="1"/>
  <c r="G130" i="31"/>
  <c r="D131" i="31"/>
  <c r="E131" i="31" s="1"/>
  <c r="H132" i="25"/>
  <c r="I132" i="25"/>
  <c r="J128" i="37"/>
  <c r="E133" i="25"/>
  <c r="F133" i="25" s="1"/>
  <c r="B133" i="25"/>
  <c r="D130" i="37"/>
  <c r="E130" i="37" s="1"/>
  <c r="G129" i="37"/>
  <c r="J132" i="22"/>
  <c r="D137" i="19"/>
  <c r="E137" i="19" s="1"/>
  <c r="G136" i="19"/>
  <c r="H133" i="27"/>
  <c r="I133" i="27"/>
  <c r="B130" i="34"/>
  <c r="F130" i="34"/>
  <c r="J135" i="19"/>
  <c r="G135" i="29"/>
  <c r="D136" i="29"/>
  <c r="E136" i="29" s="1"/>
  <c r="I129" i="34"/>
  <c r="H129" i="34"/>
  <c r="F134" i="24"/>
  <c r="B134" i="24"/>
  <c r="B134" i="21"/>
  <c r="F134" i="21"/>
  <c r="H133" i="24"/>
  <c r="I133" i="24"/>
  <c r="I133" i="21"/>
  <c r="H133" i="21"/>
  <c r="H129" i="38"/>
  <c r="I129" i="38"/>
  <c r="F131" i="13"/>
  <c r="B131" i="13"/>
  <c r="J129" i="20"/>
  <c r="B134" i="27"/>
  <c r="F134" i="27"/>
  <c r="H130" i="13"/>
  <c r="I130" i="13"/>
  <c r="F130" i="38"/>
  <c r="B130" i="38"/>
  <c r="G138" i="23"/>
  <c r="D139" i="23"/>
  <c r="E139" i="23" s="1"/>
  <c r="D131" i="20"/>
  <c r="E131" i="20" s="1"/>
  <c r="G130" i="20"/>
  <c r="G133" i="22"/>
  <c r="D134" i="22"/>
  <c r="E134" i="22" s="1"/>
  <c r="D138" i="3"/>
  <c r="G137" i="3"/>
  <c r="D54" i="39" l="1"/>
  <c r="E54" i="39" s="1"/>
  <c r="F54" i="39" s="1"/>
  <c r="I52" i="24"/>
  <c r="E53" i="24"/>
  <c r="F53" i="24" s="1"/>
  <c r="H53" i="24" s="1"/>
  <c r="B53" i="24"/>
  <c r="I133" i="26"/>
  <c r="H133" i="26"/>
  <c r="E134" i="26"/>
  <c r="F134" i="26" s="1"/>
  <c r="B134" i="26"/>
  <c r="I48" i="29"/>
  <c r="I51" i="23"/>
  <c r="B52" i="23"/>
  <c r="F52" i="23"/>
  <c r="G52" i="23" s="1"/>
  <c r="F47" i="37"/>
  <c r="G47" i="37" s="1"/>
  <c r="B47" i="37"/>
  <c r="F49" i="29"/>
  <c r="D52" i="22"/>
  <c r="E52" i="22" s="1"/>
  <c r="B50" i="25"/>
  <c r="F50" i="25"/>
  <c r="G50" i="25" s="1"/>
  <c r="D53" i="21"/>
  <c r="E53" i="21" s="1"/>
  <c r="F52" i="28"/>
  <c r="G52" i="28" s="1"/>
  <c r="B52" i="28"/>
  <c r="D55" i="19"/>
  <c r="E55" i="19" s="1"/>
  <c r="B48" i="34"/>
  <c r="F48" i="34"/>
  <c r="H48" i="34" s="1"/>
  <c r="D57" i="3"/>
  <c r="E57" i="3" s="1"/>
  <c r="D56" i="4"/>
  <c r="E56" i="4" s="1"/>
  <c r="F52" i="27"/>
  <c r="H52" i="27" s="1"/>
  <c r="B52" i="27"/>
  <c r="H56" i="3"/>
  <c r="G55" i="4"/>
  <c r="D55" i="18"/>
  <c r="E55" i="18" s="1"/>
  <c r="F48" i="31"/>
  <c r="H48" i="31" s="1"/>
  <c r="B48" i="31"/>
  <c r="G56" i="3"/>
  <c r="I49" i="13"/>
  <c r="B46" i="38"/>
  <c r="F46" i="38"/>
  <c r="G54" i="18"/>
  <c r="I54" i="18" s="1"/>
  <c r="B48" i="35"/>
  <c r="F48" i="35"/>
  <c r="H48" i="35" s="1"/>
  <c r="H55" i="4"/>
  <c r="H51" i="22"/>
  <c r="I51" i="22" s="1"/>
  <c r="H52" i="21"/>
  <c r="I52" i="21" s="1"/>
  <c r="B50" i="13"/>
  <c r="F50" i="13"/>
  <c r="G50" i="13" s="1"/>
  <c r="J133" i="27"/>
  <c r="F51" i="26"/>
  <c r="G51" i="26" s="1"/>
  <c r="B51" i="26"/>
  <c r="G54" i="19"/>
  <c r="I54" i="19" s="1"/>
  <c r="E137" i="18"/>
  <c r="F137" i="18" s="1"/>
  <c r="B137" i="18"/>
  <c r="H137" i="4"/>
  <c r="I137" i="4"/>
  <c r="I136" i="18"/>
  <c r="H136" i="18"/>
  <c r="E138" i="4"/>
  <c r="F138" i="4" s="1"/>
  <c r="B138" i="4"/>
  <c r="B131" i="35"/>
  <c r="F131" i="35"/>
  <c r="J130" i="13"/>
  <c r="J133" i="24"/>
  <c r="I130" i="35"/>
  <c r="H130" i="35"/>
  <c r="G133" i="25"/>
  <c r="D134" i="25"/>
  <c r="E134" i="25" s="1"/>
  <c r="H129" i="37"/>
  <c r="I129" i="37"/>
  <c r="F130" i="37"/>
  <c r="B130" i="37"/>
  <c r="B131" i="31"/>
  <c r="F131" i="31"/>
  <c r="H130" i="31"/>
  <c r="I130" i="31"/>
  <c r="B135" i="28"/>
  <c r="F135" i="28"/>
  <c r="H134" i="28"/>
  <c r="I134" i="28"/>
  <c r="J129" i="38"/>
  <c r="D131" i="34"/>
  <c r="E131" i="34" s="1"/>
  <c r="G130" i="34"/>
  <c r="G131" i="13"/>
  <c r="D132" i="13"/>
  <c r="E132" i="13" s="1"/>
  <c r="G134" i="21"/>
  <c r="D135" i="21"/>
  <c r="E135" i="21" s="1"/>
  <c r="J129" i="34"/>
  <c r="G134" i="24"/>
  <c r="D135" i="24"/>
  <c r="E135" i="24" s="1"/>
  <c r="H136" i="19"/>
  <c r="I136" i="19"/>
  <c r="D135" i="27"/>
  <c r="G134" i="27"/>
  <c r="G130" i="38"/>
  <c r="D131" i="38"/>
  <c r="E131" i="38" s="1"/>
  <c r="F136" i="29"/>
  <c r="J133" i="21"/>
  <c r="H135" i="29"/>
  <c r="I135" i="29"/>
  <c r="B137" i="19"/>
  <c r="F137" i="19"/>
  <c r="H138" i="23"/>
  <c r="I138" i="23"/>
  <c r="H133" i="22"/>
  <c r="I133" i="22"/>
  <c r="B138" i="3"/>
  <c r="I130" i="20"/>
  <c r="H130" i="20"/>
  <c r="F134" i="22"/>
  <c r="B134" i="22"/>
  <c r="E138" i="3"/>
  <c r="F138" i="3" s="1"/>
  <c r="F131" i="20"/>
  <c r="B131" i="20"/>
  <c r="H137" i="3"/>
  <c r="I137" i="3"/>
  <c r="F139" i="23"/>
  <c r="D55" i="39" l="1"/>
  <c r="E55" i="39" s="1"/>
  <c r="B54" i="39"/>
  <c r="G54" i="39"/>
  <c r="H54" i="39"/>
  <c r="G53" i="24"/>
  <c r="I53" i="24" s="1"/>
  <c r="D54" i="24"/>
  <c r="J137" i="4"/>
  <c r="D135" i="26"/>
  <c r="B135" i="26" s="1"/>
  <c r="G134" i="26"/>
  <c r="J133" i="26"/>
  <c r="H51" i="26"/>
  <c r="I51" i="26" s="1"/>
  <c r="G48" i="31"/>
  <c r="I48" i="31" s="1"/>
  <c r="H47" i="37"/>
  <c r="I47" i="37" s="1"/>
  <c r="I55" i="4"/>
  <c r="G48" i="35"/>
  <c r="I48" i="35" s="1"/>
  <c r="G52" i="27"/>
  <c r="I52" i="27" s="1"/>
  <c r="H52" i="28"/>
  <c r="I52" i="28" s="1"/>
  <c r="H50" i="25"/>
  <c r="I50" i="25" s="1"/>
  <c r="I56" i="3"/>
  <c r="F57" i="3"/>
  <c r="H57" i="3" s="1"/>
  <c r="B57" i="3"/>
  <c r="D47" i="38"/>
  <c r="E47" i="38"/>
  <c r="D49" i="34"/>
  <c r="E49" i="34" s="1"/>
  <c r="D53" i="28"/>
  <c r="E53" i="28" s="1"/>
  <c r="B52" i="22"/>
  <c r="F52" i="22"/>
  <c r="G52" i="22" s="1"/>
  <c r="D48" i="37"/>
  <c r="E48" i="37" s="1"/>
  <c r="D52" i="26"/>
  <c r="E52" i="26" s="1"/>
  <c r="D49" i="31"/>
  <c r="E49" i="31" s="1"/>
  <c r="D53" i="27"/>
  <c r="E53" i="27" s="1"/>
  <c r="D50" i="29"/>
  <c r="E50" i="29" s="1"/>
  <c r="G46" i="38"/>
  <c r="G48" i="34"/>
  <c r="I48" i="34" s="1"/>
  <c r="F53" i="21"/>
  <c r="B53" i="21"/>
  <c r="G49" i="29"/>
  <c r="D53" i="23"/>
  <c r="E53" i="23" s="1"/>
  <c r="D51" i="13"/>
  <c r="H46" i="38"/>
  <c r="B55" i="18"/>
  <c r="F55" i="18"/>
  <c r="D51" i="25"/>
  <c r="E51" i="25" s="1"/>
  <c r="H49" i="29"/>
  <c r="H50" i="13"/>
  <c r="I50" i="13" s="1"/>
  <c r="D49" i="35"/>
  <c r="E49" i="35" s="1"/>
  <c r="F56" i="4"/>
  <c r="G56" i="4" s="1"/>
  <c r="B56" i="4"/>
  <c r="B55" i="19"/>
  <c r="F55" i="19"/>
  <c r="H55" i="19" s="1"/>
  <c r="H52" i="23"/>
  <c r="I52" i="23" s="1"/>
  <c r="J134" i="28"/>
  <c r="J130" i="35"/>
  <c r="J136" i="18"/>
  <c r="J129" i="37"/>
  <c r="D139" i="4"/>
  <c r="B139" i="4" s="1"/>
  <c r="G138" i="4"/>
  <c r="D132" i="35"/>
  <c r="G131" i="35"/>
  <c r="J130" i="31"/>
  <c r="D138" i="18"/>
  <c r="G137" i="18"/>
  <c r="G130" i="37"/>
  <c r="D131" i="37"/>
  <c r="G135" i="28"/>
  <c r="D136" i="28"/>
  <c r="B134" i="25"/>
  <c r="F134" i="25"/>
  <c r="D132" i="31"/>
  <c r="G131" i="31"/>
  <c r="H133" i="25"/>
  <c r="I133" i="25"/>
  <c r="J133" i="22"/>
  <c r="J138" i="23"/>
  <c r="J136" i="19"/>
  <c r="G136" i="29"/>
  <c r="D137" i="29"/>
  <c r="F135" i="24"/>
  <c r="B135" i="24"/>
  <c r="I130" i="34"/>
  <c r="H130" i="34"/>
  <c r="H134" i="24"/>
  <c r="I134" i="24"/>
  <c r="B132" i="13"/>
  <c r="F132" i="13"/>
  <c r="B131" i="34"/>
  <c r="F131" i="34"/>
  <c r="B135" i="27"/>
  <c r="H131" i="13"/>
  <c r="I131" i="13"/>
  <c r="H130" i="38"/>
  <c r="I130" i="38"/>
  <c r="B135" i="21"/>
  <c r="F135" i="21"/>
  <c r="F131" i="38"/>
  <c r="B131" i="38"/>
  <c r="E135" i="27"/>
  <c r="F135" i="27" s="1"/>
  <c r="H134" i="21"/>
  <c r="I134" i="21"/>
  <c r="D138" i="19"/>
  <c r="E138" i="19" s="1"/>
  <c r="G137" i="19"/>
  <c r="J137" i="3"/>
  <c r="H134" i="27"/>
  <c r="I134" i="27"/>
  <c r="G138" i="3"/>
  <c r="D139" i="3"/>
  <c r="E139" i="3" s="1"/>
  <c r="D140" i="23"/>
  <c r="E140" i="23" s="1"/>
  <c r="G139" i="23"/>
  <c r="D135" i="22"/>
  <c r="E135" i="22" s="1"/>
  <c r="G134" i="22"/>
  <c r="D132" i="20"/>
  <c r="G131" i="20"/>
  <c r="J130" i="20"/>
  <c r="I54" i="39" l="1"/>
  <c r="F55" i="39"/>
  <c r="B55" i="39"/>
  <c r="G55" i="39"/>
  <c r="E135" i="26"/>
  <c r="E54" i="24"/>
  <c r="F54" i="24" s="1"/>
  <c r="H54" i="24" s="1"/>
  <c r="B54" i="24"/>
  <c r="J134" i="21"/>
  <c r="F135" i="26"/>
  <c r="I134" i="26"/>
  <c r="H134" i="26"/>
  <c r="H56" i="4"/>
  <c r="I56" i="4" s="1"/>
  <c r="I49" i="29"/>
  <c r="H52" i="22"/>
  <c r="I52" i="22" s="1"/>
  <c r="I46" i="38"/>
  <c r="G57" i="3"/>
  <c r="I57" i="3" s="1"/>
  <c r="D56" i="18"/>
  <c r="E56" i="18" s="1"/>
  <c r="G55" i="18"/>
  <c r="D54" i="21"/>
  <c r="E54" i="21" s="1"/>
  <c r="F49" i="31"/>
  <c r="B49" i="31"/>
  <c r="D56" i="19"/>
  <c r="E56" i="19" s="1"/>
  <c r="F49" i="35"/>
  <c r="G49" i="35" s="1"/>
  <c r="B49" i="35"/>
  <c r="B52" i="26"/>
  <c r="F52" i="26"/>
  <c r="H52" i="26" s="1"/>
  <c r="B53" i="28"/>
  <c r="F53" i="28"/>
  <c r="H53" i="28" s="1"/>
  <c r="G55" i="19"/>
  <c r="I55" i="19" s="1"/>
  <c r="B53" i="23"/>
  <c r="F53" i="23"/>
  <c r="H53" i="23" s="1"/>
  <c r="B51" i="13"/>
  <c r="F50" i="29"/>
  <c r="B48" i="37"/>
  <c r="F48" i="37"/>
  <c r="G48" i="37" s="1"/>
  <c r="B49" i="34"/>
  <c r="F49" i="34"/>
  <c r="H49" i="34" s="1"/>
  <c r="B51" i="25"/>
  <c r="F51" i="25"/>
  <c r="G51" i="25" s="1"/>
  <c r="E51" i="13"/>
  <c r="F51" i="13" s="1"/>
  <c r="H53" i="21"/>
  <c r="D58" i="3"/>
  <c r="E58" i="3" s="1"/>
  <c r="D57" i="4"/>
  <c r="E57" i="4" s="1"/>
  <c r="H55" i="18"/>
  <c r="G53" i="21"/>
  <c r="F53" i="27"/>
  <c r="H53" i="27" s="1"/>
  <c r="B53" i="27"/>
  <c r="D53" i="22"/>
  <c r="E53" i="22" s="1"/>
  <c r="F47" i="38"/>
  <c r="H47" i="38" s="1"/>
  <c r="B47" i="38"/>
  <c r="E132" i="35"/>
  <c r="F132" i="35" s="1"/>
  <c r="B132" i="35"/>
  <c r="I138" i="4"/>
  <c r="H138" i="4"/>
  <c r="H137" i="18"/>
  <c r="I137" i="18"/>
  <c r="E138" i="18"/>
  <c r="F138" i="18" s="1"/>
  <c r="B138" i="18"/>
  <c r="J134" i="27"/>
  <c r="H131" i="35"/>
  <c r="I131" i="35"/>
  <c r="E139" i="4"/>
  <c r="F139" i="4" s="1"/>
  <c r="I131" i="31"/>
  <c r="H131" i="31"/>
  <c r="E132" i="31"/>
  <c r="F132" i="31" s="1"/>
  <c r="B132" i="31"/>
  <c r="G134" i="25"/>
  <c r="D135" i="25"/>
  <c r="E136" i="28"/>
  <c r="F136" i="28" s="1"/>
  <c r="B136" i="28"/>
  <c r="I135" i="28"/>
  <c r="H135" i="28"/>
  <c r="E131" i="37"/>
  <c r="F131" i="37" s="1"/>
  <c r="B131" i="37"/>
  <c r="H130" i="37"/>
  <c r="I130" i="37"/>
  <c r="J130" i="38"/>
  <c r="J131" i="13"/>
  <c r="J156" i="13" s="1"/>
  <c r="J134" i="24"/>
  <c r="I136" i="29"/>
  <c r="H136" i="29"/>
  <c r="G131" i="38"/>
  <c r="D132" i="38"/>
  <c r="H137" i="19"/>
  <c r="I137" i="19"/>
  <c r="G135" i="27"/>
  <c r="D136" i="27"/>
  <c r="E136" i="27" s="1"/>
  <c r="B138" i="19"/>
  <c r="F138" i="19"/>
  <c r="J130" i="34"/>
  <c r="D132" i="34"/>
  <c r="E132" i="34" s="1"/>
  <c r="G131" i="34"/>
  <c r="G135" i="24"/>
  <c r="D136" i="24"/>
  <c r="E136" i="24" s="1"/>
  <c r="D136" i="21"/>
  <c r="E136" i="21" s="1"/>
  <c r="G135" i="21"/>
  <c r="D133" i="13"/>
  <c r="E133" i="13" s="1"/>
  <c r="G132" i="13"/>
  <c r="E137" i="29"/>
  <c r="F137" i="29" s="1"/>
  <c r="F140" i="23"/>
  <c r="B139" i="3"/>
  <c r="F139" i="3"/>
  <c r="H138" i="3"/>
  <c r="I138" i="3"/>
  <c r="H134" i="22"/>
  <c r="I134" i="22"/>
  <c r="I131" i="20"/>
  <c r="H131" i="20"/>
  <c r="B132" i="20"/>
  <c r="F135" i="22"/>
  <c r="B135" i="22"/>
  <c r="E132" i="20"/>
  <c r="F132" i="20" s="1"/>
  <c r="I139" i="23"/>
  <c r="H139" i="23"/>
  <c r="D56" i="39" l="1"/>
  <c r="E56" i="39" s="1"/>
  <c r="H55" i="39"/>
  <c r="I55" i="39" s="1"/>
  <c r="G49" i="34"/>
  <c r="I49" i="34" s="1"/>
  <c r="G54" i="24"/>
  <c r="I54" i="24" s="1"/>
  <c r="D55" i="24"/>
  <c r="J134" i="26"/>
  <c r="G135" i="26"/>
  <c r="D136" i="26"/>
  <c r="B136" i="26" s="1"/>
  <c r="I55" i="18"/>
  <c r="J137" i="19"/>
  <c r="I53" i="21"/>
  <c r="H49" i="35"/>
  <c r="I49" i="35" s="1"/>
  <c r="G47" i="38"/>
  <c r="I47" i="38" s="1"/>
  <c r="H51" i="25"/>
  <c r="I51" i="25" s="1"/>
  <c r="H48" i="37"/>
  <c r="I48" i="37" s="1"/>
  <c r="G53" i="27"/>
  <c r="I53" i="27" s="1"/>
  <c r="D52" i="13"/>
  <c r="E52" i="13" s="1"/>
  <c r="H51" i="13"/>
  <c r="G51" i="13"/>
  <c r="F53" i="22"/>
  <c r="H53" i="22" s="1"/>
  <c r="B53" i="22"/>
  <c r="B57" i="4"/>
  <c r="F57" i="4"/>
  <c r="D50" i="31"/>
  <c r="E50" i="31" s="1"/>
  <c r="D51" i="29"/>
  <c r="E51" i="29" s="1"/>
  <c r="G49" i="31"/>
  <c r="F58" i="3"/>
  <c r="H58" i="3" s="1"/>
  <c r="B58" i="3"/>
  <c r="D50" i="34"/>
  <c r="E50" i="34" s="1"/>
  <c r="H50" i="29"/>
  <c r="D54" i="23"/>
  <c r="E54" i="23" s="1"/>
  <c r="D50" i="35"/>
  <c r="E50" i="35" s="1"/>
  <c r="G50" i="29"/>
  <c r="D53" i="26"/>
  <c r="E53" i="26" s="1"/>
  <c r="B54" i="21"/>
  <c r="F54" i="21"/>
  <c r="G54" i="21" s="1"/>
  <c r="D54" i="27"/>
  <c r="E54" i="27" s="1"/>
  <c r="G53" i="23"/>
  <c r="I53" i="23" s="1"/>
  <c r="G52" i="26"/>
  <c r="I52" i="26" s="1"/>
  <c r="B56" i="19"/>
  <c r="F56" i="19"/>
  <c r="D48" i="38"/>
  <c r="E48" i="38"/>
  <c r="D54" i="28"/>
  <c r="E54" i="28" s="1"/>
  <c r="F56" i="18"/>
  <c r="H56" i="18" s="1"/>
  <c r="B56" i="18"/>
  <c r="J138" i="4"/>
  <c r="D52" i="25"/>
  <c r="E52" i="25" s="1"/>
  <c r="D49" i="37"/>
  <c r="E49" i="37" s="1"/>
  <c r="G53" i="28"/>
  <c r="I53" i="28" s="1"/>
  <c r="H49" i="31"/>
  <c r="D139" i="18"/>
  <c r="B139" i="18" s="1"/>
  <c r="G138" i="18"/>
  <c r="J137" i="18"/>
  <c r="G139" i="4"/>
  <c r="D140" i="4"/>
  <c r="J130" i="37"/>
  <c r="J131" i="35"/>
  <c r="J156" i="35" s="1"/>
  <c r="G132" i="35"/>
  <c r="D133" i="35"/>
  <c r="G136" i="28"/>
  <c r="D137" i="28"/>
  <c r="G131" i="37"/>
  <c r="D132" i="37"/>
  <c r="B135" i="25"/>
  <c r="E135" i="25"/>
  <c r="F135" i="25" s="1"/>
  <c r="H134" i="25"/>
  <c r="I134" i="25"/>
  <c r="D133" i="31"/>
  <c r="E133" i="31" s="1"/>
  <c r="G132" i="31"/>
  <c r="J135" i="28"/>
  <c r="J131" i="31"/>
  <c r="J134" i="22"/>
  <c r="G137" i="29"/>
  <c r="D138" i="29"/>
  <c r="E138" i="29" s="1"/>
  <c r="I131" i="34"/>
  <c r="H131" i="34"/>
  <c r="B132" i="38"/>
  <c r="F132" i="34"/>
  <c r="B132" i="34"/>
  <c r="G138" i="19"/>
  <c r="D139" i="19"/>
  <c r="H131" i="38"/>
  <c r="I131" i="38"/>
  <c r="B133" i="13"/>
  <c r="F133" i="13"/>
  <c r="B136" i="21"/>
  <c r="F136" i="21"/>
  <c r="E132" i="38"/>
  <c r="F132" i="38" s="1"/>
  <c r="I135" i="24"/>
  <c r="H135" i="24"/>
  <c r="H135" i="21"/>
  <c r="I135" i="21"/>
  <c r="F136" i="27"/>
  <c r="B136" i="27"/>
  <c r="I132" i="13"/>
  <c r="H132" i="13"/>
  <c r="F136" i="24"/>
  <c r="B136" i="24"/>
  <c r="H135" i="27"/>
  <c r="I135" i="27"/>
  <c r="G132" i="20"/>
  <c r="D133" i="20"/>
  <c r="E133" i="20" s="1"/>
  <c r="G139" i="3"/>
  <c r="D140" i="3"/>
  <c r="J139" i="23"/>
  <c r="J131" i="20"/>
  <c r="G135" i="22"/>
  <c r="D136" i="22"/>
  <c r="J138" i="3"/>
  <c r="D141" i="23"/>
  <c r="E141" i="23" s="1"/>
  <c r="G140" i="23"/>
  <c r="B56" i="39" l="1"/>
  <c r="F56" i="39"/>
  <c r="G56" i="39"/>
  <c r="H56" i="39"/>
  <c r="I56" i="39" s="1"/>
  <c r="E136" i="26"/>
  <c r="F136" i="26" s="1"/>
  <c r="E55" i="24"/>
  <c r="F55" i="24" s="1"/>
  <c r="B55" i="24"/>
  <c r="H135" i="26"/>
  <c r="I135" i="26"/>
  <c r="I49" i="31"/>
  <c r="H54" i="21"/>
  <c r="I54" i="21" s="1"/>
  <c r="E139" i="18"/>
  <c r="F139" i="18" s="1"/>
  <c r="G56" i="18"/>
  <c r="I56" i="18" s="1"/>
  <c r="B48" i="38"/>
  <c r="F48" i="38"/>
  <c r="B49" i="37"/>
  <c r="F49" i="37"/>
  <c r="D57" i="19"/>
  <c r="E57" i="19" s="1"/>
  <c r="B54" i="27"/>
  <c r="F54" i="27"/>
  <c r="F50" i="31"/>
  <c r="G50" i="31" s="1"/>
  <c r="B50" i="31"/>
  <c r="J131" i="38"/>
  <c r="J156" i="38" s="1"/>
  <c r="G56" i="19"/>
  <c r="B50" i="35"/>
  <c r="F50" i="35"/>
  <c r="G50" i="35" s="1"/>
  <c r="D59" i="3"/>
  <c r="E59" i="3" s="1"/>
  <c r="D54" i="22"/>
  <c r="E54" i="22" s="1"/>
  <c r="F52" i="25"/>
  <c r="H52" i="25" s="1"/>
  <c r="B52" i="25"/>
  <c r="D55" i="21"/>
  <c r="E55" i="21" s="1"/>
  <c r="G58" i="3"/>
  <c r="I58" i="3" s="1"/>
  <c r="D58" i="4"/>
  <c r="E58" i="4" s="1"/>
  <c r="H56" i="19"/>
  <c r="B54" i="23"/>
  <c r="F54" i="23"/>
  <c r="G54" i="23" s="1"/>
  <c r="I50" i="29"/>
  <c r="H57" i="4"/>
  <c r="I51" i="13"/>
  <c r="B54" i="28"/>
  <c r="F54" i="28"/>
  <c r="G57" i="4"/>
  <c r="D57" i="18"/>
  <c r="E57" i="18" s="1"/>
  <c r="F53" i="26"/>
  <c r="H53" i="26" s="1"/>
  <c r="B53" i="26"/>
  <c r="B50" i="34"/>
  <c r="F50" i="34"/>
  <c r="F51" i="29"/>
  <c r="G53" i="22"/>
  <c r="I53" i="22" s="1"/>
  <c r="B52" i="13"/>
  <c r="F52" i="13"/>
  <c r="G52" i="13" s="1"/>
  <c r="B140" i="4"/>
  <c r="E140" i="4"/>
  <c r="F140" i="4" s="1"/>
  <c r="H139" i="4"/>
  <c r="I139" i="4"/>
  <c r="J135" i="24"/>
  <c r="E133" i="35"/>
  <c r="F133" i="35" s="1"/>
  <c r="B133" i="35"/>
  <c r="H138" i="18"/>
  <c r="I138" i="18"/>
  <c r="H132" i="35"/>
  <c r="I132" i="35"/>
  <c r="G135" i="25"/>
  <c r="D136" i="25"/>
  <c r="B132" i="37"/>
  <c r="H132" i="31"/>
  <c r="I132" i="31"/>
  <c r="E132" i="37"/>
  <c r="F132" i="37" s="1"/>
  <c r="H131" i="37"/>
  <c r="I131" i="37"/>
  <c r="B133" i="31"/>
  <c r="F133" i="31"/>
  <c r="E137" i="28"/>
  <c r="F137" i="28" s="1"/>
  <c r="B137" i="28"/>
  <c r="H136" i="28"/>
  <c r="I136" i="28"/>
  <c r="J131" i="34"/>
  <c r="J156" i="34" s="1"/>
  <c r="J135" i="27"/>
  <c r="D133" i="38"/>
  <c r="E133" i="38" s="1"/>
  <c r="G132" i="38"/>
  <c r="B139" i="19"/>
  <c r="F138" i="29"/>
  <c r="D137" i="27"/>
  <c r="G136" i="27"/>
  <c r="D137" i="21"/>
  <c r="E137" i="21" s="1"/>
  <c r="G136" i="21"/>
  <c r="E139" i="19"/>
  <c r="F139" i="19" s="1"/>
  <c r="H137" i="29"/>
  <c r="I137" i="29"/>
  <c r="H138" i="19"/>
  <c r="I138" i="19"/>
  <c r="G136" i="24"/>
  <c r="D137" i="24"/>
  <c r="E137" i="24" s="1"/>
  <c r="G133" i="13"/>
  <c r="D134" i="13"/>
  <c r="E134" i="13" s="1"/>
  <c r="D133" i="34"/>
  <c r="G132" i="34"/>
  <c r="J135" i="21"/>
  <c r="B140" i="3"/>
  <c r="B133" i="20"/>
  <c r="F133" i="20"/>
  <c r="H132" i="20"/>
  <c r="I132" i="20"/>
  <c r="H139" i="3"/>
  <c r="I139" i="3"/>
  <c r="B136" i="22"/>
  <c r="I135" i="22"/>
  <c r="H135" i="22"/>
  <c r="H140" i="23"/>
  <c r="I140" i="23"/>
  <c r="F141" i="23"/>
  <c r="E140" i="3"/>
  <c r="F140" i="3" s="1"/>
  <c r="E136" i="22"/>
  <c r="F136" i="22" s="1"/>
  <c r="D57" i="39" l="1"/>
  <c r="E57" i="39" s="1"/>
  <c r="H55" i="24"/>
  <c r="D56" i="24"/>
  <c r="G55" i="24"/>
  <c r="J135" i="26"/>
  <c r="D137" i="26"/>
  <c r="G136" i="26"/>
  <c r="G52" i="25"/>
  <c r="I52" i="25" s="1"/>
  <c r="H50" i="31"/>
  <c r="I50" i="31" s="1"/>
  <c r="J132" i="20"/>
  <c r="G53" i="26"/>
  <c r="I53" i="26" s="1"/>
  <c r="H50" i="35"/>
  <c r="I50" i="35" s="1"/>
  <c r="I57" i="4"/>
  <c r="G139" i="18"/>
  <c r="D140" i="18"/>
  <c r="J132" i="31"/>
  <c r="D51" i="34"/>
  <c r="E51" i="34" s="1"/>
  <c r="F58" i="4"/>
  <c r="G58" i="4" s="1"/>
  <c r="B58" i="4"/>
  <c r="D55" i="27"/>
  <c r="E55" i="27" s="1"/>
  <c r="D50" i="37"/>
  <c r="E50" i="37" s="1"/>
  <c r="D53" i="13"/>
  <c r="E53" i="13" s="1"/>
  <c r="B57" i="18"/>
  <c r="F57" i="18"/>
  <c r="H52" i="13"/>
  <c r="I52" i="13" s="1"/>
  <c r="H50" i="34"/>
  <c r="G54" i="27"/>
  <c r="G50" i="34"/>
  <c r="D55" i="28"/>
  <c r="E55" i="28" s="1"/>
  <c r="D55" i="23"/>
  <c r="E55" i="23" s="1"/>
  <c r="B55" i="21"/>
  <c r="F55" i="21"/>
  <c r="H55" i="21" s="1"/>
  <c r="F54" i="22"/>
  <c r="H54" i="22" s="1"/>
  <c r="B54" i="22"/>
  <c r="H54" i="27"/>
  <c r="J139" i="4"/>
  <c r="G54" i="28"/>
  <c r="H54" i="23"/>
  <c r="I54" i="23" s="1"/>
  <c r="D49" i="38"/>
  <c r="E49" i="38" s="1"/>
  <c r="D52" i="29"/>
  <c r="E52" i="29" s="1"/>
  <c r="B59" i="3"/>
  <c r="F59" i="3"/>
  <c r="G59" i="3" s="1"/>
  <c r="F57" i="19"/>
  <c r="H57" i="19" s="1"/>
  <c r="B57" i="19"/>
  <c r="H51" i="29"/>
  <c r="H54" i="28"/>
  <c r="I56" i="19"/>
  <c r="H49" i="37"/>
  <c r="G48" i="38"/>
  <c r="G51" i="29"/>
  <c r="D54" i="26"/>
  <c r="E54" i="26" s="1"/>
  <c r="D53" i="25"/>
  <c r="E53" i="25" s="1"/>
  <c r="D51" i="35"/>
  <c r="E51" i="35" s="1"/>
  <c r="D51" i="31"/>
  <c r="E51" i="31" s="1"/>
  <c r="G49" i="37"/>
  <c r="H48" i="38"/>
  <c r="D134" i="35"/>
  <c r="G133" i="35"/>
  <c r="J140" i="23"/>
  <c r="J139" i="3"/>
  <c r="J136" i="28"/>
  <c r="D141" i="4"/>
  <c r="G140" i="4"/>
  <c r="J138" i="18"/>
  <c r="G132" i="37"/>
  <c r="D133" i="37"/>
  <c r="E133" i="37" s="1"/>
  <c r="D138" i="28"/>
  <c r="G137" i="28"/>
  <c r="D134" i="31"/>
  <c r="G133" i="31"/>
  <c r="J138" i="19"/>
  <c r="E136" i="25"/>
  <c r="F136" i="25" s="1"/>
  <c r="B136" i="25"/>
  <c r="J131" i="37"/>
  <c r="J156" i="37" s="1"/>
  <c r="H135" i="25"/>
  <c r="I135" i="25"/>
  <c r="F137" i="24"/>
  <c r="B137" i="24"/>
  <c r="B137" i="27"/>
  <c r="H136" i="27"/>
  <c r="I136" i="27"/>
  <c r="H133" i="13"/>
  <c r="I133" i="13"/>
  <c r="H136" i="24"/>
  <c r="I136" i="24"/>
  <c r="B133" i="34"/>
  <c r="D139" i="29"/>
  <c r="E139" i="29" s="1"/>
  <c r="G138" i="29"/>
  <c r="I136" i="21"/>
  <c r="H136" i="21"/>
  <c r="F134" i="13"/>
  <c r="B134" i="13"/>
  <c r="E133" i="34"/>
  <c r="F133" i="34" s="1"/>
  <c r="B137" i="21"/>
  <c r="F137" i="21"/>
  <c r="H132" i="38"/>
  <c r="I132" i="38"/>
  <c r="G139" i="19"/>
  <c r="D140" i="19"/>
  <c r="H132" i="34"/>
  <c r="I132" i="34"/>
  <c r="E137" i="27"/>
  <c r="F137" i="27" s="1"/>
  <c r="F133" i="38"/>
  <c r="B133" i="38"/>
  <c r="G140" i="3"/>
  <c r="D141" i="3"/>
  <c r="E141" i="3" s="1"/>
  <c r="D142" i="23"/>
  <c r="E142" i="23" s="1"/>
  <c r="G141" i="23"/>
  <c r="G136" i="22"/>
  <c r="D137" i="22"/>
  <c r="E137" i="22" s="1"/>
  <c r="D134" i="20"/>
  <c r="G133" i="20"/>
  <c r="J135" i="22"/>
  <c r="I55" i="24" l="1"/>
  <c r="F57" i="39"/>
  <c r="B57" i="39"/>
  <c r="G57" i="39"/>
  <c r="E56" i="24"/>
  <c r="F56" i="24" s="1"/>
  <c r="G56" i="24" s="1"/>
  <c r="B56" i="24"/>
  <c r="I54" i="28"/>
  <c r="I136" i="26"/>
  <c r="H136" i="26"/>
  <c r="E137" i="26"/>
  <c r="F137" i="26" s="1"/>
  <c r="B137" i="26"/>
  <c r="I51" i="29"/>
  <c r="I54" i="27"/>
  <c r="B140" i="18"/>
  <c r="E140" i="18"/>
  <c r="F140" i="18" s="1"/>
  <c r="H139" i="18"/>
  <c r="I139" i="18"/>
  <c r="I48" i="38"/>
  <c r="D58" i="18"/>
  <c r="E58" i="18" s="1"/>
  <c r="B55" i="27"/>
  <c r="F55" i="27"/>
  <c r="G55" i="27" s="1"/>
  <c r="F54" i="26"/>
  <c r="H54" i="26" s="1"/>
  <c r="B54" i="26"/>
  <c r="B49" i="38"/>
  <c r="F49" i="38"/>
  <c r="G49" i="38" s="1"/>
  <c r="D55" i="22"/>
  <c r="E55" i="22" s="1"/>
  <c r="B55" i="28"/>
  <c r="F55" i="28"/>
  <c r="H55" i="28" s="1"/>
  <c r="H57" i="18"/>
  <c r="B51" i="31"/>
  <c r="F51" i="31"/>
  <c r="D56" i="21"/>
  <c r="E56" i="21" s="1"/>
  <c r="D59" i="4"/>
  <c r="E59" i="4" s="1"/>
  <c r="I49" i="37"/>
  <c r="D58" i="19"/>
  <c r="E58" i="19" s="1"/>
  <c r="G55" i="21"/>
  <c r="I55" i="21" s="1"/>
  <c r="I50" i="34"/>
  <c r="F53" i="13"/>
  <c r="G53" i="13" s="1"/>
  <c r="B53" i="13"/>
  <c r="H58" i="4"/>
  <c r="I58" i="4" s="1"/>
  <c r="F51" i="35"/>
  <c r="B51" i="35"/>
  <c r="G57" i="19"/>
  <c r="I57" i="19" s="1"/>
  <c r="D60" i="3"/>
  <c r="E60" i="3" s="1"/>
  <c r="G54" i="22"/>
  <c r="I54" i="22" s="1"/>
  <c r="B55" i="23"/>
  <c r="F55" i="23"/>
  <c r="G55" i="23" s="1"/>
  <c r="F50" i="37"/>
  <c r="G50" i="37" s="1"/>
  <c r="B50" i="37"/>
  <c r="F51" i="34"/>
  <c r="G51" i="34" s="1"/>
  <c r="B51" i="34"/>
  <c r="F53" i="25"/>
  <c r="G53" i="25" s="1"/>
  <c r="B53" i="25"/>
  <c r="H59" i="3"/>
  <c r="I59" i="3" s="1"/>
  <c r="F52" i="29"/>
  <c r="H52" i="29" s="1"/>
  <c r="G57" i="18"/>
  <c r="H140" i="4"/>
  <c r="I140" i="4"/>
  <c r="B141" i="4"/>
  <c r="E141" i="4"/>
  <c r="F141" i="4" s="1"/>
  <c r="I133" i="35"/>
  <c r="H133" i="35"/>
  <c r="J136" i="24"/>
  <c r="E134" i="35"/>
  <c r="F134" i="35" s="1"/>
  <c r="B134" i="35"/>
  <c r="J136" i="27"/>
  <c r="I133" i="31"/>
  <c r="H133" i="31"/>
  <c r="E134" i="31"/>
  <c r="F134" i="31" s="1"/>
  <c r="B134" i="31"/>
  <c r="H137" i="28"/>
  <c r="I137" i="28"/>
  <c r="E138" i="28"/>
  <c r="F138" i="28" s="1"/>
  <c r="B138" i="28"/>
  <c r="G136" i="25"/>
  <c r="D137" i="25"/>
  <c r="B133" i="37"/>
  <c r="F133" i="37"/>
  <c r="H132" i="37"/>
  <c r="I132" i="37"/>
  <c r="G133" i="34"/>
  <c r="D134" i="34"/>
  <c r="E134" i="34" s="1"/>
  <c r="G137" i="27"/>
  <c r="D138" i="27"/>
  <c r="E138" i="27" s="1"/>
  <c r="H139" i="19"/>
  <c r="I139" i="19"/>
  <c r="J136" i="21"/>
  <c r="G137" i="24"/>
  <c r="D138" i="24"/>
  <c r="E138" i="24" s="1"/>
  <c r="B140" i="19"/>
  <c r="E140" i="19"/>
  <c r="F140" i="19" s="1"/>
  <c r="D138" i="21"/>
  <c r="E138" i="21" s="1"/>
  <c r="G137" i="21"/>
  <c r="H138" i="29"/>
  <c r="I138" i="29"/>
  <c r="G133" i="38"/>
  <c r="D134" i="38"/>
  <c r="F139" i="29"/>
  <c r="D135" i="13"/>
  <c r="E135" i="13" s="1"/>
  <c r="G134" i="13"/>
  <c r="B134" i="20"/>
  <c r="H136" i="22"/>
  <c r="I136" i="22"/>
  <c r="F137" i="22"/>
  <c r="B137" i="22"/>
  <c r="H133" i="20"/>
  <c r="I133" i="20"/>
  <c r="B141" i="3"/>
  <c r="F141" i="3"/>
  <c r="H141" i="23"/>
  <c r="I141" i="23"/>
  <c r="F142" i="23"/>
  <c r="E134" i="20"/>
  <c r="F134" i="20" s="1"/>
  <c r="H140" i="3"/>
  <c r="I140" i="3"/>
  <c r="D58" i="39" l="1"/>
  <c r="E58" i="39" s="1"/>
  <c r="H57" i="39"/>
  <c r="I57" i="39" s="1"/>
  <c r="H49" i="38"/>
  <c r="I49" i="38" s="1"/>
  <c r="H56" i="24"/>
  <c r="I56" i="24" s="1"/>
  <c r="D57" i="24"/>
  <c r="D138" i="26"/>
  <c r="G137" i="26"/>
  <c r="J136" i="26"/>
  <c r="J140" i="4"/>
  <c r="H53" i="25"/>
  <c r="I53" i="25" s="1"/>
  <c r="H55" i="23"/>
  <c r="I55" i="23" s="1"/>
  <c r="J139" i="18"/>
  <c r="H50" i="37"/>
  <c r="I50" i="37" s="1"/>
  <c r="G54" i="26"/>
  <c r="I54" i="26" s="1"/>
  <c r="D141" i="18"/>
  <c r="G140" i="18"/>
  <c r="D52" i="35"/>
  <c r="E52" i="35" s="1"/>
  <c r="F56" i="21"/>
  <c r="H56" i="21" s="1"/>
  <c r="B56" i="21"/>
  <c r="D52" i="34"/>
  <c r="E52" i="34" s="1"/>
  <c r="H51" i="35"/>
  <c r="I57" i="18"/>
  <c r="D56" i="27"/>
  <c r="E56" i="27" s="1"/>
  <c r="D56" i="28"/>
  <c r="E56" i="28" s="1"/>
  <c r="D50" i="38"/>
  <c r="E50" i="38" s="1"/>
  <c r="H55" i="27"/>
  <c r="I55" i="27" s="1"/>
  <c r="F58" i="19"/>
  <c r="B58" i="19"/>
  <c r="D52" i="31"/>
  <c r="E52" i="31" s="1"/>
  <c r="B60" i="3"/>
  <c r="F60" i="3"/>
  <c r="G60" i="3" s="1"/>
  <c r="H51" i="31"/>
  <c r="D54" i="25"/>
  <c r="E54" i="25" s="1"/>
  <c r="D51" i="37"/>
  <c r="E51" i="37" s="1"/>
  <c r="D54" i="13"/>
  <c r="G51" i="31"/>
  <c r="G55" i="28"/>
  <c r="I55" i="28" s="1"/>
  <c r="F58" i="18"/>
  <c r="G58" i="18" s="1"/>
  <c r="B58" i="18"/>
  <c r="D53" i="29"/>
  <c r="E53" i="29" s="1"/>
  <c r="H51" i="34"/>
  <c r="I51" i="34" s="1"/>
  <c r="H53" i="13"/>
  <c r="I53" i="13" s="1"/>
  <c r="B59" i="4"/>
  <c r="F59" i="4"/>
  <c r="H59" i="4" s="1"/>
  <c r="J139" i="19"/>
  <c r="G52" i="29"/>
  <c r="I52" i="29" s="1"/>
  <c r="D56" i="23"/>
  <c r="E56" i="23" s="1"/>
  <c r="G51" i="35"/>
  <c r="B55" i="22"/>
  <c r="F55" i="22"/>
  <c r="D55" i="26"/>
  <c r="E55" i="26" s="1"/>
  <c r="G134" i="35"/>
  <c r="D135" i="35"/>
  <c r="D142" i="4"/>
  <c r="G141" i="4"/>
  <c r="J137" i="28"/>
  <c r="J141" i="23"/>
  <c r="D134" i="37"/>
  <c r="G133" i="37"/>
  <c r="G134" i="31"/>
  <c r="D135" i="31"/>
  <c r="E137" i="25"/>
  <c r="F137" i="25" s="1"/>
  <c r="B137" i="25"/>
  <c r="H136" i="25"/>
  <c r="I136" i="25"/>
  <c r="J133" i="31"/>
  <c r="G138" i="28"/>
  <c r="D139" i="28"/>
  <c r="D141" i="19"/>
  <c r="E141" i="19" s="1"/>
  <c r="G140" i="19"/>
  <c r="H134" i="13"/>
  <c r="I134" i="13"/>
  <c r="B138" i="24"/>
  <c r="F138" i="24"/>
  <c r="J136" i="22"/>
  <c r="B135" i="13"/>
  <c r="F135" i="13"/>
  <c r="I137" i="24"/>
  <c r="H137" i="24"/>
  <c r="F138" i="27"/>
  <c r="B138" i="27"/>
  <c r="G139" i="29"/>
  <c r="D140" i="29"/>
  <c r="E140" i="29" s="1"/>
  <c r="J133" i="20"/>
  <c r="B134" i="38"/>
  <c r="H137" i="27"/>
  <c r="I137" i="27"/>
  <c r="H133" i="38"/>
  <c r="I133" i="38"/>
  <c r="E134" i="38"/>
  <c r="F134" i="38" s="1"/>
  <c r="H137" i="21"/>
  <c r="I137" i="21"/>
  <c r="B134" i="34"/>
  <c r="F134" i="34"/>
  <c r="B138" i="21"/>
  <c r="F138" i="21"/>
  <c r="H133" i="34"/>
  <c r="I133" i="34"/>
  <c r="G134" i="20"/>
  <c r="D135" i="20"/>
  <c r="E135" i="20" s="1"/>
  <c r="D143" i="23"/>
  <c r="E143" i="23" s="1"/>
  <c r="G142" i="23"/>
  <c r="G141" i="3"/>
  <c r="D142" i="3"/>
  <c r="J140" i="3"/>
  <c r="D138" i="22"/>
  <c r="E138" i="22" s="1"/>
  <c r="G137" i="22"/>
  <c r="F58" i="39" l="1"/>
  <c r="B58" i="39"/>
  <c r="G58" i="39"/>
  <c r="H58" i="39"/>
  <c r="I58" i="39" s="1"/>
  <c r="G59" i="4"/>
  <c r="I59" i="4" s="1"/>
  <c r="E57" i="24"/>
  <c r="F57" i="24" s="1"/>
  <c r="B57" i="24"/>
  <c r="I137" i="26"/>
  <c r="H137" i="26"/>
  <c r="E138" i="26"/>
  <c r="F138" i="26" s="1"/>
  <c r="B138" i="26"/>
  <c r="H58" i="18"/>
  <c r="I58" i="18" s="1"/>
  <c r="G56" i="21"/>
  <c r="I56" i="21" s="1"/>
  <c r="I51" i="31"/>
  <c r="H60" i="3"/>
  <c r="I60" i="3" s="1"/>
  <c r="I140" i="18"/>
  <c r="H140" i="18"/>
  <c r="E141" i="18"/>
  <c r="F141" i="18" s="1"/>
  <c r="B141" i="18"/>
  <c r="D56" i="22"/>
  <c r="E56" i="22" s="1"/>
  <c r="F53" i="29"/>
  <c r="H53" i="29" s="1"/>
  <c r="B54" i="13"/>
  <c r="D59" i="19"/>
  <c r="E59" i="19" s="1"/>
  <c r="F52" i="34"/>
  <c r="G52" i="34" s="1"/>
  <c r="B52" i="34"/>
  <c r="G55" i="22"/>
  <c r="F51" i="37"/>
  <c r="H51" i="37" s="1"/>
  <c r="B51" i="37"/>
  <c r="H55" i="22"/>
  <c r="D60" i="4"/>
  <c r="E60" i="4" s="1"/>
  <c r="F50" i="38"/>
  <c r="G50" i="38" s="1"/>
  <c r="B50" i="38"/>
  <c r="D59" i="18"/>
  <c r="B54" i="25"/>
  <c r="F54" i="25"/>
  <c r="F52" i="31"/>
  <c r="G52" i="31" s="1"/>
  <c r="B52" i="31"/>
  <c r="F56" i="27"/>
  <c r="G56" i="27" s="1"/>
  <c r="B56" i="27"/>
  <c r="D57" i="21"/>
  <c r="E57" i="21" s="1"/>
  <c r="B56" i="23"/>
  <c r="F56" i="23"/>
  <c r="G56" i="23" s="1"/>
  <c r="F56" i="28"/>
  <c r="G56" i="28" s="1"/>
  <c r="B56" i="28"/>
  <c r="G58" i="19"/>
  <c r="I51" i="35"/>
  <c r="F52" i="35"/>
  <c r="G52" i="35" s="1"/>
  <c r="B52" i="35"/>
  <c r="F55" i="26"/>
  <c r="B55" i="26"/>
  <c r="E54" i="13"/>
  <c r="F54" i="13" s="1"/>
  <c r="D61" i="3"/>
  <c r="E61" i="3" s="1"/>
  <c r="H58" i="19"/>
  <c r="I141" i="4"/>
  <c r="H141" i="4"/>
  <c r="B142" i="4"/>
  <c r="E142" i="4"/>
  <c r="F142" i="4" s="1"/>
  <c r="E135" i="35"/>
  <c r="F135" i="35" s="1"/>
  <c r="B135" i="35"/>
  <c r="H134" i="35"/>
  <c r="I134" i="35"/>
  <c r="G137" i="25"/>
  <c r="D138" i="25"/>
  <c r="E139" i="28"/>
  <c r="F139" i="28" s="1"/>
  <c r="B139" i="28"/>
  <c r="E135" i="31"/>
  <c r="F135" i="31" s="1"/>
  <c r="B135" i="31"/>
  <c r="H138" i="28"/>
  <c r="I138" i="28"/>
  <c r="H134" i="31"/>
  <c r="I134" i="31"/>
  <c r="H133" i="37"/>
  <c r="I133" i="37"/>
  <c r="E134" i="37"/>
  <c r="F134" i="37" s="1"/>
  <c r="B134" i="37"/>
  <c r="D135" i="34"/>
  <c r="E135" i="34" s="1"/>
  <c r="G134" i="34"/>
  <c r="D139" i="27"/>
  <c r="E139" i="27" s="1"/>
  <c r="G138" i="27"/>
  <c r="D136" i="13"/>
  <c r="E136" i="13" s="1"/>
  <c r="G135" i="13"/>
  <c r="G138" i="21"/>
  <c r="D139" i="21"/>
  <c r="E139" i="21" s="1"/>
  <c r="G134" i="38"/>
  <c r="D135" i="38"/>
  <c r="E135" i="38" s="1"/>
  <c r="H140" i="19"/>
  <c r="I140" i="19"/>
  <c r="J137" i="24"/>
  <c r="D139" i="24"/>
  <c r="E139" i="24" s="1"/>
  <c r="G138" i="24"/>
  <c r="H139" i="29"/>
  <c r="I139" i="29"/>
  <c r="J137" i="21"/>
  <c r="J137" i="27"/>
  <c r="F140" i="29"/>
  <c r="B141" i="19"/>
  <c r="F141" i="19"/>
  <c r="B135" i="20"/>
  <c r="F135" i="20"/>
  <c r="I141" i="3"/>
  <c r="H141" i="3"/>
  <c r="H142" i="23"/>
  <c r="I142" i="23"/>
  <c r="H134" i="20"/>
  <c r="I134" i="20"/>
  <c r="B142" i="3"/>
  <c r="E142" i="3"/>
  <c r="F142" i="3" s="1"/>
  <c r="F143" i="23"/>
  <c r="H137" i="22"/>
  <c r="I137" i="22"/>
  <c r="B138" i="22"/>
  <c r="F138" i="22"/>
  <c r="D59" i="39" l="1"/>
  <c r="E59" i="39" s="1"/>
  <c r="H57" i="24"/>
  <c r="D58" i="24"/>
  <c r="G57" i="24"/>
  <c r="J137" i="26"/>
  <c r="G138" i="26"/>
  <c r="D139" i="26"/>
  <c r="B139" i="26" s="1"/>
  <c r="G53" i="29"/>
  <c r="I53" i="29" s="1"/>
  <c r="H50" i="38"/>
  <c r="I50" i="38" s="1"/>
  <c r="J138" i="28"/>
  <c r="J134" i="31"/>
  <c r="H56" i="23"/>
  <c r="I56" i="23" s="1"/>
  <c r="H56" i="28"/>
  <c r="I56" i="28" s="1"/>
  <c r="H56" i="27"/>
  <c r="I56" i="27" s="1"/>
  <c r="G141" i="18"/>
  <c r="D142" i="18"/>
  <c r="J140" i="18"/>
  <c r="H52" i="34"/>
  <c r="I52" i="34" s="1"/>
  <c r="H52" i="35"/>
  <c r="I52" i="35" s="1"/>
  <c r="D55" i="13"/>
  <c r="H54" i="13"/>
  <c r="G54" i="13"/>
  <c r="D56" i="26"/>
  <c r="E56" i="26" s="1"/>
  <c r="B59" i="18"/>
  <c r="G55" i="26"/>
  <c r="I58" i="19"/>
  <c r="B57" i="21"/>
  <c r="F57" i="21"/>
  <c r="G57" i="21" s="1"/>
  <c r="D53" i="31"/>
  <c r="E53" i="31" s="1"/>
  <c r="D52" i="37"/>
  <c r="E52" i="37" s="1"/>
  <c r="D55" i="25"/>
  <c r="E55" i="25" s="1"/>
  <c r="G51" i="37"/>
  <c r="I51" i="37" s="1"/>
  <c r="J134" i="20"/>
  <c r="B61" i="3"/>
  <c r="F61" i="3"/>
  <c r="D57" i="28"/>
  <c r="E57" i="28" s="1"/>
  <c r="H54" i="25"/>
  <c r="D51" i="38"/>
  <c r="E51" i="38" s="1"/>
  <c r="D53" i="34"/>
  <c r="E53" i="34" s="1"/>
  <c r="D53" i="35"/>
  <c r="E53" i="35" s="1"/>
  <c r="D54" i="29"/>
  <c r="E54" i="29" s="1"/>
  <c r="D57" i="27"/>
  <c r="E57" i="27" s="1"/>
  <c r="G54" i="25"/>
  <c r="F60" i="4"/>
  <c r="H60" i="4" s="1"/>
  <c r="B60" i="4"/>
  <c r="B59" i="19"/>
  <c r="F59" i="19"/>
  <c r="H59" i="19" s="1"/>
  <c r="J137" i="22"/>
  <c r="H55" i="26"/>
  <c r="D57" i="23"/>
  <c r="E57" i="23" s="1"/>
  <c r="H52" i="31"/>
  <c r="I52" i="31" s="1"/>
  <c r="E59" i="18"/>
  <c r="F59" i="18" s="1"/>
  <c r="I55" i="22"/>
  <c r="B56" i="22"/>
  <c r="F56" i="22"/>
  <c r="H56" i="22" s="1"/>
  <c r="D136" i="35"/>
  <c r="E136" i="35" s="1"/>
  <c r="G135" i="35"/>
  <c r="D143" i="4"/>
  <c r="G142" i="4"/>
  <c r="J142" i="23"/>
  <c r="J141" i="4"/>
  <c r="D135" i="37"/>
  <c r="G134" i="37"/>
  <c r="D136" i="31"/>
  <c r="G135" i="31"/>
  <c r="G139" i="28"/>
  <c r="D140" i="28"/>
  <c r="E138" i="25"/>
  <c r="F138" i="25" s="1"/>
  <c r="B138" i="25"/>
  <c r="H137" i="25"/>
  <c r="I137" i="25"/>
  <c r="J140" i="19"/>
  <c r="H134" i="38"/>
  <c r="I134" i="38"/>
  <c r="F136" i="13"/>
  <c r="B136" i="13"/>
  <c r="H134" i="34"/>
  <c r="I134" i="34"/>
  <c r="B135" i="34"/>
  <c r="F135" i="34"/>
  <c r="D142" i="19"/>
  <c r="E142" i="19" s="1"/>
  <c r="G141" i="19"/>
  <c r="G140" i="29"/>
  <c r="D141" i="29"/>
  <c r="E141" i="29" s="1"/>
  <c r="B139" i="21"/>
  <c r="F139" i="21"/>
  <c r="H138" i="24"/>
  <c r="I138" i="24"/>
  <c r="I138" i="21"/>
  <c r="H138" i="21"/>
  <c r="F139" i="27"/>
  <c r="B139" i="27"/>
  <c r="B139" i="24"/>
  <c r="F139" i="24"/>
  <c r="B135" i="38"/>
  <c r="F135" i="38"/>
  <c r="H135" i="13"/>
  <c r="I135" i="13"/>
  <c r="I138" i="27"/>
  <c r="H138" i="27"/>
  <c r="J141" i="3"/>
  <c r="G142" i="3"/>
  <c r="D143" i="3"/>
  <c r="G135" i="20"/>
  <c r="D136" i="20"/>
  <c r="E136" i="20" s="1"/>
  <c r="G143" i="23"/>
  <c r="D144" i="23"/>
  <c r="E144" i="23" s="1"/>
  <c r="G138" i="22"/>
  <c r="D139" i="22"/>
  <c r="B59" i="39" l="1"/>
  <c r="F59" i="39"/>
  <c r="G59" i="39"/>
  <c r="H59" i="39"/>
  <c r="I59" i="39" s="1"/>
  <c r="I57" i="24"/>
  <c r="E58" i="24"/>
  <c r="F58" i="24" s="1"/>
  <c r="G58" i="24" s="1"/>
  <c r="B58" i="24"/>
  <c r="E139" i="26"/>
  <c r="F139" i="26" s="1"/>
  <c r="H138" i="26"/>
  <c r="I138" i="26"/>
  <c r="H57" i="21"/>
  <c r="I57" i="21" s="1"/>
  <c r="G59" i="19"/>
  <c r="I59" i="19" s="1"/>
  <c r="E142" i="18"/>
  <c r="F142" i="18" s="1"/>
  <c r="B142" i="18"/>
  <c r="I55" i="26"/>
  <c r="H141" i="18"/>
  <c r="I141" i="18"/>
  <c r="D60" i="18"/>
  <c r="E60" i="18" s="1"/>
  <c r="H59" i="18"/>
  <c r="G59" i="18"/>
  <c r="F54" i="29"/>
  <c r="B57" i="28"/>
  <c r="F57" i="28"/>
  <c r="B55" i="25"/>
  <c r="F55" i="25"/>
  <c r="D57" i="22"/>
  <c r="E57" i="22" s="1"/>
  <c r="D62" i="3"/>
  <c r="D61" i="4"/>
  <c r="E61" i="4" s="1"/>
  <c r="G61" i="3"/>
  <c r="B52" i="37"/>
  <c r="F52" i="37"/>
  <c r="H52" i="37" s="1"/>
  <c r="F56" i="26"/>
  <c r="G56" i="26" s="1"/>
  <c r="B56" i="26"/>
  <c r="B53" i="35"/>
  <c r="F53" i="35"/>
  <c r="H53" i="35" s="1"/>
  <c r="H61" i="3"/>
  <c r="D60" i="19"/>
  <c r="E60" i="19" s="1"/>
  <c r="F57" i="27"/>
  <c r="H57" i="27" s="1"/>
  <c r="B57" i="27"/>
  <c r="F51" i="38"/>
  <c r="G51" i="38" s="1"/>
  <c r="B51" i="38"/>
  <c r="F53" i="31"/>
  <c r="G53" i="31" s="1"/>
  <c r="B53" i="31"/>
  <c r="I54" i="13"/>
  <c r="I54" i="25"/>
  <c r="B55" i="13"/>
  <c r="G56" i="22"/>
  <c r="I56" i="22" s="1"/>
  <c r="F57" i="23"/>
  <c r="B57" i="23"/>
  <c r="G60" i="4"/>
  <c r="I60" i="4" s="1"/>
  <c r="F53" i="34"/>
  <c r="G53" i="34" s="1"/>
  <c r="B53" i="34"/>
  <c r="D58" i="21"/>
  <c r="E55" i="13"/>
  <c r="F55" i="13" s="1"/>
  <c r="B143" i="4"/>
  <c r="E143" i="4"/>
  <c r="F143" i="4" s="1"/>
  <c r="I135" i="35"/>
  <c r="H135" i="35"/>
  <c r="I142" i="4"/>
  <c r="H142" i="4"/>
  <c r="F136" i="35"/>
  <c r="B136" i="35"/>
  <c r="E140" i="28"/>
  <c r="F140" i="28" s="1"/>
  <c r="B140" i="28"/>
  <c r="H139" i="28"/>
  <c r="I139" i="28"/>
  <c r="I135" i="31"/>
  <c r="H135" i="31"/>
  <c r="G138" i="25"/>
  <c r="D139" i="25"/>
  <c r="E139" i="25" s="1"/>
  <c r="E136" i="31"/>
  <c r="F136" i="31" s="1"/>
  <c r="B136" i="31"/>
  <c r="J138" i="24"/>
  <c r="H134" i="37"/>
  <c r="I134" i="37"/>
  <c r="E135" i="37"/>
  <c r="F135" i="37" s="1"/>
  <c r="B135" i="37"/>
  <c r="J138" i="21"/>
  <c r="J138" i="27"/>
  <c r="F141" i="29"/>
  <c r="D136" i="34"/>
  <c r="E136" i="34" s="1"/>
  <c r="G135" i="34"/>
  <c r="G135" i="38"/>
  <c r="D136" i="38"/>
  <c r="E136" i="38" s="1"/>
  <c r="I140" i="29"/>
  <c r="H140" i="29"/>
  <c r="D137" i="13"/>
  <c r="G136" i="13"/>
  <c r="G139" i="21"/>
  <c r="D140" i="21"/>
  <c r="E140" i="21" s="1"/>
  <c r="H141" i="19"/>
  <c r="I141" i="19"/>
  <c r="D140" i="24"/>
  <c r="E140" i="24" s="1"/>
  <c r="G139" i="24"/>
  <c r="G139" i="27"/>
  <c r="D140" i="27"/>
  <c r="E140" i="27" s="1"/>
  <c r="F142" i="19"/>
  <c r="B142" i="19"/>
  <c r="H142" i="3"/>
  <c r="I142" i="3"/>
  <c r="F136" i="20"/>
  <c r="B136" i="20"/>
  <c r="F144" i="23"/>
  <c r="B139" i="22"/>
  <c r="I135" i="20"/>
  <c r="H135" i="20"/>
  <c r="H143" i="23"/>
  <c r="I143" i="23"/>
  <c r="H138" i="22"/>
  <c r="I138" i="22"/>
  <c r="B143" i="3"/>
  <c r="E139" i="22"/>
  <c r="F139" i="22" s="1"/>
  <c r="E143" i="3"/>
  <c r="F143" i="3" s="1"/>
  <c r="D60" i="39" l="1"/>
  <c r="E60" i="39" s="1"/>
  <c r="F60" i="39" s="1"/>
  <c r="D61" i="39" s="1"/>
  <c r="J138" i="26"/>
  <c r="H58" i="24"/>
  <c r="I58" i="24" s="1"/>
  <c r="D59" i="24"/>
  <c r="G139" i="26"/>
  <c r="D140" i="26"/>
  <c r="J139" i="28"/>
  <c r="G53" i="35"/>
  <c r="I53" i="35" s="1"/>
  <c r="H53" i="31"/>
  <c r="I53" i="31" s="1"/>
  <c r="H51" i="38"/>
  <c r="I51" i="38" s="1"/>
  <c r="I61" i="3"/>
  <c r="J141" i="18"/>
  <c r="H56" i="26"/>
  <c r="I56" i="26" s="1"/>
  <c r="G142" i="18"/>
  <c r="D143" i="18"/>
  <c r="G52" i="37"/>
  <c r="I52" i="37" s="1"/>
  <c r="D56" i="13"/>
  <c r="G55" i="13"/>
  <c r="H55" i="13"/>
  <c r="B58" i="21"/>
  <c r="D58" i="23"/>
  <c r="B62" i="3"/>
  <c r="D58" i="28"/>
  <c r="E58" i="28" s="1"/>
  <c r="H57" i="23"/>
  <c r="D54" i="35"/>
  <c r="E54" i="35" s="1"/>
  <c r="I59" i="18"/>
  <c r="D54" i="34"/>
  <c r="E54" i="34" s="1"/>
  <c r="D53" i="37"/>
  <c r="E53" i="37" s="1"/>
  <c r="H57" i="28"/>
  <c r="D58" i="27"/>
  <c r="E58" i="27" s="1"/>
  <c r="F57" i="22"/>
  <c r="B57" i="22"/>
  <c r="G57" i="28"/>
  <c r="B60" i="18"/>
  <c r="F60" i="18"/>
  <c r="H60" i="18" s="1"/>
  <c r="H53" i="34"/>
  <c r="I53" i="34" s="1"/>
  <c r="D54" i="31"/>
  <c r="E54" i="31" s="1"/>
  <c r="G57" i="27"/>
  <c r="I57" i="27" s="1"/>
  <c r="D56" i="25"/>
  <c r="E56" i="25" s="1"/>
  <c r="D55" i="29"/>
  <c r="E55" i="29" s="1"/>
  <c r="H55" i="25"/>
  <c r="G54" i="29"/>
  <c r="F60" i="19"/>
  <c r="H60" i="19" s="1"/>
  <c r="B60" i="19"/>
  <c r="D57" i="26"/>
  <c r="E57" i="26" s="1"/>
  <c r="F61" i="4"/>
  <c r="H61" i="4" s="1"/>
  <c r="B61" i="4"/>
  <c r="G55" i="25"/>
  <c r="H54" i="29"/>
  <c r="E58" i="21"/>
  <c r="F58" i="21" s="1"/>
  <c r="G57" i="23"/>
  <c r="D52" i="38"/>
  <c r="E52" i="38" s="1"/>
  <c r="E62" i="3"/>
  <c r="F62" i="3" s="1"/>
  <c r="D137" i="35"/>
  <c r="G136" i="35"/>
  <c r="J142" i="4"/>
  <c r="J142" i="3"/>
  <c r="G143" i="4"/>
  <c r="D144" i="4"/>
  <c r="G135" i="37"/>
  <c r="D136" i="37"/>
  <c r="B136" i="37" s="1"/>
  <c r="J135" i="31"/>
  <c r="J141" i="19"/>
  <c r="G136" i="31"/>
  <c r="D137" i="31"/>
  <c r="G140" i="28"/>
  <c r="D141" i="28"/>
  <c r="B139" i="25"/>
  <c r="F139" i="25"/>
  <c r="I138" i="25"/>
  <c r="H138" i="25"/>
  <c r="B137" i="13"/>
  <c r="F136" i="38"/>
  <c r="B136" i="38"/>
  <c r="E137" i="13"/>
  <c r="F137" i="13" s="1"/>
  <c r="H135" i="38"/>
  <c r="I135" i="38"/>
  <c r="H136" i="13"/>
  <c r="I136" i="13"/>
  <c r="H135" i="34"/>
  <c r="I135" i="34"/>
  <c r="I139" i="27"/>
  <c r="H139" i="27"/>
  <c r="G142" i="19"/>
  <c r="D143" i="19"/>
  <c r="E143" i="19" s="1"/>
  <c r="I139" i="24"/>
  <c r="H139" i="24"/>
  <c r="B136" i="34"/>
  <c r="F136" i="34"/>
  <c r="F140" i="24"/>
  <c r="B140" i="24"/>
  <c r="B140" i="21"/>
  <c r="F140" i="21"/>
  <c r="G141" i="29"/>
  <c r="D142" i="29"/>
  <c r="F140" i="27"/>
  <c r="B140" i="27"/>
  <c r="I139" i="21"/>
  <c r="H139" i="21"/>
  <c r="D144" i="3"/>
  <c r="E144" i="3" s="1"/>
  <c r="G143" i="3"/>
  <c r="G139" i="22"/>
  <c r="D140" i="22"/>
  <c r="E140" i="22" s="1"/>
  <c r="D137" i="20"/>
  <c r="E137" i="20" s="1"/>
  <c r="G136" i="20"/>
  <c r="J135" i="20"/>
  <c r="J138" i="22"/>
  <c r="J143" i="23"/>
  <c r="G144" i="23"/>
  <c r="D145" i="23"/>
  <c r="E145" i="23" s="1"/>
  <c r="E61" i="39" l="1"/>
  <c r="F61" i="39" s="1"/>
  <c r="G61" i="39" s="1"/>
  <c r="B61" i="39"/>
  <c r="B60" i="39"/>
  <c r="G60" i="39"/>
  <c r="H60" i="39"/>
  <c r="G60" i="18"/>
  <c r="E59" i="24"/>
  <c r="F59" i="24" s="1"/>
  <c r="B59" i="24"/>
  <c r="E140" i="26"/>
  <c r="F140" i="26" s="1"/>
  <c r="B140" i="26"/>
  <c r="H139" i="26"/>
  <c r="I139" i="26"/>
  <c r="G61" i="4"/>
  <c r="I61" i="4" s="1"/>
  <c r="I55" i="13"/>
  <c r="I54" i="29"/>
  <c r="I57" i="28"/>
  <c r="G60" i="19"/>
  <c r="I60" i="19" s="1"/>
  <c r="I60" i="18"/>
  <c r="E143" i="18"/>
  <c r="F143" i="18" s="1"/>
  <c r="B143" i="18"/>
  <c r="I142" i="18"/>
  <c r="H142" i="18"/>
  <c r="I55" i="25"/>
  <c r="D63" i="3"/>
  <c r="E63" i="3" s="1"/>
  <c r="G62" i="3"/>
  <c r="H62" i="3"/>
  <c r="D59" i="21"/>
  <c r="E59" i="21" s="1"/>
  <c r="G58" i="21"/>
  <c r="H58" i="21"/>
  <c r="B54" i="34"/>
  <c r="F54" i="34"/>
  <c r="H54" i="34" s="1"/>
  <c r="B57" i="26"/>
  <c r="F57" i="26"/>
  <c r="D58" i="22"/>
  <c r="E58" i="22" s="1"/>
  <c r="F55" i="29"/>
  <c r="H55" i="29" s="1"/>
  <c r="D61" i="18"/>
  <c r="B58" i="27"/>
  <c r="F58" i="27"/>
  <c r="H58" i="27" s="1"/>
  <c r="F56" i="25"/>
  <c r="H56" i="25" s="1"/>
  <c r="B56" i="25"/>
  <c r="B54" i="35"/>
  <c r="F54" i="35"/>
  <c r="G54" i="35" s="1"/>
  <c r="D61" i="19"/>
  <c r="E61" i="19" s="1"/>
  <c r="I57" i="23"/>
  <c r="B58" i="23"/>
  <c r="G57" i="22"/>
  <c r="F53" i="37"/>
  <c r="G53" i="37" s="1"/>
  <c r="B53" i="37"/>
  <c r="E58" i="23"/>
  <c r="F58" i="23" s="1"/>
  <c r="B56" i="13"/>
  <c r="F52" i="38"/>
  <c r="H52" i="38" s="1"/>
  <c r="B52" i="38"/>
  <c r="D62" i="4"/>
  <c r="E62" i="4" s="1"/>
  <c r="F54" i="31"/>
  <c r="G54" i="31" s="1"/>
  <c r="B54" i="31"/>
  <c r="H57" i="22"/>
  <c r="B58" i="28"/>
  <c r="F58" i="28"/>
  <c r="G58" i="28" s="1"/>
  <c r="E56" i="13"/>
  <c r="F56" i="13" s="1"/>
  <c r="I143" i="4"/>
  <c r="H143" i="4"/>
  <c r="H136" i="35"/>
  <c r="I136" i="35"/>
  <c r="E144" i="4"/>
  <c r="F144" i="4" s="1"/>
  <c r="B144" i="4"/>
  <c r="E136" i="37"/>
  <c r="F136" i="37" s="1"/>
  <c r="E137" i="35"/>
  <c r="F137" i="35" s="1"/>
  <c r="B137" i="35"/>
  <c r="H140" i="28"/>
  <c r="I140" i="28"/>
  <c r="E137" i="31"/>
  <c r="F137" i="31" s="1"/>
  <c r="B137" i="31"/>
  <c r="H136" i="31"/>
  <c r="I136" i="31"/>
  <c r="D140" i="25"/>
  <c r="G139" i="25"/>
  <c r="E141" i="28"/>
  <c r="F141" i="28" s="1"/>
  <c r="B141" i="28"/>
  <c r="H135" i="37"/>
  <c r="I135" i="37"/>
  <c r="J139" i="27"/>
  <c r="J139" i="24"/>
  <c r="J139" i="21"/>
  <c r="I141" i="29"/>
  <c r="H141" i="29"/>
  <c r="D138" i="13"/>
  <c r="E138" i="13" s="1"/>
  <c r="G137" i="13"/>
  <c r="G140" i="27"/>
  <c r="D141" i="27"/>
  <c r="E141" i="27" s="1"/>
  <c r="D137" i="34"/>
  <c r="G136" i="34"/>
  <c r="I142" i="19"/>
  <c r="H142" i="19"/>
  <c r="G140" i="21"/>
  <c r="D141" i="21"/>
  <c r="E141" i="21" s="1"/>
  <c r="E142" i="29"/>
  <c r="F142" i="29" s="1"/>
  <c r="G140" i="24"/>
  <c r="D141" i="24"/>
  <c r="E141" i="24" s="1"/>
  <c r="F143" i="19"/>
  <c r="B143" i="19"/>
  <c r="G136" i="38"/>
  <c r="D137" i="38"/>
  <c r="E137" i="38" s="1"/>
  <c r="I136" i="20"/>
  <c r="H136" i="20"/>
  <c r="I139" i="22"/>
  <c r="H139" i="22"/>
  <c r="H144" i="23"/>
  <c r="I144" i="23"/>
  <c r="F145" i="23"/>
  <c r="F137" i="20"/>
  <c r="B137" i="20"/>
  <c r="H143" i="3"/>
  <c r="I143" i="3"/>
  <c r="F140" i="22"/>
  <c r="B140" i="22"/>
  <c r="B144" i="3"/>
  <c r="F144" i="3"/>
  <c r="I60" i="39" l="1"/>
  <c r="D62" i="39"/>
  <c r="E62" i="39" s="1"/>
  <c r="F62" i="39" s="1"/>
  <c r="D63" i="39" s="1"/>
  <c r="H61" i="39"/>
  <c r="I61" i="39" s="1"/>
  <c r="G54" i="34"/>
  <c r="I54" i="34" s="1"/>
  <c r="D60" i="24"/>
  <c r="E60" i="24" s="1"/>
  <c r="F60" i="24" s="1"/>
  <c r="D61" i="24" s="1"/>
  <c r="H59" i="24"/>
  <c r="G59" i="24"/>
  <c r="D141" i="26"/>
  <c r="G140" i="26"/>
  <c r="J139" i="26"/>
  <c r="J136" i="31"/>
  <c r="J140" i="28"/>
  <c r="H54" i="35"/>
  <c r="I54" i="35" s="1"/>
  <c r="I62" i="3"/>
  <c r="G143" i="18"/>
  <c r="D144" i="18"/>
  <c r="B144" i="18" s="1"/>
  <c r="H58" i="23"/>
  <c r="G58" i="23"/>
  <c r="J142" i="18"/>
  <c r="D57" i="13"/>
  <c r="E57" i="13" s="1"/>
  <c r="H56" i="13"/>
  <c r="G56" i="13"/>
  <c r="B61" i="18"/>
  <c r="D58" i="26"/>
  <c r="E58" i="26" s="1"/>
  <c r="I58" i="21"/>
  <c r="D53" i="38"/>
  <c r="E53" i="38" s="1"/>
  <c r="D57" i="25"/>
  <c r="D55" i="31"/>
  <c r="E55" i="31" s="1"/>
  <c r="D54" i="37"/>
  <c r="E54" i="37" s="1"/>
  <c r="F61" i="19"/>
  <c r="G61" i="19" s="1"/>
  <c r="B61" i="19"/>
  <c r="G56" i="25"/>
  <c r="I56" i="25" s="1"/>
  <c r="D56" i="29"/>
  <c r="E56" i="29" s="1"/>
  <c r="H57" i="26"/>
  <c r="H54" i="31"/>
  <c r="I54" i="31" s="1"/>
  <c r="G55" i="29"/>
  <c r="I55" i="29" s="1"/>
  <c r="G57" i="26"/>
  <c r="F59" i="21"/>
  <c r="H59" i="21" s="1"/>
  <c r="B59" i="21"/>
  <c r="D59" i="28"/>
  <c r="E59" i="28" s="1"/>
  <c r="D59" i="27"/>
  <c r="E59" i="27" s="1"/>
  <c r="B62" i="4"/>
  <c r="F62" i="4"/>
  <c r="D55" i="35"/>
  <c r="E55" i="35" s="1"/>
  <c r="G58" i="27"/>
  <c r="I58" i="27" s="1"/>
  <c r="H58" i="28"/>
  <c r="I58" i="28" s="1"/>
  <c r="D55" i="34"/>
  <c r="E55" i="34" s="1"/>
  <c r="I57" i="22"/>
  <c r="G52" i="38"/>
  <c r="I52" i="38" s="1"/>
  <c r="H53" i="37"/>
  <c r="I53" i="37" s="1"/>
  <c r="D59" i="23"/>
  <c r="E59" i="23" s="1"/>
  <c r="E61" i="18"/>
  <c r="F61" i="18" s="1"/>
  <c r="B58" i="22"/>
  <c r="F58" i="22"/>
  <c r="G58" i="22" s="1"/>
  <c r="B63" i="3"/>
  <c r="F63" i="3"/>
  <c r="G63" i="3" s="1"/>
  <c r="G144" i="4"/>
  <c r="D145" i="4"/>
  <c r="D137" i="37"/>
  <c r="G136" i="37"/>
  <c r="G137" i="35"/>
  <c r="D138" i="35"/>
  <c r="E138" i="35" s="1"/>
  <c r="J143" i="4"/>
  <c r="E140" i="25"/>
  <c r="F140" i="25" s="1"/>
  <c r="B140" i="25"/>
  <c r="G137" i="31"/>
  <c r="D138" i="31"/>
  <c r="E138" i="31" s="1"/>
  <c r="D142" i="28"/>
  <c r="G141" i="28"/>
  <c r="I139" i="25"/>
  <c r="H139" i="25"/>
  <c r="G142" i="29"/>
  <c r="D143" i="29"/>
  <c r="E143" i="29" s="1"/>
  <c r="B137" i="34"/>
  <c r="H137" i="13"/>
  <c r="I137" i="13"/>
  <c r="H136" i="38"/>
  <c r="I136" i="38"/>
  <c r="F141" i="21"/>
  <c r="B141" i="21"/>
  <c r="B141" i="27"/>
  <c r="F141" i="27"/>
  <c r="F138" i="13"/>
  <c r="B138" i="13"/>
  <c r="I140" i="21"/>
  <c r="H140" i="21"/>
  <c r="H140" i="27"/>
  <c r="I140" i="27"/>
  <c r="B137" i="38"/>
  <c r="F137" i="38"/>
  <c r="G143" i="19"/>
  <c r="D144" i="19"/>
  <c r="E144" i="19" s="1"/>
  <c r="J143" i="3"/>
  <c r="J142" i="19"/>
  <c r="B141" i="24"/>
  <c r="F141" i="24"/>
  <c r="E137" i="34"/>
  <c r="F137" i="34" s="1"/>
  <c r="J144" i="23"/>
  <c r="I140" i="24"/>
  <c r="H140" i="24"/>
  <c r="H136" i="34"/>
  <c r="I136" i="34"/>
  <c r="J139" i="22"/>
  <c r="G140" i="22"/>
  <c r="D141" i="22"/>
  <c r="E141" i="22" s="1"/>
  <c r="J136" i="20"/>
  <c r="G137" i="20"/>
  <c r="D138" i="20"/>
  <c r="E138" i="20" s="1"/>
  <c r="G144" i="3"/>
  <c r="D145" i="3"/>
  <c r="E145" i="3" s="1"/>
  <c r="G145" i="23"/>
  <c r="D146" i="23"/>
  <c r="E146" i="23" s="1"/>
  <c r="E63" i="39" l="1"/>
  <c r="F63" i="39"/>
  <c r="D64" i="39" s="1"/>
  <c r="B63" i="39"/>
  <c r="G63" i="39"/>
  <c r="B62" i="39"/>
  <c r="G62" i="39"/>
  <c r="H62" i="39"/>
  <c r="I59" i="24"/>
  <c r="E61" i="24"/>
  <c r="F61" i="24" s="1"/>
  <c r="B61" i="24"/>
  <c r="B60" i="24"/>
  <c r="G60" i="24"/>
  <c r="H60" i="24"/>
  <c r="H140" i="26"/>
  <c r="I140" i="26"/>
  <c r="E141" i="26"/>
  <c r="F141" i="26" s="1"/>
  <c r="B141" i="26"/>
  <c r="E144" i="18"/>
  <c r="F144" i="18" s="1"/>
  <c r="G59" i="21"/>
  <c r="I59" i="21" s="1"/>
  <c r="I58" i="23"/>
  <c r="I57" i="26"/>
  <c r="I143" i="18"/>
  <c r="H143" i="18"/>
  <c r="D62" i="18"/>
  <c r="E62" i="18" s="1"/>
  <c r="H61" i="18"/>
  <c r="G61" i="18"/>
  <c r="B55" i="35"/>
  <c r="F55" i="35"/>
  <c r="H55" i="35" s="1"/>
  <c r="B57" i="25"/>
  <c r="D64" i="3"/>
  <c r="E64" i="3" s="1"/>
  <c r="D63" i="4"/>
  <c r="E63" i="4" s="1"/>
  <c r="F59" i="28"/>
  <c r="G59" i="28" s="1"/>
  <c r="B59" i="28"/>
  <c r="D62" i="19"/>
  <c r="E62" i="19" s="1"/>
  <c r="B59" i="23"/>
  <c r="F59" i="23"/>
  <c r="F53" i="38"/>
  <c r="G53" i="38" s="1"/>
  <c r="B53" i="38"/>
  <c r="H63" i="3"/>
  <c r="I63" i="3" s="1"/>
  <c r="G62" i="4"/>
  <c r="B54" i="37"/>
  <c r="F54" i="37"/>
  <c r="H54" i="37" s="1"/>
  <c r="H62" i="4"/>
  <c r="D60" i="21"/>
  <c r="E60" i="21" s="1"/>
  <c r="F56" i="29"/>
  <c r="D59" i="22"/>
  <c r="E59" i="22" s="1"/>
  <c r="B55" i="31"/>
  <c r="F55" i="31"/>
  <c r="B58" i="26"/>
  <c r="F58" i="26"/>
  <c r="G58" i="26" s="1"/>
  <c r="I56" i="13"/>
  <c r="B59" i="27"/>
  <c r="F59" i="27"/>
  <c r="H59" i="27" s="1"/>
  <c r="H61" i="19"/>
  <c r="I61" i="19" s="1"/>
  <c r="H58" i="22"/>
  <c r="I58" i="22" s="1"/>
  <c r="B55" i="34"/>
  <c r="F55" i="34"/>
  <c r="H55" i="34" s="1"/>
  <c r="E57" i="25"/>
  <c r="F57" i="25" s="1"/>
  <c r="B57" i="13"/>
  <c r="F57" i="13"/>
  <c r="F138" i="35"/>
  <c r="B138" i="35"/>
  <c r="H136" i="37"/>
  <c r="I136" i="37"/>
  <c r="I137" i="35"/>
  <c r="H137" i="35"/>
  <c r="B137" i="37"/>
  <c r="E137" i="37"/>
  <c r="F137" i="37" s="1"/>
  <c r="B145" i="4"/>
  <c r="E145" i="4"/>
  <c r="F145" i="4" s="1"/>
  <c r="H144" i="4"/>
  <c r="I144" i="4"/>
  <c r="H141" i="28"/>
  <c r="I141" i="28"/>
  <c r="E142" i="28"/>
  <c r="F142" i="28" s="1"/>
  <c r="B142" i="28"/>
  <c r="F138" i="31"/>
  <c r="B138" i="31"/>
  <c r="I137" i="31"/>
  <c r="H137" i="31"/>
  <c r="D141" i="25"/>
  <c r="G140" i="25"/>
  <c r="J140" i="21"/>
  <c r="D138" i="34"/>
  <c r="E138" i="34" s="1"/>
  <c r="G137" i="34"/>
  <c r="G141" i="24"/>
  <c r="D142" i="24"/>
  <c r="E142" i="24" s="1"/>
  <c r="H143" i="19"/>
  <c r="I143" i="19"/>
  <c r="B144" i="19"/>
  <c r="F144" i="19"/>
  <c r="D142" i="21"/>
  <c r="G141" i="21"/>
  <c r="D142" i="27"/>
  <c r="E142" i="27" s="1"/>
  <c r="G141" i="27"/>
  <c r="D138" i="38"/>
  <c r="E138" i="38" s="1"/>
  <c r="G137" i="38"/>
  <c r="J140" i="27"/>
  <c r="F143" i="29"/>
  <c r="J140" i="24"/>
  <c r="G138" i="13"/>
  <c r="D139" i="13"/>
  <c r="I142" i="29"/>
  <c r="H142" i="29"/>
  <c r="H144" i="3"/>
  <c r="I144" i="3"/>
  <c r="H145" i="23"/>
  <c r="I145" i="23"/>
  <c r="H137" i="20"/>
  <c r="I137" i="20"/>
  <c r="F138" i="20"/>
  <c r="B138" i="20"/>
  <c r="I140" i="22"/>
  <c r="H140" i="22"/>
  <c r="F146" i="23"/>
  <c r="B145" i="3"/>
  <c r="F145" i="3"/>
  <c r="B141" i="22"/>
  <c r="F141" i="22"/>
  <c r="I62" i="39" l="1"/>
  <c r="E64" i="39"/>
  <c r="F64" i="39" s="1"/>
  <c r="G64" i="39" s="1"/>
  <c r="B64" i="39"/>
  <c r="H63" i="39"/>
  <c r="I63" i="39" s="1"/>
  <c r="I60" i="24"/>
  <c r="G61" i="24"/>
  <c r="D62" i="24"/>
  <c r="H61" i="24"/>
  <c r="J143" i="18"/>
  <c r="J140" i="26"/>
  <c r="J137" i="20"/>
  <c r="D142" i="26"/>
  <c r="G141" i="26"/>
  <c r="I62" i="4"/>
  <c r="G55" i="34"/>
  <c r="I55" i="34" s="1"/>
  <c r="H53" i="38"/>
  <c r="I53" i="38" s="1"/>
  <c r="J143" i="19"/>
  <c r="G144" i="18"/>
  <c r="D145" i="18"/>
  <c r="G59" i="27"/>
  <c r="I59" i="27" s="1"/>
  <c r="H59" i="28"/>
  <c r="I59" i="28" s="1"/>
  <c r="J144" i="4"/>
  <c r="D58" i="25"/>
  <c r="E58" i="25" s="1"/>
  <c r="G57" i="25"/>
  <c r="H57" i="25"/>
  <c r="D56" i="31"/>
  <c r="E56" i="31" s="1"/>
  <c r="D57" i="29"/>
  <c r="E57" i="29" s="1"/>
  <c r="D60" i="23"/>
  <c r="E60" i="23" s="1"/>
  <c r="F63" i="4"/>
  <c r="H63" i="4" s="1"/>
  <c r="B63" i="4"/>
  <c r="D56" i="35"/>
  <c r="E56" i="35" s="1"/>
  <c r="D58" i="13"/>
  <c r="E58" i="13" s="1"/>
  <c r="D59" i="26"/>
  <c r="E59" i="26" s="1"/>
  <c r="F60" i="21"/>
  <c r="G60" i="21" s="1"/>
  <c r="B60" i="21"/>
  <c r="B62" i="19"/>
  <c r="F62" i="19"/>
  <c r="H62" i="19" s="1"/>
  <c r="B64" i="3"/>
  <c r="F64" i="3"/>
  <c r="H64" i="3" s="1"/>
  <c r="G55" i="35"/>
  <c r="I55" i="35" s="1"/>
  <c r="G57" i="13"/>
  <c r="H58" i="26"/>
  <c r="I58" i="26" s="1"/>
  <c r="H57" i="13"/>
  <c r="F59" i="22"/>
  <c r="G59" i="22" s="1"/>
  <c r="B59" i="22"/>
  <c r="D55" i="37"/>
  <c r="E55" i="37" s="1"/>
  <c r="D54" i="38"/>
  <c r="E54" i="38" s="1"/>
  <c r="I61" i="18"/>
  <c r="H55" i="31"/>
  <c r="H56" i="29"/>
  <c r="G59" i="23"/>
  <c r="J144" i="3"/>
  <c r="D56" i="34"/>
  <c r="E56" i="34" s="1"/>
  <c r="D60" i="27"/>
  <c r="E60" i="27" s="1"/>
  <c r="G55" i="31"/>
  <c r="G56" i="29"/>
  <c r="G54" i="37"/>
  <c r="I54" i="37" s="1"/>
  <c r="H59" i="23"/>
  <c r="D60" i="28"/>
  <c r="E60" i="28" s="1"/>
  <c r="F62" i="18"/>
  <c r="H62" i="18" s="1"/>
  <c r="B62" i="18"/>
  <c r="G137" i="37"/>
  <c r="D138" i="37"/>
  <c r="B138" i="37" s="1"/>
  <c r="J145" i="23"/>
  <c r="J141" i="28"/>
  <c r="J137" i="31"/>
  <c r="D139" i="35"/>
  <c r="G138" i="35"/>
  <c r="G145" i="4"/>
  <c r="D146" i="4"/>
  <c r="G138" i="31"/>
  <c r="D139" i="31"/>
  <c r="D143" i="28"/>
  <c r="G142" i="28"/>
  <c r="I140" i="25"/>
  <c r="H140" i="25"/>
  <c r="E141" i="25"/>
  <c r="F141" i="25" s="1"/>
  <c r="B141" i="25"/>
  <c r="D144" i="29"/>
  <c r="E144" i="29" s="1"/>
  <c r="G143" i="29"/>
  <c r="F138" i="38"/>
  <c r="B138" i="38"/>
  <c r="H137" i="38"/>
  <c r="I137" i="38"/>
  <c r="D145" i="19"/>
  <c r="E145" i="19" s="1"/>
  <c r="G144" i="19"/>
  <c r="B142" i="24"/>
  <c r="F142" i="24"/>
  <c r="B142" i="21"/>
  <c r="B139" i="13"/>
  <c r="H141" i="24"/>
  <c r="I141" i="24"/>
  <c r="E139" i="13"/>
  <c r="F139" i="13" s="1"/>
  <c r="H141" i="27"/>
  <c r="I141" i="27"/>
  <c r="E142" i="21"/>
  <c r="F142" i="21" s="1"/>
  <c r="H137" i="34"/>
  <c r="I137" i="34"/>
  <c r="I138" i="13"/>
  <c r="H138" i="13"/>
  <c r="B142" i="27"/>
  <c r="F142" i="27"/>
  <c r="H141" i="21"/>
  <c r="I141" i="21"/>
  <c r="B138" i="34"/>
  <c r="F138" i="34"/>
  <c r="D142" i="22"/>
  <c r="G141" i="22"/>
  <c r="G145" i="3"/>
  <c r="D146" i="3"/>
  <c r="E146" i="3" s="1"/>
  <c r="D139" i="20"/>
  <c r="E139" i="20" s="1"/>
  <c r="G138" i="20"/>
  <c r="G146" i="23"/>
  <c r="D147" i="23"/>
  <c r="J140" i="22"/>
  <c r="D65" i="39" l="1"/>
  <c r="E65" i="39" s="1"/>
  <c r="F65" i="39" s="1"/>
  <c r="H64" i="39"/>
  <c r="I64" i="39" s="1"/>
  <c r="I61" i="24"/>
  <c r="E62" i="24"/>
  <c r="F62" i="24" s="1"/>
  <c r="G62" i="24" s="1"/>
  <c r="B62" i="24"/>
  <c r="H59" i="22"/>
  <c r="I59" i="22" s="1"/>
  <c r="I141" i="26"/>
  <c r="H141" i="26"/>
  <c r="E142" i="26"/>
  <c r="F142" i="26" s="1"/>
  <c r="B142" i="26"/>
  <c r="I59" i="23"/>
  <c r="J141" i="27"/>
  <c r="E145" i="18"/>
  <c r="F145" i="18" s="1"/>
  <c r="B145" i="18"/>
  <c r="I144" i="18"/>
  <c r="H144" i="18"/>
  <c r="G62" i="18"/>
  <c r="I62" i="18" s="1"/>
  <c r="G64" i="3"/>
  <c r="I64" i="3" s="1"/>
  <c r="G62" i="19"/>
  <c r="I62" i="19" s="1"/>
  <c r="I57" i="25"/>
  <c r="G63" i="4"/>
  <c r="I63" i="4" s="1"/>
  <c r="I55" i="31"/>
  <c r="B56" i="35"/>
  <c r="F56" i="35"/>
  <c r="G56" i="35" s="1"/>
  <c r="J141" i="21"/>
  <c r="D61" i="21"/>
  <c r="E61" i="21" s="1"/>
  <c r="F57" i="29"/>
  <c r="G57" i="29" s="1"/>
  <c r="D63" i="18"/>
  <c r="E63" i="18" s="1"/>
  <c r="B60" i="27"/>
  <c r="F60" i="27"/>
  <c r="G60" i="27" s="1"/>
  <c r="D60" i="22"/>
  <c r="E60" i="22" s="1"/>
  <c r="B59" i="26"/>
  <c r="F59" i="26"/>
  <c r="H59" i="26" s="1"/>
  <c r="B56" i="31"/>
  <c r="F56" i="31"/>
  <c r="F60" i="28"/>
  <c r="G60" i="28" s="1"/>
  <c r="B60" i="28"/>
  <c r="B56" i="34"/>
  <c r="F56" i="34"/>
  <c r="I57" i="13"/>
  <c r="D65" i="3"/>
  <c r="E65" i="3" s="1"/>
  <c r="D64" i="4"/>
  <c r="E64" i="4" s="1"/>
  <c r="B54" i="38"/>
  <c r="F54" i="38"/>
  <c r="H54" i="38" s="1"/>
  <c r="B58" i="13"/>
  <c r="F58" i="13"/>
  <c r="I56" i="29"/>
  <c r="B55" i="37"/>
  <c r="F55" i="37"/>
  <c r="H55" i="37" s="1"/>
  <c r="D63" i="19"/>
  <c r="E63" i="19" s="1"/>
  <c r="H60" i="21"/>
  <c r="I60" i="21" s="1"/>
  <c r="F60" i="23"/>
  <c r="H60" i="23" s="1"/>
  <c r="B60" i="23"/>
  <c r="B58" i="25"/>
  <c r="F58" i="25"/>
  <c r="H58" i="25" s="1"/>
  <c r="H138" i="35"/>
  <c r="I138" i="35"/>
  <c r="E139" i="35"/>
  <c r="F139" i="35" s="1"/>
  <c r="B139" i="35"/>
  <c r="E138" i="37"/>
  <c r="F138" i="37" s="1"/>
  <c r="E146" i="4"/>
  <c r="F146" i="4" s="1"/>
  <c r="B146" i="4"/>
  <c r="I145" i="4"/>
  <c r="H145" i="4"/>
  <c r="I137" i="37"/>
  <c r="H137" i="37"/>
  <c r="G141" i="25"/>
  <c r="D142" i="25"/>
  <c r="I142" i="28"/>
  <c r="H142" i="28"/>
  <c r="E143" i="28"/>
  <c r="F143" i="28" s="1"/>
  <c r="B143" i="28"/>
  <c r="E139" i="31"/>
  <c r="F139" i="31" s="1"/>
  <c r="B139" i="31"/>
  <c r="H138" i="31"/>
  <c r="I138" i="31"/>
  <c r="D140" i="13"/>
  <c r="E140" i="13" s="1"/>
  <c r="G139" i="13"/>
  <c r="G142" i="21"/>
  <c r="D143" i="21"/>
  <c r="E143" i="21" s="1"/>
  <c r="B145" i="19"/>
  <c r="F145" i="19"/>
  <c r="G142" i="27"/>
  <c r="D143" i="27"/>
  <c r="E143" i="27" s="1"/>
  <c r="G142" i="24"/>
  <c r="D143" i="24"/>
  <c r="E143" i="24" s="1"/>
  <c r="G138" i="38"/>
  <c r="D139" i="38"/>
  <c r="E139" i="38" s="1"/>
  <c r="D139" i="34"/>
  <c r="E139" i="34" s="1"/>
  <c r="G138" i="34"/>
  <c r="J141" i="24"/>
  <c r="H143" i="29"/>
  <c r="I143" i="29"/>
  <c r="F144" i="29"/>
  <c r="H144" i="19"/>
  <c r="I144" i="19"/>
  <c r="I145" i="3"/>
  <c r="H145" i="3"/>
  <c r="B146" i="3"/>
  <c r="F146" i="3"/>
  <c r="E147" i="23"/>
  <c r="F147" i="23" s="1"/>
  <c r="H141" i="22"/>
  <c r="I141" i="22"/>
  <c r="H146" i="23"/>
  <c r="I146" i="23"/>
  <c r="B142" i="22"/>
  <c r="F139" i="20"/>
  <c r="B139" i="20"/>
  <c r="I138" i="20"/>
  <c r="H138" i="20"/>
  <c r="E142" i="22"/>
  <c r="F142" i="22" s="1"/>
  <c r="D66" i="39" l="1"/>
  <c r="E66" i="39" s="1"/>
  <c r="F66" i="39" s="1"/>
  <c r="D67" i="39" s="1"/>
  <c r="B65" i="39"/>
  <c r="G65" i="39"/>
  <c r="H65" i="39"/>
  <c r="H62" i="24"/>
  <c r="I62" i="24" s="1"/>
  <c r="D63" i="24"/>
  <c r="D143" i="26"/>
  <c r="G142" i="26"/>
  <c r="G59" i="26"/>
  <c r="I59" i="26" s="1"/>
  <c r="J141" i="26"/>
  <c r="J144" i="18"/>
  <c r="D146" i="18"/>
  <c r="G145" i="18"/>
  <c r="H56" i="35"/>
  <c r="I56" i="35" s="1"/>
  <c r="G55" i="37"/>
  <c r="I55" i="37" s="1"/>
  <c r="G58" i="25"/>
  <c r="I58" i="25" s="1"/>
  <c r="H60" i="28"/>
  <c r="I60" i="28" s="1"/>
  <c r="G60" i="23"/>
  <c r="I60" i="23" s="1"/>
  <c r="B65" i="3"/>
  <c r="F65" i="3"/>
  <c r="D61" i="27"/>
  <c r="E61" i="27" s="1"/>
  <c r="B61" i="21"/>
  <c r="F61" i="21"/>
  <c r="D55" i="38"/>
  <c r="E55" i="38" s="1"/>
  <c r="D61" i="28"/>
  <c r="E61" i="28" s="1"/>
  <c r="D60" i="26"/>
  <c r="E60" i="26" s="1"/>
  <c r="D61" i="23"/>
  <c r="E61" i="23" s="1"/>
  <c r="D57" i="34"/>
  <c r="E57" i="34" s="1"/>
  <c r="D57" i="31"/>
  <c r="E57" i="31" s="1"/>
  <c r="D59" i="13"/>
  <c r="E59" i="13" s="1"/>
  <c r="H56" i="31"/>
  <c r="B63" i="18"/>
  <c r="F63" i="18"/>
  <c r="H63" i="18" s="1"/>
  <c r="G54" i="38"/>
  <c r="I54" i="38" s="1"/>
  <c r="G56" i="34"/>
  <c r="B60" i="22"/>
  <c r="F60" i="22"/>
  <c r="G60" i="22" s="1"/>
  <c r="D57" i="35"/>
  <c r="E57" i="35" s="1"/>
  <c r="D59" i="25"/>
  <c r="E59" i="25" s="1"/>
  <c r="B63" i="19"/>
  <c r="F63" i="19"/>
  <c r="G63" i="19" s="1"/>
  <c r="G58" i="13"/>
  <c r="H56" i="34"/>
  <c r="G56" i="31"/>
  <c r="D58" i="29"/>
  <c r="E58" i="29" s="1"/>
  <c r="D56" i="37"/>
  <c r="E56" i="37" s="1"/>
  <c r="H58" i="13"/>
  <c r="F64" i="4"/>
  <c r="H64" i="4" s="1"/>
  <c r="B64" i="4"/>
  <c r="H60" i="27"/>
  <c r="I60" i="27" s="1"/>
  <c r="H57" i="29"/>
  <c r="I57" i="29" s="1"/>
  <c r="D140" i="35"/>
  <c r="G139" i="35"/>
  <c r="J138" i="31"/>
  <c r="D147" i="4"/>
  <c r="G146" i="4"/>
  <c r="G138" i="37"/>
  <c r="D139" i="37"/>
  <c r="E139" i="37" s="1"/>
  <c r="J145" i="4"/>
  <c r="G139" i="31"/>
  <c r="D140" i="31"/>
  <c r="D144" i="28"/>
  <c r="G143" i="28"/>
  <c r="J142" i="28"/>
  <c r="E142" i="25"/>
  <c r="F142" i="25" s="1"/>
  <c r="B142" i="25"/>
  <c r="J141" i="22"/>
  <c r="H141" i="25"/>
  <c r="I141" i="25"/>
  <c r="J146" i="23"/>
  <c r="J138" i="20"/>
  <c r="B139" i="38"/>
  <c r="F139" i="38"/>
  <c r="G144" i="29"/>
  <c r="D145" i="29"/>
  <c r="E145" i="29" s="1"/>
  <c r="F143" i="21"/>
  <c r="B143" i="21"/>
  <c r="H138" i="38"/>
  <c r="I138" i="38"/>
  <c r="F143" i="27"/>
  <c r="B143" i="27"/>
  <c r="I142" i="21"/>
  <c r="H142" i="21"/>
  <c r="H142" i="27"/>
  <c r="I142" i="27"/>
  <c r="H139" i="13"/>
  <c r="I139" i="13"/>
  <c r="H138" i="34"/>
  <c r="I138" i="34"/>
  <c r="B143" i="24"/>
  <c r="F143" i="24"/>
  <c r="G145" i="19"/>
  <c r="D146" i="19"/>
  <c r="J144" i="19"/>
  <c r="F139" i="34"/>
  <c r="B139" i="34"/>
  <c r="I142" i="24"/>
  <c r="H142" i="24"/>
  <c r="F140" i="13"/>
  <c r="B140" i="13"/>
  <c r="D148" i="23"/>
  <c r="E148" i="23" s="1"/>
  <c r="G147" i="23"/>
  <c r="D143" i="22"/>
  <c r="E143" i="22" s="1"/>
  <c r="G142" i="22"/>
  <c r="G146" i="3"/>
  <c r="D147" i="3"/>
  <c r="D140" i="20"/>
  <c r="E140" i="20" s="1"/>
  <c r="G139" i="20"/>
  <c r="J145" i="3"/>
  <c r="E67" i="39" l="1"/>
  <c r="B67" i="39"/>
  <c r="F67" i="39"/>
  <c r="D68" i="39" s="1"/>
  <c r="G67" i="39"/>
  <c r="I65" i="39"/>
  <c r="B66" i="39"/>
  <c r="G66" i="39"/>
  <c r="H66" i="39"/>
  <c r="E63" i="24"/>
  <c r="F63" i="24" s="1"/>
  <c r="G63" i="24" s="1"/>
  <c r="B63" i="24"/>
  <c r="G64" i="4"/>
  <c r="I64" i="4" s="1"/>
  <c r="H142" i="26"/>
  <c r="I142" i="26"/>
  <c r="E143" i="26"/>
  <c r="F143" i="26" s="1"/>
  <c r="B143" i="26"/>
  <c r="J142" i="27"/>
  <c r="H145" i="18"/>
  <c r="I145" i="18"/>
  <c r="E146" i="18"/>
  <c r="F146" i="18" s="1"/>
  <c r="B146" i="18"/>
  <c r="H63" i="19"/>
  <c r="I63" i="19" s="1"/>
  <c r="H60" i="22"/>
  <c r="I60" i="22" s="1"/>
  <c r="I56" i="31"/>
  <c r="D66" i="3"/>
  <c r="E66" i="3" s="1"/>
  <c r="F58" i="29"/>
  <c r="G58" i="29" s="1"/>
  <c r="F61" i="23"/>
  <c r="B61" i="23"/>
  <c r="D62" i="21"/>
  <c r="E62" i="21" s="1"/>
  <c r="G65" i="3"/>
  <c r="F59" i="25"/>
  <c r="H59" i="25" s="1"/>
  <c r="B59" i="25"/>
  <c r="B59" i="13"/>
  <c r="F59" i="13"/>
  <c r="H59" i="13" s="1"/>
  <c r="H61" i="21"/>
  <c r="I56" i="34"/>
  <c r="B60" i="26"/>
  <c r="F60" i="26"/>
  <c r="H60" i="26" s="1"/>
  <c r="G61" i="21"/>
  <c r="D65" i="4"/>
  <c r="E65" i="4" s="1"/>
  <c r="B57" i="35"/>
  <c r="F57" i="35"/>
  <c r="F57" i="31"/>
  <c r="H57" i="31" s="1"/>
  <c r="B57" i="31"/>
  <c r="I58" i="13"/>
  <c r="D64" i="18"/>
  <c r="E64" i="18" s="1"/>
  <c r="F61" i="28"/>
  <c r="G61" i="28" s="1"/>
  <c r="B61" i="28"/>
  <c r="B57" i="34"/>
  <c r="F57" i="34"/>
  <c r="F61" i="27"/>
  <c r="B61" i="27"/>
  <c r="F56" i="37"/>
  <c r="G56" i="37" s="1"/>
  <c r="B56" i="37"/>
  <c r="D64" i="19"/>
  <c r="E64" i="19" s="1"/>
  <c r="D61" i="22"/>
  <c r="E61" i="22" s="1"/>
  <c r="G63" i="18"/>
  <c r="I63" i="18" s="1"/>
  <c r="F55" i="38"/>
  <c r="H55" i="38" s="1"/>
  <c r="B55" i="38"/>
  <c r="H65" i="3"/>
  <c r="B139" i="37"/>
  <c r="F139" i="37"/>
  <c r="I138" i="37"/>
  <c r="H138" i="37"/>
  <c r="I146" i="4"/>
  <c r="H146" i="4"/>
  <c r="B147" i="4"/>
  <c r="E147" i="4"/>
  <c r="F147" i="4" s="1"/>
  <c r="H139" i="35"/>
  <c r="I139" i="35"/>
  <c r="E140" i="35"/>
  <c r="F140" i="35" s="1"/>
  <c r="B140" i="35"/>
  <c r="G142" i="25"/>
  <c r="D143" i="25"/>
  <c r="H143" i="28"/>
  <c r="I143" i="28"/>
  <c r="B144" i="28"/>
  <c r="E144" i="28"/>
  <c r="F144" i="28" s="1"/>
  <c r="B140" i="31"/>
  <c r="I139" i="31"/>
  <c r="H139" i="31"/>
  <c r="E140" i="31"/>
  <c r="F140" i="31" s="1"/>
  <c r="B146" i="19"/>
  <c r="H145" i="19"/>
  <c r="I145" i="19"/>
  <c r="J142" i="21"/>
  <c r="D140" i="38"/>
  <c r="E140" i="38" s="1"/>
  <c r="G139" i="38"/>
  <c r="G143" i="24"/>
  <c r="D144" i="24"/>
  <c r="E144" i="24" s="1"/>
  <c r="F145" i="29"/>
  <c r="G143" i="27"/>
  <c r="D144" i="27"/>
  <c r="E144" i="27" s="1"/>
  <c r="I144" i="29"/>
  <c r="H144" i="29"/>
  <c r="J142" i="24"/>
  <c r="G143" i="21"/>
  <c r="D144" i="21"/>
  <c r="E144" i="21" s="1"/>
  <c r="D141" i="13"/>
  <c r="E141" i="13" s="1"/>
  <c r="G140" i="13"/>
  <c r="D140" i="34"/>
  <c r="G139" i="34"/>
  <c r="E146" i="19"/>
  <c r="F146" i="19" s="1"/>
  <c r="I142" i="22"/>
  <c r="H142" i="22"/>
  <c r="B147" i="3"/>
  <c r="H146" i="3"/>
  <c r="I146" i="3"/>
  <c r="H139" i="20"/>
  <c r="I139" i="20"/>
  <c r="B143" i="22"/>
  <c r="F143" i="22"/>
  <c r="I147" i="23"/>
  <c r="H147" i="23"/>
  <c r="E147" i="3"/>
  <c r="F147" i="3" s="1"/>
  <c r="B140" i="20"/>
  <c r="F140" i="20"/>
  <c r="F148" i="23"/>
  <c r="E68" i="39" l="1"/>
  <c r="F68" i="39" s="1"/>
  <c r="B68" i="39"/>
  <c r="I66" i="39"/>
  <c r="H67" i="39"/>
  <c r="I67" i="39" s="1"/>
  <c r="I65" i="3"/>
  <c r="H63" i="24"/>
  <c r="I63" i="24" s="1"/>
  <c r="D64" i="24"/>
  <c r="J142" i="26"/>
  <c r="D144" i="26"/>
  <c r="G143" i="26"/>
  <c r="J145" i="18"/>
  <c r="D147" i="18"/>
  <c r="G146" i="18"/>
  <c r="J146" i="3"/>
  <c r="G57" i="31"/>
  <c r="I57" i="31" s="1"/>
  <c r="H56" i="37"/>
  <c r="I56" i="37" s="1"/>
  <c r="H61" i="28"/>
  <c r="I61" i="28" s="1"/>
  <c r="G59" i="25"/>
  <c r="I59" i="25" s="1"/>
  <c r="H58" i="29"/>
  <c r="I58" i="29" s="1"/>
  <c r="I61" i="21"/>
  <c r="D62" i="27"/>
  <c r="E62" i="27" s="1"/>
  <c r="D58" i="35"/>
  <c r="E58" i="35" s="1"/>
  <c r="F64" i="19"/>
  <c r="H64" i="19" s="1"/>
  <c r="B64" i="19"/>
  <c r="G61" i="27"/>
  <c r="D62" i="23"/>
  <c r="J139" i="31"/>
  <c r="D56" i="38"/>
  <c r="E56" i="38" s="1"/>
  <c r="D58" i="34"/>
  <c r="E58" i="34" s="1"/>
  <c r="D60" i="25"/>
  <c r="E60" i="25" s="1"/>
  <c r="D62" i="28"/>
  <c r="B65" i="4"/>
  <c r="F65" i="4"/>
  <c r="G65" i="4" s="1"/>
  <c r="G55" i="38"/>
  <c r="I55" i="38" s="1"/>
  <c r="H57" i="34"/>
  <c r="D58" i="31"/>
  <c r="E58" i="31" s="1"/>
  <c r="D60" i="13"/>
  <c r="E60" i="13" s="1"/>
  <c r="D59" i="29"/>
  <c r="E59" i="29" s="1"/>
  <c r="D57" i="37"/>
  <c r="G57" i="34"/>
  <c r="F64" i="18"/>
  <c r="H64" i="18" s="1"/>
  <c r="B64" i="18"/>
  <c r="D61" i="26"/>
  <c r="E61" i="26" s="1"/>
  <c r="B62" i="21"/>
  <c r="F62" i="21"/>
  <c r="G62" i="21" s="1"/>
  <c r="H61" i="27"/>
  <c r="H57" i="35"/>
  <c r="G59" i="13"/>
  <c r="I59" i="13" s="1"/>
  <c r="H61" i="23"/>
  <c r="F66" i="3"/>
  <c r="G66" i="3" s="1"/>
  <c r="B66" i="3"/>
  <c r="B61" i="22"/>
  <c r="F61" i="22"/>
  <c r="H61" i="22" s="1"/>
  <c r="G57" i="35"/>
  <c r="G60" i="26"/>
  <c r="I60" i="26" s="1"/>
  <c r="G61" i="23"/>
  <c r="D148" i="4"/>
  <c r="G147" i="4"/>
  <c r="J146" i="4"/>
  <c r="D141" i="35"/>
  <c r="G140" i="35"/>
  <c r="D140" i="37"/>
  <c r="E140" i="37" s="1"/>
  <c r="G139" i="37"/>
  <c r="J143" i="28"/>
  <c r="D145" i="28"/>
  <c r="B145" i="28" s="1"/>
  <c r="G144" i="28"/>
  <c r="D141" i="31"/>
  <c r="G140" i="31"/>
  <c r="E143" i="25"/>
  <c r="F143" i="25" s="1"/>
  <c r="B143" i="25"/>
  <c r="J139" i="20"/>
  <c r="J145" i="19"/>
  <c r="H142" i="25"/>
  <c r="I142" i="25"/>
  <c r="G146" i="19"/>
  <c r="D147" i="19"/>
  <c r="B140" i="34"/>
  <c r="G145" i="29"/>
  <c r="D146" i="29"/>
  <c r="E146" i="29" s="1"/>
  <c r="B144" i="21"/>
  <c r="F144" i="21"/>
  <c r="I143" i="21"/>
  <c r="H143" i="21"/>
  <c r="F144" i="24"/>
  <c r="B144" i="24"/>
  <c r="H139" i="34"/>
  <c r="I139" i="34"/>
  <c r="I143" i="24"/>
  <c r="H143" i="24"/>
  <c r="I140" i="13"/>
  <c r="H140" i="13"/>
  <c r="F144" i="27"/>
  <c r="B144" i="27"/>
  <c r="F140" i="38"/>
  <c r="B140" i="38"/>
  <c r="E140" i="34"/>
  <c r="F140" i="34" s="1"/>
  <c r="B141" i="13"/>
  <c r="F141" i="13"/>
  <c r="I143" i="27"/>
  <c r="H143" i="27"/>
  <c r="H139" i="38"/>
  <c r="I139" i="38"/>
  <c r="G148" i="23"/>
  <c r="D149" i="23"/>
  <c r="J147" i="23"/>
  <c r="D144" i="22"/>
  <c r="E144" i="22" s="1"/>
  <c r="G143" i="22"/>
  <c r="D148" i="3"/>
  <c r="E148" i="3" s="1"/>
  <c r="G147" i="3"/>
  <c r="G140" i="20"/>
  <c r="D141" i="20"/>
  <c r="E141" i="20" s="1"/>
  <c r="J142" i="22"/>
  <c r="D69" i="39" l="1"/>
  <c r="G68" i="39"/>
  <c r="E69" i="39"/>
  <c r="F69" i="39"/>
  <c r="B69" i="39"/>
  <c r="H68" i="39"/>
  <c r="I68" i="39" s="1"/>
  <c r="E64" i="24"/>
  <c r="F64" i="24" s="1"/>
  <c r="G64" i="24" s="1"/>
  <c r="B64" i="24"/>
  <c r="I143" i="26"/>
  <c r="H143" i="26"/>
  <c r="E144" i="26"/>
  <c r="F144" i="26" s="1"/>
  <c r="B144" i="26"/>
  <c r="E145" i="28"/>
  <c r="F145" i="28" s="1"/>
  <c r="D146" i="28" s="1"/>
  <c r="E146" i="28" s="1"/>
  <c r="F146" i="28" s="1"/>
  <c r="I146" i="18"/>
  <c r="H146" i="18"/>
  <c r="E147" i="18"/>
  <c r="F147" i="18" s="1"/>
  <c r="B147" i="18"/>
  <c r="H66" i="3"/>
  <c r="I66" i="3" s="1"/>
  <c r="G64" i="18"/>
  <c r="I64" i="18" s="1"/>
  <c r="H65" i="4"/>
  <c r="I65" i="4" s="1"/>
  <c r="I61" i="23"/>
  <c r="I57" i="35"/>
  <c r="I61" i="27"/>
  <c r="B57" i="37"/>
  <c r="B62" i="28"/>
  <c r="B56" i="38"/>
  <c r="F56" i="38"/>
  <c r="H56" i="38" s="1"/>
  <c r="D62" i="22"/>
  <c r="E62" i="22" s="1"/>
  <c r="B61" i="26"/>
  <c r="F61" i="26"/>
  <c r="F59" i="29"/>
  <c r="B62" i="23"/>
  <c r="D65" i="19"/>
  <c r="E65" i="19" s="1"/>
  <c r="G61" i="22"/>
  <c r="I61" i="22" s="1"/>
  <c r="F60" i="25"/>
  <c r="H60" i="25" s="1"/>
  <c r="B60" i="25"/>
  <c r="E62" i="23"/>
  <c r="F62" i="23" s="1"/>
  <c r="D65" i="18"/>
  <c r="E65" i="18" s="1"/>
  <c r="F60" i="13"/>
  <c r="G60" i="13" s="1"/>
  <c r="B60" i="13"/>
  <c r="D66" i="4"/>
  <c r="E66" i="4" s="1"/>
  <c r="D63" i="21"/>
  <c r="E63" i="21" s="1"/>
  <c r="F58" i="34"/>
  <c r="H58" i="34" s="1"/>
  <c r="B58" i="34"/>
  <c r="B58" i="35"/>
  <c r="F58" i="35"/>
  <c r="H58" i="35" s="1"/>
  <c r="D67" i="3"/>
  <c r="H62" i="21"/>
  <c r="I62" i="21" s="1"/>
  <c r="F58" i="31"/>
  <c r="H58" i="31" s="1"/>
  <c r="B58" i="31"/>
  <c r="E57" i="37"/>
  <c r="F57" i="37" s="1"/>
  <c r="I57" i="34"/>
  <c r="E62" i="28"/>
  <c r="F62" i="28" s="1"/>
  <c r="G64" i="19"/>
  <c r="I64" i="19" s="1"/>
  <c r="B62" i="27"/>
  <c r="F62" i="27"/>
  <c r="G62" i="27" s="1"/>
  <c r="F140" i="37"/>
  <c r="B140" i="37"/>
  <c r="I140" i="35"/>
  <c r="H140" i="35"/>
  <c r="B141" i="35"/>
  <c r="E141" i="35"/>
  <c r="F141" i="35" s="1"/>
  <c r="I147" i="4"/>
  <c r="H147" i="4"/>
  <c r="I139" i="37"/>
  <c r="H139" i="37"/>
  <c r="E148" i="4"/>
  <c r="F148" i="4" s="1"/>
  <c r="B148" i="4"/>
  <c r="G143" i="25"/>
  <c r="D144" i="25"/>
  <c r="B144" i="25" s="1"/>
  <c r="H140" i="31"/>
  <c r="I140" i="31"/>
  <c r="E141" i="31"/>
  <c r="F141" i="31" s="1"/>
  <c r="B141" i="31"/>
  <c r="I144" i="28"/>
  <c r="H144" i="28"/>
  <c r="D145" i="21"/>
  <c r="E145" i="21" s="1"/>
  <c r="G144" i="21"/>
  <c r="J143" i="24"/>
  <c r="G140" i="34"/>
  <c r="D141" i="34"/>
  <c r="E141" i="34" s="1"/>
  <c r="G144" i="24"/>
  <c r="D145" i="24"/>
  <c r="J143" i="21"/>
  <c r="D141" i="38"/>
  <c r="E141" i="38" s="1"/>
  <c r="G140" i="38"/>
  <c r="D145" i="27"/>
  <c r="E145" i="27" s="1"/>
  <c r="G144" i="27"/>
  <c r="F146" i="29"/>
  <c r="B147" i="19"/>
  <c r="J143" i="27"/>
  <c r="I145" i="29"/>
  <c r="H145" i="29"/>
  <c r="E147" i="19"/>
  <c r="F147" i="19" s="1"/>
  <c r="D142" i="13"/>
  <c r="E142" i="13" s="1"/>
  <c r="G141" i="13"/>
  <c r="H146" i="19"/>
  <c r="I146" i="19"/>
  <c r="F144" i="22"/>
  <c r="B144" i="22"/>
  <c r="H143" i="22"/>
  <c r="I143" i="22"/>
  <c r="I140" i="20"/>
  <c r="H140" i="20"/>
  <c r="I147" i="3"/>
  <c r="H147" i="3"/>
  <c r="H148" i="23"/>
  <c r="I148" i="23"/>
  <c r="E149" i="23"/>
  <c r="F149" i="23" s="1"/>
  <c r="B141" i="20"/>
  <c r="F141" i="20"/>
  <c r="B148" i="3"/>
  <c r="F148" i="3"/>
  <c r="G69" i="39" l="1"/>
  <c r="D70" i="39"/>
  <c r="E70" i="39" s="1"/>
  <c r="H69" i="39"/>
  <c r="I69" i="39" s="1"/>
  <c r="B146" i="28"/>
  <c r="G145" i="28"/>
  <c r="I145" i="28" s="1"/>
  <c r="H64" i="24"/>
  <c r="I64" i="24" s="1"/>
  <c r="D65" i="24"/>
  <c r="D145" i="26"/>
  <c r="G144" i="26"/>
  <c r="J143" i="26"/>
  <c r="E144" i="25"/>
  <c r="F144" i="25" s="1"/>
  <c r="D145" i="25" s="1"/>
  <c r="E145" i="25" s="1"/>
  <c r="G147" i="18"/>
  <c r="D148" i="18"/>
  <c r="J144" i="28"/>
  <c r="J146" i="18"/>
  <c r="H62" i="27"/>
  <c r="I62" i="27" s="1"/>
  <c r="J147" i="4"/>
  <c r="G60" i="25"/>
  <c r="I60" i="25" s="1"/>
  <c r="D63" i="28"/>
  <c r="E63" i="28" s="1"/>
  <c r="G62" i="28"/>
  <c r="H62" i="28"/>
  <c r="D58" i="37"/>
  <c r="E58" i="37" s="1"/>
  <c r="H57" i="37"/>
  <c r="G57" i="37"/>
  <c r="B67" i="3"/>
  <c r="D59" i="34"/>
  <c r="E59" i="34" s="1"/>
  <c r="D63" i="23"/>
  <c r="E63" i="23" s="1"/>
  <c r="D60" i="29"/>
  <c r="B62" i="22"/>
  <c r="F62" i="22"/>
  <c r="H62" i="22" s="1"/>
  <c r="D63" i="27"/>
  <c r="E63" i="27" s="1"/>
  <c r="G58" i="35"/>
  <c r="I58" i="35" s="1"/>
  <c r="D61" i="13"/>
  <c r="E61" i="13" s="1"/>
  <c r="H59" i="29"/>
  <c r="G59" i="29"/>
  <c r="D59" i="31"/>
  <c r="E59" i="31" s="1"/>
  <c r="D59" i="35"/>
  <c r="B63" i="21"/>
  <c r="F63" i="21"/>
  <c r="F65" i="18"/>
  <c r="G65" i="18" s="1"/>
  <c r="B65" i="18"/>
  <c r="F65" i="19"/>
  <c r="G65" i="19" s="1"/>
  <c r="B65" i="19"/>
  <c r="D62" i="26"/>
  <c r="E62" i="26" s="1"/>
  <c r="D57" i="38"/>
  <c r="J140" i="31"/>
  <c r="G58" i="31"/>
  <c r="I58" i="31" s="1"/>
  <c r="G62" i="23"/>
  <c r="G58" i="34"/>
  <c r="I58" i="34" s="1"/>
  <c r="F66" i="4"/>
  <c r="H66" i="4" s="1"/>
  <c r="B66" i="4"/>
  <c r="H62" i="23"/>
  <c r="H61" i="26"/>
  <c r="G56" i="38"/>
  <c r="I56" i="38" s="1"/>
  <c r="E67" i="3"/>
  <c r="F67" i="3" s="1"/>
  <c r="H60" i="13"/>
  <c r="I60" i="13" s="1"/>
  <c r="D61" i="25"/>
  <c r="E61" i="25" s="1"/>
  <c r="G61" i="26"/>
  <c r="G141" i="35"/>
  <c r="D142" i="35"/>
  <c r="B142" i="35" s="1"/>
  <c r="G148" i="4"/>
  <c r="D149" i="4"/>
  <c r="J146" i="19"/>
  <c r="D141" i="37"/>
  <c r="G140" i="37"/>
  <c r="D142" i="31"/>
  <c r="E142" i="31" s="1"/>
  <c r="G141" i="31"/>
  <c r="H143" i="25"/>
  <c r="I143" i="25"/>
  <c r="D148" i="19"/>
  <c r="G147" i="19"/>
  <c r="I144" i="24"/>
  <c r="H144" i="24"/>
  <c r="H141" i="13"/>
  <c r="I141" i="13"/>
  <c r="F142" i="13"/>
  <c r="B142" i="13"/>
  <c r="I144" i="27"/>
  <c r="H144" i="27"/>
  <c r="F141" i="34"/>
  <c r="B141" i="34"/>
  <c r="J140" i="20"/>
  <c r="B145" i="27"/>
  <c r="F145" i="27"/>
  <c r="D147" i="28"/>
  <c r="E147" i="28" s="1"/>
  <c r="G146" i="28"/>
  <c r="H140" i="34"/>
  <c r="I140" i="34"/>
  <c r="H144" i="21"/>
  <c r="I144" i="21"/>
  <c r="B145" i="24"/>
  <c r="J143" i="22"/>
  <c r="H140" i="38"/>
  <c r="I140" i="38"/>
  <c r="B145" i="21"/>
  <c r="F145" i="21"/>
  <c r="J148" i="23"/>
  <c r="G146" i="29"/>
  <c r="D147" i="29"/>
  <c r="E147" i="29" s="1"/>
  <c r="F141" i="38"/>
  <c r="B141" i="38"/>
  <c r="E145" i="24"/>
  <c r="F145" i="24" s="1"/>
  <c r="G149" i="23"/>
  <c r="D150" i="23"/>
  <c r="G144" i="22"/>
  <c r="D145" i="22"/>
  <c r="E145" i="22" s="1"/>
  <c r="J147" i="3"/>
  <c r="G148" i="3"/>
  <c r="D149" i="3"/>
  <c r="E149" i="3" s="1"/>
  <c r="D142" i="20"/>
  <c r="E142" i="20" s="1"/>
  <c r="G141" i="20"/>
  <c r="F70" i="39" l="1"/>
  <c r="B70" i="39"/>
  <c r="G70" i="39"/>
  <c r="H70" i="39"/>
  <c r="I70" i="39" s="1"/>
  <c r="H145" i="28"/>
  <c r="J145" i="28" s="1"/>
  <c r="G144" i="25"/>
  <c r="I144" i="25" s="1"/>
  <c r="F145" i="25"/>
  <c r="D146" i="25" s="1"/>
  <c r="E65" i="24"/>
  <c r="F65" i="24" s="1"/>
  <c r="H65" i="24" s="1"/>
  <c r="B65" i="24"/>
  <c r="B145" i="25"/>
  <c r="I144" i="26"/>
  <c r="H144" i="26"/>
  <c r="E145" i="26"/>
  <c r="F145" i="26" s="1"/>
  <c r="B145" i="26"/>
  <c r="I62" i="28"/>
  <c r="E148" i="18"/>
  <c r="F148" i="18" s="1"/>
  <c r="B148" i="18"/>
  <c r="I147" i="18"/>
  <c r="H147" i="18"/>
  <c r="I59" i="29"/>
  <c r="H65" i="19"/>
  <c r="I65" i="19" s="1"/>
  <c r="I57" i="37"/>
  <c r="I61" i="26"/>
  <c r="D68" i="3"/>
  <c r="E68" i="3" s="1"/>
  <c r="G67" i="3"/>
  <c r="H67" i="3"/>
  <c r="G66" i="4"/>
  <c r="I66" i="4" s="1"/>
  <c r="B57" i="38"/>
  <c r="H65" i="18"/>
  <c r="I65" i="18" s="1"/>
  <c r="B59" i="35"/>
  <c r="F61" i="25"/>
  <c r="H61" i="25" s="1"/>
  <c r="B61" i="25"/>
  <c r="D67" i="4"/>
  <c r="E67" i="4" s="1"/>
  <c r="B62" i="26"/>
  <c r="F62" i="26"/>
  <c r="D66" i="18"/>
  <c r="E66" i="18" s="1"/>
  <c r="F59" i="31"/>
  <c r="G59" i="31" s="1"/>
  <c r="B59" i="31"/>
  <c r="B63" i="27"/>
  <c r="F63" i="27"/>
  <c r="G63" i="27" s="1"/>
  <c r="F58" i="37"/>
  <c r="H58" i="37" s="1"/>
  <c r="B58" i="37"/>
  <c r="D64" i="21"/>
  <c r="E64" i="21" s="1"/>
  <c r="B63" i="23"/>
  <c r="F63" i="23"/>
  <c r="H63" i="23" s="1"/>
  <c r="E142" i="35"/>
  <c r="F142" i="35" s="1"/>
  <c r="G63" i="21"/>
  <c r="D63" i="22"/>
  <c r="E63" i="22" s="1"/>
  <c r="H63" i="21"/>
  <c r="B59" i="34"/>
  <c r="F59" i="34"/>
  <c r="H59" i="34" s="1"/>
  <c r="I62" i="23"/>
  <c r="D66" i="19"/>
  <c r="E66" i="19" s="1"/>
  <c r="G62" i="22"/>
  <c r="I62" i="22" s="1"/>
  <c r="F63" i="28"/>
  <c r="H63" i="28" s="1"/>
  <c r="B63" i="28"/>
  <c r="E57" i="38"/>
  <c r="F57" i="38" s="1"/>
  <c r="E59" i="35"/>
  <c r="F59" i="35" s="1"/>
  <c r="F61" i="13"/>
  <c r="H61" i="13" s="1"/>
  <c r="B61" i="13"/>
  <c r="E60" i="29"/>
  <c r="F60" i="29" s="1"/>
  <c r="E141" i="37"/>
  <c r="F141" i="37" s="1"/>
  <c r="B141" i="37"/>
  <c r="H140" i="37"/>
  <c r="I140" i="37"/>
  <c r="E149" i="4"/>
  <c r="F149" i="4" s="1"/>
  <c r="B149" i="4"/>
  <c r="H148" i="4"/>
  <c r="I148" i="4"/>
  <c r="H141" i="35"/>
  <c r="I141" i="35"/>
  <c r="J144" i="21"/>
  <c r="H141" i="31"/>
  <c r="I141" i="31"/>
  <c r="B142" i="31"/>
  <c r="F142" i="31"/>
  <c r="G145" i="24"/>
  <c r="D146" i="24"/>
  <c r="E146" i="24" s="1"/>
  <c r="D143" i="13"/>
  <c r="E143" i="13" s="1"/>
  <c r="G142" i="13"/>
  <c r="J144" i="24"/>
  <c r="H146" i="28"/>
  <c r="I146" i="28"/>
  <c r="I147" i="19"/>
  <c r="H147" i="19"/>
  <c r="B148" i="19"/>
  <c r="F147" i="28"/>
  <c r="B147" i="28"/>
  <c r="G141" i="34"/>
  <c r="D142" i="34"/>
  <c r="E142" i="34" s="1"/>
  <c r="E148" i="19"/>
  <c r="F148" i="19" s="1"/>
  <c r="H146" i="29"/>
  <c r="I146" i="29"/>
  <c r="G141" i="38"/>
  <c r="D142" i="38"/>
  <c r="E142" i="38" s="1"/>
  <c r="D146" i="27"/>
  <c r="E146" i="27" s="1"/>
  <c r="G145" i="27"/>
  <c r="J144" i="27"/>
  <c r="G145" i="25"/>
  <c r="F147" i="29"/>
  <c r="G145" i="21"/>
  <c r="D146" i="21"/>
  <c r="E146" i="21" s="1"/>
  <c r="B149" i="3"/>
  <c r="F149" i="3"/>
  <c r="H148" i="3"/>
  <c r="I148" i="3"/>
  <c r="E150" i="23"/>
  <c r="F150" i="23" s="1"/>
  <c r="H144" i="22"/>
  <c r="I144" i="22"/>
  <c r="I141" i="20"/>
  <c r="H141" i="20"/>
  <c r="F142" i="20"/>
  <c r="B142" i="20"/>
  <c r="B145" i="22"/>
  <c r="F145" i="22"/>
  <c r="I149" i="23"/>
  <c r="H149" i="23"/>
  <c r="D71" i="39" l="1"/>
  <c r="E71" i="39" s="1"/>
  <c r="H144" i="25"/>
  <c r="G65" i="24"/>
  <c r="I65" i="24" s="1"/>
  <c r="D66" i="24"/>
  <c r="J147" i="18"/>
  <c r="G145" i="26"/>
  <c r="D146" i="26"/>
  <c r="J148" i="4"/>
  <c r="J144" i="26"/>
  <c r="I67" i="3"/>
  <c r="J146" i="28"/>
  <c r="D149" i="18"/>
  <c r="G148" i="18"/>
  <c r="G63" i="28"/>
  <c r="I63" i="28" s="1"/>
  <c r="G63" i="23"/>
  <c r="I63" i="23" s="1"/>
  <c r="I63" i="21"/>
  <c r="G59" i="34"/>
  <c r="I59" i="34" s="1"/>
  <c r="D61" i="29"/>
  <c r="E61" i="29" s="1"/>
  <c r="H60" i="29"/>
  <c r="G60" i="29"/>
  <c r="D60" i="35"/>
  <c r="E60" i="35" s="1"/>
  <c r="H59" i="35"/>
  <c r="G59" i="35"/>
  <c r="D58" i="38"/>
  <c r="E58" i="38" s="1"/>
  <c r="G57" i="38"/>
  <c r="H57" i="38"/>
  <c r="D59" i="37"/>
  <c r="E59" i="37" s="1"/>
  <c r="D60" i="31"/>
  <c r="D62" i="13"/>
  <c r="E62" i="13" s="1"/>
  <c r="F67" i="4"/>
  <c r="G67" i="4" s="1"/>
  <c r="B67" i="4"/>
  <c r="B66" i="19"/>
  <c r="F66" i="19"/>
  <c r="H66" i="19" s="1"/>
  <c r="D64" i="27"/>
  <c r="E64" i="27" s="1"/>
  <c r="B66" i="18"/>
  <c r="F66" i="18"/>
  <c r="D62" i="25"/>
  <c r="E62" i="25" s="1"/>
  <c r="B63" i="22"/>
  <c r="F63" i="22"/>
  <c r="H63" i="27"/>
  <c r="I63" i="27" s="1"/>
  <c r="D63" i="26"/>
  <c r="E63" i="26" s="1"/>
  <c r="F64" i="21"/>
  <c r="G64" i="21" s="1"/>
  <c r="B64" i="21"/>
  <c r="H62" i="26"/>
  <c r="G61" i="25"/>
  <c r="I61" i="25" s="1"/>
  <c r="D60" i="34"/>
  <c r="E60" i="34" s="1"/>
  <c r="D143" i="35"/>
  <c r="G142" i="35"/>
  <c r="G62" i="26"/>
  <c r="G61" i="13"/>
  <c r="I61" i="13" s="1"/>
  <c r="D64" i="28"/>
  <c r="E64" i="28" s="1"/>
  <c r="D64" i="23"/>
  <c r="E64" i="23" s="1"/>
  <c r="G58" i="37"/>
  <c r="I58" i="37" s="1"/>
  <c r="H59" i="31"/>
  <c r="I59" i="31" s="1"/>
  <c r="B68" i="3"/>
  <c r="F68" i="3"/>
  <c r="H68" i="3" s="1"/>
  <c r="J141" i="31"/>
  <c r="D142" i="37"/>
  <c r="G141" i="37"/>
  <c r="G149" i="4"/>
  <c r="D150" i="4"/>
  <c r="D143" i="31"/>
  <c r="G142" i="31"/>
  <c r="J147" i="19"/>
  <c r="J148" i="3"/>
  <c r="D149" i="19"/>
  <c r="G148" i="19"/>
  <c r="B142" i="38"/>
  <c r="F142" i="38"/>
  <c r="B146" i="21"/>
  <c r="F146" i="21"/>
  <c r="H141" i="38"/>
  <c r="I141" i="38"/>
  <c r="G147" i="28"/>
  <c r="D148" i="28"/>
  <c r="E148" i="28" s="1"/>
  <c r="H142" i="13"/>
  <c r="I142" i="13"/>
  <c r="I145" i="21"/>
  <c r="H145" i="21"/>
  <c r="G147" i="29"/>
  <c r="D148" i="29"/>
  <c r="E148" i="29" s="1"/>
  <c r="B143" i="13"/>
  <c r="F143" i="13"/>
  <c r="I141" i="34"/>
  <c r="H141" i="34"/>
  <c r="B146" i="25"/>
  <c r="I145" i="25"/>
  <c r="H145" i="25"/>
  <c r="H145" i="27"/>
  <c r="I145" i="27"/>
  <c r="B146" i="24"/>
  <c r="F146" i="24"/>
  <c r="J149" i="23"/>
  <c r="J144" i="22"/>
  <c r="E146" i="25"/>
  <c r="F146" i="25" s="1"/>
  <c r="F146" i="27"/>
  <c r="B146" i="27"/>
  <c r="B142" i="34"/>
  <c r="F142" i="34"/>
  <c r="H145" i="24"/>
  <c r="I145" i="24"/>
  <c r="G149" i="3"/>
  <c r="D150" i="3"/>
  <c r="E150" i="3" s="1"/>
  <c r="D151" i="23"/>
  <c r="E151" i="23" s="1"/>
  <c r="G150" i="23"/>
  <c r="J141" i="20"/>
  <c r="G145" i="22"/>
  <c r="D146" i="22"/>
  <c r="E146" i="22" s="1"/>
  <c r="D143" i="20"/>
  <c r="E143" i="20" s="1"/>
  <c r="G142" i="20"/>
  <c r="F71" i="39" l="1"/>
  <c r="B71" i="39"/>
  <c r="G71" i="39"/>
  <c r="H71" i="39"/>
  <c r="I71" i="39" s="1"/>
  <c r="E66" i="24"/>
  <c r="F66" i="24" s="1"/>
  <c r="H66" i="24" s="1"/>
  <c r="B66" i="24"/>
  <c r="I57" i="38"/>
  <c r="E146" i="26"/>
  <c r="F146" i="26" s="1"/>
  <c r="B146" i="26"/>
  <c r="H145" i="26"/>
  <c r="I145" i="26"/>
  <c r="I148" i="18"/>
  <c r="H148" i="18"/>
  <c r="B149" i="18"/>
  <c r="E149" i="18"/>
  <c r="F149" i="18" s="1"/>
  <c r="H67" i="4"/>
  <c r="I67" i="4" s="1"/>
  <c r="G66" i="19"/>
  <c r="I66" i="19" s="1"/>
  <c r="I62" i="26"/>
  <c r="I59" i="35"/>
  <c r="B60" i="31"/>
  <c r="B64" i="23"/>
  <c r="F64" i="23"/>
  <c r="F60" i="34"/>
  <c r="B60" i="34"/>
  <c r="B62" i="25"/>
  <c r="F62" i="25"/>
  <c r="B63" i="26"/>
  <c r="F63" i="26"/>
  <c r="G63" i="26" s="1"/>
  <c r="D67" i="18"/>
  <c r="E67" i="18" s="1"/>
  <c r="B59" i="37"/>
  <c r="F59" i="37"/>
  <c r="H59" i="37" s="1"/>
  <c r="F60" i="35"/>
  <c r="B60" i="35"/>
  <c r="D69" i="3"/>
  <c r="E69" i="3" s="1"/>
  <c r="F64" i="28"/>
  <c r="G64" i="28" s="1"/>
  <c r="B64" i="28"/>
  <c r="G66" i="18"/>
  <c r="D68" i="4"/>
  <c r="E68" i="4" s="1"/>
  <c r="D64" i="22"/>
  <c r="E64" i="22" s="1"/>
  <c r="I60" i="29"/>
  <c r="G68" i="3"/>
  <c r="I68" i="3" s="1"/>
  <c r="G63" i="22"/>
  <c r="H66" i="18"/>
  <c r="D67" i="19"/>
  <c r="E67" i="19" s="1"/>
  <c r="H142" i="35"/>
  <c r="I142" i="35"/>
  <c r="D65" i="21"/>
  <c r="E65" i="21" s="1"/>
  <c r="B62" i="13"/>
  <c r="F62" i="13"/>
  <c r="B58" i="38"/>
  <c r="F58" i="38"/>
  <c r="H58" i="38" s="1"/>
  <c r="F61" i="29"/>
  <c r="G61" i="29" s="1"/>
  <c r="E143" i="35"/>
  <c r="F143" i="35" s="1"/>
  <c r="B143" i="35"/>
  <c r="H64" i="21"/>
  <c r="I64" i="21" s="1"/>
  <c r="H63" i="22"/>
  <c r="B64" i="27"/>
  <c r="F64" i="27"/>
  <c r="H64" i="27" s="1"/>
  <c r="E60" i="31"/>
  <c r="F60" i="31" s="1"/>
  <c r="E150" i="4"/>
  <c r="F150" i="4" s="1"/>
  <c r="B150" i="4"/>
  <c r="I149" i="4"/>
  <c r="H149" i="4"/>
  <c r="H141" i="37"/>
  <c r="I141" i="37"/>
  <c r="E142" i="37"/>
  <c r="F142" i="37" s="1"/>
  <c r="B142" i="37"/>
  <c r="H142" i="31"/>
  <c r="I142" i="31"/>
  <c r="E143" i="31"/>
  <c r="F143" i="31" s="1"/>
  <c r="B143" i="31"/>
  <c r="J145" i="24"/>
  <c r="G146" i="25"/>
  <c r="D147" i="25"/>
  <c r="D143" i="34"/>
  <c r="E143" i="34" s="1"/>
  <c r="G142" i="34"/>
  <c r="D144" i="13"/>
  <c r="G143" i="13"/>
  <c r="B149" i="19"/>
  <c r="D147" i="21"/>
  <c r="E147" i="21" s="1"/>
  <c r="G146" i="21"/>
  <c r="F148" i="29"/>
  <c r="D147" i="24"/>
  <c r="E147" i="24" s="1"/>
  <c r="G146" i="24"/>
  <c r="H147" i="29"/>
  <c r="I147" i="29"/>
  <c r="G146" i="27"/>
  <c r="D147" i="27"/>
  <c r="E147" i="27" s="1"/>
  <c r="I147" i="28"/>
  <c r="H147" i="28"/>
  <c r="E149" i="19"/>
  <c r="F149" i="19" s="1"/>
  <c r="F148" i="28"/>
  <c r="B148" i="28"/>
  <c r="D143" i="38"/>
  <c r="G142" i="38"/>
  <c r="J145" i="27"/>
  <c r="J145" i="21"/>
  <c r="H148" i="19"/>
  <c r="I148" i="19"/>
  <c r="H142" i="20"/>
  <c r="I142" i="20"/>
  <c r="B143" i="20"/>
  <c r="F143" i="20"/>
  <c r="F146" i="22"/>
  <c r="B146" i="22"/>
  <c r="H149" i="3"/>
  <c r="I149" i="3"/>
  <c r="B150" i="3"/>
  <c r="F150" i="3"/>
  <c r="F151" i="23"/>
  <c r="H145" i="22"/>
  <c r="I145" i="22"/>
  <c r="I150" i="23"/>
  <c r="H150" i="23"/>
  <c r="D72" i="39" l="1"/>
  <c r="E72" i="39" s="1"/>
  <c r="G66" i="24"/>
  <c r="I66" i="24" s="1"/>
  <c r="D67" i="24"/>
  <c r="J145" i="26"/>
  <c r="D147" i="26"/>
  <c r="G146" i="26"/>
  <c r="G149" i="18"/>
  <c r="D150" i="18"/>
  <c r="J148" i="18"/>
  <c r="I63" i="22"/>
  <c r="G59" i="37"/>
  <c r="I59" i="37" s="1"/>
  <c r="I66" i="18"/>
  <c r="H61" i="29"/>
  <c r="I61" i="29" s="1"/>
  <c r="D61" i="31"/>
  <c r="E61" i="31" s="1"/>
  <c r="H60" i="31"/>
  <c r="G60" i="31"/>
  <c r="J142" i="31"/>
  <c r="D61" i="35"/>
  <c r="E61" i="35" s="1"/>
  <c r="D64" i="26"/>
  <c r="E64" i="26" s="1"/>
  <c r="D63" i="25"/>
  <c r="E63" i="25" s="1"/>
  <c r="D65" i="23"/>
  <c r="E65" i="23" s="1"/>
  <c r="D59" i="38"/>
  <c r="E59" i="38" s="1"/>
  <c r="B65" i="21"/>
  <c r="F65" i="21"/>
  <c r="H65" i="21" s="1"/>
  <c r="G143" i="35"/>
  <c r="D144" i="35"/>
  <c r="D65" i="28"/>
  <c r="E65" i="28" s="1"/>
  <c r="H63" i="26"/>
  <c r="I63" i="26" s="1"/>
  <c r="G58" i="38"/>
  <c r="I58" i="38" s="1"/>
  <c r="B64" i="22"/>
  <c r="F64" i="22"/>
  <c r="D60" i="37"/>
  <c r="D61" i="34"/>
  <c r="E61" i="34" s="1"/>
  <c r="D63" i="13"/>
  <c r="B69" i="3"/>
  <c r="F69" i="3"/>
  <c r="G69" i="3" s="1"/>
  <c r="H60" i="34"/>
  <c r="D65" i="27"/>
  <c r="E65" i="27" s="1"/>
  <c r="H62" i="13"/>
  <c r="B67" i="19"/>
  <c r="F67" i="19"/>
  <c r="H67" i="19" s="1"/>
  <c r="B68" i="4"/>
  <c r="F68" i="4"/>
  <c r="H68" i="4" s="1"/>
  <c r="G60" i="34"/>
  <c r="G62" i="13"/>
  <c r="G60" i="35"/>
  <c r="G62" i="25"/>
  <c r="G64" i="23"/>
  <c r="G64" i="27"/>
  <c r="I64" i="27" s="1"/>
  <c r="D62" i="29"/>
  <c r="E62" i="29" s="1"/>
  <c r="H64" i="28"/>
  <c r="I64" i="28" s="1"/>
  <c r="H60" i="35"/>
  <c r="B67" i="18"/>
  <c r="F67" i="18"/>
  <c r="H62" i="25"/>
  <c r="H64" i="23"/>
  <c r="I64" i="23" s="1"/>
  <c r="G142" i="37"/>
  <c r="D143" i="37"/>
  <c r="J149" i="4"/>
  <c r="G150" i="4"/>
  <c r="D151" i="4"/>
  <c r="J149" i="3"/>
  <c r="J148" i="19"/>
  <c r="G143" i="31"/>
  <c r="D144" i="31"/>
  <c r="J147" i="28"/>
  <c r="G149" i="19"/>
  <c r="D150" i="19"/>
  <c r="B143" i="38"/>
  <c r="H143" i="13"/>
  <c r="I143" i="13"/>
  <c r="E143" i="38"/>
  <c r="F143" i="38" s="1"/>
  <c r="H146" i="21"/>
  <c r="I146" i="21"/>
  <c r="B144" i="13"/>
  <c r="J142" i="20"/>
  <c r="I146" i="24"/>
  <c r="H146" i="24"/>
  <c r="I142" i="34"/>
  <c r="H142" i="34"/>
  <c r="F147" i="24"/>
  <c r="B147" i="24"/>
  <c r="B143" i="34"/>
  <c r="F143" i="34"/>
  <c r="G148" i="28"/>
  <c r="D149" i="28"/>
  <c r="G148" i="29"/>
  <c r="D149" i="29"/>
  <c r="E149" i="29" s="1"/>
  <c r="B147" i="25"/>
  <c r="F147" i="27"/>
  <c r="B147" i="27"/>
  <c r="E147" i="25"/>
  <c r="F147" i="25" s="1"/>
  <c r="B147" i="21"/>
  <c r="F147" i="21"/>
  <c r="H142" i="38"/>
  <c r="I142" i="38"/>
  <c r="H146" i="27"/>
  <c r="I146" i="27"/>
  <c r="E144" i="13"/>
  <c r="F144" i="13" s="1"/>
  <c r="H146" i="25"/>
  <c r="I146" i="25"/>
  <c r="G146" i="22"/>
  <c r="D147" i="22"/>
  <c r="J150" i="23"/>
  <c r="G143" i="20"/>
  <c r="D144" i="20"/>
  <c r="E144" i="20" s="1"/>
  <c r="G151" i="23"/>
  <c r="D152" i="23"/>
  <c r="E152" i="23" s="1"/>
  <c r="D151" i="3"/>
  <c r="E151" i="3" s="1"/>
  <c r="G150" i="3"/>
  <c r="J145" i="22"/>
  <c r="F72" i="39" l="1"/>
  <c r="D73" i="39" s="1"/>
  <c r="I62" i="25"/>
  <c r="E67" i="24"/>
  <c r="F67" i="24" s="1"/>
  <c r="B67" i="24"/>
  <c r="H146" i="26"/>
  <c r="I146" i="26"/>
  <c r="E147" i="26"/>
  <c r="F147" i="26" s="1"/>
  <c r="B147" i="26"/>
  <c r="E150" i="18"/>
  <c r="F150" i="18" s="1"/>
  <c r="B150" i="18"/>
  <c r="H149" i="18"/>
  <c r="I149" i="18"/>
  <c r="I62" i="13"/>
  <c r="I60" i="35"/>
  <c r="H69" i="3"/>
  <c r="I69" i="3" s="1"/>
  <c r="I60" i="34"/>
  <c r="B60" i="37"/>
  <c r="F62" i="29"/>
  <c r="G62" i="29" s="1"/>
  <c r="D65" i="22"/>
  <c r="E65" i="22" s="1"/>
  <c r="B65" i="28"/>
  <c r="F65" i="28"/>
  <c r="B59" i="38"/>
  <c r="F59" i="38"/>
  <c r="H59" i="38" s="1"/>
  <c r="F61" i="35"/>
  <c r="G61" i="35" s="1"/>
  <c r="B61" i="35"/>
  <c r="D68" i="18"/>
  <c r="D69" i="4"/>
  <c r="E69" i="4" s="1"/>
  <c r="B63" i="13"/>
  <c r="E144" i="35"/>
  <c r="F144" i="35" s="1"/>
  <c r="B144" i="35"/>
  <c r="H67" i="18"/>
  <c r="G68" i="4"/>
  <c r="I68" i="4" s="1"/>
  <c r="E63" i="13"/>
  <c r="F63" i="13" s="1"/>
  <c r="H64" i="22"/>
  <c r="H143" i="35"/>
  <c r="I143" i="35"/>
  <c r="F65" i="23"/>
  <c r="G65" i="23" s="1"/>
  <c r="B65" i="23"/>
  <c r="F65" i="27"/>
  <c r="B65" i="27"/>
  <c r="G64" i="22"/>
  <c r="G67" i="18"/>
  <c r="D66" i="21"/>
  <c r="E66" i="21" s="1"/>
  <c r="B63" i="25"/>
  <c r="F63" i="25"/>
  <c r="H63" i="25" s="1"/>
  <c r="I60" i="31"/>
  <c r="D68" i="19"/>
  <c r="E68" i="19" s="1"/>
  <c r="F61" i="34"/>
  <c r="H61" i="34" s="1"/>
  <c r="B61" i="34"/>
  <c r="G67" i="19"/>
  <c r="I67" i="19" s="1"/>
  <c r="D70" i="3"/>
  <c r="E70" i="3" s="1"/>
  <c r="E60" i="37"/>
  <c r="F60" i="37" s="1"/>
  <c r="G65" i="21"/>
  <c r="I65" i="21" s="1"/>
  <c r="B64" i="26"/>
  <c r="F64" i="26"/>
  <c r="H64" i="26" s="1"/>
  <c r="B61" i="31"/>
  <c r="F61" i="31"/>
  <c r="H61" i="31" s="1"/>
  <c r="B151" i="4"/>
  <c r="E151" i="4"/>
  <c r="F151" i="4" s="1"/>
  <c r="I150" i="4"/>
  <c r="H150" i="4"/>
  <c r="B143" i="37"/>
  <c r="H142" i="37"/>
  <c r="I142" i="37"/>
  <c r="E143" i="37"/>
  <c r="F143" i="37" s="1"/>
  <c r="E144" i="31"/>
  <c r="F144" i="31" s="1"/>
  <c r="B144" i="31"/>
  <c r="I143" i="31"/>
  <c r="H143" i="31"/>
  <c r="J146" i="24"/>
  <c r="G147" i="25"/>
  <c r="D148" i="25"/>
  <c r="G143" i="38"/>
  <c r="D144" i="38"/>
  <c r="E144" i="38" s="1"/>
  <c r="D145" i="13"/>
  <c r="E145" i="13" s="1"/>
  <c r="G144" i="13"/>
  <c r="D148" i="21"/>
  <c r="E148" i="21" s="1"/>
  <c r="G147" i="21"/>
  <c r="G143" i="34"/>
  <c r="D144" i="34"/>
  <c r="F149" i="29"/>
  <c r="G147" i="24"/>
  <c r="D148" i="24"/>
  <c r="E148" i="24" s="1"/>
  <c r="D148" i="27"/>
  <c r="G147" i="27"/>
  <c r="H148" i="29"/>
  <c r="I148" i="29"/>
  <c r="B149" i="28"/>
  <c r="B150" i="19"/>
  <c r="J146" i="27"/>
  <c r="E149" i="28"/>
  <c r="F149" i="28" s="1"/>
  <c r="J146" i="21"/>
  <c r="E150" i="19"/>
  <c r="F150" i="19" s="1"/>
  <c r="H148" i="28"/>
  <c r="I148" i="28"/>
  <c r="I149" i="19"/>
  <c r="H149" i="19"/>
  <c r="H150" i="3"/>
  <c r="I150" i="3"/>
  <c r="B147" i="22"/>
  <c r="F152" i="23"/>
  <c r="H151" i="23"/>
  <c r="I151" i="23"/>
  <c r="F144" i="20"/>
  <c r="B144" i="20"/>
  <c r="I146" i="22"/>
  <c r="H146" i="22"/>
  <c r="F151" i="3"/>
  <c r="B151" i="3"/>
  <c r="I143" i="20"/>
  <c r="H143" i="20"/>
  <c r="E147" i="22"/>
  <c r="F147" i="22" s="1"/>
  <c r="H72" i="39" l="1"/>
  <c r="G72" i="39"/>
  <c r="E73" i="39"/>
  <c r="E74" i="39" s="1"/>
  <c r="F73" i="39"/>
  <c r="H73" i="39" s="1"/>
  <c r="B73" i="39"/>
  <c r="D68" i="24"/>
  <c r="H67" i="24"/>
  <c r="G67" i="24"/>
  <c r="J146" i="26"/>
  <c r="G147" i="26"/>
  <c r="D148" i="26"/>
  <c r="G150" i="18"/>
  <c r="D151" i="18"/>
  <c r="J149" i="18"/>
  <c r="G61" i="31"/>
  <c r="I61" i="31" s="1"/>
  <c r="G64" i="26"/>
  <c r="I64" i="26" s="1"/>
  <c r="G61" i="34"/>
  <c r="I61" i="34" s="1"/>
  <c r="I64" i="22"/>
  <c r="H61" i="35"/>
  <c r="I61" i="35" s="1"/>
  <c r="G59" i="38"/>
  <c r="I59" i="38" s="1"/>
  <c r="D64" i="13"/>
  <c r="H63" i="13"/>
  <c r="G63" i="13"/>
  <c r="D145" i="35"/>
  <c r="G144" i="35"/>
  <c r="D61" i="37"/>
  <c r="E61" i="37" s="1"/>
  <c r="G60" i="37"/>
  <c r="H60" i="37"/>
  <c r="D66" i="27"/>
  <c r="E66" i="27" s="1"/>
  <c r="B68" i="18"/>
  <c r="F68" i="19"/>
  <c r="H68" i="19" s="1"/>
  <c r="B68" i="19"/>
  <c r="F66" i="21"/>
  <c r="H66" i="21" s="1"/>
  <c r="B66" i="21"/>
  <c r="G65" i="27"/>
  <c r="D66" i="28"/>
  <c r="E66" i="28" s="1"/>
  <c r="D63" i="29"/>
  <c r="E63" i="29" s="1"/>
  <c r="F70" i="3"/>
  <c r="G70" i="3" s="1"/>
  <c r="B70" i="3"/>
  <c r="H65" i="28"/>
  <c r="H62" i="29"/>
  <c r="I62" i="29" s="1"/>
  <c r="G65" i="28"/>
  <c r="D62" i="35"/>
  <c r="E62" i="35" s="1"/>
  <c r="D65" i="26"/>
  <c r="E65" i="26" s="1"/>
  <c r="D64" i="25"/>
  <c r="E64" i="25" s="1"/>
  <c r="I67" i="18"/>
  <c r="D66" i="23"/>
  <c r="E66" i="23" s="1"/>
  <c r="B69" i="4"/>
  <c r="F69" i="4"/>
  <c r="D60" i="38"/>
  <c r="E60" i="38" s="1"/>
  <c r="F65" i="22"/>
  <c r="G65" i="22" s="1"/>
  <c r="B65" i="22"/>
  <c r="D62" i="31"/>
  <c r="D62" i="34"/>
  <c r="E62" i="34" s="1"/>
  <c r="G63" i="25"/>
  <c r="I63" i="25" s="1"/>
  <c r="H65" i="27"/>
  <c r="H65" i="23"/>
  <c r="I65" i="23" s="1"/>
  <c r="E68" i="18"/>
  <c r="F68" i="18" s="1"/>
  <c r="G143" i="37"/>
  <c r="D144" i="37"/>
  <c r="B144" i="37" s="1"/>
  <c r="J150" i="4"/>
  <c r="D152" i="4"/>
  <c r="G151" i="4"/>
  <c r="J151" i="23"/>
  <c r="J143" i="31"/>
  <c r="G144" i="31"/>
  <c r="D145" i="31"/>
  <c r="E145" i="31" s="1"/>
  <c r="J148" i="28"/>
  <c r="G150" i="19"/>
  <c r="D151" i="19"/>
  <c r="B148" i="27"/>
  <c r="B144" i="34"/>
  <c r="D150" i="28"/>
  <c r="E150" i="28" s="1"/>
  <c r="G149" i="28"/>
  <c r="H143" i="34"/>
  <c r="I143" i="34"/>
  <c r="F145" i="13"/>
  <c r="B145" i="13"/>
  <c r="J150" i="3"/>
  <c r="I147" i="24"/>
  <c r="H147" i="24"/>
  <c r="B144" i="38"/>
  <c r="F144" i="38"/>
  <c r="B148" i="24"/>
  <c r="F148" i="24"/>
  <c r="J149" i="19"/>
  <c r="D150" i="29"/>
  <c r="E150" i="29" s="1"/>
  <c r="G149" i="29"/>
  <c r="H143" i="38"/>
  <c r="I143" i="38"/>
  <c r="H147" i="21"/>
  <c r="I147" i="21"/>
  <c r="B148" i="25"/>
  <c r="E148" i="27"/>
  <c r="F148" i="27" s="1"/>
  <c r="F148" i="21"/>
  <c r="B148" i="21"/>
  <c r="E148" i="25"/>
  <c r="F148" i="25" s="1"/>
  <c r="H147" i="27"/>
  <c r="I147" i="27"/>
  <c r="E144" i="34"/>
  <c r="F144" i="34" s="1"/>
  <c r="I144" i="13"/>
  <c r="H144" i="13"/>
  <c r="H147" i="25"/>
  <c r="I147" i="25"/>
  <c r="G151" i="3"/>
  <c r="D152" i="3"/>
  <c r="G152" i="23"/>
  <c r="D153" i="23"/>
  <c r="G144" i="20"/>
  <c r="D145" i="20"/>
  <c r="E145" i="20" s="1"/>
  <c r="J143" i="20"/>
  <c r="G147" i="22"/>
  <c r="D148" i="22"/>
  <c r="J146" i="22"/>
  <c r="G73" i="39" l="1"/>
  <c r="G74" i="39" s="1"/>
  <c r="I72" i="39"/>
  <c r="H74" i="39"/>
  <c r="I67" i="24"/>
  <c r="E68" i="24"/>
  <c r="F68" i="24" s="1"/>
  <c r="D69" i="24" s="1"/>
  <c r="B68" i="24"/>
  <c r="I60" i="37"/>
  <c r="E148" i="26"/>
  <c r="F148" i="26" s="1"/>
  <c r="B148" i="26"/>
  <c r="H147" i="26"/>
  <c r="I147" i="26"/>
  <c r="E151" i="18"/>
  <c r="F151" i="18" s="1"/>
  <c r="B151" i="18"/>
  <c r="I150" i="18"/>
  <c r="H150" i="18"/>
  <c r="I65" i="27"/>
  <c r="G66" i="21"/>
  <c r="I66" i="21" s="1"/>
  <c r="G68" i="19"/>
  <c r="I68" i="19" s="1"/>
  <c r="H65" i="22"/>
  <c r="I65" i="22" s="1"/>
  <c r="I65" i="28"/>
  <c r="D69" i="18"/>
  <c r="E69" i="18" s="1"/>
  <c r="H68" i="18"/>
  <c r="G68" i="18"/>
  <c r="B62" i="31"/>
  <c r="D70" i="4"/>
  <c r="E70" i="4" s="1"/>
  <c r="F61" i="37"/>
  <c r="B61" i="37"/>
  <c r="G69" i="4"/>
  <c r="F65" i="26"/>
  <c r="H65" i="26" s="1"/>
  <c r="B65" i="26"/>
  <c r="D71" i="3"/>
  <c r="E71" i="3" s="1"/>
  <c r="H144" i="35"/>
  <c r="I144" i="35"/>
  <c r="D67" i="21"/>
  <c r="E67" i="21" s="1"/>
  <c r="E145" i="35"/>
  <c r="F145" i="35" s="1"/>
  <c r="B145" i="35"/>
  <c r="D66" i="22"/>
  <c r="E66" i="22" s="1"/>
  <c r="B66" i="23"/>
  <c r="F66" i="23"/>
  <c r="G66" i="23" s="1"/>
  <c r="B62" i="35"/>
  <c r="F62" i="35"/>
  <c r="H62" i="35" s="1"/>
  <c r="F63" i="29"/>
  <c r="G63" i="29" s="1"/>
  <c r="B66" i="27"/>
  <c r="F66" i="27"/>
  <c r="I63" i="13"/>
  <c r="F62" i="34"/>
  <c r="B62" i="34"/>
  <c r="B60" i="38"/>
  <c r="F60" i="38"/>
  <c r="B66" i="28"/>
  <c r="F66" i="28"/>
  <c r="H66" i="28" s="1"/>
  <c r="B64" i="13"/>
  <c r="E62" i="31"/>
  <c r="F62" i="31" s="1"/>
  <c r="H69" i="4"/>
  <c r="F64" i="25"/>
  <c r="B64" i="25"/>
  <c r="H70" i="3"/>
  <c r="I70" i="3" s="1"/>
  <c r="D69" i="19"/>
  <c r="E69" i="19" s="1"/>
  <c r="E64" i="13"/>
  <c r="F64" i="13" s="1"/>
  <c r="B152" i="4"/>
  <c r="E152" i="4"/>
  <c r="F152" i="4" s="1"/>
  <c r="H151" i="4"/>
  <c r="I151" i="4"/>
  <c r="H143" i="37"/>
  <c r="I143" i="37"/>
  <c r="J147" i="21"/>
  <c r="E144" i="37"/>
  <c r="F144" i="37" s="1"/>
  <c r="B145" i="31"/>
  <c r="F145" i="31"/>
  <c r="H144" i="31"/>
  <c r="I144" i="31"/>
  <c r="G144" i="34"/>
  <c r="D145" i="34"/>
  <c r="E145" i="34" s="1"/>
  <c r="G148" i="27"/>
  <c r="D149" i="27"/>
  <c r="E149" i="27" s="1"/>
  <c r="H149" i="29"/>
  <c r="I149" i="29"/>
  <c r="D145" i="38"/>
  <c r="E145" i="38" s="1"/>
  <c r="G144" i="38"/>
  <c r="B151" i="19"/>
  <c r="D146" i="13"/>
  <c r="G145" i="13"/>
  <c r="F150" i="29"/>
  <c r="H149" i="28"/>
  <c r="I149" i="28"/>
  <c r="E151" i="19"/>
  <c r="F151" i="19" s="1"/>
  <c r="I150" i="19"/>
  <c r="H150" i="19"/>
  <c r="J147" i="24"/>
  <c r="B150" i="28"/>
  <c r="F150" i="28"/>
  <c r="G148" i="24"/>
  <c r="D149" i="24"/>
  <c r="E149" i="24" s="1"/>
  <c r="G148" i="25"/>
  <c r="D149" i="25"/>
  <c r="E149" i="25" s="1"/>
  <c r="J147" i="27"/>
  <c r="D149" i="21"/>
  <c r="E149" i="21" s="1"/>
  <c r="G148" i="21"/>
  <c r="H152" i="23"/>
  <c r="I152" i="23"/>
  <c r="H147" i="22"/>
  <c r="I147" i="22"/>
  <c r="B152" i="3"/>
  <c r="B148" i="22"/>
  <c r="H151" i="3"/>
  <c r="I151" i="3"/>
  <c r="E148" i="22"/>
  <c r="F148" i="22" s="1"/>
  <c r="B145" i="20"/>
  <c r="F145" i="20"/>
  <c r="I144" i="20"/>
  <c r="H144" i="20"/>
  <c r="E153" i="23"/>
  <c r="F153" i="23" s="1"/>
  <c r="E152" i="3"/>
  <c r="F152" i="3" s="1"/>
  <c r="I73" i="39" l="1"/>
  <c r="I74" i="39" s="1"/>
  <c r="H68" i="24"/>
  <c r="E69" i="24"/>
  <c r="F69" i="24" s="1"/>
  <c r="B69" i="24"/>
  <c r="G68" i="24"/>
  <c r="J147" i="26"/>
  <c r="G148" i="26"/>
  <c r="D149" i="26"/>
  <c r="G65" i="26"/>
  <c r="I65" i="26" s="1"/>
  <c r="J150" i="18"/>
  <c r="D152" i="18"/>
  <c r="G151" i="18"/>
  <c r="I69" i="4"/>
  <c r="H66" i="23"/>
  <c r="I66" i="23" s="1"/>
  <c r="J147" i="22"/>
  <c r="J152" i="23"/>
  <c r="H63" i="29"/>
  <c r="I63" i="29" s="1"/>
  <c r="G62" i="35"/>
  <c r="I62" i="35" s="1"/>
  <c r="D65" i="13"/>
  <c r="G64" i="13"/>
  <c r="H64" i="13"/>
  <c r="D63" i="31"/>
  <c r="E63" i="31" s="1"/>
  <c r="H62" i="31"/>
  <c r="G62" i="31"/>
  <c r="D67" i="27"/>
  <c r="E67" i="27" s="1"/>
  <c r="G145" i="35"/>
  <c r="D146" i="35"/>
  <c r="D65" i="25"/>
  <c r="E65" i="25" s="1"/>
  <c r="D62" i="37"/>
  <c r="G64" i="25"/>
  <c r="D67" i="28"/>
  <c r="E67" i="28" s="1"/>
  <c r="D63" i="34"/>
  <c r="E63" i="34" s="1"/>
  <c r="B71" i="3"/>
  <c r="F71" i="3"/>
  <c r="H71" i="3" s="1"/>
  <c r="H61" i="37"/>
  <c r="G62" i="34"/>
  <c r="G61" i="37"/>
  <c r="G66" i="28"/>
  <c r="I66" i="28" s="1"/>
  <c r="H62" i="34"/>
  <c r="D67" i="23"/>
  <c r="E67" i="23" s="1"/>
  <c r="B67" i="21"/>
  <c r="F67" i="21"/>
  <c r="G67" i="21" s="1"/>
  <c r="B69" i="19"/>
  <c r="F69" i="19"/>
  <c r="G69" i="19" s="1"/>
  <c r="D61" i="38"/>
  <c r="E61" i="38" s="1"/>
  <c r="D64" i="29"/>
  <c r="E64" i="29" s="1"/>
  <c r="I68" i="18"/>
  <c r="G60" i="38"/>
  <c r="G66" i="27"/>
  <c r="D63" i="35"/>
  <c r="E63" i="35" s="1"/>
  <c r="D66" i="26"/>
  <c r="E66" i="26" s="1"/>
  <c r="J151" i="3"/>
  <c r="J144" i="31"/>
  <c r="J151" i="4"/>
  <c r="H64" i="25"/>
  <c r="H60" i="38"/>
  <c r="H66" i="27"/>
  <c r="B66" i="22"/>
  <c r="F66" i="22"/>
  <c r="H66" i="22" s="1"/>
  <c r="B70" i="4"/>
  <c r="F70" i="4"/>
  <c r="G70" i="4" s="1"/>
  <c r="B69" i="18"/>
  <c r="F69" i="18"/>
  <c r="D145" i="37"/>
  <c r="G144" i="37"/>
  <c r="D153" i="4"/>
  <c r="G152" i="4"/>
  <c r="D146" i="31"/>
  <c r="G145" i="31"/>
  <c r="J150" i="19"/>
  <c r="D152" i="19"/>
  <c r="E152" i="19" s="1"/>
  <c r="G151" i="19"/>
  <c r="B149" i="24"/>
  <c r="F149" i="24"/>
  <c r="G150" i="29"/>
  <c r="D151" i="29"/>
  <c r="E151" i="29" s="1"/>
  <c r="B145" i="38"/>
  <c r="F145" i="38"/>
  <c r="I148" i="21"/>
  <c r="H148" i="21"/>
  <c r="H148" i="24"/>
  <c r="I148" i="24"/>
  <c r="H145" i="13"/>
  <c r="I145" i="13"/>
  <c r="B146" i="13"/>
  <c r="B149" i="27"/>
  <c r="F149" i="27"/>
  <c r="B149" i="21"/>
  <c r="F149" i="21"/>
  <c r="E146" i="13"/>
  <c r="F146" i="13" s="1"/>
  <c r="H148" i="27"/>
  <c r="I148" i="27"/>
  <c r="B149" i="25"/>
  <c r="F149" i="25"/>
  <c r="G150" i="28"/>
  <c r="D151" i="28"/>
  <c r="E151" i="28" s="1"/>
  <c r="B145" i="34"/>
  <c r="F145" i="34"/>
  <c r="H148" i="25"/>
  <c r="I148" i="25"/>
  <c r="J149" i="28"/>
  <c r="H144" i="38"/>
  <c r="I144" i="38"/>
  <c r="I144" i="34"/>
  <c r="H144" i="34"/>
  <c r="D149" i="22"/>
  <c r="G148" i="22"/>
  <c r="D154" i="23"/>
  <c r="G153" i="23"/>
  <c r="J144" i="20"/>
  <c r="G152" i="3"/>
  <c r="D153" i="3"/>
  <c r="E153" i="3" s="1"/>
  <c r="D146" i="20"/>
  <c r="E146" i="20" s="1"/>
  <c r="G145" i="20"/>
  <c r="I68" i="24" l="1"/>
  <c r="G69" i="24"/>
  <c r="H69" i="24"/>
  <c r="D70" i="24"/>
  <c r="E149" i="26"/>
  <c r="F149" i="26" s="1"/>
  <c r="B149" i="26"/>
  <c r="H148" i="26"/>
  <c r="I148" i="26"/>
  <c r="I151" i="18"/>
  <c r="H151" i="18"/>
  <c r="E152" i="18"/>
  <c r="F152" i="18" s="1"/>
  <c r="B152" i="18"/>
  <c r="H70" i="4"/>
  <c r="I70" i="4" s="1"/>
  <c r="I64" i="25"/>
  <c r="I60" i="38"/>
  <c r="I62" i="31"/>
  <c r="G71" i="3"/>
  <c r="I71" i="3" s="1"/>
  <c r="I64" i="13"/>
  <c r="B62" i="37"/>
  <c r="F63" i="35"/>
  <c r="B63" i="35"/>
  <c r="H67" i="21"/>
  <c r="I67" i="21" s="1"/>
  <c r="F64" i="29"/>
  <c r="G64" i="29" s="1"/>
  <c r="D70" i="18"/>
  <c r="E70" i="18" s="1"/>
  <c r="D68" i="21"/>
  <c r="E68" i="21" s="1"/>
  <c r="B63" i="34"/>
  <c r="F63" i="34"/>
  <c r="H63" i="34" s="1"/>
  <c r="F65" i="25"/>
  <c r="H65" i="25" s="1"/>
  <c r="B65" i="25"/>
  <c r="F63" i="31"/>
  <c r="H63" i="31" s="1"/>
  <c r="B63" i="31"/>
  <c r="G69" i="18"/>
  <c r="D67" i="22"/>
  <c r="E67" i="22" s="1"/>
  <c r="F61" i="38"/>
  <c r="G61" i="38" s="1"/>
  <c r="B61" i="38"/>
  <c r="I61" i="37"/>
  <c r="E146" i="35"/>
  <c r="F146" i="35" s="1"/>
  <c r="B146" i="35"/>
  <c r="G66" i="22"/>
  <c r="I66" i="22" s="1"/>
  <c r="D70" i="19"/>
  <c r="E70" i="19" s="1"/>
  <c r="B67" i="28"/>
  <c r="F67" i="28"/>
  <c r="H67" i="28" s="1"/>
  <c r="I145" i="35"/>
  <c r="H145" i="35"/>
  <c r="H69" i="18"/>
  <c r="B66" i="26"/>
  <c r="F66" i="26"/>
  <c r="H66" i="26" s="1"/>
  <c r="F67" i="23"/>
  <c r="H67" i="23" s="1"/>
  <c r="B67" i="23"/>
  <c r="D72" i="3"/>
  <c r="E72" i="3" s="1"/>
  <c r="B65" i="13"/>
  <c r="D71" i="4"/>
  <c r="E71" i="4" s="1"/>
  <c r="I66" i="27"/>
  <c r="H69" i="19"/>
  <c r="I69" i="19" s="1"/>
  <c r="I62" i="34"/>
  <c r="E62" i="37"/>
  <c r="F62" i="37" s="1"/>
  <c r="F67" i="27"/>
  <c r="H67" i="27" s="1"/>
  <c r="B67" i="27"/>
  <c r="E65" i="13"/>
  <c r="F65" i="13" s="1"/>
  <c r="H152" i="4"/>
  <c r="I152" i="4"/>
  <c r="B153" i="4"/>
  <c r="E153" i="4"/>
  <c r="F153" i="4" s="1"/>
  <c r="I144" i="37"/>
  <c r="H144" i="37"/>
  <c r="J148" i="24"/>
  <c r="E145" i="37"/>
  <c r="F145" i="37" s="1"/>
  <c r="B145" i="37"/>
  <c r="H145" i="31"/>
  <c r="I145" i="31"/>
  <c r="E146" i="31"/>
  <c r="F146" i="31" s="1"/>
  <c r="B146" i="31"/>
  <c r="G146" i="13"/>
  <c r="D147" i="13"/>
  <c r="E147" i="13" s="1"/>
  <c r="G149" i="25"/>
  <c r="D150" i="25"/>
  <c r="D150" i="21"/>
  <c r="G149" i="21"/>
  <c r="I151" i="19"/>
  <c r="H151" i="19"/>
  <c r="J148" i="27"/>
  <c r="D150" i="27"/>
  <c r="E150" i="27" s="1"/>
  <c r="G149" i="27"/>
  <c r="G145" i="38"/>
  <c r="D146" i="38"/>
  <c r="D150" i="24"/>
  <c r="E150" i="24" s="1"/>
  <c r="G149" i="24"/>
  <c r="G145" i="34"/>
  <c r="D146" i="34"/>
  <c r="E146" i="34" s="1"/>
  <c r="B152" i="19"/>
  <c r="F152" i="19"/>
  <c r="B151" i="28"/>
  <c r="F151" i="28"/>
  <c r="F151" i="29"/>
  <c r="I150" i="28"/>
  <c r="H150" i="28"/>
  <c r="J148" i="21"/>
  <c r="I150" i="29"/>
  <c r="H150" i="29"/>
  <c r="H152" i="3"/>
  <c r="I152" i="3"/>
  <c r="I148" i="22"/>
  <c r="H148" i="22"/>
  <c r="F153" i="3"/>
  <c r="B153" i="3"/>
  <c r="E154" i="23"/>
  <c r="F154" i="23" s="1"/>
  <c r="B149" i="22"/>
  <c r="I153" i="23"/>
  <c r="H153" i="23"/>
  <c r="I145" i="20"/>
  <c r="H145" i="20"/>
  <c r="F146" i="20"/>
  <c r="B146" i="20"/>
  <c r="E149" i="22"/>
  <c r="F149" i="22" s="1"/>
  <c r="I69" i="24" l="1"/>
  <c r="E70" i="24"/>
  <c r="F70" i="24" s="1"/>
  <c r="B70" i="24"/>
  <c r="D150" i="26"/>
  <c r="G149" i="26"/>
  <c r="J148" i="26"/>
  <c r="I69" i="18"/>
  <c r="J145" i="31"/>
  <c r="D153" i="18"/>
  <c r="G152" i="18"/>
  <c r="J151" i="18"/>
  <c r="H61" i="38"/>
  <c r="I61" i="38" s="1"/>
  <c r="G67" i="27"/>
  <c r="I67" i="27" s="1"/>
  <c r="G67" i="28"/>
  <c r="I67" i="28" s="1"/>
  <c r="G66" i="26"/>
  <c r="I66" i="26" s="1"/>
  <c r="G63" i="34"/>
  <c r="I63" i="34" s="1"/>
  <c r="G65" i="25"/>
  <c r="I65" i="25" s="1"/>
  <c r="D66" i="13"/>
  <c r="E66" i="13" s="1"/>
  <c r="H65" i="13"/>
  <c r="G65" i="13"/>
  <c r="D63" i="37"/>
  <c r="E63" i="37" s="1"/>
  <c r="H62" i="37"/>
  <c r="G62" i="37"/>
  <c r="B72" i="3"/>
  <c r="F72" i="3"/>
  <c r="H72" i="3" s="1"/>
  <c r="D62" i="38"/>
  <c r="E62" i="38" s="1"/>
  <c r="D64" i="31"/>
  <c r="D65" i="29"/>
  <c r="E65" i="29" s="1"/>
  <c r="F70" i="19"/>
  <c r="H70" i="19" s="1"/>
  <c r="B70" i="19"/>
  <c r="F71" i="4"/>
  <c r="H71" i="4" s="1"/>
  <c r="B71" i="4"/>
  <c r="B68" i="21"/>
  <c r="F68" i="21"/>
  <c r="D68" i="23"/>
  <c r="B67" i="22"/>
  <c r="F67" i="22"/>
  <c r="H67" i="22" s="1"/>
  <c r="D64" i="35"/>
  <c r="D68" i="27"/>
  <c r="E68" i="27" s="1"/>
  <c r="G67" i="23"/>
  <c r="I67" i="23" s="1"/>
  <c r="D147" i="35"/>
  <c r="G146" i="35"/>
  <c r="D66" i="25"/>
  <c r="E66" i="25" s="1"/>
  <c r="H63" i="35"/>
  <c r="G63" i="31"/>
  <c r="I63" i="31" s="1"/>
  <c r="B70" i="18"/>
  <c r="F70" i="18"/>
  <c r="G63" i="35"/>
  <c r="J152" i="4"/>
  <c r="D67" i="26"/>
  <c r="E67" i="26" s="1"/>
  <c r="D68" i="28"/>
  <c r="E68" i="28" s="1"/>
  <c r="D64" i="34"/>
  <c r="H64" i="29"/>
  <c r="I64" i="29" s="1"/>
  <c r="G145" i="37"/>
  <c r="D146" i="37"/>
  <c r="G153" i="4"/>
  <c r="D154" i="4"/>
  <c r="J152" i="3"/>
  <c r="D147" i="31"/>
  <c r="G146" i="31"/>
  <c r="J151" i="19"/>
  <c r="G151" i="29"/>
  <c r="D152" i="29"/>
  <c r="E152" i="29" s="1"/>
  <c r="B146" i="38"/>
  <c r="I149" i="21"/>
  <c r="H149" i="21"/>
  <c r="G151" i="28"/>
  <c r="D152" i="28"/>
  <c r="E152" i="28" s="1"/>
  <c r="H145" i="38"/>
  <c r="I145" i="38"/>
  <c r="B150" i="21"/>
  <c r="B150" i="25"/>
  <c r="H145" i="34"/>
  <c r="I145" i="34"/>
  <c r="I149" i="25"/>
  <c r="H149" i="25"/>
  <c r="F146" i="34"/>
  <c r="B146" i="34"/>
  <c r="I149" i="27"/>
  <c r="H149" i="27"/>
  <c r="E150" i="25"/>
  <c r="F150" i="25" s="1"/>
  <c r="J150" i="28"/>
  <c r="H149" i="24"/>
  <c r="I149" i="24"/>
  <c r="B150" i="27"/>
  <c r="F150" i="27"/>
  <c r="F147" i="13"/>
  <c r="B147" i="13"/>
  <c r="F150" i="24"/>
  <c r="B150" i="24"/>
  <c r="G152" i="19"/>
  <c r="D153" i="19"/>
  <c r="E146" i="38"/>
  <c r="F146" i="38" s="1"/>
  <c r="E150" i="21"/>
  <c r="F150" i="21" s="1"/>
  <c r="H146" i="13"/>
  <c r="I146" i="13"/>
  <c r="D155" i="23"/>
  <c r="G154" i="23"/>
  <c r="D150" i="22"/>
  <c r="E150" i="22" s="1"/>
  <c r="G149" i="22"/>
  <c r="G146" i="20"/>
  <c r="D147" i="20"/>
  <c r="J145" i="20"/>
  <c r="G153" i="3"/>
  <c r="D154" i="3"/>
  <c r="J153" i="23"/>
  <c r="J148" i="22"/>
  <c r="D71" i="24" l="1"/>
  <c r="H70" i="24"/>
  <c r="G70" i="24"/>
  <c r="H149" i="26"/>
  <c r="I149" i="26"/>
  <c r="E150" i="26"/>
  <c r="F150" i="26" s="1"/>
  <c r="B150" i="26"/>
  <c r="I152" i="18"/>
  <c r="H152" i="18"/>
  <c r="E153" i="18"/>
  <c r="F153" i="18" s="1"/>
  <c r="B153" i="18"/>
  <c r="G70" i="19"/>
  <c r="I70" i="19" s="1"/>
  <c r="G71" i="4"/>
  <c r="I71" i="4" s="1"/>
  <c r="I62" i="37"/>
  <c r="B64" i="34"/>
  <c r="D71" i="18"/>
  <c r="E71" i="18" s="1"/>
  <c r="B64" i="35"/>
  <c r="D69" i="21"/>
  <c r="E69" i="21" s="1"/>
  <c r="B64" i="31"/>
  <c r="F66" i="25"/>
  <c r="H66" i="25" s="1"/>
  <c r="B66" i="25"/>
  <c r="B68" i="28"/>
  <c r="F68" i="28"/>
  <c r="H68" i="28" s="1"/>
  <c r="G70" i="18"/>
  <c r="I146" i="35"/>
  <c r="H146" i="35"/>
  <c r="D68" i="22"/>
  <c r="E68" i="22" s="1"/>
  <c r="H68" i="21"/>
  <c r="B62" i="38"/>
  <c r="F62" i="38"/>
  <c r="G62" i="38" s="1"/>
  <c r="F63" i="37"/>
  <c r="G63" i="37" s="1"/>
  <c r="B63" i="37"/>
  <c r="E147" i="35"/>
  <c r="F147" i="35" s="1"/>
  <c r="B147" i="35"/>
  <c r="G67" i="22"/>
  <c r="I67" i="22" s="1"/>
  <c r="D71" i="19"/>
  <c r="E71" i="19" s="1"/>
  <c r="B67" i="26"/>
  <c r="F67" i="26"/>
  <c r="G67" i="26" s="1"/>
  <c r="D73" i="3"/>
  <c r="E73" i="3" s="1"/>
  <c r="E74" i="3" s="1"/>
  <c r="B68" i="23"/>
  <c r="G72" i="3"/>
  <c r="I72" i="3" s="1"/>
  <c r="I65" i="13"/>
  <c r="F68" i="27"/>
  <c r="G68" i="27" s="1"/>
  <c r="B68" i="27"/>
  <c r="E68" i="23"/>
  <c r="F68" i="23" s="1"/>
  <c r="D72" i="4"/>
  <c r="E72" i="4" s="1"/>
  <c r="F65" i="29"/>
  <c r="H65" i="29" s="1"/>
  <c r="E64" i="34"/>
  <c r="F64" i="34" s="1"/>
  <c r="H70" i="18"/>
  <c r="I63" i="35"/>
  <c r="E64" i="35"/>
  <c r="F64" i="35" s="1"/>
  <c r="G68" i="21"/>
  <c r="E64" i="31"/>
  <c r="F64" i="31" s="1"/>
  <c r="B66" i="13"/>
  <c r="F66" i="13"/>
  <c r="H66" i="13" s="1"/>
  <c r="H153" i="4"/>
  <c r="I153" i="4"/>
  <c r="E146" i="37"/>
  <c r="F146" i="37" s="1"/>
  <c r="B146" i="37"/>
  <c r="B154" i="4"/>
  <c r="E154" i="4"/>
  <c r="F154" i="4" s="1"/>
  <c r="I145" i="37"/>
  <c r="H145" i="37"/>
  <c r="H146" i="31"/>
  <c r="I146" i="31"/>
  <c r="B147" i="31"/>
  <c r="E147" i="31"/>
  <c r="F147" i="31" s="1"/>
  <c r="G150" i="25"/>
  <c r="D151" i="25"/>
  <c r="D151" i="21"/>
  <c r="E151" i="21" s="1"/>
  <c r="G150" i="21"/>
  <c r="D147" i="38"/>
  <c r="E147" i="38" s="1"/>
  <c r="G146" i="38"/>
  <c r="G150" i="24"/>
  <c r="D151" i="24"/>
  <c r="E151" i="24" s="1"/>
  <c r="D148" i="13"/>
  <c r="E148" i="13" s="1"/>
  <c r="G147" i="13"/>
  <c r="F152" i="29"/>
  <c r="B153" i="19"/>
  <c r="J149" i="27"/>
  <c r="B152" i="28"/>
  <c r="F152" i="28"/>
  <c r="I151" i="29"/>
  <c r="H151" i="29"/>
  <c r="H152" i="19"/>
  <c r="I152" i="19"/>
  <c r="G150" i="27"/>
  <c r="D151" i="27"/>
  <c r="E151" i="27" s="1"/>
  <c r="I151" i="28"/>
  <c r="H151" i="28"/>
  <c r="E153" i="19"/>
  <c r="F153" i="19" s="1"/>
  <c r="G146" i="34"/>
  <c r="D147" i="34"/>
  <c r="E147" i="34" s="1"/>
  <c r="J149" i="24"/>
  <c r="J149" i="21"/>
  <c r="B154" i="3"/>
  <c r="I154" i="23"/>
  <c r="H154" i="23"/>
  <c r="E155" i="23"/>
  <c r="E156" i="23" s="1"/>
  <c r="B147" i="20"/>
  <c r="E147" i="20"/>
  <c r="F147" i="20" s="1"/>
  <c r="E154" i="3"/>
  <c r="F154" i="3" s="1"/>
  <c r="F150" i="22"/>
  <c r="B150" i="22"/>
  <c r="H153" i="3"/>
  <c r="I153" i="3"/>
  <c r="I146" i="20"/>
  <c r="H146" i="20"/>
  <c r="H149" i="22"/>
  <c r="I149" i="22"/>
  <c r="I70" i="24" l="1"/>
  <c r="J149" i="26"/>
  <c r="E71" i="24"/>
  <c r="F71" i="24" s="1"/>
  <c r="B71" i="24"/>
  <c r="G150" i="26"/>
  <c r="D151" i="26"/>
  <c r="B151" i="26" s="1"/>
  <c r="G153" i="18"/>
  <c r="D154" i="18"/>
  <c r="B154" i="18" s="1"/>
  <c r="J146" i="31"/>
  <c r="J152" i="18"/>
  <c r="G66" i="25"/>
  <c r="I66" i="25" s="1"/>
  <c r="H67" i="26"/>
  <c r="I67" i="26" s="1"/>
  <c r="J153" i="4"/>
  <c r="D69" i="23"/>
  <c r="E69" i="23" s="1"/>
  <c r="G68" i="23"/>
  <c r="H68" i="23"/>
  <c r="D65" i="31"/>
  <c r="E65" i="31" s="1"/>
  <c r="G64" i="31"/>
  <c r="H64" i="31"/>
  <c r="D65" i="35"/>
  <c r="E65" i="35" s="1"/>
  <c r="H64" i="35"/>
  <c r="G64" i="35"/>
  <c r="D65" i="34"/>
  <c r="E65" i="34" s="1"/>
  <c r="H64" i="34"/>
  <c r="G64" i="34"/>
  <c r="I68" i="21"/>
  <c r="D67" i="13"/>
  <c r="E67" i="13" s="1"/>
  <c r="D66" i="29"/>
  <c r="E66" i="29" s="1"/>
  <c r="D69" i="27"/>
  <c r="E69" i="27" s="1"/>
  <c r="D64" i="37"/>
  <c r="E64" i="37" s="1"/>
  <c r="F68" i="22"/>
  <c r="H68" i="22" s="1"/>
  <c r="B68" i="22"/>
  <c r="B71" i="18"/>
  <c r="F71" i="18"/>
  <c r="H71" i="18" s="1"/>
  <c r="G65" i="29"/>
  <c r="I65" i="29" s="1"/>
  <c r="B71" i="19"/>
  <c r="F71" i="19"/>
  <c r="H71" i="19" s="1"/>
  <c r="H63" i="37"/>
  <c r="I63" i="37" s="1"/>
  <c r="F73" i="3"/>
  <c r="H73" i="3" s="1"/>
  <c r="B73" i="3"/>
  <c r="F69" i="21"/>
  <c r="G69" i="21" s="1"/>
  <c r="B69" i="21"/>
  <c r="B72" i="4"/>
  <c r="F72" i="4"/>
  <c r="D63" i="38"/>
  <c r="E63" i="38" s="1"/>
  <c r="G147" i="35"/>
  <c r="D148" i="35"/>
  <c r="D69" i="28"/>
  <c r="D67" i="25"/>
  <c r="E67" i="25" s="1"/>
  <c r="G66" i="13"/>
  <c r="I66" i="13" s="1"/>
  <c r="I70" i="18"/>
  <c r="H68" i="27"/>
  <c r="I68" i="27" s="1"/>
  <c r="D68" i="26"/>
  <c r="E68" i="26" s="1"/>
  <c r="H62" i="38"/>
  <c r="I62" i="38" s="1"/>
  <c r="G68" i="28"/>
  <c r="I68" i="28" s="1"/>
  <c r="D155" i="4"/>
  <c r="G154" i="4"/>
  <c r="G146" i="37"/>
  <c r="D147" i="37"/>
  <c r="J152" i="19"/>
  <c r="G147" i="31"/>
  <c r="D148" i="31"/>
  <c r="J153" i="3"/>
  <c r="G153" i="19"/>
  <c r="D154" i="19"/>
  <c r="J151" i="28"/>
  <c r="F147" i="38"/>
  <c r="B147" i="38"/>
  <c r="H147" i="13"/>
  <c r="I147" i="13"/>
  <c r="G152" i="29"/>
  <c r="D153" i="29"/>
  <c r="B151" i="27"/>
  <c r="F151" i="27"/>
  <c r="G152" i="28"/>
  <c r="D153" i="28"/>
  <c r="B148" i="13"/>
  <c r="F148" i="13"/>
  <c r="H150" i="21"/>
  <c r="I150" i="21"/>
  <c r="H150" i="27"/>
  <c r="I150" i="27"/>
  <c r="B151" i="21"/>
  <c r="F151" i="21"/>
  <c r="F151" i="24"/>
  <c r="B151" i="24"/>
  <c r="B151" i="25"/>
  <c r="H146" i="34"/>
  <c r="I146" i="34"/>
  <c r="H150" i="24"/>
  <c r="I150" i="24"/>
  <c r="H150" i="25"/>
  <c r="I150" i="25"/>
  <c r="F147" i="34"/>
  <c r="B147" i="34"/>
  <c r="H146" i="38"/>
  <c r="I146" i="38"/>
  <c r="E151" i="25"/>
  <c r="F151" i="25" s="1"/>
  <c r="J154" i="23"/>
  <c r="D155" i="3"/>
  <c r="G154" i="3"/>
  <c r="G150" i="22"/>
  <c r="D151" i="22"/>
  <c r="G147" i="20"/>
  <c r="D148" i="20"/>
  <c r="J146" i="20"/>
  <c r="J149" i="22"/>
  <c r="F155" i="23"/>
  <c r="G155" i="23" s="1"/>
  <c r="G71" i="24" l="1"/>
  <c r="H71" i="24"/>
  <c r="D72" i="24"/>
  <c r="E154" i="18"/>
  <c r="F154" i="18" s="1"/>
  <c r="G154" i="18" s="1"/>
  <c r="H154" i="18" s="1"/>
  <c r="E151" i="26"/>
  <c r="F151" i="26" s="1"/>
  <c r="H150" i="26"/>
  <c r="I150" i="26"/>
  <c r="J150" i="27"/>
  <c r="H153" i="18"/>
  <c r="I153" i="18"/>
  <c r="I64" i="34"/>
  <c r="G71" i="18"/>
  <c r="I71" i="18" s="1"/>
  <c r="I68" i="23"/>
  <c r="H74" i="3"/>
  <c r="B69" i="28"/>
  <c r="D73" i="4"/>
  <c r="G73" i="3"/>
  <c r="G74" i="3" s="1"/>
  <c r="D72" i="18"/>
  <c r="E72" i="18" s="1"/>
  <c r="B148" i="35"/>
  <c r="E148" i="35"/>
  <c r="F148" i="35" s="1"/>
  <c r="B64" i="37"/>
  <c r="F64" i="37"/>
  <c r="F66" i="29"/>
  <c r="H147" i="35"/>
  <c r="I147" i="35"/>
  <c r="B65" i="34"/>
  <c r="F65" i="34"/>
  <c r="G65" i="34" s="1"/>
  <c r="B65" i="31"/>
  <c r="F65" i="31"/>
  <c r="G65" i="31" s="1"/>
  <c r="J150" i="21"/>
  <c r="D72" i="19"/>
  <c r="E72" i="19" s="1"/>
  <c r="B68" i="26"/>
  <c r="F68" i="26"/>
  <c r="G68" i="26" s="1"/>
  <c r="D70" i="21"/>
  <c r="E70" i="21" s="1"/>
  <c r="B67" i="13"/>
  <c r="F67" i="13"/>
  <c r="G67" i="13" s="1"/>
  <c r="I64" i="35"/>
  <c r="B63" i="38"/>
  <c r="F63" i="38"/>
  <c r="G63" i="38" s="1"/>
  <c r="H69" i="21"/>
  <c r="I69" i="21" s="1"/>
  <c r="B67" i="25"/>
  <c r="F67" i="25"/>
  <c r="H67" i="25" s="1"/>
  <c r="G72" i="4"/>
  <c r="G71" i="19"/>
  <c r="I71" i="19" s="1"/>
  <c r="D69" i="22"/>
  <c r="E69" i="22" s="1"/>
  <c r="B65" i="35"/>
  <c r="F65" i="35"/>
  <c r="H65" i="35" s="1"/>
  <c r="B69" i="23"/>
  <c r="F69" i="23"/>
  <c r="G69" i="23" s="1"/>
  <c r="E69" i="28"/>
  <c r="F69" i="28" s="1"/>
  <c r="H72" i="4"/>
  <c r="G68" i="22"/>
  <c r="I68" i="22" s="1"/>
  <c r="F69" i="27"/>
  <c r="H69" i="27" s="1"/>
  <c r="B69" i="27"/>
  <c r="I64" i="31"/>
  <c r="E147" i="37"/>
  <c r="F147" i="37" s="1"/>
  <c r="B147" i="37"/>
  <c r="H146" i="37"/>
  <c r="I146" i="37"/>
  <c r="I154" i="4"/>
  <c r="H154" i="4"/>
  <c r="E155" i="4"/>
  <c r="E156" i="4" s="1"/>
  <c r="B155" i="4"/>
  <c r="E148" i="31"/>
  <c r="F148" i="31" s="1"/>
  <c r="B148" i="31"/>
  <c r="J150" i="24"/>
  <c r="H147" i="31"/>
  <c r="I147" i="31"/>
  <c r="G151" i="25"/>
  <c r="D152" i="25"/>
  <c r="E152" i="25" s="1"/>
  <c r="B153" i="28"/>
  <c r="I152" i="28"/>
  <c r="H152" i="28"/>
  <c r="E153" i="28"/>
  <c r="F153" i="28" s="1"/>
  <c r="D152" i="24"/>
  <c r="E152" i="24" s="1"/>
  <c r="G151" i="24"/>
  <c r="G151" i="27"/>
  <c r="D152" i="27"/>
  <c r="E152" i="27" s="1"/>
  <c r="G147" i="38"/>
  <c r="D148" i="38"/>
  <c r="E148" i="38" s="1"/>
  <c r="B154" i="19"/>
  <c r="H152" i="29"/>
  <c r="I152" i="29"/>
  <c r="D152" i="21"/>
  <c r="G151" i="21"/>
  <c r="I153" i="19"/>
  <c r="H153" i="19"/>
  <c r="G148" i="13"/>
  <c r="D149" i="13"/>
  <c r="D148" i="34"/>
  <c r="G147" i="34"/>
  <c r="E153" i="29"/>
  <c r="F153" i="29" s="1"/>
  <c r="E154" i="19"/>
  <c r="F154" i="19" s="1"/>
  <c r="B155" i="3"/>
  <c r="E155" i="3"/>
  <c r="E156" i="3" s="1"/>
  <c r="B151" i="22"/>
  <c r="B148" i="20"/>
  <c r="H147" i="20"/>
  <c r="I147" i="20"/>
  <c r="H150" i="22"/>
  <c r="I150" i="22"/>
  <c r="I155" i="23"/>
  <c r="H155" i="23"/>
  <c r="H156" i="23" s="1"/>
  <c r="E148" i="20"/>
  <c r="F148" i="20" s="1"/>
  <c r="E151" i="22"/>
  <c r="F151" i="22" s="1"/>
  <c r="I154" i="3"/>
  <c r="H154" i="3"/>
  <c r="I71" i="24" l="1"/>
  <c r="J153" i="18"/>
  <c r="H65" i="34"/>
  <c r="I65" i="34" s="1"/>
  <c r="H65" i="31"/>
  <c r="I65" i="31" s="1"/>
  <c r="J147" i="31"/>
  <c r="D155" i="18"/>
  <c r="B155" i="18" s="1"/>
  <c r="I154" i="18"/>
  <c r="J154" i="18" s="1"/>
  <c r="E72" i="24"/>
  <c r="F72" i="24" s="1"/>
  <c r="B72" i="24"/>
  <c r="J150" i="26"/>
  <c r="D152" i="26"/>
  <c r="G151" i="26"/>
  <c r="G69" i="27"/>
  <c r="I69" i="27" s="1"/>
  <c r="J150" i="22"/>
  <c r="H63" i="38"/>
  <c r="I63" i="38" s="1"/>
  <c r="G67" i="25"/>
  <c r="I67" i="25" s="1"/>
  <c r="H69" i="23"/>
  <c r="I69" i="23" s="1"/>
  <c r="D70" i="28"/>
  <c r="E70" i="28" s="1"/>
  <c r="H69" i="28"/>
  <c r="G69" i="28"/>
  <c r="D68" i="13"/>
  <c r="E68" i="13" s="1"/>
  <c r="D69" i="26"/>
  <c r="E69" i="26" s="1"/>
  <c r="B69" i="22"/>
  <c r="F69" i="22"/>
  <c r="G69" i="22" s="1"/>
  <c r="H67" i="13"/>
  <c r="I67" i="13" s="1"/>
  <c r="H68" i="26"/>
  <c r="I68" i="26" s="1"/>
  <c r="D149" i="35"/>
  <c r="G148" i="35"/>
  <c r="B73" i="4"/>
  <c r="D70" i="23"/>
  <c r="E70" i="23" s="1"/>
  <c r="D67" i="29"/>
  <c r="E67" i="29" s="1"/>
  <c r="D70" i="27"/>
  <c r="E70" i="27" s="1"/>
  <c r="D64" i="38"/>
  <c r="E64" i="38" s="1"/>
  <c r="G66" i="29"/>
  <c r="D66" i="35"/>
  <c r="B72" i="19"/>
  <c r="F72" i="19"/>
  <c r="G72" i="19" s="1"/>
  <c r="D66" i="34"/>
  <c r="E66" i="34" s="1"/>
  <c r="H66" i="29"/>
  <c r="F72" i="18"/>
  <c r="H72" i="18" s="1"/>
  <c r="B72" i="18"/>
  <c r="D65" i="37"/>
  <c r="E65" i="37" s="1"/>
  <c r="G64" i="37"/>
  <c r="I73" i="3"/>
  <c r="I74" i="3" s="1"/>
  <c r="I72" i="4"/>
  <c r="G65" i="35"/>
  <c r="I65" i="35" s="1"/>
  <c r="D68" i="25"/>
  <c r="E68" i="25" s="1"/>
  <c r="F70" i="21"/>
  <c r="H70" i="21" s="1"/>
  <c r="B70" i="21"/>
  <c r="D66" i="31"/>
  <c r="E66" i="31" s="1"/>
  <c r="H64" i="37"/>
  <c r="E73" i="4"/>
  <c r="E74" i="4" s="1"/>
  <c r="J154" i="4"/>
  <c r="F155" i="4"/>
  <c r="G155" i="4" s="1"/>
  <c r="D148" i="37"/>
  <c r="G147" i="37"/>
  <c r="G148" i="31"/>
  <c r="D149" i="31"/>
  <c r="J153" i="19"/>
  <c r="G154" i="19"/>
  <c r="D155" i="19"/>
  <c r="E155" i="19" s="1"/>
  <c r="E156" i="19" s="1"/>
  <c r="G153" i="29"/>
  <c r="D154" i="29"/>
  <c r="B152" i="21"/>
  <c r="B149" i="13"/>
  <c r="B152" i="24"/>
  <c r="F152" i="24"/>
  <c r="B148" i="34"/>
  <c r="H148" i="13"/>
  <c r="I148" i="13"/>
  <c r="J152" i="28"/>
  <c r="H147" i="34"/>
  <c r="I147" i="34"/>
  <c r="E149" i="13"/>
  <c r="F149" i="13" s="1"/>
  <c r="B152" i="27"/>
  <c r="F152" i="27"/>
  <c r="B148" i="38"/>
  <c r="F148" i="38"/>
  <c r="H147" i="38"/>
  <c r="I147" i="38"/>
  <c r="H151" i="27"/>
  <c r="I151" i="27"/>
  <c r="F152" i="25"/>
  <c r="B152" i="25"/>
  <c r="H151" i="21"/>
  <c r="I151" i="21"/>
  <c r="G153" i="28"/>
  <c r="D154" i="28"/>
  <c r="E154" i="28" s="1"/>
  <c r="I151" i="24"/>
  <c r="H151" i="24"/>
  <c r="E148" i="34"/>
  <c r="F148" i="34" s="1"/>
  <c r="E152" i="21"/>
  <c r="F152" i="21" s="1"/>
  <c r="H151" i="25"/>
  <c r="I151" i="25"/>
  <c r="G151" i="22"/>
  <c r="D152" i="22"/>
  <c r="J155" i="23"/>
  <c r="J156" i="23" s="1"/>
  <c r="I156" i="23"/>
  <c r="J154" i="3"/>
  <c r="D149" i="20"/>
  <c r="G148" i="20"/>
  <c r="J147" i="20"/>
  <c r="F155" i="3"/>
  <c r="G155" i="3" s="1"/>
  <c r="E155" i="18" l="1"/>
  <c r="E156" i="18" s="1"/>
  <c r="D73" i="24"/>
  <c r="B73" i="24" s="1"/>
  <c r="H72" i="24"/>
  <c r="G72" i="24"/>
  <c r="I151" i="26"/>
  <c r="H151" i="26"/>
  <c r="E152" i="26"/>
  <c r="F152" i="26" s="1"/>
  <c r="B152" i="26"/>
  <c r="G72" i="18"/>
  <c r="I72" i="18" s="1"/>
  <c r="G70" i="21"/>
  <c r="I70" i="21" s="1"/>
  <c r="I66" i="29"/>
  <c r="B66" i="35"/>
  <c r="D71" i="21"/>
  <c r="E71" i="21" s="1"/>
  <c r="F73" i="4"/>
  <c r="D70" i="22"/>
  <c r="B66" i="34"/>
  <c r="F66" i="34"/>
  <c r="H66" i="34" s="1"/>
  <c r="F67" i="29"/>
  <c r="I148" i="35"/>
  <c r="H148" i="35"/>
  <c r="I64" i="37"/>
  <c r="F65" i="37"/>
  <c r="H65" i="37" s="1"/>
  <c r="B65" i="37"/>
  <c r="H72" i="19"/>
  <c r="I72" i="19" s="1"/>
  <c r="E149" i="35"/>
  <c r="F149" i="35" s="1"/>
  <c r="B149" i="35"/>
  <c r="B68" i="25"/>
  <c r="F68" i="25"/>
  <c r="G68" i="25" s="1"/>
  <c r="D73" i="19"/>
  <c r="E73" i="19" s="1"/>
  <c r="E74" i="19" s="1"/>
  <c r="B64" i="38"/>
  <c r="F64" i="38"/>
  <c r="G64" i="38" s="1"/>
  <c r="F70" i="23"/>
  <c r="H70" i="23" s="1"/>
  <c r="B70" i="23"/>
  <c r="F69" i="26"/>
  <c r="H69" i="26" s="1"/>
  <c r="B69" i="26"/>
  <c r="I69" i="28"/>
  <c r="F66" i="31"/>
  <c r="G66" i="31" s="1"/>
  <c r="B66" i="31"/>
  <c r="D73" i="18"/>
  <c r="E73" i="18" s="1"/>
  <c r="E74" i="18" s="1"/>
  <c r="E66" i="35"/>
  <c r="F66" i="35" s="1"/>
  <c r="B70" i="27"/>
  <c r="F70" i="27"/>
  <c r="G70" i="27" s="1"/>
  <c r="H69" i="22"/>
  <c r="I69" i="22" s="1"/>
  <c r="B68" i="13"/>
  <c r="F68" i="13"/>
  <c r="H68" i="13" s="1"/>
  <c r="F70" i="28"/>
  <c r="H70" i="28" s="1"/>
  <c r="B70" i="28"/>
  <c r="H147" i="37"/>
  <c r="I147" i="37"/>
  <c r="E148" i="37"/>
  <c r="F148" i="37" s="1"/>
  <c r="B148" i="37"/>
  <c r="J151" i="24"/>
  <c r="H155" i="4"/>
  <c r="H156" i="4" s="1"/>
  <c r="I155" i="4"/>
  <c r="J151" i="21"/>
  <c r="E149" i="31"/>
  <c r="F149" i="31" s="1"/>
  <c r="B149" i="31"/>
  <c r="H148" i="31"/>
  <c r="I148" i="31"/>
  <c r="J151" i="27"/>
  <c r="G149" i="13"/>
  <c r="D150" i="13"/>
  <c r="D149" i="34"/>
  <c r="E149" i="34" s="1"/>
  <c r="G148" i="34"/>
  <c r="G152" i="25"/>
  <c r="D153" i="25"/>
  <c r="G152" i="24"/>
  <c r="D153" i="24"/>
  <c r="E153" i="24" s="1"/>
  <c r="I153" i="29"/>
  <c r="H153" i="29"/>
  <c r="F155" i="19"/>
  <c r="G155" i="19" s="1"/>
  <c r="B155" i="19"/>
  <c r="F154" i="28"/>
  <c r="B154" i="28"/>
  <c r="D153" i="27"/>
  <c r="E153" i="27" s="1"/>
  <c r="G152" i="27"/>
  <c r="I154" i="19"/>
  <c r="H154" i="19"/>
  <c r="G152" i="21"/>
  <c r="D153" i="21"/>
  <c r="H153" i="28"/>
  <c r="I153" i="28"/>
  <c r="D149" i="38"/>
  <c r="G148" i="38"/>
  <c r="E154" i="29"/>
  <c r="F154" i="29" s="1"/>
  <c r="H148" i="20"/>
  <c r="I148" i="20"/>
  <c r="B152" i="22"/>
  <c r="I151" i="22"/>
  <c r="H151" i="22"/>
  <c r="B149" i="20"/>
  <c r="H155" i="3"/>
  <c r="H156" i="3" s="1"/>
  <c r="I155" i="3"/>
  <c r="E149" i="20"/>
  <c r="F149" i="20" s="1"/>
  <c r="E152" i="22"/>
  <c r="F152" i="22" s="1"/>
  <c r="F155" i="18" l="1"/>
  <c r="G155" i="18" s="1"/>
  <c r="H155" i="18" s="1"/>
  <c r="H156" i="18" s="1"/>
  <c r="E73" i="24"/>
  <c r="E74" i="24" s="1"/>
  <c r="I72" i="24"/>
  <c r="G152" i="26"/>
  <c r="D153" i="26"/>
  <c r="J151" i="26"/>
  <c r="G70" i="28"/>
  <c r="I70" i="28" s="1"/>
  <c r="G70" i="23"/>
  <c r="H64" i="38"/>
  <c r="I64" i="38" s="1"/>
  <c r="H66" i="31"/>
  <c r="I66" i="31" s="1"/>
  <c r="H70" i="27"/>
  <c r="I70" i="27" s="1"/>
  <c r="D67" i="35"/>
  <c r="E67" i="35" s="1"/>
  <c r="G66" i="35"/>
  <c r="H66" i="35"/>
  <c r="B70" i="22"/>
  <c r="D69" i="25"/>
  <c r="E69" i="25" s="1"/>
  <c r="D66" i="37"/>
  <c r="E66" i="37" s="1"/>
  <c r="D67" i="34"/>
  <c r="E67" i="34" s="1"/>
  <c r="H73" i="4"/>
  <c r="G73" i="4"/>
  <c r="G74" i="4" s="1"/>
  <c r="F73" i="18"/>
  <c r="H73" i="18" s="1"/>
  <c r="B73" i="18"/>
  <c r="D70" i="26"/>
  <c r="E70" i="26" s="1"/>
  <c r="D65" i="38"/>
  <c r="E65" i="38" s="1"/>
  <c r="D150" i="35"/>
  <c r="G149" i="35"/>
  <c r="B71" i="21"/>
  <c r="F71" i="21"/>
  <c r="H71" i="21" s="1"/>
  <c r="D68" i="29"/>
  <c r="E68" i="29" s="1"/>
  <c r="G69" i="26"/>
  <c r="I69" i="26" s="1"/>
  <c r="G66" i="34"/>
  <c r="I66" i="34" s="1"/>
  <c r="I70" i="23"/>
  <c r="D71" i="27"/>
  <c r="E71" i="27" s="1"/>
  <c r="B73" i="19"/>
  <c r="F73" i="19"/>
  <c r="H73" i="19" s="1"/>
  <c r="G67" i="29"/>
  <c r="D69" i="13"/>
  <c r="E69" i="13" s="1"/>
  <c r="G68" i="13"/>
  <c r="I68" i="13" s="1"/>
  <c r="J148" i="31"/>
  <c r="D71" i="28"/>
  <c r="D67" i="31"/>
  <c r="E67" i="31" s="1"/>
  <c r="D71" i="23"/>
  <c r="E71" i="23" s="1"/>
  <c r="H68" i="25"/>
  <c r="I68" i="25" s="1"/>
  <c r="G65" i="37"/>
  <c r="I65" i="37" s="1"/>
  <c r="H67" i="29"/>
  <c r="E70" i="22"/>
  <c r="F70" i="22" s="1"/>
  <c r="G148" i="37"/>
  <c r="D149" i="37"/>
  <c r="J155" i="4"/>
  <c r="J156" i="4" s="1"/>
  <c r="I156" i="4"/>
  <c r="J154" i="19"/>
  <c r="J148" i="20"/>
  <c r="G149" i="31"/>
  <c r="D150" i="31"/>
  <c r="E150" i="31" s="1"/>
  <c r="J153" i="28"/>
  <c r="G154" i="29"/>
  <c r="D155" i="29"/>
  <c r="E155" i="29" s="1"/>
  <c r="E156" i="29" s="1"/>
  <c r="B153" i="21"/>
  <c r="H148" i="38"/>
  <c r="I148" i="38"/>
  <c r="I155" i="19"/>
  <c r="H155" i="19"/>
  <c r="H156" i="19" s="1"/>
  <c r="B153" i="24"/>
  <c r="F153" i="24"/>
  <c r="I152" i="25"/>
  <c r="H152" i="25"/>
  <c r="B149" i="38"/>
  <c r="I152" i="24"/>
  <c r="H152" i="24"/>
  <c r="H148" i="34"/>
  <c r="I148" i="34"/>
  <c r="E149" i="38"/>
  <c r="F149" i="38" s="1"/>
  <c r="B149" i="34"/>
  <c r="F149" i="34"/>
  <c r="I152" i="21"/>
  <c r="H152" i="21"/>
  <c r="H152" i="27"/>
  <c r="I152" i="27"/>
  <c r="B150" i="13"/>
  <c r="G154" i="28"/>
  <c r="D155" i="28"/>
  <c r="E155" i="28" s="1"/>
  <c r="E156" i="28" s="1"/>
  <c r="F153" i="27"/>
  <c r="B153" i="27"/>
  <c r="B153" i="25"/>
  <c r="H149" i="13"/>
  <c r="I149" i="13"/>
  <c r="E153" i="21"/>
  <c r="F153" i="21" s="1"/>
  <c r="E153" i="25"/>
  <c r="F153" i="25" s="1"/>
  <c r="E150" i="13"/>
  <c r="F150" i="13" s="1"/>
  <c r="G152" i="22"/>
  <c r="D153" i="22"/>
  <c r="E153" i="22" s="1"/>
  <c r="G149" i="20"/>
  <c r="D150" i="20"/>
  <c r="J151" i="22"/>
  <c r="J155" i="3"/>
  <c r="J156" i="3" s="1"/>
  <c r="I156" i="3"/>
  <c r="I155" i="18" l="1"/>
  <c r="F73" i="24"/>
  <c r="E153" i="26"/>
  <c r="F153" i="26" s="1"/>
  <c r="B153" i="26"/>
  <c r="I152" i="26"/>
  <c r="H152" i="26"/>
  <c r="G73" i="18"/>
  <c r="G74" i="18" s="1"/>
  <c r="I67" i="29"/>
  <c r="G73" i="19"/>
  <c r="G74" i="19" s="1"/>
  <c r="G71" i="21"/>
  <c r="I71" i="21" s="1"/>
  <c r="I66" i="35"/>
  <c r="D71" i="22"/>
  <c r="E71" i="22" s="1"/>
  <c r="G70" i="22"/>
  <c r="H70" i="22"/>
  <c r="I73" i="4"/>
  <c r="I74" i="4" s="1"/>
  <c r="H74" i="4"/>
  <c r="H149" i="35"/>
  <c r="I149" i="35"/>
  <c r="E150" i="35"/>
  <c r="F150" i="35" s="1"/>
  <c r="B150" i="35"/>
  <c r="B67" i="34"/>
  <c r="F67" i="34"/>
  <c r="B71" i="23"/>
  <c r="F71" i="23"/>
  <c r="H71" i="23" s="1"/>
  <c r="F68" i="29"/>
  <c r="G68" i="29" s="1"/>
  <c r="B71" i="28"/>
  <c r="H74" i="18"/>
  <c r="B69" i="13"/>
  <c r="F69" i="13"/>
  <c r="H69" i="13" s="1"/>
  <c r="F65" i="38"/>
  <c r="G65" i="38" s="1"/>
  <c r="B65" i="38"/>
  <c r="B66" i="37"/>
  <c r="F66" i="37"/>
  <c r="G66" i="37" s="1"/>
  <c r="B71" i="27"/>
  <c r="F71" i="27"/>
  <c r="H71" i="27" s="1"/>
  <c r="H74" i="19"/>
  <c r="B67" i="31"/>
  <c r="F67" i="31"/>
  <c r="H67" i="31" s="1"/>
  <c r="D72" i="21"/>
  <c r="E72" i="21" s="1"/>
  <c r="B70" i="26"/>
  <c r="F70" i="26"/>
  <c r="G70" i="26" s="1"/>
  <c r="B69" i="25"/>
  <c r="F69" i="25"/>
  <c r="H69" i="25" s="1"/>
  <c r="E71" i="28"/>
  <c r="F71" i="28" s="1"/>
  <c r="B67" i="35"/>
  <c r="F67" i="35"/>
  <c r="H67" i="35" s="1"/>
  <c r="E149" i="37"/>
  <c r="F149" i="37" s="1"/>
  <c r="B149" i="37"/>
  <c r="H148" i="37"/>
  <c r="I148" i="37"/>
  <c r="J152" i="24"/>
  <c r="F150" i="31"/>
  <c r="B150" i="31"/>
  <c r="I149" i="31"/>
  <c r="H149" i="31"/>
  <c r="J152" i="27"/>
  <c r="D154" i="21"/>
  <c r="E154" i="21" s="1"/>
  <c r="G153" i="21"/>
  <c r="D154" i="25"/>
  <c r="E154" i="25" s="1"/>
  <c r="G153" i="25"/>
  <c r="G150" i="13"/>
  <c r="D151" i="13"/>
  <c r="E151" i="13" s="1"/>
  <c r="J152" i="21"/>
  <c r="G153" i="27"/>
  <c r="D154" i="27"/>
  <c r="E154" i="27" s="1"/>
  <c r="G149" i="34"/>
  <c r="D150" i="34"/>
  <c r="D150" i="38"/>
  <c r="E150" i="38" s="1"/>
  <c r="G149" i="38"/>
  <c r="B155" i="28"/>
  <c r="F155" i="28"/>
  <c r="G155" i="28" s="1"/>
  <c r="I154" i="28"/>
  <c r="H154" i="28"/>
  <c r="G153" i="24"/>
  <c r="D154" i="24"/>
  <c r="E154" i="24" s="1"/>
  <c r="F155" i="29"/>
  <c r="G155" i="29" s="1"/>
  <c r="J155" i="19"/>
  <c r="J156" i="19" s="1"/>
  <c r="I156" i="19"/>
  <c r="I154" i="29"/>
  <c r="H154" i="29"/>
  <c r="H149" i="20"/>
  <c r="I149" i="20"/>
  <c r="B150" i="20"/>
  <c r="E150" i="20"/>
  <c r="F150" i="20" s="1"/>
  <c r="B153" i="22"/>
  <c r="F153" i="22"/>
  <c r="H152" i="22"/>
  <c r="I152" i="22"/>
  <c r="I156" i="18" l="1"/>
  <c r="J155" i="18"/>
  <c r="J156" i="18" s="1"/>
  <c r="I73" i="18"/>
  <c r="I74" i="18" s="1"/>
  <c r="H73" i="24"/>
  <c r="G73" i="24"/>
  <c r="G74" i="24" s="1"/>
  <c r="J152" i="26"/>
  <c r="D154" i="26"/>
  <c r="G153" i="26"/>
  <c r="I73" i="19"/>
  <c r="I74" i="19" s="1"/>
  <c r="I70" i="22"/>
  <c r="H70" i="26"/>
  <c r="I70" i="26" s="1"/>
  <c r="H65" i="38"/>
  <c r="I65" i="38" s="1"/>
  <c r="G71" i="23"/>
  <c r="I71" i="23" s="1"/>
  <c r="D72" i="28"/>
  <c r="E72" i="28" s="1"/>
  <c r="H71" i="28"/>
  <c r="G71" i="28"/>
  <c r="H66" i="37"/>
  <c r="I66" i="37" s="1"/>
  <c r="D70" i="13"/>
  <c r="E70" i="13" s="1"/>
  <c r="D68" i="34"/>
  <c r="E68" i="34" s="1"/>
  <c r="G67" i="34"/>
  <c r="D70" i="25"/>
  <c r="B72" i="21"/>
  <c r="F72" i="21"/>
  <c r="H72" i="21" s="1"/>
  <c r="D72" i="27"/>
  <c r="E72" i="27" s="1"/>
  <c r="G69" i="13"/>
  <c r="I69" i="13" s="1"/>
  <c r="D69" i="29"/>
  <c r="E69" i="29" s="1"/>
  <c r="D67" i="37"/>
  <c r="E67" i="37" s="1"/>
  <c r="G67" i="31"/>
  <c r="I67" i="31" s="1"/>
  <c r="G71" i="27"/>
  <c r="I71" i="27" s="1"/>
  <c r="H68" i="29"/>
  <c r="I68" i="29" s="1"/>
  <c r="H67" i="34"/>
  <c r="D68" i="35"/>
  <c r="E68" i="35" s="1"/>
  <c r="G69" i="25"/>
  <c r="I69" i="25" s="1"/>
  <c r="D71" i="26"/>
  <c r="E71" i="26" s="1"/>
  <c r="D68" i="31"/>
  <c r="E68" i="31" s="1"/>
  <c r="D72" i="23"/>
  <c r="E72" i="23" s="1"/>
  <c r="D151" i="35"/>
  <c r="G150" i="35"/>
  <c r="G67" i="35"/>
  <c r="I67" i="35" s="1"/>
  <c r="D66" i="38"/>
  <c r="E66" i="38" s="1"/>
  <c r="B71" i="22"/>
  <c r="F71" i="22"/>
  <c r="H71" i="22" s="1"/>
  <c r="D150" i="37"/>
  <c r="G149" i="37"/>
  <c r="J149" i="31"/>
  <c r="G150" i="31"/>
  <c r="D151" i="31"/>
  <c r="J154" i="28"/>
  <c r="B150" i="34"/>
  <c r="H149" i="34"/>
  <c r="I149" i="34"/>
  <c r="I153" i="25"/>
  <c r="H153" i="25"/>
  <c r="E150" i="34"/>
  <c r="F150" i="34" s="1"/>
  <c r="H150" i="13"/>
  <c r="I150" i="13"/>
  <c r="I155" i="28"/>
  <c r="H155" i="28"/>
  <c r="H156" i="28" s="1"/>
  <c r="B154" i="27"/>
  <c r="F154" i="27"/>
  <c r="F154" i="25"/>
  <c r="B154" i="25"/>
  <c r="F154" i="24"/>
  <c r="B154" i="24"/>
  <c r="H149" i="38"/>
  <c r="I149" i="38"/>
  <c r="H153" i="27"/>
  <c r="I153" i="27"/>
  <c r="J149" i="20"/>
  <c r="H153" i="24"/>
  <c r="I153" i="24"/>
  <c r="I153" i="21"/>
  <c r="H153" i="21"/>
  <c r="I155" i="29"/>
  <c r="I156" i="29" s="1"/>
  <c r="H155" i="29"/>
  <c r="H156" i="29" s="1"/>
  <c r="B150" i="38"/>
  <c r="F150" i="38"/>
  <c r="B151" i="13"/>
  <c r="F151" i="13"/>
  <c r="B154" i="21"/>
  <c r="F154" i="21"/>
  <c r="G150" i="20"/>
  <c r="D151" i="20"/>
  <c r="D154" i="22"/>
  <c r="E154" i="22" s="1"/>
  <c r="G153" i="22"/>
  <c r="J152" i="22"/>
  <c r="H74" i="24" l="1"/>
  <c r="I73" i="24"/>
  <c r="I74" i="24" s="1"/>
  <c r="I153" i="26"/>
  <c r="H153" i="26"/>
  <c r="B154" i="26"/>
  <c r="E154" i="26"/>
  <c r="F154" i="26" s="1"/>
  <c r="I67" i="34"/>
  <c r="G72" i="21"/>
  <c r="I72" i="21" s="1"/>
  <c r="B70" i="25"/>
  <c r="B68" i="31"/>
  <c r="F68" i="31"/>
  <c r="H68" i="31" s="1"/>
  <c r="F72" i="27"/>
  <c r="G72" i="27" s="1"/>
  <c r="B72" i="27"/>
  <c r="B66" i="38"/>
  <c r="F66" i="38"/>
  <c r="B71" i="26"/>
  <c r="F71" i="26"/>
  <c r="G71" i="26" s="1"/>
  <c r="B68" i="34"/>
  <c r="F68" i="34"/>
  <c r="G68" i="34" s="1"/>
  <c r="I71" i="28"/>
  <c r="H150" i="35"/>
  <c r="I150" i="35"/>
  <c r="F67" i="37"/>
  <c r="H67" i="37" s="1"/>
  <c r="B67" i="37"/>
  <c r="D73" i="21"/>
  <c r="E73" i="21" s="1"/>
  <c r="E74" i="21" s="1"/>
  <c r="D72" i="22"/>
  <c r="E72" i="22" s="1"/>
  <c r="E151" i="35"/>
  <c r="F151" i="35" s="1"/>
  <c r="B151" i="35"/>
  <c r="B70" i="13"/>
  <c r="F70" i="13"/>
  <c r="G70" i="13" s="1"/>
  <c r="F72" i="28"/>
  <c r="H72" i="28" s="1"/>
  <c r="B72" i="28"/>
  <c r="G71" i="22"/>
  <c r="I71" i="22" s="1"/>
  <c r="B72" i="23"/>
  <c r="F72" i="23"/>
  <c r="G72" i="23" s="1"/>
  <c r="F68" i="35"/>
  <c r="G68" i="35" s="1"/>
  <c r="B68" i="35"/>
  <c r="F69" i="29"/>
  <c r="G69" i="29" s="1"/>
  <c r="E70" i="25"/>
  <c r="F70" i="25" s="1"/>
  <c r="I149" i="37"/>
  <c r="H149" i="37"/>
  <c r="E150" i="37"/>
  <c r="F150" i="37" s="1"/>
  <c r="B150" i="37"/>
  <c r="B151" i="31"/>
  <c r="H150" i="31"/>
  <c r="I150" i="31"/>
  <c r="E151" i="31"/>
  <c r="F151" i="31" s="1"/>
  <c r="J153" i="24"/>
  <c r="G150" i="34"/>
  <c r="D151" i="34"/>
  <c r="E151" i="34" s="1"/>
  <c r="D155" i="21"/>
  <c r="E155" i="21" s="1"/>
  <c r="E156" i="21" s="1"/>
  <c r="G154" i="21"/>
  <c r="J153" i="27"/>
  <c r="G154" i="25"/>
  <c r="D155" i="25"/>
  <c r="E155" i="25" s="1"/>
  <c r="E156" i="25" s="1"/>
  <c r="D155" i="27"/>
  <c r="E155" i="27" s="1"/>
  <c r="E156" i="27" s="1"/>
  <c r="G154" i="27"/>
  <c r="D151" i="38"/>
  <c r="E151" i="38" s="1"/>
  <c r="G150" i="38"/>
  <c r="J153" i="21"/>
  <c r="G154" i="24"/>
  <c r="D155" i="24"/>
  <c r="E155" i="24" s="1"/>
  <c r="E156" i="24" s="1"/>
  <c r="G151" i="13"/>
  <c r="D152" i="13"/>
  <c r="J155" i="28"/>
  <c r="J156" i="28" s="1"/>
  <c r="I156" i="28"/>
  <c r="B154" i="22"/>
  <c r="F154" i="22"/>
  <c r="I150" i="20"/>
  <c r="H150" i="20"/>
  <c r="I153" i="22"/>
  <c r="H153" i="22"/>
  <c r="B151" i="20"/>
  <c r="E151" i="20"/>
  <c r="F151" i="20" s="1"/>
  <c r="D155" i="26" l="1"/>
  <c r="G154" i="26"/>
  <c r="J153" i="26"/>
  <c r="J150" i="31"/>
  <c r="G67" i="37"/>
  <c r="I67" i="37" s="1"/>
  <c r="H68" i="35"/>
  <c r="I68" i="35" s="1"/>
  <c r="H69" i="29"/>
  <c r="I69" i="29" s="1"/>
  <c r="H68" i="34"/>
  <c r="I68" i="34" s="1"/>
  <c r="H70" i="13"/>
  <c r="I70" i="13" s="1"/>
  <c r="H72" i="27"/>
  <c r="I72" i="27" s="1"/>
  <c r="D71" i="25"/>
  <c r="E71" i="25" s="1"/>
  <c r="H70" i="25"/>
  <c r="G70" i="25"/>
  <c r="D67" i="38"/>
  <c r="E67" i="38" s="1"/>
  <c r="D152" i="35"/>
  <c r="G151" i="35"/>
  <c r="D69" i="31"/>
  <c r="E69" i="31" s="1"/>
  <c r="G66" i="38"/>
  <c r="D69" i="35"/>
  <c r="E69" i="35" s="1"/>
  <c r="D73" i="28"/>
  <c r="E73" i="28" s="1"/>
  <c r="E74" i="28" s="1"/>
  <c r="D68" i="37"/>
  <c r="E68" i="37" s="1"/>
  <c r="G72" i="28"/>
  <c r="I72" i="28" s="1"/>
  <c r="D72" i="26"/>
  <c r="E72" i="26" s="1"/>
  <c r="D73" i="23"/>
  <c r="F72" i="22"/>
  <c r="G72" i="22" s="1"/>
  <c r="B72" i="22"/>
  <c r="D70" i="29"/>
  <c r="E70" i="29" s="1"/>
  <c r="D71" i="13"/>
  <c r="E71" i="13" s="1"/>
  <c r="H71" i="26"/>
  <c r="I71" i="26" s="1"/>
  <c r="D73" i="27"/>
  <c r="E73" i="27" s="1"/>
  <c r="E74" i="27" s="1"/>
  <c r="H72" i="23"/>
  <c r="I72" i="23" s="1"/>
  <c r="F73" i="21"/>
  <c r="H73" i="21" s="1"/>
  <c r="B73" i="21"/>
  <c r="D69" i="34"/>
  <c r="E69" i="34" s="1"/>
  <c r="H66" i="38"/>
  <c r="G68" i="31"/>
  <c r="I68" i="31" s="1"/>
  <c r="D151" i="37"/>
  <c r="G150" i="37"/>
  <c r="D152" i="31"/>
  <c r="E152" i="31" s="1"/>
  <c r="G151" i="31"/>
  <c r="H150" i="38"/>
  <c r="I150" i="38"/>
  <c r="I154" i="24"/>
  <c r="H154" i="24"/>
  <c r="I154" i="25"/>
  <c r="H154" i="25"/>
  <c r="H154" i="21"/>
  <c r="I154" i="21"/>
  <c r="F155" i="24"/>
  <c r="G155" i="24" s="1"/>
  <c r="B155" i="24"/>
  <c r="F155" i="21"/>
  <c r="G155" i="21" s="1"/>
  <c r="B155" i="21"/>
  <c r="F151" i="38"/>
  <c r="B151" i="38"/>
  <c r="H151" i="13"/>
  <c r="I151" i="13"/>
  <c r="H154" i="27"/>
  <c r="I154" i="27"/>
  <c r="F151" i="34"/>
  <c r="B151" i="34"/>
  <c r="B155" i="25"/>
  <c r="F155" i="25"/>
  <c r="G155" i="25" s="1"/>
  <c r="B152" i="13"/>
  <c r="E152" i="13"/>
  <c r="F152" i="13" s="1"/>
  <c r="F155" i="27"/>
  <c r="G155" i="27" s="1"/>
  <c r="B155" i="27"/>
  <c r="H150" i="34"/>
  <c r="I150" i="34"/>
  <c r="G151" i="20"/>
  <c r="D152" i="20"/>
  <c r="D155" i="22"/>
  <c r="E155" i="22" s="1"/>
  <c r="E156" i="22" s="1"/>
  <c r="G154" i="22"/>
  <c r="J153" i="22"/>
  <c r="J150" i="20"/>
  <c r="I154" i="26" l="1"/>
  <c r="H154" i="26"/>
  <c r="E155" i="26"/>
  <c r="E156" i="26" s="1"/>
  <c r="B155" i="26"/>
  <c r="J154" i="21"/>
  <c r="I66" i="38"/>
  <c r="H72" i="22"/>
  <c r="I72" i="22" s="1"/>
  <c r="H74" i="21"/>
  <c r="G73" i="21"/>
  <c r="G74" i="21" s="1"/>
  <c r="F69" i="35"/>
  <c r="H69" i="35" s="1"/>
  <c r="B69" i="35"/>
  <c r="F70" i="29"/>
  <c r="B72" i="26"/>
  <c r="F72" i="26"/>
  <c r="G72" i="26" s="1"/>
  <c r="B67" i="38"/>
  <c r="F67" i="38"/>
  <c r="B73" i="27"/>
  <c r="F73" i="27"/>
  <c r="H73" i="27" s="1"/>
  <c r="B68" i="37"/>
  <c r="F68" i="37"/>
  <c r="G68" i="37" s="1"/>
  <c r="F69" i="31"/>
  <c r="H69" i="31" s="1"/>
  <c r="B69" i="31"/>
  <c r="I70" i="25"/>
  <c r="B73" i="23"/>
  <c r="B69" i="34"/>
  <c r="F69" i="34"/>
  <c r="H69" i="34" s="1"/>
  <c r="D73" i="22"/>
  <c r="H151" i="35"/>
  <c r="I151" i="35"/>
  <c r="F71" i="13"/>
  <c r="H71" i="13" s="1"/>
  <c r="B71" i="13"/>
  <c r="E73" i="23"/>
  <c r="E74" i="23" s="1"/>
  <c r="B73" i="28"/>
  <c r="F73" i="28"/>
  <c r="H73" i="28" s="1"/>
  <c r="E152" i="35"/>
  <c r="F152" i="35" s="1"/>
  <c r="B152" i="35"/>
  <c r="F71" i="25"/>
  <c r="H71" i="25" s="1"/>
  <c r="B71" i="25"/>
  <c r="I150" i="37"/>
  <c r="H150" i="37"/>
  <c r="E151" i="37"/>
  <c r="F151" i="37" s="1"/>
  <c r="B151" i="37"/>
  <c r="H151" i="31"/>
  <c r="I151" i="31"/>
  <c r="J151" i="31" s="1"/>
  <c r="B152" i="31"/>
  <c r="F152" i="31"/>
  <c r="J154" i="24"/>
  <c r="J154" i="27"/>
  <c r="G152" i="13"/>
  <c r="D153" i="13"/>
  <c r="E153" i="13" s="1"/>
  <c r="G151" i="34"/>
  <c r="D152" i="34"/>
  <c r="H155" i="25"/>
  <c r="H156" i="25" s="1"/>
  <c r="I155" i="25"/>
  <c r="I156" i="25" s="1"/>
  <c r="H155" i="27"/>
  <c r="H156" i="27" s="1"/>
  <c r="I155" i="27"/>
  <c r="G151" i="38"/>
  <c r="D152" i="38"/>
  <c r="E152" i="38" s="1"/>
  <c r="H155" i="21"/>
  <c r="H156" i="21" s="1"/>
  <c r="I155" i="21"/>
  <c r="I155" i="24"/>
  <c r="H155" i="24"/>
  <c r="H156" i="24" s="1"/>
  <c r="H154" i="22"/>
  <c r="I154" i="22"/>
  <c r="B152" i="20"/>
  <c r="F155" i="22"/>
  <c r="G155" i="22" s="1"/>
  <c r="B155" i="22"/>
  <c r="E152" i="20"/>
  <c r="F152" i="20" s="1"/>
  <c r="H151" i="20"/>
  <c r="I151" i="20"/>
  <c r="G69" i="31" l="1"/>
  <c r="I69" i="31" s="1"/>
  <c r="F155" i="26"/>
  <c r="G155" i="26" s="1"/>
  <c r="J154" i="26"/>
  <c r="J154" i="22"/>
  <c r="G71" i="13"/>
  <c r="I71" i="13" s="1"/>
  <c r="G69" i="34"/>
  <c r="I69" i="34" s="1"/>
  <c r="H68" i="37"/>
  <c r="I68" i="37" s="1"/>
  <c r="G73" i="28"/>
  <c r="G74" i="28" s="1"/>
  <c r="H74" i="27"/>
  <c r="H74" i="28"/>
  <c r="D68" i="38"/>
  <c r="E68" i="38" s="1"/>
  <c r="G152" i="35"/>
  <c r="D153" i="35"/>
  <c r="D72" i="13"/>
  <c r="D70" i="34"/>
  <c r="E70" i="34" s="1"/>
  <c r="G73" i="27"/>
  <c r="G74" i="27" s="1"/>
  <c r="D73" i="26"/>
  <c r="E73" i="26" s="1"/>
  <c r="E74" i="26" s="1"/>
  <c r="D70" i="35"/>
  <c r="E70" i="35" s="1"/>
  <c r="G69" i="35"/>
  <c r="I69" i="35" s="1"/>
  <c r="B73" i="22"/>
  <c r="D71" i="29"/>
  <c r="E71" i="29" s="1"/>
  <c r="D70" i="31"/>
  <c r="E70" i="31" s="1"/>
  <c r="H72" i="26"/>
  <c r="I72" i="26" s="1"/>
  <c r="D69" i="37"/>
  <c r="H67" i="38"/>
  <c r="H70" i="29"/>
  <c r="D72" i="25"/>
  <c r="E72" i="25" s="1"/>
  <c r="G71" i="25"/>
  <c r="I71" i="25" s="1"/>
  <c r="E73" i="22"/>
  <c r="E74" i="22" s="1"/>
  <c r="F73" i="23"/>
  <c r="G67" i="38"/>
  <c r="G70" i="29"/>
  <c r="I73" i="21"/>
  <c r="I74" i="21" s="1"/>
  <c r="G151" i="37"/>
  <c r="D152" i="37"/>
  <c r="D153" i="31"/>
  <c r="B153" i="31" s="1"/>
  <c r="G152" i="31"/>
  <c r="B152" i="34"/>
  <c r="J155" i="21"/>
  <c r="J156" i="21" s="1"/>
  <c r="I156" i="21"/>
  <c r="J155" i="27"/>
  <c r="J156" i="27" s="1"/>
  <c r="I156" i="27"/>
  <c r="I151" i="34"/>
  <c r="H151" i="34"/>
  <c r="J155" i="24"/>
  <c r="J156" i="24" s="1"/>
  <c r="I156" i="24"/>
  <c r="B152" i="38"/>
  <c r="F152" i="38"/>
  <c r="H151" i="38"/>
  <c r="I151" i="38"/>
  <c r="B153" i="13"/>
  <c r="F153" i="13"/>
  <c r="E152" i="34"/>
  <c r="F152" i="34" s="1"/>
  <c r="H152" i="13"/>
  <c r="I152" i="13"/>
  <c r="G152" i="20"/>
  <c r="D153" i="20"/>
  <c r="I155" i="22"/>
  <c r="H155" i="22"/>
  <c r="H156" i="22" s="1"/>
  <c r="J151" i="20"/>
  <c r="I73" i="28" l="1"/>
  <c r="I74" i="28" s="1"/>
  <c r="H155" i="26"/>
  <c r="H156" i="26" s="1"/>
  <c r="I155" i="26"/>
  <c r="E153" i="31"/>
  <c r="F153" i="31" s="1"/>
  <c r="G153" i="31" s="1"/>
  <c r="I153" i="31" s="1"/>
  <c r="I70" i="29"/>
  <c r="B70" i="34"/>
  <c r="F70" i="34"/>
  <c r="F68" i="38"/>
  <c r="G68" i="38" s="1"/>
  <c r="B68" i="38"/>
  <c r="B69" i="37"/>
  <c r="B70" i="31"/>
  <c r="F70" i="31"/>
  <c r="H70" i="31" s="1"/>
  <c r="B72" i="25"/>
  <c r="F72" i="25"/>
  <c r="H72" i="25" s="1"/>
  <c r="E72" i="13"/>
  <c r="F72" i="13" s="1"/>
  <c r="F71" i="29"/>
  <c r="H71" i="29" s="1"/>
  <c r="B70" i="35"/>
  <c r="F70" i="35"/>
  <c r="G73" i="23"/>
  <c r="G74" i="23" s="1"/>
  <c r="H73" i="23"/>
  <c r="I152" i="35"/>
  <c r="H152" i="35"/>
  <c r="I67" i="38"/>
  <c r="F73" i="22"/>
  <c r="E69" i="37"/>
  <c r="F69" i="37" s="1"/>
  <c r="B73" i="26"/>
  <c r="F73" i="26"/>
  <c r="H73" i="26" s="1"/>
  <c r="E153" i="35"/>
  <c r="F153" i="35" s="1"/>
  <c r="B153" i="35"/>
  <c r="I73" i="27"/>
  <c r="I74" i="27" s="1"/>
  <c r="E152" i="37"/>
  <c r="F152" i="37" s="1"/>
  <c r="B152" i="37"/>
  <c r="H151" i="37"/>
  <c r="I151" i="37"/>
  <c r="I152" i="31"/>
  <c r="H152" i="31"/>
  <c r="G152" i="34"/>
  <c r="D153" i="34"/>
  <c r="E153" i="34" s="1"/>
  <c r="D154" i="13"/>
  <c r="E154" i="13" s="1"/>
  <c r="G153" i="13"/>
  <c r="G152" i="38"/>
  <c r="D153" i="38"/>
  <c r="E153" i="38" s="1"/>
  <c r="J155" i="22"/>
  <c r="J156" i="22" s="1"/>
  <c r="I156" i="22"/>
  <c r="H152" i="20"/>
  <c r="I152" i="20"/>
  <c r="B153" i="20"/>
  <c r="E153" i="20"/>
  <c r="F153" i="20" s="1"/>
  <c r="G73" i="26" l="1"/>
  <c r="G74" i="26" s="1"/>
  <c r="H153" i="31"/>
  <c r="J153" i="31" s="1"/>
  <c r="D154" i="31"/>
  <c r="E154" i="31" s="1"/>
  <c r="I156" i="26"/>
  <c r="J155" i="26"/>
  <c r="J156" i="26" s="1"/>
  <c r="G71" i="29"/>
  <c r="I71" i="29" s="1"/>
  <c r="H68" i="38"/>
  <c r="I68" i="38" s="1"/>
  <c r="D73" i="13"/>
  <c r="G72" i="13"/>
  <c r="H72" i="13"/>
  <c r="D70" i="37"/>
  <c r="E70" i="37" s="1"/>
  <c r="H69" i="37"/>
  <c r="G69" i="37"/>
  <c r="D71" i="31"/>
  <c r="E71" i="31" s="1"/>
  <c r="D71" i="35"/>
  <c r="E71" i="35" s="1"/>
  <c r="D73" i="25"/>
  <c r="E73" i="25" s="1"/>
  <c r="E74" i="25" s="1"/>
  <c r="H73" i="22"/>
  <c r="G73" i="22"/>
  <c r="G74" i="22" s="1"/>
  <c r="H70" i="35"/>
  <c r="G72" i="25"/>
  <c r="I72" i="25" s="1"/>
  <c r="G70" i="31"/>
  <c r="I70" i="31" s="1"/>
  <c r="D69" i="38"/>
  <c r="E69" i="38" s="1"/>
  <c r="G70" i="35"/>
  <c r="D71" i="34"/>
  <c r="E71" i="34" s="1"/>
  <c r="H74" i="26"/>
  <c r="H70" i="34"/>
  <c r="D154" i="35"/>
  <c r="G153" i="35"/>
  <c r="D72" i="29"/>
  <c r="E72" i="29" s="1"/>
  <c r="G70" i="34"/>
  <c r="I73" i="23"/>
  <c r="I74" i="23" s="1"/>
  <c r="H74" i="23"/>
  <c r="G152" i="37"/>
  <c r="D153" i="37"/>
  <c r="J152" i="31"/>
  <c r="H152" i="38"/>
  <c r="I152" i="38"/>
  <c r="H153" i="13"/>
  <c r="I153" i="13"/>
  <c r="B154" i="13"/>
  <c r="F154" i="13"/>
  <c r="J152" i="20"/>
  <c r="F153" i="34"/>
  <c r="B153" i="34"/>
  <c r="F153" i="38"/>
  <c r="B153" i="38"/>
  <c r="H152" i="34"/>
  <c r="I152" i="34"/>
  <c r="D154" i="20"/>
  <c r="G153" i="20"/>
  <c r="I73" i="26" l="1"/>
  <c r="I74" i="26" s="1"/>
  <c r="B154" i="31"/>
  <c r="F154" i="31"/>
  <c r="G154" i="31" s="1"/>
  <c r="H154" i="31" s="1"/>
  <c r="I70" i="34"/>
  <c r="I70" i="35"/>
  <c r="I72" i="13"/>
  <c r="F69" i="38"/>
  <c r="G69" i="38" s="1"/>
  <c r="B69" i="38"/>
  <c r="F73" i="25"/>
  <c r="G73" i="25" s="1"/>
  <c r="G74" i="25" s="1"/>
  <c r="B73" i="25"/>
  <c r="I69" i="37"/>
  <c r="B70" i="37"/>
  <c r="F70" i="37"/>
  <c r="G70" i="37" s="1"/>
  <c r="B71" i="35"/>
  <c r="F71" i="35"/>
  <c r="H71" i="35" s="1"/>
  <c r="F72" i="29"/>
  <c r="B71" i="34"/>
  <c r="F71" i="34"/>
  <c r="H71" i="34" s="1"/>
  <c r="I153" i="35"/>
  <c r="H153" i="35"/>
  <c r="I73" i="22"/>
  <c r="I74" i="22" s="1"/>
  <c r="H74" i="22"/>
  <c r="F71" i="31"/>
  <c r="G71" i="31" s="1"/>
  <c r="B71" i="31"/>
  <c r="B73" i="13"/>
  <c r="E154" i="35"/>
  <c r="F154" i="35" s="1"/>
  <c r="B154" i="35"/>
  <c r="E73" i="13"/>
  <c r="E74" i="13" s="1"/>
  <c r="E153" i="37"/>
  <c r="F153" i="37" s="1"/>
  <c r="B153" i="37"/>
  <c r="H152" i="37"/>
  <c r="I152" i="37"/>
  <c r="G153" i="38"/>
  <c r="D154" i="38"/>
  <c r="E154" i="38" s="1"/>
  <c r="D155" i="13"/>
  <c r="G154" i="13"/>
  <c r="D154" i="34"/>
  <c r="E154" i="34" s="1"/>
  <c r="G153" i="34"/>
  <c r="B154" i="20"/>
  <c r="H153" i="20"/>
  <c r="I153" i="20"/>
  <c r="E154" i="20"/>
  <c r="F154" i="20" s="1"/>
  <c r="I154" i="31" l="1"/>
  <c r="J154" i="31" s="1"/>
  <c r="D155" i="31"/>
  <c r="E155" i="31" s="1"/>
  <c r="E156" i="31" s="1"/>
  <c r="H71" i="31"/>
  <c r="I71" i="31" s="1"/>
  <c r="G71" i="34"/>
  <c r="I71" i="34" s="1"/>
  <c r="D72" i="35"/>
  <c r="E72" i="35" s="1"/>
  <c r="D72" i="34"/>
  <c r="E72" i="34" s="1"/>
  <c r="H73" i="25"/>
  <c r="D72" i="31"/>
  <c r="E72" i="31" s="1"/>
  <c r="D73" i="29"/>
  <c r="E73" i="29" s="1"/>
  <c r="E74" i="29" s="1"/>
  <c r="D71" i="37"/>
  <c r="E71" i="37" s="1"/>
  <c r="G72" i="29"/>
  <c r="H70" i="37"/>
  <c r="I70" i="37" s="1"/>
  <c r="D155" i="35"/>
  <c r="G154" i="35"/>
  <c r="F73" i="13"/>
  <c r="H72" i="29"/>
  <c r="D70" i="38"/>
  <c r="E70" i="38" s="1"/>
  <c r="G71" i="35"/>
  <c r="I71" i="35" s="1"/>
  <c r="H69" i="38"/>
  <c r="I69" i="38" s="1"/>
  <c r="G153" i="37"/>
  <c r="D154" i="37"/>
  <c r="B154" i="37" s="1"/>
  <c r="B155" i="13"/>
  <c r="H154" i="13"/>
  <c r="I154" i="13"/>
  <c r="H153" i="34"/>
  <c r="I153" i="34"/>
  <c r="F154" i="38"/>
  <c r="B154" i="38"/>
  <c r="B154" i="34"/>
  <c r="F154" i="34"/>
  <c r="H153" i="38"/>
  <c r="I153" i="38"/>
  <c r="J153" i="20"/>
  <c r="E155" i="13"/>
  <c r="E156" i="13" s="1"/>
  <c r="D155" i="20"/>
  <c r="E155" i="20" s="1"/>
  <c r="E156" i="20" s="1"/>
  <c r="G154" i="20"/>
  <c r="F155" i="31" l="1"/>
  <c r="G155" i="31" s="1"/>
  <c r="B155" i="31"/>
  <c r="E154" i="37"/>
  <c r="F154" i="37" s="1"/>
  <c r="I73" i="25"/>
  <c r="I74" i="25" s="1"/>
  <c r="H74" i="25"/>
  <c r="F72" i="34"/>
  <c r="G72" i="34" s="1"/>
  <c r="B70" i="38"/>
  <c r="F70" i="38"/>
  <c r="F71" i="37"/>
  <c r="G71" i="37" s="1"/>
  <c r="B71" i="37"/>
  <c r="I72" i="29"/>
  <c r="H73" i="13"/>
  <c r="G73" i="13"/>
  <c r="G74" i="13" s="1"/>
  <c r="F73" i="29"/>
  <c r="G73" i="29" s="1"/>
  <c r="G74" i="29" s="1"/>
  <c r="F72" i="35"/>
  <c r="H72" i="35" s="1"/>
  <c r="H154" i="35"/>
  <c r="I154" i="35"/>
  <c r="E155" i="35"/>
  <c r="E156" i="35" s="1"/>
  <c r="B155" i="35"/>
  <c r="F72" i="31"/>
  <c r="G72" i="31" s="1"/>
  <c r="B72" i="31"/>
  <c r="I153" i="37"/>
  <c r="H153" i="37"/>
  <c r="D155" i="34"/>
  <c r="E155" i="34" s="1"/>
  <c r="E156" i="34" s="1"/>
  <c r="G154" i="34"/>
  <c r="I155" i="31"/>
  <c r="H155" i="31"/>
  <c r="H156" i="31" s="1"/>
  <c r="G154" i="38"/>
  <c r="D155" i="38"/>
  <c r="E155" i="38" s="1"/>
  <c r="E156" i="38" s="1"/>
  <c r="F155" i="13"/>
  <c r="G155" i="13" s="1"/>
  <c r="I154" i="20"/>
  <c r="H154" i="20"/>
  <c r="B155" i="20"/>
  <c r="F155" i="20"/>
  <c r="G155" i="20" s="1"/>
  <c r="H72" i="34" l="1"/>
  <c r="I72" i="34" s="1"/>
  <c r="F155" i="35"/>
  <c r="G155" i="35" s="1"/>
  <c r="H155" i="35" s="1"/>
  <c r="H156" i="35" s="1"/>
  <c r="D155" i="37"/>
  <c r="G154" i="37"/>
  <c r="H72" i="31"/>
  <c r="H73" i="29"/>
  <c r="I73" i="29" s="1"/>
  <c r="I74" i="29" s="1"/>
  <c r="H71" i="37"/>
  <c r="I71" i="37" s="1"/>
  <c r="D71" i="38"/>
  <c r="E71" i="38" s="1"/>
  <c r="I72" i="31"/>
  <c r="G70" i="38"/>
  <c r="D73" i="35"/>
  <c r="E73" i="35" s="1"/>
  <c r="E74" i="35" s="1"/>
  <c r="D73" i="31"/>
  <c r="G72" i="35"/>
  <c r="I72" i="35" s="1"/>
  <c r="H74" i="29"/>
  <c r="D73" i="34"/>
  <c r="E73" i="34" s="1"/>
  <c r="E74" i="34" s="1"/>
  <c r="D72" i="37"/>
  <c r="E72" i="37" s="1"/>
  <c r="I73" i="13"/>
  <c r="I74" i="13" s="1"/>
  <c r="H74" i="13"/>
  <c r="H70" i="38"/>
  <c r="B155" i="38"/>
  <c r="F155" i="38"/>
  <c r="G155" i="38" s="1"/>
  <c r="H154" i="38"/>
  <c r="I154" i="38"/>
  <c r="J155" i="31"/>
  <c r="J156" i="31" s="1"/>
  <c r="I156" i="31"/>
  <c r="H154" i="34"/>
  <c r="I154" i="34"/>
  <c r="H155" i="13"/>
  <c r="H156" i="13" s="1"/>
  <c r="I155" i="13"/>
  <c r="I156" i="13" s="1"/>
  <c r="B155" i="34"/>
  <c r="F155" i="34"/>
  <c r="G155" i="34" s="1"/>
  <c r="H155" i="20"/>
  <c r="H156" i="20" s="1"/>
  <c r="I155" i="20"/>
  <c r="J154" i="20"/>
  <c r="I155" i="35" l="1"/>
  <c r="I156" i="35" s="1"/>
  <c r="I70" i="38"/>
  <c r="H154" i="37"/>
  <c r="I154" i="37"/>
  <c r="E155" i="37"/>
  <c r="B155" i="37"/>
  <c r="B73" i="31"/>
  <c r="F73" i="35"/>
  <c r="H73" i="35" s="1"/>
  <c r="B73" i="35"/>
  <c r="B73" i="34"/>
  <c r="F73" i="34"/>
  <c r="H73" i="34" s="1"/>
  <c r="F72" i="37"/>
  <c r="H72" i="37" s="1"/>
  <c r="F71" i="38"/>
  <c r="G71" i="38" s="1"/>
  <c r="B71" i="38"/>
  <c r="E73" i="31"/>
  <c r="E74" i="31" s="1"/>
  <c r="I155" i="34"/>
  <c r="I156" i="34" s="1"/>
  <c r="H155" i="34"/>
  <c r="H156" i="34" s="1"/>
  <c r="H155" i="38"/>
  <c r="H156" i="38" s="1"/>
  <c r="I155" i="38"/>
  <c r="I156" i="38" s="1"/>
  <c r="J155" i="20"/>
  <c r="J156" i="20" s="1"/>
  <c r="I156" i="20"/>
  <c r="G73" i="35" l="1"/>
  <c r="G74" i="35" s="1"/>
  <c r="G73" i="34"/>
  <c r="G74" i="34" s="1"/>
  <c r="E156" i="37"/>
  <c r="F155" i="37"/>
  <c r="G155" i="37" s="1"/>
  <c r="H71" i="38"/>
  <c r="H74" i="34"/>
  <c r="I73" i="35"/>
  <c r="I74" i="35" s="1"/>
  <c r="H74" i="35"/>
  <c r="D73" i="37"/>
  <c r="F73" i="31"/>
  <c r="G72" i="37"/>
  <c r="I72" i="37" s="1"/>
  <c r="I71" i="38"/>
  <c r="D72" i="38"/>
  <c r="E72" i="38" s="1"/>
  <c r="I73" i="34" l="1"/>
  <c r="I74" i="34" s="1"/>
  <c r="H155" i="37"/>
  <c r="H156" i="37" s="1"/>
  <c r="I155" i="37"/>
  <c r="I156" i="37" s="1"/>
  <c r="H73" i="31"/>
  <c r="G73" i="31"/>
  <c r="G74" i="31" s="1"/>
  <c r="B73" i="37"/>
  <c r="E73" i="37"/>
  <c r="E74" i="37" s="1"/>
  <c r="F72" i="38"/>
  <c r="G72" i="38" s="1"/>
  <c r="H72" i="38" l="1"/>
  <c r="I72" i="38" s="1"/>
  <c r="F73" i="37"/>
  <c r="D73" i="38"/>
  <c r="I73" i="31"/>
  <c r="I74" i="31" s="1"/>
  <c r="H74" i="31"/>
  <c r="B73" i="38" l="1"/>
  <c r="E73" i="38"/>
  <c r="E74" i="38" s="1"/>
  <c r="G73" i="37"/>
  <c r="G74" i="37" s="1"/>
  <c r="H73" i="37"/>
  <c r="I73" i="37" l="1"/>
  <c r="I74" i="37" s="1"/>
  <c r="H74" i="37"/>
  <c r="F73" i="38"/>
  <c r="G73" i="38" l="1"/>
  <c r="G74" i="38" s="1"/>
  <c r="H73" i="38"/>
  <c r="I73" i="38" l="1"/>
  <c r="I74" i="38" s="1"/>
  <c r="H74" i="38"/>
  <c r="J93" i="3" l="1"/>
  <c r="M89" i="3" s="1"/>
  <c r="L87" i="3" l="1"/>
  <c r="N89" i="3"/>
  <c r="N88" i="3"/>
  <c r="M88" i="3"/>
  <c r="J93" i="38"/>
  <c r="N88" i="38" s="1"/>
  <c r="J93" i="24"/>
  <c r="J93" i="13"/>
  <c r="M19" i="2"/>
  <c r="A4" i="2"/>
  <c r="J93" i="18"/>
  <c r="J93" i="19"/>
  <c r="J93" i="23"/>
  <c r="J93" i="25"/>
  <c r="J93" i="27"/>
  <c r="J93" i="26"/>
  <c r="J93" i="28"/>
  <c r="J93" i="35"/>
  <c r="J93" i="34"/>
  <c r="J93" i="37"/>
  <c r="J93" i="20"/>
  <c r="J93" i="31"/>
  <c r="J93" i="29"/>
  <c r="J93" i="22"/>
  <c r="J93" i="21"/>
  <c r="J93" i="4"/>
  <c r="M90" i="3" l="1"/>
  <c r="L87" i="4"/>
  <c r="N89" i="4"/>
  <c r="N88" i="4"/>
  <c r="M88" i="4"/>
  <c r="M89" i="4"/>
  <c r="M88" i="31"/>
  <c r="L87" i="31"/>
  <c r="N89" i="31"/>
  <c r="N88" i="31"/>
  <c r="M89" i="31"/>
  <c r="M88" i="20"/>
  <c r="L87" i="20"/>
  <c r="N88" i="20"/>
  <c r="N89" i="20"/>
  <c r="M89" i="20"/>
  <c r="N88" i="23"/>
  <c r="N89" i="23"/>
  <c r="M88" i="23"/>
  <c r="L87" i="23"/>
  <c r="M89" i="23"/>
  <c r="N89" i="22"/>
  <c r="N88" i="22"/>
  <c r="L87" i="22"/>
  <c r="M88" i="22"/>
  <c r="M89" i="22"/>
  <c r="N88" i="26"/>
  <c r="M88" i="26"/>
  <c r="L87" i="26"/>
  <c r="N89" i="26"/>
  <c r="M89" i="26"/>
  <c r="L87" i="13"/>
  <c r="N88" i="13"/>
  <c r="M89" i="13"/>
  <c r="N89" i="13"/>
  <c r="M88" i="13"/>
  <c r="O88" i="3"/>
  <c r="M88" i="35"/>
  <c r="L87" i="35"/>
  <c r="N88" i="35"/>
  <c r="N89" i="35"/>
  <c r="M89" i="35"/>
  <c r="N88" i="21"/>
  <c r="N89" i="21"/>
  <c r="L87" i="21"/>
  <c r="M88" i="21"/>
  <c r="M89" i="21"/>
  <c r="N89" i="28"/>
  <c r="N88" i="28"/>
  <c r="L87" i="28"/>
  <c r="M88" i="28"/>
  <c r="M89" i="28"/>
  <c r="M88" i="37"/>
  <c r="L87" i="37"/>
  <c r="N89" i="37"/>
  <c r="N88" i="37"/>
  <c r="M89" i="37"/>
  <c r="M88" i="19"/>
  <c r="N88" i="19"/>
  <c r="L87" i="19"/>
  <c r="N89" i="19"/>
  <c r="M89" i="19"/>
  <c r="M88" i="29"/>
  <c r="N88" i="29"/>
  <c r="L87" i="29"/>
  <c r="N89" i="29"/>
  <c r="M89" i="29"/>
  <c r="N88" i="34"/>
  <c r="N89" i="34"/>
  <c r="L87" i="34"/>
  <c r="M88" i="34"/>
  <c r="M89" i="34"/>
  <c r="L87" i="27"/>
  <c r="M88" i="27"/>
  <c r="N89" i="27"/>
  <c r="N88" i="27"/>
  <c r="M89" i="27"/>
  <c r="L87" i="18"/>
  <c r="N89" i="18"/>
  <c r="M88" i="18"/>
  <c r="N88" i="18"/>
  <c r="M89" i="18"/>
  <c r="N88" i="24"/>
  <c r="N89" i="24"/>
  <c r="M89" i="24"/>
  <c r="L87" i="24"/>
  <c r="M88" i="24"/>
  <c r="N90" i="3"/>
  <c r="O89" i="3"/>
  <c r="O90" i="3" s="1"/>
  <c r="N88" i="25"/>
  <c r="N89" i="25"/>
  <c r="L87" i="25"/>
  <c r="M88" i="25"/>
  <c r="M89" i="25"/>
  <c r="M88" i="38"/>
  <c r="O88" i="38" s="1"/>
  <c r="M89" i="38"/>
  <c r="L87" i="38"/>
  <c r="N89" i="38"/>
  <c r="I18" i="17"/>
  <c r="M90" i="20" l="1"/>
  <c r="M90" i="23"/>
  <c r="M90" i="35"/>
  <c r="M90" i="31"/>
  <c r="M90" i="29"/>
  <c r="O17" i="2"/>
  <c r="N17" i="2"/>
  <c r="R132" i="2" s="1"/>
  <c r="M90" i="19"/>
  <c r="O88" i="35"/>
  <c r="O88" i="27"/>
  <c r="O88" i="19"/>
  <c r="M90" i="38"/>
  <c r="M90" i="34"/>
  <c r="O88" i="34"/>
  <c r="O88" i="29"/>
  <c r="M90" i="28"/>
  <c r="M90" i="37"/>
  <c r="O88" i="31"/>
  <c r="O88" i="37"/>
  <c r="O88" i="4"/>
  <c r="M90" i="22"/>
  <c r="O88" i="22"/>
  <c r="M90" i="25"/>
  <c r="M90" i="27"/>
  <c r="M90" i="26"/>
  <c r="O88" i="26"/>
  <c r="O88" i="25"/>
  <c r="M90" i="13"/>
  <c r="O88" i="20"/>
  <c r="O88" i="18"/>
  <c r="O88" i="28"/>
  <c r="O88" i="13"/>
  <c r="O89" i="25"/>
  <c r="N90" i="25"/>
  <c r="O89" i="24"/>
  <c r="N90" i="24"/>
  <c r="O89" i="28"/>
  <c r="N90" i="28"/>
  <c r="N90" i="21"/>
  <c r="O89" i="21"/>
  <c r="N90" i="23"/>
  <c r="O89" i="23"/>
  <c r="M90" i="4"/>
  <c r="N18" i="2"/>
  <c r="O88" i="24"/>
  <c r="N90" i="18"/>
  <c r="O89" i="18"/>
  <c r="N90" i="27"/>
  <c r="O89" i="27"/>
  <c r="N90" i="37"/>
  <c r="O89" i="37"/>
  <c r="M90" i="21"/>
  <c r="O88" i="21"/>
  <c r="O88" i="23"/>
  <c r="N90" i="31"/>
  <c r="O89" i="31"/>
  <c r="O89" i="38"/>
  <c r="O90" i="38" s="1"/>
  <c r="N90" i="38"/>
  <c r="M90" i="18"/>
  <c r="N90" i="29"/>
  <c r="O89" i="29"/>
  <c r="O89" i="13"/>
  <c r="N90" i="13"/>
  <c r="O18" i="2"/>
  <c r="M90" i="24"/>
  <c r="O89" i="34"/>
  <c r="O90" i="34" s="1"/>
  <c r="N90" i="34"/>
  <c r="O89" i="19"/>
  <c r="N90" i="19"/>
  <c r="N90" i="35"/>
  <c r="O89" i="35"/>
  <c r="O89" i="26"/>
  <c r="N90" i="26"/>
  <c r="N90" i="22"/>
  <c r="O89" i="22"/>
  <c r="O89" i="20"/>
  <c r="N90" i="20"/>
  <c r="O89" i="4"/>
  <c r="N90" i="4"/>
  <c r="I24" i="17"/>
  <c r="I28" i="17"/>
  <c r="I21" i="17"/>
  <c r="I30" i="17"/>
  <c r="I36" i="17"/>
  <c r="I22" i="17"/>
  <c r="I23" i="17"/>
  <c r="I34" i="17"/>
  <c r="I19" i="17"/>
  <c r="I25" i="17"/>
  <c r="I35" i="17"/>
  <c r="I31" i="17"/>
  <c r="I27" i="17"/>
  <c r="I20" i="17"/>
  <c r="I29" i="17"/>
  <c r="I33" i="17"/>
  <c r="I26" i="17"/>
  <c r="I32" i="17"/>
  <c r="O90" i="27" l="1"/>
  <c r="V22" i="17"/>
  <c r="O90" i="35"/>
  <c r="O90" i="31"/>
  <c r="O90" i="29"/>
  <c r="O90" i="4"/>
  <c r="N28" i="2"/>
  <c r="N29" i="2" s="1"/>
  <c r="O90" i="19"/>
  <c r="O90" i="22"/>
  <c r="O90" i="28"/>
  <c r="O90" i="25"/>
  <c r="O90" i="37"/>
  <c r="O90" i="20"/>
  <c r="O90" i="26"/>
  <c r="O90" i="18"/>
  <c r="O90" i="13"/>
  <c r="I39" i="17"/>
  <c r="O90" i="23"/>
  <c r="P18" i="2"/>
  <c r="R135" i="2"/>
  <c r="O19" i="2"/>
  <c r="O20" i="2" s="1"/>
  <c r="N19" i="2"/>
  <c r="N20" i="2" s="1"/>
  <c r="R134" i="2"/>
  <c r="O90" i="21"/>
  <c r="P17" i="2"/>
  <c r="R133" i="2"/>
  <c r="O90" i="24"/>
  <c r="P19" i="2" l="1"/>
  <c r="P20" i="2" s="1"/>
  <c r="F14" i="2" l="1"/>
  <c r="E19" i="2" s="1"/>
  <c r="F19" i="2" s="1"/>
  <c r="F20" i="2" s="1"/>
  <c r="E25" i="2" l="1"/>
  <c r="E26" i="2" s="1"/>
  <c r="E32" i="2"/>
  <c r="F53" i="2" l="1"/>
  <c r="E30" i="2"/>
  <c r="E33" i="2" s="1"/>
  <c r="E37" i="2" l="1"/>
  <c r="F54" i="2" s="1"/>
  <c r="F55" i="2" s="1"/>
  <c r="F62" i="2" s="1"/>
  <c r="F65" i="2" s="1"/>
  <c r="F67" i="2" s="1"/>
  <c r="F69" i="2" s="1"/>
  <c r="F70" i="2" s="1"/>
  <c r="F71" i="2" s="1"/>
  <c r="F56" i="2" s="1"/>
  <c r="F57" i="2" s="1"/>
  <c r="F76" i="2" l="1"/>
  <c r="F77" i="2" s="1"/>
  <c r="F59" i="2"/>
  <c r="F79" i="2" s="1"/>
  <c r="F80" i="2" s="1"/>
  <c r="F82" i="2" s="1"/>
  <c r="L35" i="17" l="1"/>
  <c r="V35" i="17" s="1"/>
  <c r="L18" i="17"/>
  <c r="L21" i="17"/>
  <c r="V21" i="17" s="1"/>
  <c r="L30" i="17" l="1"/>
  <c r="V30" i="17" s="1"/>
  <c r="L36" i="17"/>
  <c r="V36" i="17" s="1"/>
  <c r="L31" i="17"/>
  <c r="V31" i="17" s="1"/>
  <c r="L20" i="17"/>
  <c r="V20" i="17" s="1"/>
  <c r="L26" i="17"/>
  <c r="V26" i="17" s="1"/>
  <c r="L33" i="17"/>
  <c r="V33" i="17" s="1"/>
  <c r="L28" i="17"/>
  <c r="V28" i="17" s="1"/>
  <c r="L19" i="17"/>
  <c r="V19" i="17" s="1"/>
  <c r="L23" i="17"/>
  <c r="V23" i="17" s="1"/>
  <c r="L24" i="17"/>
  <c r="V24" i="17" s="1"/>
  <c r="L27" i="17"/>
  <c r="V27" i="17" s="1"/>
  <c r="L29" i="17"/>
  <c r="V29" i="17" s="1"/>
  <c r="L25" i="17"/>
  <c r="V25" i="17" s="1"/>
  <c r="L32" i="17"/>
  <c r="V32" i="17" s="1"/>
  <c r="L34" i="17"/>
  <c r="V34" i="17" s="1"/>
  <c r="V18" i="17"/>
  <c r="V39" i="17" l="1"/>
  <c r="Q37" i="17" s="1"/>
  <c r="R37" i="17" s="1"/>
  <c r="T37" i="17" s="1"/>
  <c r="L39" i="17"/>
  <c r="D19" i="17"/>
  <c r="D18" i="17"/>
  <c r="D28" i="17"/>
  <c r="D23" i="17"/>
  <c r="D33" i="17"/>
  <c r="D32" i="17"/>
  <c r="D35" i="17"/>
  <c r="D31" i="17"/>
  <c r="D26" i="17"/>
  <c r="D29" i="17"/>
  <c r="D27" i="17"/>
  <c r="D30" i="17"/>
  <c r="D20" i="17"/>
  <c r="D34" i="17"/>
  <c r="D21" i="17"/>
  <c r="D22" i="17"/>
  <c r="D24" i="17"/>
  <c r="D25" i="17"/>
  <c r="Q31" i="17" l="1"/>
  <c r="R31" i="17" s="1"/>
  <c r="T31" i="17" s="1"/>
  <c r="Q29" i="17"/>
  <c r="R29" i="17" s="1"/>
  <c r="T29" i="17" s="1"/>
  <c r="Q18" i="17"/>
  <c r="R18" i="17" s="1"/>
  <c r="Q21" i="17"/>
  <c r="R21" i="17" s="1"/>
  <c r="T21" i="17" s="1"/>
  <c r="Q25" i="17"/>
  <c r="R25" i="17" s="1"/>
  <c r="T25" i="17" s="1"/>
  <c r="Q28" i="17"/>
  <c r="R28" i="17" s="1"/>
  <c r="T28" i="17" s="1"/>
  <c r="Q26" i="17"/>
  <c r="R26" i="17" s="1"/>
  <c r="T26" i="17" s="1"/>
  <c r="Q36" i="17"/>
  <c r="R36" i="17" s="1"/>
  <c r="T36" i="17" s="1"/>
  <c r="Q27" i="17"/>
  <c r="R27" i="17" s="1"/>
  <c r="T27" i="17" s="1"/>
  <c r="Q22" i="17"/>
  <c r="R22" i="17" s="1"/>
  <c r="T22" i="17" s="1"/>
  <c r="Q19" i="17"/>
  <c r="R19" i="17" s="1"/>
  <c r="T19" i="17" s="1"/>
  <c r="Q24" i="17"/>
  <c r="R24" i="17" s="1"/>
  <c r="T24" i="17" s="1"/>
  <c r="Q20" i="17"/>
  <c r="R20" i="17" s="1"/>
  <c r="T20" i="17" s="1"/>
  <c r="Q34" i="17"/>
  <c r="R34" i="17" s="1"/>
  <c r="T34" i="17" s="1"/>
  <c r="Q30" i="17"/>
  <c r="R30" i="17" s="1"/>
  <c r="T30" i="17" s="1"/>
  <c r="Q33" i="17"/>
  <c r="R33" i="17" s="1"/>
  <c r="T33" i="17" s="1"/>
  <c r="Q32" i="17"/>
  <c r="R32" i="17" s="1"/>
  <c r="T32" i="17" s="1"/>
  <c r="Q35" i="17"/>
  <c r="R35" i="17" s="1"/>
  <c r="T35" i="17" s="1"/>
  <c r="Q23" i="17"/>
  <c r="R23" i="17" s="1"/>
  <c r="T23" i="17" s="1"/>
  <c r="T18" i="17" l="1"/>
  <c r="T39" i="17" s="1"/>
  <c r="R39" i="17"/>
</calcChain>
</file>

<file path=xl/comments1.xml><?xml version="1.0" encoding="utf-8"?>
<comments xmlns="http://schemas.openxmlformats.org/spreadsheetml/2006/main">
  <authors>
    <author>R.Pennybaker</author>
    <author>AEP</author>
  </authors>
  <commentList>
    <comment ref="C16" authorId="0" shapeId="0">
      <text>
        <r>
          <rPr>
            <b/>
            <sz val="8"/>
            <color indexed="81"/>
            <rFont val="Tahoma"/>
            <family val="2"/>
          </rPr>
          <t>R.Pennybaker:</t>
        </r>
        <r>
          <rPr>
            <sz val="8"/>
            <color indexed="81"/>
            <rFont val="Tahoma"/>
            <family val="2"/>
          </rPr>
          <t xml:space="preserve">
Project Descriptions are in cell [P.xxx]!$D$7]</t>
        </r>
      </text>
    </comment>
    <comment ref="D16" authorId="0" shapeId="0">
      <text>
        <r>
          <rPr>
            <b/>
            <sz val="8"/>
            <color indexed="81"/>
            <rFont val="Tahoma"/>
            <family val="2"/>
          </rPr>
          <t>R.Pennybaker:</t>
        </r>
        <r>
          <rPr>
            <sz val="8"/>
            <color indexed="81"/>
            <rFont val="Tahoma"/>
            <family val="2"/>
          </rPr>
          <t xml:space="preserve">
Year In Service is in cell [P.xxx]!$D$11]</t>
        </r>
      </text>
    </comment>
    <comment ref="E16" authorId="0" shapeId="0">
      <text>
        <r>
          <rPr>
            <b/>
            <sz val="8"/>
            <color indexed="81"/>
            <rFont val="Tahoma"/>
            <family val="2"/>
          </rPr>
          <t>R.Pennybaker:</t>
        </r>
        <r>
          <rPr>
            <sz val="8"/>
            <color indexed="81"/>
            <rFont val="Tahoma"/>
            <family val="2"/>
          </rPr>
          <t xml:space="preserve">
Projected Base ARR is in cell [P.xxx]!$N$5]</t>
        </r>
      </text>
    </comment>
    <comment ref="F16" authorId="0" shapeId="0">
      <text>
        <r>
          <rPr>
            <b/>
            <sz val="8"/>
            <color indexed="81"/>
            <rFont val="Tahoma"/>
            <family val="2"/>
          </rPr>
          <t>R.Pennybaker:</t>
        </r>
        <r>
          <rPr>
            <sz val="8"/>
            <color indexed="81"/>
            <rFont val="Tahoma"/>
            <family val="2"/>
          </rPr>
          <t xml:space="preserve">
Projected Incentive ARR is in WS-F cell N7.</t>
        </r>
      </text>
    </comment>
    <comment ref="I16" authorId="1" shapeId="0">
      <text>
        <r>
          <rPr>
            <b/>
            <sz val="8"/>
            <color indexed="81"/>
            <rFont val="Tahoma"/>
            <family val="2"/>
          </rPr>
          <t>AEP:</t>
        </r>
        <r>
          <rPr>
            <sz val="8"/>
            <color indexed="81"/>
            <rFont val="Tahoma"/>
            <family val="2"/>
          </rPr>
          <t xml:space="preserve">
"TRUE-UP Adjustment (i.e., Forecast Error) is from WS-G sheet [P.00x] in cell M89.</t>
        </r>
      </text>
    </comment>
    <comment ref="J16" authorId="1" shapeId="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 by Project</t>
        </r>
        <r>
          <rPr>
            <sz val="8"/>
            <color indexed="81"/>
            <rFont val="Tahoma"/>
            <family val="2"/>
          </rPr>
          <t>" sheet.</t>
        </r>
      </text>
    </comment>
    <comment ref="K16" authorId="0" shapeId="0">
      <text>
        <r>
          <rPr>
            <b/>
            <sz val="8"/>
            <color indexed="81"/>
            <rFont val="Tahoma"/>
            <family val="2"/>
          </rPr>
          <t>MW:</t>
        </r>
        <r>
          <rPr>
            <sz val="8"/>
            <color indexed="81"/>
            <rFont val="Tahoma"/>
            <family val="2"/>
          </rPr>
          <t xml:space="preserve">
These values reflect what AEP booked for the calendar year 2012 for base plan revenues received from SPP.</t>
        </r>
      </text>
    </comment>
    <comment ref="L16" authorId="0" shapeId="0">
      <text>
        <r>
          <rPr>
            <b/>
            <sz val="8"/>
            <color indexed="81"/>
            <rFont val="Tahoma"/>
            <family val="2"/>
          </rPr>
          <t>R.Pennybaker:</t>
        </r>
        <r>
          <rPr>
            <sz val="8"/>
            <color indexed="81"/>
            <rFont val="Tahoma"/>
            <family val="2"/>
          </rPr>
          <t xml:space="preserve">
This can also be referred to as the Billing Error.</t>
        </r>
      </text>
    </comment>
    <comment ref="N16" authorId="1" shapeId="0">
      <text>
        <r>
          <rPr>
            <b/>
            <sz val="8"/>
            <color indexed="81"/>
            <rFont val="Tahoma"/>
            <family val="2"/>
          </rPr>
          <t>AEP:</t>
        </r>
        <r>
          <rPr>
            <sz val="8"/>
            <color indexed="81"/>
            <rFont val="Tahoma"/>
            <family val="2"/>
          </rPr>
          <t xml:space="preserve">
This is "Prior Year True-Up (WS-G)"; and "Incentive Amounts" O88</t>
        </r>
      </text>
    </comment>
    <comment ref="O16" authorId="1" shapeId="0">
      <text>
        <r>
          <rPr>
            <b/>
            <sz val="8"/>
            <color indexed="81"/>
            <rFont val="Tahoma"/>
            <family val="2"/>
          </rPr>
          <t>AEP:</t>
        </r>
        <r>
          <rPr>
            <sz val="8"/>
            <color indexed="81"/>
            <rFont val="Tahoma"/>
            <family val="2"/>
          </rPr>
          <t xml:space="preserve">
Prior Year Projected (WS-F) and Incentive Amounts [cell O87]</t>
        </r>
      </text>
    </comment>
    <comment ref="C21" authorId="1" shapeId="0">
      <text>
        <r>
          <rPr>
            <b/>
            <sz val="9"/>
            <color indexed="81"/>
            <rFont val="Tahoma"/>
            <family val="2"/>
          </rPr>
          <t xml:space="preserve">AEP:
</t>
        </r>
        <r>
          <rPr>
            <sz val="9"/>
            <color indexed="81"/>
            <rFont val="Tahoma"/>
            <family val="2"/>
          </rPr>
          <t xml:space="preserve">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K39" authorId="0" shapeId="0">
      <text>
        <r>
          <rPr>
            <b/>
            <sz val="8"/>
            <color indexed="81"/>
            <rFont val="Tahoma"/>
            <family val="2"/>
          </rPr>
          <t>R.Pennybaker:</t>
        </r>
        <r>
          <rPr>
            <sz val="8"/>
            <color indexed="81"/>
            <rFont val="Tahoma"/>
            <family val="2"/>
          </rPr>
          <t xml:space="preserve">
This value ties to interest worksheet.  </t>
        </r>
      </text>
    </comment>
  </commentList>
</comments>
</file>

<file path=xl/comments2.xml><?xml version="1.0" encoding="utf-8"?>
<comments xmlns="http://schemas.openxmlformats.org/spreadsheetml/2006/main">
  <authors>
    <author>R.Pennybaker</author>
  </authors>
  <commentList>
    <comment ref="L19" authorId="0" shapeId="0">
      <text>
        <r>
          <rPr>
            <b/>
            <sz val="8"/>
            <color indexed="81"/>
            <rFont val="Tahoma"/>
            <family val="2"/>
          </rPr>
          <t>R.Pennybaker:</t>
        </r>
        <r>
          <rPr>
            <sz val="8"/>
            <color indexed="81"/>
            <rFont val="Tahoma"/>
            <family val="2"/>
          </rPr>
          <t xml:space="preserve">
This value comes from Formula Template file via data INPUT table below.  Then, it supuplies the project year value to the P.xxx sheets.</t>
        </r>
      </text>
    </comment>
  </commentList>
</comments>
</file>

<file path=xl/comments3.xml><?xml version="1.0" encoding="utf-8"?>
<comments xmlns="http://schemas.openxmlformats.org/spreadsheetml/2006/main">
  <authors>
    <author>R.Pennybaker</author>
  </authors>
  <commentList>
    <comment ref="M16" authorId="0" shapeId="0">
      <text>
        <r>
          <rPr>
            <b/>
            <sz val="8"/>
            <color indexed="81"/>
            <rFont val="Tahoma"/>
            <family val="2"/>
          </rPr>
          <t>R.Pennybaker:</t>
        </r>
        <r>
          <rPr>
            <sz val="8"/>
            <color indexed="81"/>
            <rFont val="Tahoma"/>
            <family val="2"/>
          </rPr>
          <t xml:space="preserve">
This cell comes from Formula Template file.  Then, it drives all the P.xxx sheets.</t>
        </r>
      </text>
    </comment>
  </commentList>
</comments>
</file>

<file path=xl/comments4.xml><?xml version="1.0" encoding="utf-8"?>
<comments xmlns="http://schemas.openxmlformats.org/spreadsheetml/2006/main">
  <authors>
    <author>AEP</author>
  </authors>
  <commentList>
    <comment ref="D10" authorId="0" shapeId="0">
      <text>
        <r>
          <rPr>
            <b/>
            <sz val="9"/>
            <color indexed="81"/>
            <rFont val="Tahoma"/>
            <family val="2"/>
          </rPr>
          <t>AEP:</t>
        </r>
        <r>
          <rPr>
            <sz val="9"/>
            <color indexed="81"/>
            <rFont val="Tahoma"/>
            <family val="2"/>
          </rPr>
          <t xml:space="preserve">
Per SPP NTC, Investment (EOY) is input as 94% of actual total investment provided by Planning.</t>
        </r>
      </text>
    </comment>
  </commentList>
</comments>
</file>

<file path=xl/sharedStrings.xml><?xml version="1.0" encoding="utf-8"?>
<sst xmlns="http://schemas.openxmlformats.org/spreadsheetml/2006/main" count="2747" uniqueCount="316">
  <si>
    <t>I.</t>
  </si>
  <si>
    <t xml:space="preserve">   Project ROE Incentive Adder (Enter as whole number)</t>
  </si>
  <si>
    <t>&lt;==Incentive ROE  Cannot Exceed 12.45%</t>
  </si>
  <si>
    <t xml:space="preserve">   Determine R  ( cost of long term debt, cost of preferred stock and percent is from Attachment H, lns 158 through160)</t>
  </si>
  <si>
    <t>SUMMARY OF PROJECTED ANNUAL BASE PLAN AND  NON-BASE PLAN REVENUE REQUIREMENTS</t>
  </si>
  <si>
    <t>%</t>
  </si>
  <si>
    <t>Cost</t>
  </si>
  <si>
    <t>Weighted cost</t>
  </si>
  <si>
    <t>Long Term Debt</t>
  </si>
  <si>
    <t>Rev Require</t>
  </si>
  <si>
    <t xml:space="preserve"> W Incentives</t>
  </si>
  <si>
    <t>Incentive Amounts</t>
  </si>
  <si>
    <t>Preferred Stock</t>
  </si>
  <si>
    <t>Common Stock</t>
  </si>
  <si>
    <t>PROJECTED YEAR</t>
  </si>
  <si>
    <t>R =</t>
  </si>
  <si>
    <r>
      <t xml:space="preserve">Note:  </t>
    </r>
    <r>
      <rPr>
        <sz val="10"/>
        <rFont val="Arial"/>
        <family val="2"/>
      </rPr>
      <t xml:space="preserve">Review formulas in summary to ensure the proper year's revenue requirement is being </t>
    </r>
  </si>
  <si>
    <t>accumulated for each project from the tables below.</t>
  </si>
  <si>
    <t xml:space="preserve">   R   (fom A. above)</t>
  </si>
  <si>
    <t xml:space="preserve">   Return (Rate Base  x  R)</t>
  </si>
  <si>
    <t xml:space="preserve">   Return   (from B. above)</t>
  </si>
  <si>
    <t xml:space="preserve">   EIT=(T/(1-T)) * (1-(WCLTD/WACC)) =</t>
  </si>
  <si>
    <t xml:space="preserve">   Income Tax Calculation  (Return  x  EIT)</t>
  </si>
  <si>
    <t xml:space="preserve">   Income Taxes</t>
  </si>
  <si>
    <t>II.</t>
  </si>
  <si>
    <t xml:space="preserve">   Net Revenue Requirement, Less Return and Taxes</t>
  </si>
  <si>
    <t xml:space="preserve">   Income Taxes  (from I.C. above)</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</si>
  <si>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</si>
  <si>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</si>
  <si>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</si>
  <si>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</si>
  <si>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</si>
  <si>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</si>
  <si>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</si>
  <si>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</si>
  <si>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III.</t>
  </si>
  <si>
    <t>Calculation of Composite Depreciation Rate</t>
  </si>
  <si>
    <t>Transmission Plant @ Beginning of Period (P.206, ln 58)</t>
  </si>
  <si>
    <t>Transmission Plant @ End of Period (P.207, ln 58)</t>
  </si>
  <si>
    <t>Composite Depreciation Rate</t>
  </si>
  <si>
    <t>Depreciable Life for Composite Depreciation Rate</t>
  </si>
  <si>
    <t>Round to nearest whole year</t>
  </si>
  <si>
    <t>IV.</t>
  </si>
  <si>
    <t>Determine the Revenue Requirement &amp; Additional Revenue Requirement for facilities receiving incentives.</t>
  </si>
  <si>
    <t>A.   Facilities receiving incentives accepted by FERC in Docket No.</t>
  </si>
  <si>
    <t xml:space="preserve">   (e.g. ER05-925-000)</t>
  </si>
  <si>
    <t xml:space="preserve">Project Description: </t>
  </si>
  <si>
    <t>Current Projected Year Incentive ARR</t>
  </si>
  <si>
    <t>DETAILS</t>
  </si>
  <si>
    <t>Investment</t>
  </si>
  <si>
    <t>Current Year</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</si>
  <si>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</si>
  <si>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</si>
  <si>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</si>
  <si>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</si>
  <si>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</si>
  <si>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</si>
  <si>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</si>
  <si>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</si>
  <si>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</si>
  <si>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</si>
  <si>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No</t>
  </si>
  <si>
    <t>Annual Depreciation Expense</t>
  </si>
  <si>
    <t>Depreciation</t>
  </si>
  <si>
    <t>Ending</t>
  </si>
  <si>
    <t>Additional Rev.</t>
  </si>
  <si>
    <t>Project Rev Req't True-up</t>
  </si>
  <si>
    <t>True-up of Incentive</t>
  </si>
  <si>
    <t>Year</t>
  </si>
  <si>
    <t>Balance</t>
  </si>
  <si>
    <t>Expense</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</si>
  <si>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</si>
  <si>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</si>
  <si>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</si>
  <si>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</si>
  <si>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</si>
  <si>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</si>
  <si>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</si>
  <si>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TP2004033</t>
  </si>
  <si>
    <t>SUMMARY OF TRUED-UP ANNUAL REVENUE REQUIREMENTS FOR SPP BPU &amp; NON-BPU PROJECTS</t>
  </si>
  <si>
    <t>TRUE-UP YEAR</t>
  </si>
  <si>
    <t>Determine the Revenue Requirement, and Additional Revenue Requirement for facilities receiving incentives.</t>
  </si>
  <si>
    <t>Project Description:</t>
  </si>
  <si>
    <t>Details</t>
  </si>
  <si>
    <t>True-Up Year</t>
  </si>
  <si>
    <t>CUMMULATIVE HISTORY OF TRUED-UP ANNUAL REVENUE REQUIREMENTS:</t>
  </si>
  <si>
    <t xml:space="preserve">          TEMPLATE BELOW TO MAINTAIN HISTORY OF TRUED-UP ARRS OVER THE </t>
  </si>
  <si>
    <t>Average</t>
  </si>
  <si>
    <t>Incentive Rev.</t>
  </si>
  <si>
    <t>BPU Rev Req't True-up</t>
  </si>
  <si>
    <r>
      <t xml:space="preserve">** </t>
    </r>
    <r>
      <rPr>
        <sz val="10"/>
        <rFont val="Arial"/>
        <family val="2"/>
      </rPr>
      <t xml:space="preserve"> This is the total amount that needs to be reported to SPP for billing to all regions. </t>
    </r>
  </si>
  <si>
    <t>BPU Rev. Req't.From Prior Year Template</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</si>
  <si>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</si>
  <si>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</si>
  <si>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</si>
  <si>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t>
    </r>
    <r>
      <rPr>
        <b/>
        <sz val="10"/>
        <rFont val="Arial"/>
        <family val="2"/>
      </rPr>
      <t xml:space="preserve"> This is the calculation of  additional incentive revenue on projects deemed by the FERC to be eligible for an incentive return.  This</t>
    </r>
  </si>
  <si>
    <r>
      <t xml:space="preserve">## </t>
    </r>
    <r>
      <rPr>
        <b/>
        <sz val="10"/>
        <color indexed="8"/>
        <rFont val="Arial"/>
        <family val="2"/>
      </rPr>
      <t>This is the calculation of  additional incentive revenue on projects deemed by the FERC to be eligible for an incentive return.  This</t>
    </r>
  </si>
  <si>
    <t>Long Term Debt %</t>
  </si>
  <si>
    <t>Long Term Debt Cost</t>
  </si>
  <si>
    <t>Preferred Stock %</t>
  </si>
  <si>
    <t>Preferred Stock Cost</t>
  </si>
  <si>
    <t>Common Stock %</t>
  </si>
  <si>
    <t>STEP 2</t>
  </si>
  <si>
    <t>STEP 3</t>
  </si>
  <si>
    <t xml:space="preserve">       Apportionment Factor to Texas (Worksheet K, ln 12)</t>
  </si>
  <si>
    <t>Black text is not used in this workbook.</t>
  </si>
  <si>
    <t>Blue text is used by this workbbok and driven by non WS-F Formula Rate template worksheets</t>
  </si>
  <si>
    <t>SEE INPUT/OUTPUT ranges to the right  ----&gt;</t>
  </si>
  <si>
    <t>SEE INPUT/OUTPUT ranges to the right  ------&gt;</t>
  </si>
  <si>
    <t xml:space="preserve">AEP West SPP Member Companies </t>
  </si>
  <si>
    <t>See INPUT/OUTPUT ranges below.</t>
  </si>
  <si>
    <t>STEP 1</t>
  </si>
  <si>
    <t>Is done first in the main Formula Rate template  Worksheet F.</t>
  </si>
  <si>
    <t>STEP 4</t>
  </si>
  <si>
    <t>Is done last in the main Formula Rate template  Worksheet F.</t>
  </si>
  <si>
    <t>Copy to main FR Template</t>
  </si>
  <si>
    <t>Project Description</t>
  </si>
  <si>
    <t>Is done first in the main Formula Rate template  Worksheet G.</t>
  </si>
  <si>
    <t>Is done last in the main Formula Rate template  Worksheet G.</t>
  </si>
  <si>
    <t>Blue text below is used by this workbbok and comes from main Formula Rate template WS-G sheet.</t>
  </si>
  <si>
    <t>As Projected in Prior Year WS F   Rev Require</t>
  </si>
  <si>
    <t>As Projected in Prior Year WS F    W Incentives</t>
  </si>
  <si>
    <t>Actual after True-up Rev Require</t>
  </si>
  <si>
    <t>Actual after True-up  W Incentives</t>
  </si>
  <si>
    <r>
      <t>Worksheet F</t>
    </r>
    <r>
      <rPr>
        <sz val="14"/>
        <rFont val="Arial"/>
        <family val="2"/>
      </rPr>
      <t xml:space="preserve"> - Calculation of PROJECTED Annual Revenue Requirement for BPU and Special-billed Projects</t>
    </r>
  </si>
  <si>
    <r>
      <t>Worksheet G</t>
    </r>
    <r>
      <rPr>
        <sz val="14"/>
        <rFont val="Arial"/>
        <family val="2"/>
      </rPr>
      <t xml:space="preserve"> - Calculation of TRUED-UP Annual Revenue Requirement for BPU and Special-billed Projects</t>
    </r>
  </si>
  <si>
    <t xml:space="preserve">Worksheet F </t>
  </si>
  <si>
    <t>&lt;----Worksheet data is for</t>
  </si>
  <si>
    <t>Worksheet F</t>
  </si>
  <si>
    <t>Worksheet G</t>
  </si>
  <si>
    <r>
      <t>##</t>
    </r>
    <r>
      <rPr>
        <sz val="10"/>
        <rFont val="Arial"/>
        <family val="2"/>
      </rPr>
      <t xml:space="preserve"> </t>
    </r>
    <r>
      <rPr>
        <b/>
        <sz val="10"/>
        <color indexed="8"/>
        <rFont val="Arial"/>
        <family val="2"/>
      </rPr>
      <t>This is the calculation of  additional incentive revenue on projects deemed by the FERC to be eligible for an incentive return.  This</t>
    </r>
  </si>
  <si>
    <t xml:space="preserve">(Worksheet F)    </t>
  </si>
  <si>
    <t xml:space="preserve">(Worksheet G)    </t>
  </si>
  <si>
    <t>basis points</t>
  </si>
  <si>
    <t>w/Incentives</t>
  </si>
  <si>
    <t xml:space="preserve">True-Up Adjustment  </t>
  </si>
  <si>
    <t>AEP Transmission Formula Rate Template</t>
  </si>
  <si>
    <t xml:space="preserve">AEP Schedule 11 Revenue Requirement Including True-Up of Prior Collections </t>
  </si>
  <si>
    <t>(A)</t>
  </si>
  <si>
    <t>(B)</t>
  </si>
  <si>
    <t>(C )</t>
  </si>
  <si>
    <t>(D)</t>
  </si>
  <si>
    <t>(E)</t>
  </si>
  <si>
    <t>(F)</t>
  </si>
  <si>
    <t>(H)</t>
  </si>
  <si>
    <t>(I)</t>
  </si>
  <si>
    <t>(M)</t>
  </si>
  <si>
    <t>Base ARR</t>
  </si>
  <si>
    <t>Owner</t>
  </si>
  <si>
    <t>Year in Service</t>
  </si>
  <si>
    <t>Incentive</t>
  </si>
  <si>
    <t>Total</t>
  </si>
  <si>
    <t>True-up</t>
  </si>
  <si>
    <t>As Billed</t>
  </si>
  <si>
    <t>Change</t>
  </si>
  <si>
    <t>Interest</t>
  </si>
  <si>
    <t>Sheet Name</t>
  </si>
  <si>
    <t>AEP TOTALS</t>
  </si>
  <si>
    <t>Indirect References</t>
  </si>
  <si>
    <r>
      <t xml:space="preserve">Calculation of Schedule </t>
    </r>
    <r>
      <rPr>
        <sz val="12"/>
        <rFont val="Arial"/>
        <family val="2"/>
      </rPr>
      <t>11 Revenue Requirements For AEP Transmission Projects</t>
    </r>
  </si>
  <si>
    <r>
      <t xml:space="preserve">   DO </t>
    </r>
    <r>
      <rPr>
        <b/>
        <sz val="10"/>
        <color indexed="10"/>
        <rFont val="Arial"/>
        <family val="2"/>
      </rPr>
      <t>NOT</t>
    </r>
    <r>
      <rPr>
        <b/>
        <sz val="10"/>
        <rFont val="Arial"/>
        <family val="2"/>
      </rPr>
      <t xml:space="preserve"> delete this row or the formulas above will not work.</t>
    </r>
  </si>
  <si>
    <t>from WS-F &amp; G</t>
  </si>
  <si>
    <t>Do NOT delete.</t>
  </si>
  <si>
    <r>
      <t xml:space="preserve">TRUE-UP Adjustment </t>
    </r>
    <r>
      <rPr>
        <sz val="10"/>
        <rFont val="Arial"/>
        <family val="2"/>
      </rPr>
      <t>(WS-G)</t>
    </r>
  </si>
  <si>
    <r>
      <t xml:space="preserve">Base ARR
</t>
    </r>
    <r>
      <rPr>
        <sz val="10"/>
        <rFont val="Arial"/>
        <family val="2"/>
      </rPr>
      <t>(WS-F)</t>
    </r>
  </si>
  <si>
    <t>COLLECTION Adjustment</t>
  </si>
  <si>
    <t>Incentive ARR</t>
  </si>
  <si>
    <t>(J)</t>
  </si>
  <si>
    <t>(L)</t>
  </si>
  <si>
    <t>(O)</t>
  </si>
  <si>
    <t>Total Adjustments before Interest</t>
  </si>
  <si>
    <t>the column above</t>
  </si>
  <si>
    <t>is used to feed interest</t>
  </si>
  <si>
    <t>calculation engine and its</t>
  </si>
  <si>
    <t>output is put into the interest</t>
  </si>
  <si>
    <t>column to left (O).</t>
  </si>
  <si>
    <t>PROJECTED Rev. Req't From Prior Year Template</t>
  </si>
  <si>
    <t>TRUE-UP Rev. Req't.From Prior Year Template</t>
  </si>
  <si>
    <t xml:space="preserve"> Worksheet G</t>
  </si>
  <si>
    <r>
      <t xml:space="preserve">As Billed
by SPP
</t>
    </r>
    <r>
      <rPr>
        <sz val="10"/>
        <rFont val="Arial"/>
        <family val="2"/>
      </rPr>
      <t>(for Prior Yr
T-Service)</t>
    </r>
  </si>
  <si>
    <t xml:space="preserve"> &lt;--- this value goes to sched 11 interest support file</t>
  </si>
  <si>
    <r>
      <t xml:space="preserve">Total Adjustments
</t>
    </r>
    <r>
      <rPr>
        <sz val="8"/>
        <rFont val="Arial"/>
        <family val="2"/>
      </rPr>
      <t>(True-Up, Billing, &amp; Interest)</t>
    </r>
  </si>
  <si>
    <t>OKT</t>
  </si>
  <si>
    <t>OKT Total</t>
  </si>
  <si>
    <t>Worksheet F --- DATA INPUT (Paste.Values) from TEMPLATE OKT WS F</t>
  </si>
  <si>
    <t>EXPORT DATA to Template OKT WS F</t>
  </si>
  <si>
    <t>DATA INPUT (Paste.Values) from main FR TEMPLATE OKT WS G</t>
  </si>
  <si>
    <t>EXPORT DATA to main FR Template OKT WS G</t>
  </si>
  <si>
    <t>OKLAHOMA TRANSMISSION COMPANY</t>
  </si>
  <si>
    <t>Worksheet F  --  OKLAHOMA TRANSMISSION COMPANY  --  Calculation of "Projected" ARR for SPP Base Plan Upgrade Projects</t>
  </si>
  <si>
    <t>Worksheet G  --  OKLAHOMA TRANSMISSION COMPANY  --  Calculation of "Trued-Up" ARR for SPP Base Plan Upgrade Projects</t>
  </si>
  <si>
    <t>Snyder 138 kV Terminal Addition</t>
  </si>
  <si>
    <t>Coffeyville T to Dearing 138 kV Rebuild - 1.1 miles</t>
  </si>
  <si>
    <t>Historic / Projected Beginning</t>
  </si>
  <si>
    <t>OKT.001</t>
  </si>
  <si>
    <t>OKT.002</t>
  </si>
  <si>
    <t>TP2009013</t>
  </si>
  <si>
    <t>TP2008013</t>
  </si>
  <si>
    <t>TP2009090</t>
  </si>
  <si>
    <t>Tulsa Power Station Reactor</t>
  </si>
  <si>
    <t>TP2008079</t>
  </si>
  <si>
    <t xml:space="preserve">Bartlesville SE to Coffeyville T Rebuild </t>
  </si>
  <si>
    <t>OKT.003</t>
  </si>
  <si>
    <t>OKT.004</t>
  </si>
  <si>
    <t>TP2007167</t>
  </si>
  <si>
    <t>TP2009095</t>
  </si>
  <si>
    <t xml:space="preserve">Canadian River - McAlester City 138 kV Line Conversion </t>
  </si>
  <si>
    <t>OKT.005</t>
  </si>
  <si>
    <t>OKT.006</t>
  </si>
  <si>
    <t>NOTE:  Project became BPU inligible (see Docket ER12-981) thus investment amout and Proj Beg Balance for 2013 forward set to $0.</t>
  </si>
  <si>
    <t>NOTE:  Project became BPU inligible (see Docket ER12-981) please see Note on Project's WS-F.  No changes made to this WS-G.</t>
  </si>
  <si>
    <t>Install 345kV terminal at Valliant***</t>
  </si>
  <si>
    <t>*&lt;$100K investment  *** Project became BPU ineligible (see Project's Notes)</t>
  </si>
  <si>
    <t>TP2011093</t>
  </si>
  <si>
    <t xml:space="preserve">Cornville Station Conversion </t>
  </si>
  <si>
    <t>Coweta 69 kV Capacitor</t>
  </si>
  <si>
    <t>OKT.007</t>
  </si>
  <si>
    <t>OKT.008</t>
  </si>
  <si>
    <t>TP2012141</t>
  </si>
  <si>
    <t>TP2010094</t>
  </si>
  <si>
    <t>Prattville-Bluebell 138 kV</t>
  </si>
  <si>
    <t>TP2013002</t>
  </si>
  <si>
    <t>Grady Customer Connection</t>
  </si>
  <si>
    <t>TP2012112</t>
  </si>
  <si>
    <t>Darlington-Red Rock 138 kV line</t>
  </si>
  <si>
    <t>OKT.009</t>
  </si>
  <si>
    <t>OKT.010</t>
  </si>
  <si>
    <t>OKT.011</t>
  </si>
  <si>
    <t>OKT.012</t>
  </si>
  <si>
    <t>Wapanucka Customer Connection</t>
  </si>
  <si>
    <t>***Sch. 11 recovery commenced in 2015 rate year***</t>
  </si>
  <si>
    <t>Ellis 138 kV</t>
  </si>
  <si>
    <t>TP2012055</t>
  </si>
  <si>
    <t>OKT.013</t>
  </si>
  <si>
    <t>Valliant-NW Texarkana 345 kV</t>
  </si>
  <si>
    <t>TP 2009089</t>
  </si>
  <si>
    <t>OKT.014</t>
  </si>
  <si>
    <t>NOTE:  Original NTC indicates only 94% to be Base Plan.</t>
  </si>
  <si>
    <t>&lt;&lt; 2016-present ARR values based on 94% actual cost.  Yrs 2011-15 ARR values based on 100% actual cost (SPP scaled ARR data) &gt;&gt;</t>
  </si>
  <si>
    <t>OKT.015</t>
  </si>
  <si>
    <t>A.   Determine Net Revenue Requirement less return and Income Taxes.</t>
  </si>
  <si>
    <t>&lt;==From Input on Worksheet A</t>
  </si>
  <si>
    <t>Current Projected Year ARR</t>
  </si>
  <si>
    <t>Current Projected Year ARR w/ Incentive</t>
  </si>
  <si>
    <t>Darlington Roman Nose 138 kv</t>
  </si>
  <si>
    <t>insert project name here</t>
  </si>
  <si>
    <t>Carnegie South-Southwestern 123 kv line rebuild</t>
  </si>
  <si>
    <t>Chisholm - Gracemont 345 kv line and station</t>
  </si>
  <si>
    <t>OKT.016</t>
  </si>
  <si>
    <t>OKT.017</t>
  </si>
  <si>
    <t>Paste in both column below - numbers and line descriptions</t>
  </si>
  <si>
    <t>Beg/Ending 
Average
Revenue</t>
  </si>
  <si>
    <t>Beg/Ending
Average
Revenue Req't.</t>
  </si>
  <si>
    <t xml:space="preserve">True Up Year Projected  (WS-F)  </t>
  </si>
  <si>
    <t xml:space="preserve">True-Up Year Actual (WS-G)  </t>
  </si>
  <si>
    <t xml:space="preserve">∑ True-Up Year Projected  (WS-F)  </t>
  </si>
  <si>
    <t xml:space="preserve">∑ True Up Year Actual  (WS-G)  </t>
  </si>
  <si>
    <t xml:space="preserve">       Taxable Percentage of Revenue (22%)</t>
  </si>
  <si>
    <t>Annual Depreciation Expense  (Historic TCOS, ln 259)</t>
  </si>
  <si>
    <t>Note 1:  Until OKLAHOMA TRANSMISSION COMPANY establishes Transmission plant in service the depreciation expense component of the carrying charge will be calculated as in the Operating Company formula approved in Docket No. ER07-1069.  The calculation for OKLAHOMA TRANSMISSION COMPANY is based on Plant Balances and Depreciation Expense for PSO and shown on lines 8 through 14 of Worksheet B.</t>
  </si>
  <si>
    <t>TP 2015027</t>
  </si>
  <si>
    <t>TP 2014207</t>
  </si>
  <si>
    <t>TP 2011150</t>
  </si>
  <si>
    <t>Duncan-Comanche Tap 69 KV Rebuild</t>
  </si>
  <si>
    <t>OKT.018</t>
  </si>
  <si>
    <t>TP 2015191</t>
  </si>
  <si>
    <t>Note - This project was expected to be completed and then sold to WFEC during 2017, but will not be sold till late 2018.</t>
  </si>
  <si>
    <t>Projected Adjusted ARR from Prior Update</t>
  </si>
  <si>
    <t>TP2015204</t>
  </si>
  <si>
    <t>Fort Towson-Valliant 69 KV Line Rebuild</t>
  </si>
  <si>
    <t xml:space="preserve">   ROE w/o incentives  (TCOS, ln 143)</t>
  </si>
  <si>
    <t xml:space="preserve">   Rate Base  (TCOS, ln 63)</t>
  </si>
  <si>
    <t xml:space="preserve">   Tax Rate  (TCOS, ln 99)</t>
  </si>
  <si>
    <t xml:space="preserve">   ITC Adjustment  (TCOS, ln 108)</t>
  </si>
  <si>
    <t xml:space="preserve">   Excess DFIT Adjustment  (TCOS, ln 109)</t>
  </si>
  <si>
    <t xml:space="preserve">   Tax Effect of Permanent and Flow Through Differences (TCOS, ln 110)</t>
  </si>
  <si>
    <t xml:space="preserve">   Net Revenue Requirement  (TCOS, ln 117)</t>
  </si>
  <si>
    <t xml:space="preserve">   Return  (TCOS, ln 112)</t>
  </si>
  <si>
    <t xml:space="preserve">   Income Taxes  (TCOS, ln 111)</t>
  </si>
  <si>
    <t xml:space="preserve">  Gross Margin Taxes  (TCOS, ln 116)</t>
  </si>
  <si>
    <t xml:space="preserve">   Less: Depreciation  (TCOS, ln 86)</t>
  </si>
  <si>
    <t xml:space="preserve">   Net Transmission Plant  (TCOS, ln 37)</t>
  </si>
  <si>
    <t xml:space="preserve">   FCR less Depreciation  (TCOS, ln 10)</t>
  </si>
  <si>
    <t>Annual Depreciation Expense  (TCOS, ln 86)</t>
  </si>
  <si>
    <t xml:space="preserve">Transmission Plant Average Balance </t>
  </si>
  <si>
    <t>Projected Year</t>
  </si>
  <si>
    <t xml:space="preserve">   Tax Effect of Permanent and Flow Through Differences  (TCOS, ln 110)</t>
  </si>
  <si>
    <t>OKT.019</t>
  </si>
  <si>
    <t xml:space="preserve"> </t>
  </si>
  <si>
    <t>Keystone Dam - Wekiwa 138 kV</t>
  </si>
  <si>
    <t>OKT.020</t>
  </si>
  <si>
    <t>TP2015027</t>
  </si>
  <si>
    <t>TP2015118</t>
  </si>
  <si>
    <t xml:space="preserve">  SPP Project ID = 30809</t>
  </si>
  <si>
    <t xml:space="preserve">  SPP Project ID = 31058</t>
  </si>
  <si>
    <t xml:space="preserve">  SPP Project ID = 31009</t>
  </si>
  <si>
    <t xml:space="preserve">  SPP Project ID = 30361</t>
  </si>
  <si>
    <t xml:space="preserve">  SPP Project ID = 30873</t>
  </si>
  <si>
    <t xml:space="preserve">  SPP Project ID = 30619</t>
  </si>
  <si>
    <t xml:space="preserve">  SPP Project ID = 936</t>
  </si>
  <si>
    <t xml:space="preserve">  SPP Project ID = 30746</t>
  </si>
  <si>
    <t xml:space="preserve">  SPP Project ID = 30770</t>
  </si>
  <si>
    <t xml:space="preserve">  SPP Project ID = 30748</t>
  </si>
  <si>
    <t xml:space="preserve">  SPP Project ID = 30750</t>
  </si>
  <si>
    <t xml:space="preserve">  SPP Project ID = 879</t>
  </si>
  <si>
    <t xml:space="preserve">  SPP Project ID = 30354</t>
  </si>
  <si>
    <t xml:space="preserve">  SPP Project ID = 30346</t>
  </si>
  <si>
    <t xml:space="preserve">  SPP Project ID = 767</t>
  </si>
  <si>
    <t xml:space="preserve">  SPP Project ID = 288</t>
  </si>
  <si>
    <t xml:space="preserve">  SPP Project ID = 446</t>
  </si>
  <si>
    <t xml:space="preserve">  SPP Project ID = 937</t>
  </si>
  <si>
    <t xml:space="preserve">  SPP Project ID = 295</t>
  </si>
  <si>
    <t xml:space="preserve">  SPP Project ID = 480</t>
  </si>
  <si>
    <t>Transmission Plant Average Balance for 2021</t>
  </si>
  <si>
    <t xml:space="preserve">   Excess DFIT Adjustment  (TCOS, ln 110)</t>
  </si>
  <si>
    <t xml:space="preserve">   Tax Effect of Permanent and Flow Through Differences (TCOS, ln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</si>
</sst>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
    <numFmt numFmtId="168" formatCode="&quot;$&quot;#,##0.00"/>
    <numFmt numFmtId="169" formatCode="_(* #,##0_);_(* \(#,##0\);_(* &quot;-&quot;??_);_(@_)"/>
    <numFmt numFmtId="170" formatCode="_(&quot;$&quot;* #,##0_);_(&quot;$&quot;* \(#,##0\);_(&quot;$&quot;* &quot;-&quot;??_);_(@_)"/>
    <numFmt numFmtId="171" formatCode="_(* #,##0.0000_);_(* \(#,##0.0000\);_(* &quot;-&quot;????_);_(@_)"/>
    <numFmt numFmtId="172" formatCode="_(* #,##0.0000_);_(* \(#,##0.0000\);_(* &quot;-&quot;_);_(@_)"/>
    <numFmt numFmtId="173" formatCode="_(* #,##0.00000_);_(* \(#,##0.00000\);_(* &quot;-&quot;??_);_(@_)"/>
    <numFmt numFmtId="174" formatCode="#\ ??/12"/>
    <numFmt numFmtId="175" formatCode="&quot;$&quot;#,##0\ ;\(&quot;$&quot;#,##0\)"/>
    <numFmt numFmtId="176" formatCode="_(* #,##0.0,_);_(* \(#,##0.0,\);_(* &quot;-   &quot;_);_(@_)"/>
    <numFmt numFmtId="177" formatCode="_(* #,##0.000000_);_(* \(#,##0.000000\);_(* &quot;-&quot;??_);_(@_)"/>
    <numFmt numFmtId="178" formatCode="_(* #,##0.000000000_);_(* \(#,##0.000000000\);_(* &quot;-&quot;_);_(@_)"/>
    <numFmt numFmtId="179" formatCode="0.0000%"/>
  </numFmts>
  <fonts count="102">
    <font>
      <sz val="10"/>
      <name val="Arial"/>
    </font>
    <font>
      <sz val="10"/>
      <name val="Arial"/>
      <family val="2"/>
    </font>
    <font>
      <sz val="11"/>
      <color indexed="8"/>
      <name val="Arial Narrow"/>
      <family val="2"/>
    </font>
    <font>
      <sz val="11"/>
      <color indexed="9"/>
      <name val="Arial Narrow"/>
      <family val="2"/>
    </font>
    <font>
      <sz val="11"/>
      <color indexed="20"/>
      <name val="Arial Narrow"/>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8"/>
      <name val="Arial"/>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sz val="12"/>
      <name val="Arial MT"/>
    </font>
    <font>
      <b/>
      <sz val="11"/>
      <color indexed="63"/>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sz val="14"/>
      <name val="Arial"/>
      <family val="2"/>
    </font>
    <font>
      <b/>
      <sz val="14"/>
      <name val="MS Serif"/>
      <family val="1"/>
    </font>
    <font>
      <u/>
      <sz val="10"/>
      <name val="Arial"/>
      <family val="2"/>
    </font>
    <font>
      <sz val="10"/>
      <name val="MS Serif"/>
      <family val="1"/>
    </font>
    <font>
      <b/>
      <sz val="16"/>
      <name val="Arial"/>
      <family val="2"/>
    </font>
    <font>
      <sz val="12"/>
      <color indexed="12"/>
      <name val="Arial"/>
      <family val="2"/>
    </font>
    <font>
      <b/>
      <sz val="10"/>
      <color indexed="12"/>
      <name val="Arial"/>
      <family val="2"/>
    </font>
    <font>
      <b/>
      <sz val="10"/>
      <color indexed="10"/>
      <name val="Arial"/>
      <family val="2"/>
    </font>
    <font>
      <sz val="10"/>
      <color indexed="12"/>
      <name val="Arial"/>
      <family val="2"/>
    </font>
    <font>
      <sz val="10"/>
      <color indexed="10"/>
      <name val="Arial"/>
      <family val="2"/>
    </font>
    <font>
      <u val="singleAccounting"/>
      <sz val="10"/>
      <name val="Arial"/>
      <family val="2"/>
    </font>
    <font>
      <sz val="12"/>
      <color indexed="10"/>
      <name val="Arial"/>
      <family val="2"/>
    </font>
    <font>
      <b/>
      <sz val="10"/>
      <color indexed="8"/>
      <name val="Arial"/>
      <family val="2"/>
    </font>
    <font>
      <sz val="8"/>
      <color indexed="81"/>
      <name val="Tahoma"/>
      <family val="2"/>
    </font>
    <font>
      <b/>
      <sz val="8"/>
      <color indexed="81"/>
      <name val="Tahoma"/>
      <family val="2"/>
    </font>
    <font>
      <b/>
      <sz val="10"/>
      <color indexed="48"/>
      <name val="Arial"/>
      <family val="2"/>
    </font>
    <font>
      <sz val="8"/>
      <name val="Arial"/>
      <family val="2"/>
    </font>
    <font>
      <b/>
      <i/>
      <sz val="8"/>
      <color indexed="10"/>
      <name val="Arial"/>
      <family val="2"/>
    </font>
    <font>
      <sz val="10"/>
      <color indexed="12"/>
      <name val="Arial"/>
      <family val="2"/>
    </font>
    <font>
      <b/>
      <u/>
      <sz val="10"/>
      <name val="Arial"/>
      <family val="2"/>
    </font>
    <font>
      <b/>
      <sz val="10"/>
      <color indexed="57"/>
      <name val="Arial"/>
      <family val="2"/>
    </font>
    <font>
      <sz val="14"/>
      <color indexed="12"/>
      <name val="Arial"/>
      <family val="2"/>
    </font>
    <font>
      <sz val="10"/>
      <color indexed="9"/>
      <name val="Arial"/>
      <family val="2"/>
    </font>
    <font>
      <sz val="12"/>
      <name val="Arial"/>
      <family val="2"/>
    </font>
    <font>
      <b/>
      <sz val="12"/>
      <color indexed="12"/>
      <name val="Arial"/>
      <family val="2"/>
    </font>
    <font>
      <sz val="10"/>
      <color indexed="13"/>
      <name val="Arial"/>
      <family val="2"/>
    </font>
    <font>
      <sz val="10"/>
      <color indexed="10"/>
      <name val="Arial"/>
      <family val="2"/>
    </font>
    <font>
      <i/>
      <sz val="8"/>
      <color indexed="81"/>
      <name val="Tahoma"/>
      <family val="2"/>
    </font>
    <font>
      <sz val="8"/>
      <color indexed="10"/>
      <name val="Arial"/>
      <family val="2"/>
    </font>
    <font>
      <b/>
      <sz val="9"/>
      <color indexed="81"/>
      <name val="Tahoma"/>
      <family val="2"/>
    </font>
    <font>
      <sz val="9"/>
      <color indexed="81"/>
      <name val="Tahoma"/>
      <family val="2"/>
    </font>
    <font>
      <sz val="10"/>
      <name val="Arial"/>
      <family val="2"/>
    </font>
    <font>
      <sz val="10"/>
      <color indexed="30"/>
      <name val="Arial"/>
      <family val="2"/>
    </font>
    <font>
      <b/>
      <sz val="10"/>
      <color indexed="30"/>
      <name val="Arial"/>
      <family val="2"/>
    </font>
    <font>
      <sz val="10"/>
      <color indexed="12"/>
      <name val="Arial"/>
      <family val="2"/>
    </font>
    <font>
      <b/>
      <sz val="12"/>
      <color indexed="10"/>
      <name val="Arial"/>
      <family val="2"/>
    </font>
    <font>
      <sz val="12"/>
      <color indexed="10"/>
      <name val="Arial"/>
      <family val="2"/>
    </font>
    <font>
      <sz val="10"/>
      <name val="Arial"/>
      <family val="2"/>
    </font>
    <font>
      <sz val="10"/>
      <color indexed="22"/>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8"/>
      <color indexed="22"/>
      <name val="Arial"/>
      <family val="2"/>
    </font>
    <font>
      <b/>
      <sz val="12"/>
      <color indexed="22"/>
      <name val="Arial"/>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64">
    <xf numFmtId="0" fontId="0" fillId="0" borderId="0"/>
    <xf numFmtId="0" fontId="2" fillId="2" borderId="0" applyNumberFormat="0" applyBorder="0" applyAlignment="0" applyProtection="0"/>
    <xf numFmtId="0" fontId="86" fillId="2" borderId="0" applyNumberFormat="0" applyBorder="0" applyAlignment="0" applyProtection="0"/>
    <xf numFmtId="0" fontId="2" fillId="3" borderId="0" applyNumberFormat="0" applyBorder="0" applyAlignment="0" applyProtection="0"/>
    <xf numFmtId="0" fontId="86" fillId="3" borderId="0" applyNumberFormat="0" applyBorder="0" applyAlignment="0" applyProtection="0"/>
    <xf numFmtId="0" fontId="2" fillId="4" borderId="0" applyNumberFormat="0" applyBorder="0" applyAlignment="0" applyProtection="0"/>
    <xf numFmtId="0" fontId="86" fillId="4"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6" borderId="0" applyNumberFormat="0" applyBorder="0" applyAlignment="0" applyProtection="0"/>
    <xf numFmtId="0" fontId="86" fillId="6" borderId="0" applyNumberFormat="0" applyBorder="0" applyAlignment="0" applyProtection="0"/>
    <xf numFmtId="0" fontId="2" fillId="7" borderId="0" applyNumberFormat="0" applyBorder="0" applyAlignment="0" applyProtection="0"/>
    <xf numFmtId="0" fontId="86" fillId="7"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9" borderId="0" applyNumberFormat="0" applyBorder="0" applyAlignment="0" applyProtection="0"/>
    <xf numFmtId="0" fontId="86" fillId="9" borderId="0" applyNumberFormat="0" applyBorder="0" applyAlignment="0" applyProtection="0"/>
    <xf numFmtId="0" fontId="2" fillId="10" borderId="0" applyNumberFormat="0" applyBorder="0" applyAlignment="0" applyProtection="0"/>
    <xf numFmtId="0" fontId="86" fillId="10"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11" borderId="0" applyNumberFormat="0" applyBorder="0" applyAlignment="0" applyProtection="0"/>
    <xf numFmtId="0" fontId="86" fillId="11" borderId="0" applyNumberFormat="0" applyBorder="0" applyAlignment="0" applyProtection="0"/>
    <xf numFmtId="0" fontId="3" fillId="12" borderId="0" applyNumberFormat="0" applyBorder="0" applyAlignment="0" applyProtection="0"/>
    <xf numFmtId="0" fontId="87" fillId="12" borderId="0" applyNumberFormat="0" applyBorder="0" applyAlignment="0" applyProtection="0"/>
    <xf numFmtId="0" fontId="3" fillId="9" borderId="0" applyNumberFormat="0" applyBorder="0" applyAlignment="0" applyProtection="0"/>
    <xf numFmtId="0" fontId="87" fillId="9" borderId="0" applyNumberFormat="0" applyBorder="0" applyAlignment="0" applyProtection="0"/>
    <xf numFmtId="0" fontId="3" fillId="10" borderId="0" applyNumberFormat="0" applyBorder="0" applyAlignment="0" applyProtection="0"/>
    <xf numFmtId="0" fontId="87" fillId="10"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5" borderId="0" applyNumberFormat="0" applyBorder="0" applyAlignment="0" applyProtection="0"/>
    <xf numFmtId="0" fontId="87" fillId="15" borderId="0" applyNumberFormat="0" applyBorder="0" applyAlignment="0" applyProtection="0"/>
    <xf numFmtId="0" fontId="3" fillId="16" borderId="0" applyNumberFormat="0" applyBorder="0" applyAlignment="0" applyProtection="0"/>
    <xf numFmtId="0" fontId="87" fillId="16" borderId="0" applyNumberFormat="0" applyBorder="0" applyAlignment="0" applyProtection="0"/>
    <xf numFmtId="0" fontId="3" fillId="17" borderId="0" applyNumberFormat="0" applyBorder="0" applyAlignment="0" applyProtection="0"/>
    <xf numFmtId="0" fontId="87" fillId="17" borderId="0" applyNumberFormat="0" applyBorder="0" applyAlignment="0" applyProtection="0"/>
    <xf numFmtId="0" fontId="3" fillId="18" borderId="0" applyNumberFormat="0" applyBorder="0" applyAlignment="0" applyProtection="0"/>
    <xf numFmtId="0" fontId="87" fillId="18"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9" borderId="0" applyNumberFormat="0" applyBorder="0" applyAlignment="0" applyProtection="0"/>
    <xf numFmtId="0" fontId="87" fillId="19" borderId="0" applyNumberFormat="0" applyBorder="0" applyAlignment="0" applyProtection="0"/>
    <xf numFmtId="0" fontId="4" fillId="3" borderId="0" applyNumberFormat="0" applyBorder="0" applyAlignment="0" applyProtection="0"/>
    <xf numFmtId="0" fontId="88" fillId="3" borderId="0" applyNumberFormat="0" applyBorder="0" applyAlignment="0" applyProtection="0"/>
    <xf numFmtId="168" fontId="5" fillId="0" borderId="0" applyFill="0"/>
    <xf numFmtId="168" fontId="5" fillId="0" borderId="0">
      <alignment horizontal="center"/>
    </xf>
    <xf numFmtId="0" fontId="5" fillId="0" borderId="0" applyFill="0">
      <alignment horizontal="center"/>
    </xf>
    <xf numFmtId="168"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68"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68"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8"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8"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7" fillId="0" borderId="0" applyFill="0">
      <alignment horizontal="center" vertical="center" wrapText="1"/>
    </xf>
    <xf numFmtId="168" fontId="17" fillId="0" borderId="0" applyFill="0"/>
    <xf numFmtId="0" fontId="11"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8" fontId="20" fillId="0" borderId="0" applyFill="0"/>
    <xf numFmtId="0" fontId="11"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22" fillId="20" borderId="3" applyNumberFormat="0" applyAlignment="0" applyProtection="0"/>
    <xf numFmtId="0" fontId="89" fillId="20" borderId="3" applyNumberFormat="0" applyAlignment="0" applyProtection="0"/>
    <xf numFmtId="0" fontId="23" fillId="21" borderId="4" applyNumberFormat="0" applyAlignment="0" applyProtection="0"/>
    <xf numFmtId="0" fontId="90" fillId="21" borderId="4"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4" fontId="7"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2" fontId="7"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0" fontId="25" fillId="4" borderId="0" applyNumberFormat="0" applyBorder="0" applyAlignment="0" applyProtection="0"/>
    <xf numFmtId="0" fontId="92" fillId="4" borderId="0" applyNumberFormat="0" applyBorder="0" applyAlignment="0" applyProtection="0"/>
    <xf numFmtId="0" fontId="2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5" applyNumberFormat="0" applyFill="0" applyAlignment="0" applyProtection="0"/>
    <xf numFmtId="0" fontId="93" fillId="0" borderId="5" applyNumberFormat="0" applyFill="0" applyAlignment="0" applyProtection="0"/>
    <xf numFmtId="0" fontId="27" fillId="0" borderId="0" applyNumberFormat="0" applyFill="0" applyBorder="0" applyAlignment="0" applyProtection="0"/>
    <xf numFmtId="0" fontId="93" fillId="0" borderId="0" applyNumberFormat="0" applyFill="0" applyBorder="0" applyAlignment="0" applyProtection="0"/>
    <xf numFmtId="0" fontId="28" fillId="0" borderId="6"/>
    <xf numFmtId="0" fontId="29" fillId="0" borderId="0"/>
    <xf numFmtId="0" fontId="30" fillId="7" borderId="3" applyNumberFormat="0" applyAlignment="0" applyProtection="0"/>
    <xf numFmtId="0" fontId="94" fillId="7" borderId="3" applyNumberFormat="0" applyAlignment="0" applyProtection="0"/>
    <xf numFmtId="0" fontId="31" fillId="0" borderId="7" applyNumberFormat="0" applyFill="0" applyAlignment="0" applyProtection="0"/>
    <xf numFmtId="0" fontId="95" fillId="0" borderId="7" applyNumberFormat="0" applyFill="0" applyAlignment="0" applyProtection="0"/>
    <xf numFmtId="176" fontId="8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2" fillId="22" borderId="0" applyNumberFormat="0" applyBorder="0" applyAlignment="0" applyProtection="0"/>
    <xf numFmtId="0" fontId="96" fillId="22" borderId="0" applyNumberFormat="0" applyBorder="0" applyAlignment="0" applyProtection="0"/>
    <xf numFmtId="0" fontId="7" fillId="0" borderId="0"/>
    <xf numFmtId="0" fontId="7" fillId="0" borderId="0"/>
    <xf numFmtId="0" fontId="85" fillId="0" borderId="0"/>
    <xf numFmtId="0" fontId="7" fillId="0" borderId="0"/>
    <xf numFmtId="0" fontId="7" fillId="0" borderId="0"/>
    <xf numFmtId="0" fontId="85" fillId="0" borderId="0"/>
    <xf numFmtId="0" fontId="7" fillId="0" borderId="0"/>
    <xf numFmtId="0" fontId="1" fillId="0" borderId="0"/>
    <xf numFmtId="0" fontId="7" fillId="0" borderId="0"/>
    <xf numFmtId="0" fontId="77" fillId="0" borderId="0"/>
    <xf numFmtId="0" fontId="7" fillId="0" borderId="0"/>
    <xf numFmtId="0" fontId="83" fillId="0" borderId="0"/>
    <xf numFmtId="0" fontId="83" fillId="0" borderId="0"/>
    <xf numFmtId="0" fontId="83" fillId="0" borderId="0"/>
    <xf numFmtId="0" fontId="85" fillId="0" borderId="0"/>
    <xf numFmtId="0" fontId="7" fillId="0" borderId="0"/>
    <xf numFmtId="0" fontId="7" fillId="0" borderId="0"/>
    <xf numFmtId="168" fontId="33" fillId="0" borderId="0" applyProtection="0"/>
    <xf numFmtId="0" fontId="33" fillId="23" borderId="8" applyNumberFormat="0" applyFont="0" applyAlignment="0" applyProtection="0"/>
    <xf numFmtId="0" fontId="7" fillId="23" borderId="8" applyNumberFormat="0" applyFont="0" applyAlignment="0" applyProtection="0"/>
    <xf numFmtId="0" fontId="34" fillId="20" borderId="9" applyNumberFormat="0" applyAlignment="0" applyProtection="0"/>
    <xf numFmtId="0" fontId="97" fillId="20"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7"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7" fillId="0" borderId="0">
      <alignment horizontal="right" vertical="top"/>
    </xf>
    <xf numFmtId="41" fontId="14" fillId="25" borderId="10" applyFill="0"/>
    <xf numFmtId="0" fontId="37" fillId="0" borderId="0">
      <alignment horizontal="left" indent="7"/>
    </xf>
    <xf numFmtId="41" fontId="14" fillId="0" borderId="10" applyFill="0">
      <alignment horizontal="left" indent="2"/>
    </xf>
    <xf numFmtId="168" fontId="38" fillId="0" borderId="11" applyFill="0">
      <alignment horizontal="right"/>
    </xf>
    <xf numFmtId="0" fontId="39" fillId="0" borderId="12" applyNumberFormat="0" applyFont="0" applyBorder="0">
      <alignment horizontal="right"/>
    </xf>
    <xf numFmtId="0" fontId="40" fillId="0" borderId="0" applyFill="0"/>
    <xf numFmtId="0" fontId="9" fillId="0" borderId="0" applyFill="0"/>
    <xf numFmtId="4" fontId="38" fillId="0" borderId="11" applyFill="0"/>
    <xf numFmtId="0" fontId="7" fillId="0" borderId="0" applyNumberFormat="0" applyFont="0" applyBorder="0" applyAlignment="0"/>
    <xf numFmtId="0" fontId="12" fillId="0" borderId="0" applyFill="0">
      <alignment horizontal="left" indent="1"/>
    </xf>
    <xf numFmtId="0" fontId="41"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42" fillId="0" borderId="0">
      <alignment horizontal="left" indent="3"/>
    </xf>
    <xf numFmtId="0" fontId="43"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7" fillId="0" borderId="0" applyFill="0">
      <alignment horizontal="left" indent="4"/>
    </xf>
    <xf numFmtId="4" fontId="17" fillId="0" borderId="0" applyFill="0"/>
    <xf numFmtId="0" fontId="7"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7"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45" fillId="0" borderId="0" applyNumberFormat="0" applyFill="0" applyBorder="0" applyAlignment="0" applyProtection="0"/>
    <xf numFmtId="0" fontId="98" fillId="0" borderId="0" applyNumberFormat="0" applyFill="0" applyBorder="0" applyAlignment="0" applyProtection="0"/>
    <xf numFmtId="43" fontId="1" fillId="0" borderId="0" applyFont="0" applyFill="0" applyBorder="0" applyAlignment="0" applyProtection="0"/>
  </cellStyleXfs>
  <cellXfs count="668">
    <xf numFmtId="0" fontId="0" fillId="0" borderId="0" xfId="0"/>
    <xf numFmtId="0" fontId="7" fillId="0" borderId="0" xfId="0" applyFont="1"/>
    <xf numFmtId="0" fontId="7" fillId="0" borderId="0" xfId="0" applyFont="1" applyAlignment="1">
      <alignment horizontal="center"/>
    </xf>
    <xf numFmtId="169" fontId="7" fillId="0" borderId="0" xfId="86" applyNumberFormat="1" applyFont="1"/>
    <xf numFmtId="0" fontId="7" fillId="0" borderId="0" xfId="0" applyFont="1" applyBorder="1"/>
    <xf numFmtId="0" fontId="47" fillId="0" borderId="0" xfId="0" applyFont="1" applyFill="1"/>
    <xf numFmtId="0" fontId="0" fillId="0" borderId="0" xfId="0" applyAlignment="1">
      <alignment wrapText="1"/>
    </xf>
    <xf numFmtId="0" fontId="0" fillId="0" borderId="0" xfId="0" applyBorder="1"/>
    <xf numFmtId="0" fontId="9" fillId="0" borderId="0" xfId="0" applyFont="1" applyAlignment="1">
      <alignment horizontal="left"/>
    </xf>
    <xf numFmtId="0" fontId="7" fillId="0" borderId="0" xfId="0" applyFont="1" applyFill="1" applyBorder="1"/>
    <xf numFmtId="10" fontId="7" fillId="0" borderId="0" xfId="0" applyNumberFormat="1" applyFont="1" applyBorder="1"/>
    <xf numFmtId="0" fontId="7" fillId="0" borderId="0" xfId="0" applyFont="1" applyFill="1" applyBorder="1" applyAlignment="1"/>
    <xf numFmtId="0" fontId="14" fillId="0" borderId="0" xfId="191" applyNumberFormat="1" applyFont="1" applyFill="1" applyBorder="1" applyAlignment="1" applyProtection="1">
      <protection locked="0"/>
    </xf>
    <xf numFmtId="0" fontId="6" fillId="0" borderId="0" xfId="0" applyFont="1" applyFill="1"/>
    <xf numFmtId="10" fontId="7" fillId="0" borderId="0" xfId="0" applyNumberFormat="1" applyFont="1"/>
    <xf numFmtId="0" fontId="7" fillId="0" borderId="0" xfId="0" applyFont="1" applyFill="1" applyBorder="1" applyAlignment="1">
      <alignment wrapText="1"/>
    </xf>
    <xf numFmtId="0" fontId="0" fillId="0" borderId="0" xfId="0" applyFill="1"/>
    <xf numFmtId="169" fontId="7" fillId="0" borderId="0" xfId="0" applyNumberFormat="1" applyFont="1"/>
    <xf numFmtId="0" fontId="46" fillId="0" borderId="0" xfId="0" applyFont="1" applyAlignment="1">
      <alignment horizontal="right"/>
    </xf>
    <xf numFmtId="169" fontId="7" fillId="0" borderId="0" xfId="86" applyNumberFormat="1" applyFont="1" applyBorder="1"/>
    <xf numFmtId="0" fontId="39" fillId="0" borderId="0" xfId="0" applyFont="1" applyAlignment="1">
      <alignment horizontal="left"/>
    </xf>
    <xf numFmtId="0" fontId="51" fillId="26" borderId="0" xfId="86" applyNumberFormat="1" applyFont="1" applyFill="1" applyAlignment="1">
      <alignment horizontal="left"/>
    </xf>
    <xf numFmtId="0" fontId="39" fillId="0" borderId="17" xfId="0" applyFont="1" applyBorder="1"/>
    <xf numFmtId="0" fontId="39" fillId="0" borderId="18" xfId="0" applyFont="1" applyBorder="1"/>
    <xf numFmtId="0" fontId="7" fillId="0" borderId="18" xfId="0" applyFont="1" applyBorder="1"/>
    <xf numFmtId="169" fontId="39" fillId="0" borderId="19" xfId="86" applyNumberFormat="1" applyFont="1" applyBorder="1"/>
    <xf numFmtId="0" fontId="14" fillId="0" borderId="0" xfId="86" applyNumberFormat="1" applyFont="1" applyFill="1" applyAlignment="1">
      <alignment horizontal="left"/>
    </xf>
    <xf numFmtId="0" fontId="14" fillId="0" borderId="0" xfId="86" applyNumberFormat="1" applyFont="1" applyFill="1" applyBorder="1" applyAlignment="1">
      <alignment horizontal="left"/>
    </xf>
    <xf numFmtId="0" fontId="39" fillId="0" borderId="13" xfId="0" applyFont="1" applyBorder="1"/>
    <xf numFmtId="0" fontId="9" fillId="0" borderId="0" xfId="86" applyNumberFormat="1" applyFont="1" applyFill="1" applyBorder="1" applyAlignment="1">
      <alignment horizontal="left"/>
    </xf>
    <xf numFmtId="169" fontId="39" fillId="0" borderId="20" xfId="86" applyNumberFormat="1" applyFont="1" applyBorder="1"/>
    <xf numFmtId="0" fontId="39" fillId="0" borderId="0" xfId="0" applyFont="1" applyFill="1"/>
    <xf numFmtId="169" fontId="39" fillId="0" borderId="15" xfId="86" applyNumberFormat="1" applyFont="1" applyBorder="1"/>
    <xf numFmtId="169" fontId="7" fillId="0" borderId="6" xfId="86" applyNumberFormat="1" applyFont="1" applyBorder="1"/>
    <xf numFmtId="169" fontId="7" fillId="0" borderId="16" xfId="86" applyNumberFormat="1" applyFont="1" applyBorder="1"/>
    <xf numFmtId="0" fontId="53" fillId="0" borderId="0" xfId="0" applyFont="1" applyFill="1" applyAlignment="1"/>
    <xf numFmtId="0" fontId="7" fillId="0" borderId="0" xfId="0" applyFont="1" applyFill="1" applyAlignment="1">
      <alignment wrapText="1"/>
    </xf>
    <xf numFmtId="0" fontId="39" fillId="0" borderId="21"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0" fontId="0" fillId="0" borderId="0" xfId="0" applyBorder="1" applyAlignment="1"/>
    <xf numFmtId="0" fontId="7" fillId="0" borderId="13" xfId="0" applyFont="1" applyFill="1" applyBorder="1" applyAlignment="1"/>
    <xf numFmtId="169" fontId="54" fillId="26" borderId="14" xfId="86" applyNumberFormat="1" applyFont="1" applyFill="1" applyBorder="1" applyAlignment="1">
      <alignment horizontal="right"/>
    </xf>
    <xf numFmtId="0" fontId="7" fillId="0" borderId="0" xfId="0" applyFont="1" applyBorder="1" applyAlignment="1">
      <alignment horizontal="center"/>
    </xf>
    <xf numFmtId="0" fontId="39" fillId="0" borderId="19" xfId="0" applyFont="1" applyFill="1" applyBorder="1" applyAlignment="1">
      <alignment horizontal="center"/>
    </xf>
    <xf numFmtId="0" fontId="7" fillId="0" borderId="13" xfId="0" applyFont="1" applyFill="1" applyBorder="1"/>
    <xf numFmtId="0" fontId="54" fillId="26" borderId="14" xfId="0" applyFont="1" applyFill="1" applyBorder="1" applyAlignment="1">
      <alignment horizontal="right"/>
    </xf>
    <xf numFmtId="169" fontId="7" fillId="0" borderId="14" xfId="0" applyNumberFormat="1" applyFont="1" applyFill="1" applyBorder="1" applyAlignment="1">
      <alignment horizontal="right"/>
    </xf>
    <xf numFmtId="169" fontId="7" fillId="0" borderId="0" xfId="0" applyNumberFormat="1" applyFont="1" applyFill="1" applyBorder="1" applyAlignment="1">
      <alignment horizontal="right"/>
    </xf>
    <xf numFmtId="10" fontId="7" fillId="0" borderId="14" xfId="0" applyNumberFormat="1" applyFont="1" applyBorder="1"/>
    <xf numFmtId="10" fontId="7" fillId="0" borderId="0" xfId="0" applyNumberFormat="1" applyFont="1" applyFill="1" applyBorder="1"/>
    <xf numFmtId="169" fontId="7" fillId="0" borderId="14" xfId="86" applyNumberFormat="1" applyFont="1" applyBorder="1"/>
    <xf numFmtId="0" fontId="39" fillId="0" borderId="24" xfId="0" applyFont="1" applyBorder="1" applyAlignment="1">
      <alignment horizontal="center"/>
    </xf>
    <xf numFmtId="169" fontId="39" fillId="0" borderId="24" xfId="86" applyNumberFormat="1" applyFont="1" applyBorder="1" applyAlignment="1">
      <alignment horizontal="center"/>
    </xf>
    <xf numFmtId="0" fontId="39" fillId="0" borderId="25" xfId="0" applyFont="1" applyBorder="1" applyAlignment="1">
      <alignment horizontal="center"/>
    </xf>
    <xf numFmtId="169" fontId="39" fillId="0" borderId="24" xfId="86" applyNumberFormat="1" applyFont="1" applyBorder="1" applyAlignment="1">
      <alignment horizontal="center" wrapText="1"/>
    </xf>
    <xf numFmtId="0" fontId="39" fillId="0" borderId="26" xfId="0" applyFont="1" applyBorder="1" applyAlignment="1">
      <alignment horizontal="center"/>
    </xf>
    <xf numFmtId="169" fontId="39" fillId="0" borderId="16" xfId="86" applyNumberFormat="1" applyFont="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xf>
    <xf numFmtId="169" fontId="39" fillId="0" borderId="26" xfId="86" applyNumberFormat="1" applyFont="1" applyBorder="1" applyAlignment="1">
      <alignment horizontal="center"/>
    </xf>
    <xf numFmtId="0" fontId="7" fillId="0" borderId="25" xfId="0" applyNumberFormat="1" applyFont="1" applyBorder="1" applyAlignment="1">
      <alignment horizontal="center"/>
    </xf>
    <xf numFmtId="169" fontId="7" fillId="0" borderId="0" xfId="0" applyNumberFormat="1" applyFont="1" applyBorder="1"/>
    <xf numFmtId="169" fontId="7" fillId="0" borderId="24" xfId="86" applyNumberFormat="1" applyFont="1" applyBorder="1"/>
    <xf numFmtId="170" fontId="7" fillId="0" borderId="14" xfId="0" applyNumberFormat="1" applyFont="1" applyBorder="1"/>
    <xf numFmtId="170" fontId="7" fillId="0" borderId="24" xfId="0" applyNumberFormat="1" applyFont="1" applyBorder="1"/>
    <xf numFmtId="170" fontId="7" fillId="0" borderId="25" xfId="0" applyNumberFormat="1" applyFont="1" applyBorder="1"/>
    <xf numFmtId="169" fontId="7" fillId="0" borderId="25" xfId="0" applyNumberFormat="1" applyFont="1" applyBorder="1"/>
    <xf numFmtId="169" fontId="1" fillId="0" borderId="25" xfId="86" applyNumberFormat="1" applyBorder="1"/>
    <xf numFmtId="169" fontId="7" fillId="0" borderId="25" xfId="86" applyNumberFormat="1" applyFont="1" applyBorder="1"/>
    <xf numFmtId="169" fontId="7" fillId="0" borderId="25" xfId="0" applyNumberFormat="1" applyFont="1" applyFill="1" applyBorder="1"/>
    <xf numFmtId="169" fontId="7" fillId="0" borderId="25" xfId="86" applyNumberFormat="1" applyFont="1" applyFill="1" applyBorder="1"/>
    <xf numFmtId="0" fontId="7" fillId="0" borderId="26" xfId="0" applyNumberFormat="1" applyFont="1" applyBorder="1" applyAlignment="1">
      <alignment horizontal="center"/>
    </xf>
    <xf numFmtId="169" fontId="7" fillId="0" borderId="26" xfId="0" applyNumberFormat="1" applyFont="1" applyBorder="1"/>
    <xf numFmtId="169" fontId="1" fillId="0" borderId="26" xfId="86" applyNumberFormat="1" applyBorder="1"/>
    <xf numFmtId="169" fontId="7" fillId="0" borderId="26" xfId="86" applyNumberFormat="1" applyFont="1" applyFill="1" applyBorder="1"/>
    <xf numFmtId="170" fontId="7" fillId="0" borderId="16" xfId="0" applyNumberFormat="1" applyFont="1" applyBorder="1"/>
    <xf numFmtId="170" fontId="7" fillId="0" borderId="26" xfId="0" applyNumberFormat="1" applyFont="1" applyBorder="1"/>
    <xf numFmtId="0" fontId="53" fillId="0" borderId="0" xfId="0" applyFont="1" applyFill="1"/>
    <xf numFmtId="170" fontId="7" fillId="0" borderId="0" xfId="0" applyNumberFormat="1" applyFont="1" applyBorder="1"/>
    <xf numFmtId="169" fontId="55" fillId="0" borderId="0" xfId="0" applyNumberFormat="1" applyFont="1" applyAlignment="1">
      <alignment horizontal="left"/>
    </xf>
    <xf numFmtId="0" fontId="9" fillId="0" borderId="0" xfId="0" applyFont="1" applyFill="1"/>
    <xf numFmtId="169" fontId="39" fillId="0" borderId="0" xfId="86" applyNumberFormat="1" applyFont="1" applyBorder="1"/>
    <xf numFmtId="169" fontId="7" fillId="0" borderId="14" xfId="0" applyNumberFormat="1" applyFont="1" applyBorder="1"/>
    <xf numFmtId="169" fontId="39" fillId="0" borderId="11" xfId="86" applyNumberFormat="1" applyFont="1" applyBorder="1"/>
    <xf numFmtId="169" fontId="7" fillId="0" borderId="20" xfId="0" applyNumberFormat="1" applyFont="1" applyBorder="1"/>
    <xf numFmtId="0" fontId="7" fillId="0" borderId="15" xfId="0" applyFont="1" applyBorder="1"/>
    <xf numFmtId="169" fontId="39" fillId="0" borderId="6" xfId="86" applyNumberFormat="1" applyFont="1" applyFill="1" applyBorder="1" applyAlignment="1">
      <alignment horizontal="left"/>
    </xf>
    <xf numFmtId="169" fontId="39" fillId="0" borderId="16" xfId="86" applyNumberFormat="1" applyFont="1" applyFill="1" applyBorder="1" applyAlignment="1">
      <alignment horizontal="left"/>
    </xf>
    <xf numFmtId="0" fontId="7" fillId="0" borderId="21" xfId="0" applyFont="1" applyFill="1" applyBorder="1" applyAlignment="1">
      <alignment horizontal="center"/>
    </xf>
    <xf numFmtId="0" fontId="0" fillId="0" borderId="22" xfId="0" applyBorder="1" applyAlignment="1"/>
    <xf numFmtId="0" fontId="0" fillId="0" borderId="0" xfId="0" applyFill="1" applyBorder="1" applyAlignment="1"/>
    <xf numFmtId="0" fontId="7" fillId="0" borderId="6" xfId="0" applyFont="1" applyBorder="1" applyAlignment="1">
      <alignment horizontal="center"/>
    </xf>
    <xf numFmtId="0" fontId="0" fillId="0" borderId="6" xfId="0" applyBorder="1"/>
    <xf numFmtId="0" fontId="39" fillId="0" borderId="24" xfId="0" applyFont="1" applyBorder="1" applyAlignment="1">
      <alignment horizontal="center" wrapText="1"/>
    </xf>
    <xf numFmtId="0" fontId="39" fillId="0" borderId="25" xfId="0" applyFont="1" applyBorder="1" applyAlignment="1">
      <alignment horizontal="center" wrapText="1"/>
    </xf>
    <xf numFmtId="0" fontId="39" fillId="0" borderId="6" xfId="0" applyFont="1" applyBorder="1" applyAlignment="1">
      <alignment horizontal="center"/>
    </xf>
    <xf numFmtId="169" fontId="7" fillId="0" borderId="24" xfId="0" applyNumberFormat="1" applyFont="1" applyBorder="1"/>
    <xf numFmtId="169" fontId="7" fillId="0" borderId="6" xfId="0" applyNumberFormat="1" applyFont="1" applyBorder="1"/>
    <xf numFmtId="0" fontId="55" fillId="0" borderId="0" xfId="0" applyFont="1"/>
    <xf numFmtId="0" fontId="58" fillId="0" borderId="0" xfId="0" applyFont="1" applyFill="1"/>
    <xf numFmtId="0" fontId="7" fillId="0" borderId="14" xfId="0" applyFont="1" applyFill="1" applyBorder="1" applyAlignment="1">
      <alignment horizontal="right"/>
    </xf>
    <xf numFmtId="0" fontId="7" fillId="0" borderId="16" xfId="0" applyFont="1" applyFill="1" applyBorder="1" applyAlignment="1">
      <alignment horizontal="right"/>
    </xf>
    <xf numFmtId="0" fontId="52" fillId="26" borderId="0" xfId="0" applyFont="1" applyFill="1" applyAlignment="1">
      <alignment horizontal="left"/>
    </xf>
    <xf numFmtId="0" fontId="39" fillId="0" borderId="22" xfId="0" applyFont="1" applyFill="1" applyBorder="1" applyAlignment="1"/>
    <xf numFmtId="0" fontId="61" fillId="27" borderId="22" xfId="0" applyFont="1" applyFill="1" applyBorder="1" applyAlignment="1">
      <alignment horizontal="center"/>
    </xf>
    <xf numFmtId="0" fontId="39" fillId="0" borderId="0" xfId="0" quotePrefix="1" applyFont="1" applyAlignment="1">
      <alignment horizontal="left"/>
    </xf>
    <xf numFmtId="0" fontId="68" fillId="0" borderId="0" xfId="0" applyFont="1"/>
    <xf numFmtId="0" fontId="7" fillId="0" borderId="0" xfId="0" applyFont="1" applyAlignment="1">
      <alignment horizontal="left"/>
    </xf>
    <xf numFmtId="0" fontId="50" fillId="0" borderId="0" xfId="0" quotePrefix="1" applyFont="1" applyAlignment="1">
      <alignment horizontal="left"/>
    </xf>
    <xf numFmtId="0" fontId="46" fillId="0" borderId="0" xfId="0" quotePrefix="1" applyFont="1" applyAlignment="1">
      <alignment horizontal="center"/>
    </xf>
    <xf numFmtId="170" fontId="46" fillId="0" borderId="0" xfId="0" quotePrefix="1" applyNumberFormat="1" applyFont="1" applyBorder="1" applyAlignment="1">
      <alignment horizontal="center"/>
    </xf>
    <xf numFmtId="0" fontId="52" fillId="0" borderId="0" xfId="0" applyFont="1" applyAlignment="1">
      <alignment horizontal="left"/>
    </xf>
    <xf numFmtId="0" fontId="55" fillId="0" borderId="0" xfId="0" applyFont="1" applyFill="1" applyAlignment="1"/>
    <xf numFmtId="0" fontId="55" fillId="0" borderId="0" xfId="0" quotePrefix="1" applyFont="1" applyAlignment="1">
      <alignment horizontal="left"/>
    </xf>
    <xf numFmtId="0" fontId="67" fillId="0" borderId="0" xfId="0" applyFont="1" applyFill="1" applyAlignment="1">
      <alignment horizontal="right"/>
    </xf>
    <xf numFmtId="0" fontId="46" fillId="0" borderId="0" xfId="0" quotePrefix="1" applyFont="1" applyAlignment="1">
      <alignment horizontal="right"/>
    </xf>
    <xf numFmtId="0" fontId="39" fillId="0" borderId="28" xfId="0" applyFont="1" applyFill="1" applyBorder="1" applyAlignment="1">
      <alignment horizontal="center"/>
    </xf>
    <xf numFmtId="168" fontId="7" fillId="0" borderId="29" xfId="191" applyFont="1" applyBorder="1" applyAlignment="1" applyProtection="1">
      <alignment horizontal="center"/>
      <protection locked="0"/>
    </xf>
    <xf numFmtId="168" fontId="7" fillId="0" borderId="29" xfId="191" quotePrefix="1" applyFont="1" applyBorder="1" applyAlignment="1" applyProtection="1">
      <alignment horizontal="center"/>
      <protection locked="0"/>
    </xf>
    <xf numFmtId="3" fontId="7" fillId="0" borderId="30" xfId="191" applyNumberFormat="1" applyFont="1" applyBorder="1" applyAlignment="1" applyProtection="1">
      <alignment horizontal="center"/>
      <protection locked="0"/>
    </xf>
    <xf numFmtId="0" fontId="55" fillId="0" borderId="24" xfId="0" applyFont="1" applyBorder="1"/>
    <xf numFmtId="169" fontId="7" fillId="0" borderId="13" xfId="86" quotePrefix="1" applyNumberFormat="1" applyFont="1" applyBorder="1" applyAlignment="1">
      <alignment horizontal="right"/>
    </xf>
    <xf numFmtId="0" fontId="57" fillId="0" borderId="31" xfId="86" applyNumberFormat="1" applyFont="1" applyFill="1" applyBorder="1" applyAlignment="1">
      <alignment horizontal="left"/>
    </xf>
    <xf numFmtId="169" fontId="7" fillId="0" borderId="32" xfId="86" quotePrefix="1" applyNumberFormat="1" applyFont="1" applyBorder="1" applyAlignment="1">
      <alignment horizontal="right"/>
    </xf>
    <xf numFmtId="169" fontId="55" fillId="0" borderId="26" xfId="86" applyNumberFormat="1" applyFont="1" applyBorder="1"/>
    <xf numFmtId="0" fontId="7" fillId="0" borderId="15" xfId="0" quotePrefix="1" applyFont="1" applyBorder="1" applyAlignment="1">
      <alignment horizontal="right"/>
    </xf>
    <xf numFmtId="169" fontId="54" fillId="0" borderId="25" xfId="86" applyNumberFormat="1" applyFont="1" applyFill="1" applyBorder="1"/>
    <xf numFmtId="170" fontId="54" fillId="26" borderId="24" xfId="0" applyNumberFormat="1" applyFont="1" applyFill="1" applyBorder="1"/>
    <xf numFmtId="170" fontId="54" fillId="26" borderId="25" xfId="0" applyNumberFormat="1" applyFont="1" applyFill="1" applyBorder="1"/>
    <xf numFmtId="170" fontId="54" fillId="26" borderId="26" xfId="0" applyNumberFormat="1" applyFont="1" applyFill="1" applyBorder="1"/>
    <xf numFmtId="170" fontId="54" fillId="0" borderId="24" xfId="0" applyNumberFormat="1" applyFont="1" applyFill="1" applyBorder="1"/>
    <xf numFmtId="169" fontId="39" fillId="0" borderId="24" xfId="86" quotePrefix="1" applyNumberFormat="1" applyFont="1" applyBorder="1" applyAlignment="1">
      <alignment horizontal="center" wrapText="1"/>
    </xf>
    <xf numFmtId="169" fontId="39" fillId="0" borderId="24" xfId="86" applyNumberFormat="1" applyFont="1" applyFill="1" applyBorder="1" applyAlignment="1">
      <alignment horizontal="center" wrapText="1"/>
    </xf>
    <xf numFmtId="169" fontId="39" fillId="0" borderId="26" xfId="86" applyNumberFormat="1" applyFont="1" applyFill="1" applyBorder="1" applyAlignment="1">
      <alignment horizontal="center"/>
    </xf>
    <xf numFmtId="169" fontId="39" fillId="0" borderId="15" xfId="86" applyNumberFormat="1" applyFont="1" applyFill="1" applyBorder="1" applyAlignment="1">
      <alignment horizontal="center"/>
    </xf>
    <xf numFmtId="169" fontId="54" fillId="0" borderId="14" xfId="86" applyNumberFormat="1" applyFont="1" applyFill="1" applyBorder="1"/>
    <xf numFmtId="169" fontId="54" fillId="0" borderId="26" xfId="86" applyNumberFormat="1" applyFont="1" applyFill="1" applyBorder="1"/>
    <xf numFmtId="169" fontId="54" fillId="0" borderId="16" xfId="86" applyNumberFormat="1" applyFont="1" applyFill="1" applyBorder="1"/>
    <xf numFmtId="0" fontId="39" fillId="0" borderId="26" xfId="0" applyFont="1" applyBorder="1" applyAlignment="1">
      <alignment horizontal="center" wrapText="1"/>
    </xf>
    <xf numFmtId="169" fontId="39" fillId="0" borderId="0" xfId="86" quotePrefix="1" applyNumberFormat="1" applyFont="1" applyBorder="1" applyAlignment="1">
      <alignment horizontal="center" wrapText="1"/>
    </xf>
    <xf numFmtId="169" fontId="39" fillId="0" borderId="16" xfId="86" applyNumberFormat="1" applyFont="1" applyFill="1" applyBorder="1" applyAlignment="1">
      <alignment horizontal="center"/>
    </xf>
    <xf numFmtId="169" fontId="39" fillId="0" borderId="19" xfId="86" applyNumberFormat="1" applyFont="1" applyFill="1" applyBorder="1" applyAlignment="1">
      <alignment horizontal="center" wrapText="1"/>
    </xf>
    <xf numFmtId="169" fontId="39" fillId="0" borderId="19" xfId="86" applyNumberFormat="1" applyFont="1" applyBorder="1" applyAlignment="1">
      <alignment horizontal="center" wrapText="1"/>
    </xf>
    <xf numFmtId="0" fontId="0" fillId="0" borderId="0" xfId="0" applyProtection="1"/>
    <xf numFmtId="0" fontId="14" fillId="0" borderId="0" xfId="0" applyNumberFormat="1" applyFont="1" applyAlignment="1" applyProtection="1">
      <alignment horizontal="center"/>
    </xf>
    <xf numFmtId="3" fontId="14" fillId="0" borderId="0" xfId="0" quotePrefix="1" applyNumberFormat="1" applyFont="1" applyFill="1" applyAlignment="1" applyProtection="1">
      <alignment horizontal="center"/>
    </xf>
    <xf numFmtId="0" fontId="14" fillId="0" borderId="0" xfId="0" applyNumberFormat="1" applyFont="1" applyFill="1" applyAlignment="1" applyProtection="1">
      <alignment horizontal="center"/>
    </xf>
    <xf numFmtId="168" fontId="14" fillId="0" borderId="0" xfId="191" applyFont="1" applyFill="1" applyAlignment="1" applyProtection="1"/>
    <xf numFmtId="49" fontId="70" fillId="0" borderId="0" xfId="191" applyNumberFormat="1" applyFont="1" applyFill="1" applyAlignment="1" applyProtection="1">
      <alignment horizontal="center"/>
    </xf>
    <xf numFmtId="3" fontId="6" fillId="0" borderId="0" xfId="0"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xf>
    <xf numFmtId="0" fontId="39" fillId="0" borderId="11" xfId="0" applyFont="1" applyBorder="1" applyAlignment="1" applyProtection="1">
      <alignment horizontal="centerContinuous"/>
    </xf>
    <xf numFmtId="0" fontId="39" fillId="0" borderId="11" xfId="0" applyFont="1" applyBorder="1" applyAlignment="1" applyProtection="1">
      <alignment horizontal="left"/>
    </xf>
    <xf numFmtId="0" fontId="53" fillId="0" borderId="0" xfId="0" quotePrefix="1" applyFont="1" applyAlignment="1" applyProtection="1">
      <alignment horizontal="left"/>
    </xf>
    <xf numFmtId="0" fontId="39" fillId="0" borderId="0" xfId="0" applyFont="1" applyBorder="1" applyAlignment="1" applyProtection="1">
      <alignment horizontal="center"/>
    </xf>
    <xf numFmtId="0" fontId="65" fillId="0" borderId="11" xfId="0" quotePrefix="1" applyFont="1" applyBorder="1" applyAlignment="1" applyProtection="1">
      <alignment horizontal="centerContinuous"/>
    </xf>
    <xf numFmtId="0" fontId="65" fillId="0" borderId="0" xfId="0" quotePrefix="1" applyFont="1" applyBorder="1" applyAlignment="1" applyProtection="1">
      <alignment horizontal="centerContinuous"/>
    </xf>
    <xf numFmtId="0" fontId="65" fillId="0" borderId="11" xfId="0" applyFont="1" applyBorder="1" applyAlignment="1" applyProtection="1">
      <alignment horizontal="centerContinuous"/>
    </xf>
    <xf numFmtId="0" fontId="71" fillId="0" borderId="0" xfId="0" applyFont="1" applyFill="1" applyProtection="1"/>
    <xf numFmtId="0" fontId="65" fillId="0" borderId="0" xfId="0" applyFont="1" applyAlignment="1" applyProtection="1">
      <alignment horizontal="center" wrapText="1"/>
    </xf>
    <xf numFmtId="0" fontId="65" fillId="0" borderId="0" xfId="0" applyFont="1" applyAlignment="1" applyProtection="1">
      <alignment horizontal="center"/>
    </xf>
    <xf numFmtId="0" fontId="65" fillId="0" borderId="0" xfId="0" applyFont="1" applyBorder="1" applyAlignment="1" applyProtection="1">
      <alignment horizontal="center" wrapText="1"/>
    </xf>
    <xf numFmtId="0" fontId="65" fillId="0" borderId="0" xfId="0" quotePrefix="1" applyFont="1" applyBorder="1" applyAlignment="1" applyProtection="1">
      <alignment horizontal="center" wrapText="1"/>
    </xf>
    <xf numFmtId="0" fontId="65" fillId="0" borderId="0" xfId="0" applyFont="1" applyBorder="1" applyAlignment="1" applyProtection="1">
      <alignment horizontal="center"/>
    </xf>
    <xf numFmtId="0" fontId="65" fillId="0" borderId="0" xfId="0" quotePrefix="1" applyFont="1" applyFill="1" applyBorder="1" applyAlignment="1" applyProtection="1">
      <alignment horizontal="center" wrapText="1"/>
    </xf>
    <xf numFmtId="0" fontId="65" fillId="0" borderId="0" xfId="0" applyFont="1" applyFill="1" applyBorder="1" applyAlignment="1" applyProtection="1">
      <alignment horizontal="center" wrapText="1"/>
    </xf>
    <xf numFmtId="0" fontId="65" fillId="0" borderId="0" xfId="0" applyFont="1" applyFill="1" applyBorder="1" applyAlignment="1" applyProtection="1">
      <alignment horizontal="center"/>
    </xf>
    <xf numFmtId="0" fontId="0" fillId="0" borderId="41" xfId="0" applyBorder="1" applyAlignment="1" applyProtection="1">
      <alignment horizontal="center" wrapText="1"/>
    </xf>
    <xf numFmtId="0" fontId="39" fillId="0" borderId="0" xfId="0" applyFont="1" applyProtection="1"/>
    <xf numFmtId="0" fontId="0" fillId="0" borderId="25" xfId="0" applyBorder="1" applyProtection="1"/>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69" fontId="1" fillId="0" borderId="0" xfId="86" applyNumberFormat="1" applyFont="1" applyFill="1" applyAlignment="1" applyProtection="1">
      <alignment vertical="center"/>
    </xf>
    <xf numFmtId="169" fontId="1" fillId="0" borderId="0" xfId="86" applyNumberFormat="1" applyFill="1" applyAlignment="1" applyProtection="1">
      <alignment vertical="center"/>
    </xf>
    <xf numFmtId="0" fontId="0" fillId="0" borderId="0" xfId="0" applyFill="1" applyAlignment="1" applyProtection="1">
      <alignment vertical="center"/>
    </xf>
    <xf numFmtId="169" fontId="64" fillId="26" borderId="0" xfId="86" applyNumberFormat="1" applyFont="1" applyFill="1" applyAlignment="1" applyProtection="1">
      <alignment vertical="center"/>
    </xf>
    <xf numFmtId="169" fontId="1" fillId="0" borderId="0" xfId="86" applyNumberFormat="1" applyAlignment="1" applyProtection="1">
      <alignment vertical="center"/>
    </xf>
    <xf numFmtId="169" fontId="39" fillId="0" borderId="0" xfId="86" applyNumberFormat="1" applyFont="1" applyAlignment="1" applyProtection="1">
      <alignment horizontal="center" vertical="center"/>
    </xf>
    <xf numFmtId="169" fontId="0" fillId="0" borderId="25" xfId="0" applyNumberFormat="1" applyBorder="1" applyProtection="1"/>
    <xf numFmtId="169" fontId="39" fillId="0" borderId="0" xfId="86" applyNumberFormat="1" applyFont="1" applyAlignment="1" applyProtection="1">
      <alignment vertical="center"/>
    </xf>
    <xf numFmtId="169" fontId="1" fillId="0" borderId="0" xfId="86" applyNumberFormat="1" applyFont="1" applyFill="1" applyBorder="1" applyAlignment="1" applyProtection="1">
      <alignment vertical="center"/>
    </xf>
    <xf numFmtId="169" fontId="1" fillId="0" borderId="0" xfId="86" applyNumberFormat="1" applyFill="1" applyBorder="1" applyAlignment="1" applyProtection="1">
      <alignment vertical="center"/>
    </xf>
    <xf numFmtId="0" fontId="0" fillId="0" borderId="0" xfId="0" applyFill="1" applyBorder="1" applyAlignment="1" applyProtection="1">
      <alignment vertical="center"/>
    </xf>
    <xf numFmtId="169" fontId="64" fillId="26" borderId="0" xfId="86" applyNumberFormat="1" applyFont="1" applyFill="1" applyBorder="1" applyAlignment="1" applyProtection="1">
      <alignment vertical="center"/>
    </xf>
    <xf numFmtId="169" fontId="1" fillId="0" borderId="0" xfId="86" applyNumberFormat="1" applyBorder="1" applyAlignment="1" applyProtection="1">
      <alignment vertical="center"/>
    </xf>
    <xf numFmtId="169" fontId="39" fillId="0" borderId="0" xfId="86" applyNumberFormat="1" applyFont="1" applyBorder="1" applyAlignment="1" applyProtection="1">
      <alignment vertical="center"/>
    </xf>
    <xf numFmtId="0" fontId="7" fillId="0" borderId="0" xfId="0" quotePrefix="1" applyFont="1" applyAlignment="1" applyProtection="1">
      <alignment horizontal="center" vertical="center"/>
    </xf>
    <xf numFmtId="169" fontId="1" fillId="0" borderId="0" xfId="86" applyNumberFormat="1" applyFont="1" applyBorder="1" applyAlignment="1" applyProtection="1">
      <alignment vertical="center"/>
    </xf>
    <xf numFmtId="0" fontId="39" fillId="0" borderId="2" xfId="0" applyFont="1" applyBorder="1" applyAlignment="1" applyProtection="1">
      <alignment horizontal="center" vertical="center"/>
    </xf>
    <xf numFmtId="0" fontId="0" fillId="0" borderId="2" xfId="0" applyBorder="1" applyAlignment="1" applyProtection="1">
      <alignment horizontal="center" vertical="center"/>
    </xf>
    <xf numFmtId="169" fontId="1" fillId="0" borderId="2" xfId="86" applyNumberFormat="1" applyBorder="1" applyAlignment="1" applyProtection="1">
      <alignment vertical="center"/>
    </xf>
    <xf numFmtId="169" fontId="64" fillId="26" borderId="2" xfId="86" applyNumberFormat="1" applyFont="1" applyFill="1" applyBorder="1" applyAlignment="1" applyProtection="1">
      <alignment vertical="center"/>
    </xf>
    <xf numFmtId="169" fontId="39" fillId="0" borderId="25" xfId="0" applyNumberFormat="1" applyFont="1" applyBorder="1" applyProtection="1"/>
    <xf numFmtId="0" fontId="64" fillId="0" borderId="0" xfId="0" quotePrefix="1" applyFont="1" applyAlignment="1" applyProtection="1">
      <alignment horizontal="left"/>
    </xf>
    <xf numFmtId="0" fontId="7" fillId="0" borderId="0" xfId="0" applyFont="1" applyAlignment="1" applyProtection="1">
      <alignment vertical="center"/>
    </xf>
    <xf numFmtId="169" fontId="72" fillId="0" borderId="0" xfId="86" applyNumberFormat="1" applyFont="1" applyAlignment="1" applyProtection="1">
      <alignment horizontal="center" vertical="center"/>
    </xf>
    <xf numFmtId="43" fontId="53" fillId="0" borderId="0" xfId="86" applyFont="1" applyAlignment="1" applyProtection="1">
      <alignment horizontal="center" vertical="center"/>
    </xf>
    <xf numFmtId="43" fontId="74" fillId="0" borderId="0" xfId="86" applyFont="1" applyAlignment="1" applyProtection="1">
      <alignment horizontal="left" vertical="center"/>
    </xf>
    <xf numFmtId="169" fontId="74" fillId="0" borderId="0" xfId="86" applyNumberFormat="1" applyFont="1" applyAlignment="1" applyProtection="1">
      <alignment horizontal="center" vertical="center"/>
    </xf>
    <xf numFmtId="43" fontId="1" fillId="0" borderId="0" xfId="86" applyAlignment="1" applyProtection="1">
      <alignment vertical="center"/>
    </xf>
    <xf numFmtId="169" fontId="0" fillId="0" borderId="26" xfId="0" applyNumberFormat="1" applyBorder="1" applyProtection="1"/>
    <xf numFmtId="0" fontId="7" fillId="0" borderId="0" xfId="0" quotePrefix="1" applyFont="1" applyAlignment="1" applyProtection="1">
      <alignment horizontal="left" vertical="center"/>
    </xf>
    <xf numFmtId="174" fontId="5" fillId="0" borderId="0" xfId="0" applyNumberFormat="1" applyFont="1" applyAlignment="1" applyProtection="1">
      <alignment horizontal="center" vertical="center"/>
    </xf>
    <xf numFmtId="0" fontId="0" fillId="0" borderId="0" xfId="0" quotePrefix="1" applyAlignment="1" applyProtection="1">
      <alignment horizontal="left" vertical="center"/>
    </xf>
    <xf numFmtId="169" fontId="64" fillId="26" borderId="0" xfId="0" applyNumberFormat="1" applyFont="1" applyFill="1" applyAlignment="1" applyProtection="1">
      <alignment vertical="center"/>
    </xf>
    <xf numFmtId="169" fontId="1" fillId="0" borderId="0" xfId="86" applyNumberFormat="1" applyProtection="1"/>
    <xf numFmtId="164" fontId="1" fillId="0" borderId="0" xfId="0" applyNumberFormat="1" applyFont="1" applyFill="1" applyProtection="1"/>
    <xf numFmtId="43" fontId="1" fillId="0" borderId="0" xfId="86" applyProtection="1"/>
    <xf numFmtId="0" fontId="0" fillId="0" borderId="33" xfId="0" applyBorder="1" applyProtection="1"/>
    <xf numFmtId="0" fontId="0" fillId="0" borderId="2" xfId="0" applyBorder="1" applyProtection="1"/>
    <xf numFmtId="169" fontId="1" fillId="0" borderId="2" xfId="86" applyNumberFormat="1" applyBorder="1" applyProtection="1"/>
    <xf numFmtId="0" fontId="0" fillId="0" borderId="27" xfId="0" applyBorder="1" applyProtection="1"/>
    <xf numFmtId="0" fontId="0" fillId="0" borderId="34" xfId="0" applyBorder="1" applyProtection="1"/>
    <xf numFmtId="0" fontId="0" fillId="0" borderId="0" xfId="0" applyBorder="1" applyProtection="1"/>
    <xf numFmtId="0" fontId="0" fillId="0" borderId="0" xfId="0" applyBorder="1" applyAlignment="1" applyProtection="1">
      <alignment horizontal="center"/>
    </xf>
    <xf numFmtId="49" fontId="70" fillId="0" borderId="0" xfId="191" applyNumberFormat="1"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Protection="1"/>
    <xf numFmtId="0" fontId="0" fillId="0" borderId="11" xfId="0" applyBorder="1" applyProtection="1"/>
    <xf numFmtId="169" fontId="1" fillId="0" borderId="11" xfId="86" applyNumberFormat="1" applyBorder="1" applyProtection="1"/>
    <xf numFmtId="0" fontId="0" fillId="0" borderId="37" xfId="0" applyBorder="1" applyProtection="1"/>
    <xf numFmtId="0" fontId="0" fillId="0" borderId="0" xfId="0" quotePrefix="1" applyAlignment="1" applyProtection="1">
      <alignment horizontal="center"/>
    </xf>
    <xf numFmtId="43" fontId="0" fillId="0" borderId="0" xfId="86" applyFont="1" applyProtection="1"/>
    <xf numFmtId="43" fontId="0" fillId="0" borderId="0" xfId="0" applyNumberFormat="1" applyProtection="1"/>
    <xf numFmtId="43" fontId="0" fillId="0" borderId="0" xfId="196" applyNumberFormat="1" applyFont="1" applyProtection="1"/>
    <xf numFmtId="0" fontId="39" fillId="0" borderId="0" xfId="0" quotePrefix="1" applyFont="1" applyAlignment="1" applyProtection="1">
      <alignment horizontal="left"/>
    </xf>
    <xf numFmtId="0" fontId="47" fillId="0" borderId="0" xfId="0" applyFont="1" applyFill="1" applyProtection="1"/>
    <xf numFmtId="170" fontId="0" fillId="0" borderId="0" xfId="106" applyNumberFormat="1" applyFont="1" applyProtection="1"/>
    <xf numFmtId="0" fontId="9" fillId="0" borderId="0" xfId="0" applyFont="1" applyAlignment="1" applyProtection="1">
      <alignment horizontal="left"/>
    </xf>
    <xf numFmtId="0" fontId="7" fillId="0" borderId="0" xfId="191" applyNumberFormat="1" applyFont="1" applyBorder="1" applyAlignment="1" applyProtection="1"/>
    <xf numFmtId="3" fontId="7" fillId="0" borderId="0" xfId="191" applyNumberFormat="1" applyFont="1" applyAlignment="1" applyProtection="1"/>
    <xf numFmtId="10" fontId="7" fillId="0" borderId="0" xfId="191" applyNumberFormat="1" applyFont="1" applyAlignment="1" applyProtection="1"/>
    <xf numFmtId="166" fontId="7" fillId="0" borderId="0" xfId="191" applyNumberFormat="1" applyFont="1" applyAlignment="1" applyProtection="1"/>
    <xf numFmtId="43" fontId="7" fillId="0" borderId="0" xfId="86" applyFont="1" applyAlignment="1" applyProtection="1"/>
    <xf numFmtId="168" fontId="7" fillId="0" borderId="0" xfId="191" applyFont="1" applyAlignment="1" applyProtection="1"/>
    <xf numFmtId="168" fontId="7" fillId="0" borderId="0" xfId="191" applyFont="1" applyBorder="1" applyAlignment="1" applyProtection="1"/>
    <xf numFmtId="0" fontId="7" fillId="0" borderId="0" xfId="0" applyFont="1" applyProtection="1"/>
    <xf numFmtId="0" fontId="7" fillId="0" borderId="0" xfId="0" applyFont="1" applyFill="1" applyProtection="1"/>
    <xf numFmtId="0" fontId="7" fillId="26" borderId="0" xfId="86" applyNumberFormat="1" applyFont="1" applyFill="1" applyAlignment="1" applyProtection="1"/>
    <xf numFmtId="10" fontId="7" fillId="0" borderId="0" xfId="191" applyNumberFormat="1" applyFont="1" applyFill="1" applyAlignment="1" applyProtection="1">
      <alignment horizontal="right"/>
    </xf>
    <xf numFmtId="3" fontId="39" fillId="0" borderId="0" xfId="191" applyNumberFormat="1" applyFont="1" applyAlignment="1" applyProtection="1"/>
    <xf numFmtId="0" fontId="7" fillId="0" borderId="0" xfId="0" applyFont="1" applyFill="1" applyBorder="1" applyProtection="1"/>
    <xf numFmtId="3" fontId="48" fillId="0" borderId="0" xfId="191" applyNumberFormat="1" applyFont="1" applyAlignment="1" applyProtection="1">
      <alignment horizontal="center"/>
    </xf>
    <xf numFmtId="10" fontId="48" fillId="0" borderId="0" xfId="191" applyNumberFormat="1" applyFont="1" applyFill="1" applyAlignment="1" applyProtection="1">
      <alignment horizontal="center"/>
    </xf>
    <xf numFmtId="0" fontId="7" fillId="0" borderId="0" xfId="191" applyNumberFormat="1" applyFont="1" applyFill="1" applyBorder="1" applyAlignment="1" applyProtection="1">
      <alignment horizontal="right"/>
    </xf>
    <xf numFmtId="10" fontId="0" fillId="0" borderId="0" xfId="0" applyNumberFormat="1" applyAlignment="1" applyProtection="1">
      <alignment horizontal="center"/>
    </xf>
    <xf numFmtId="10" fontId="7" fillId="0" borderId="0" xfId="196" applyNumberFormat="1" applyFont="1" applyAlignment="1" applyProtection="1">
      <alignment horizontal="center"/>
    </xf>
    <xf numFmtId="10" fontId="7" fillId="0" borderId="0" xfId="196" applyNumberFormat="1" applyFont="1" applyFill="1" applyAlignment="1" applyProtection="1"/>
    <xf numFmtId="165" fontId="7" fillId="0" borderId="0" xfId="191" applyNumberFormat="1" applyFont="1" applyAlignment="1" applyProtection="1">
      <alignment horizontal="center"/>
    </xf>
    <xf numFmtId="165" fontId="7" fillId="0" borderId="0" xfId="191" applyNumberFormat="1" applyFont="1" applyBorder="1" applyAlignment="1" applyProtection="1">
      <alignment horizontal="center"/>
    </xf>
    <xf numFmtId="168" fontId="7" fillId="0" borderId="13" xfId="191" applyFont="1" applyBorder="1" applyAlignment="1" applyProtection="1"/>
    <xf numFmtId="0" fontId="7" fillId="0" borderId="0" xfId="191" applyNumberFormat="1" applyFont="1" applyBorder="1" applyAlignment="1" applyProtection="1">
      <alignment horizontal="center"/>
    </xf>
    <xf numFmtId="3" fontId="7" fillId="0" borderId="14" xfId="191" applyNumberFormat="1" applyFont="1" applyBorder="1" applyAlignment="1" applyProtection="1"/>
    <xf numFmtId="41" fontId="7" fillId="0" borderId="0" xfId="191" applyNumberFormat="1" applyFont="1" applyAlignment="1" applyProtection="1"/>
    <xf numFmtId="41" fontId="7" fillId="0" borderId="0" xfId="191" applyNumberFormat="1" applyFont="1" applyAlignment="1" applyProtection="1">
      <alignment horizontal="center"/>
    </xf>
    <xf numFmtId="41" fontId="7" fillId="0" borderId="0" xfId="191" applyNumberFormat="1" applyFont="1" applyBorder="1" applyAlignment="1" applyProtection="1">
      <alignment horizontal="center"/>
    </xf>
    <xf numFmtId="0" fontId="0" fillId="0" borderId="13" xfId="0" applyBorder="1" applyProtection="1"/>
    <xf numFmtId="0" fontId="0" fillId="0" borderId="14" xfId="0" applyBorder="1" applyProtection="1"/>
    <xf numFmtId="0" fontId="7" fillId="0" borderId="0" xfId="191" applyNumberFormat="1" applyFont="1" applyBorder="1" applyAlignment="1" applyProtection="1">
      <alignment horizontal="right"/>
    </xf>
    <xf numFmtId="10" fontId="48" fillId="0" borderId="0" xfId="196" applyNumberFormat="1" applyFont="1" applyFill="1" applyAlignment="1" applyProtection="1"/>
    <xf numFmtId="165" fontId="15" fillId="0" borderId="15" xfId="191" applyNumberFormat="1" applyFont="1" applyBorder="1" applyAlignment="1" applyProtection="1">
      <alignment horizontal="center"/>
    </xf>
    <xf numFmtId="0" fontId="7" fillId="27" borderId="6" xfId="191" applyNumberFormat="1" applyFont="1" applyFill="1" applyBorder="1" applyAlignment="1" applyProtection="1">
      <alignment horizontal="center"/>
    </xf>
    <xf numFmtId="169" fontId="7" fillId="0" borderId="6" xfId="191" applyNumberFormat="1" applyFont="1" applyBorder="1" applyAlignment="1" applyProtection="1">
      <alignment horizontal="center"/>
    </xf>
    <xf numFmtId="170" fontId="0" fillId="0" borderId="16" xfId="0" applyNumberFormat="1" applyBorder="1" applyProtection="1"/>
    <xf numFmtId="10" fontId="7" fillId="0" borderId="0" xfId="196" applyNumberFormat="1" applyFont="1" applyAlignment="1" applyProtection="1">
      <alignment horizontal="right"/>
    </xf>
    <xf numFmtId="0" fontId="63" fillId="0" borderId="0" xfId="0" applyFont="1" applyAlignment="1" applyProtection="1">
      <alignment horizontal="center"/>
    </xf>
    <xf numFmtId="10" fontId="7" fillId="0" borderId="0" xfId="191" applyNumberFormat="1" applyFont="1" applyFill="1" applyAlignment="1" applyProtection="1">
      <alignment horizontal="left"/>
    </xf>
    <xf numFmtId="41" fontId="7" fillId="0" borderId="0" xfId="191" applyNumberFormat="1" applyFont="1" applyBorder="1" applyAlignment="1" applyProtection="1"/>
    <xf numFmtId="41" fontId="7" fillId="0" borderId="0" xfId="191" applyNumberFormat="1" applyFont="1" applyFill="1" applyAlignment="1" applyProtection="1"/>
    <xf numFmtId="0" fontId="7" fillId="0" borderId="0" xfId="191" applyNumberFormat="1" applyFont="1" applyAlignment="1" applyProtection="1">
      <alignment horizontal="center"/>
    </xf>
    <xf numFmtId="169" fontId="0" fillId="0" borderId="0" xfId="0" applyNumberFormat="1" applyProtection="1"/>
    <xf numFmtId="0" fontId="7" fillId="0" borderId="0" xfId="0" applyFont="1" applyBorder="1" applyProtection="1"/>
    <xf numFmtId="41" fontId="7" fillId="0" borderId="0" xfId="191" quotePrefix="1" applyNumberFormat="1" applyFont="1" applyBorder="1" applyAlignment="1" applyProtection="1"/>
    <xf numFmtId="41" fontId="7" fillId="0" borderId="0" xfId="191" applyNumberFormat="1" applyFont="1" applyFill="1" applyBorder="1" applyAlignment="1" applyProtection="1">
      <alignment horizontal="right"/>
    </xf>
    <xf numFmtId="171" fontId="7" fillId="0" borderId="11" xfId="191" applyNumberFormat="1" applyFont="1" applyBorder="1" applyAlignment="1" applyProtection="1"/>
    <xf numFmtId="43" fontId="7" fillId="0" borderId="0" xfId="191" applyNumberFormat="1" applyFont="1" applyBorder="1" applyAlignment="1" applyProtection="1"/>
    <xf numFmtId="164" fontId="7" fillId="0" borderId="0" xfId="191" applyNumberFormat="1" applyFont="1" applyFill="1" applyBorder="1" applyAlignment="1" applyProtection="1">
      <alignment horizontal="left"/>
    </xf>
    <xf numFmtId="164" fontId="7" fillId="0" borderId="0" xfId="191" applyNumberFormat="1" applyFont="1" applyBorder="1" applyAlignment="1" applyProtection="1">
      <alignment horizontal="left"/>
    </xf>
    <xf numFmtId="3" fontId="7" fillId="0" borderId="0" xfId="191" applyNumberFormat="1" applyFont="1" applyAlignment="1" applyProtection="1">
      <alignment vertical="center" wrapText="1"/>
    </xf>
    <xf numFmtId="41" fontId="7" fillId="0" borderId="0" xfId="191" applyNumberFormat="1" applyFont="1" applyBorder="1" applyAlignment="1" applyProtection="1">
      <alignment vertical="center"/>
    </xf>
    <xf numFmtId="41" fontId="7" fillId="0" borderId="0" xfId="191" applyNumberFormat="1" applyFont="1" applyBorder="1" applyAlignment="1" applyProtection="1">
      <alignment horizontal="center" vertical="center"/>
    </xf>
    <xf numFmtId="0" fontId="39" fillId="0" borderId="0" xfId="0" applyFont="1" applyFill="1" applyBorder="1" applyProtection="1"/>
    <xf numFmtId="3" fontId="7" fillId="0" borderId="0" xfId="191" applyNumberFormat="1" applyFont="1" applyAlignment="1" applyProtection="1">
      <alignment horizontal="right"/>
    </xf>
    <xf numFmtId="41" fontId="7" fillId="0" borderId="0" xfId="191" applyNumberFormat="1" applyFont="1" applyAlignment="1" applyProtection="1">
      <alignment horizontal="right"/>
    </xf>
    <xf numFmtId="10" fontId="7" fillId="0" borderId="0" xfId="0" applyNumberFormat="1" applyFont="1" applyBorder="1" applyProtection="1"/>
    <xf numFmtId="0" fontId="7" fillId="0" borderId="0" xfId="0" applyFont="1" applyAlignment="1" applyProtection="1">
      <alignment horizontal="center"/>
    </xf>
    <xf numFmtId="10" fontId="7" fillId="0" borderId="0" xfId="191" applyNumberFormat="1" applyFont="1" applyFill="1" applyBorder="1" applyAlignment="1" applyProtection="1">
      <alignment horizontal="right"/>
    </xf>
    <xf numFmtId="169" fontId="7" fillId="0" borderId="0" xfId="86" applyNumberFormat="1" applyFont="1" applyBorder="1" applyProtection="1"/>
    <xf numFmtId="164" fontId="7" fillId="0" borderId="2" xfId="191" applyNumberFormat="1" applyFont="1" applyFill="1" applyBorder="1" applyAlignment="1" applyProtection="1">
      <alignment horizontal="left"/>
    </xf>
    <xf numFmtId="0" fontId="7" fillId="0" borderId="2" xfId="0" applyFont="1" applyFill="1" applyBorder="1" applyAlignment="1" applyProtection="1">
      <alignment horizontal="center"/>
    </xf>
    <xf numFmtId="41" fontId="7" fillId="0" borderId="2" xfId="0" applyNumberFormat="1" applyFont="1" applyBorder="1" applyProtection="1"/>
    <xf numFmtId="41" fontId="7" fillId="0" borderId="0" xfId="0" applyNumberFormat="1" applyFont="1" applyBorder="1" applyProtection="1"/>
    <xf numFmtId="0" fontId="7" fillId="0" borderId="0" xfId="0" applyFont="1" applyFill="1" applyBorder="1" applyAlignment="1" applyProtection="1"/>
    <xf numFmtId="3" fontId="14" fillId="0" borderId="0" xfId="191" applyNumberFormat="1" applyFont="1" applyFill="1" applyBorder="1" applyAlignment="1" applyProtection="1"/>
    <xf numFmtId="41" fontId="7" fillId="0" borderId="0" xfId="191" applyNumberFormat="1" applyFont="1" applyFill="1" applyBorder="1" applyAlignment="1" applyProtection="1"/>
    <xf numFmtId="3" fontId="14" fillId="0" borderId="0" xfId="191" applyNumberFormat="1" applyFont="1" applyFill="1" applyBorder="1" applyAlignment="1" applyProtection="1">
      <alignment horizontal="center"/>
    </xf>
    <xf numFmtId="41" fontId="14" fillId="0" borderId="0" xfId="191" applyNumberFormat="1" applyFont="1" applyFill="1" applyBorder="1" applyAlignment="1" applyProtection="1"/>
    <xf numFmtId="0" fontId="14" fillId="0" borderId="0" xfId="191" applyNumberFormat="1" applyFont="1" applyFill="1" applyBorder="1" applyAlignment="1" applyProtection="1"/>
    <xf numFmtId="0" fontId="6" fillId="0" borderId="0" xfId="0" applyFont="1" applyFill="1" applyProtection="1"/>
    <xf numFmtId="0" fontId="9" fillId="0" borderId="0" xfId="0" applyFont="1" applyFill="1" applyAlignment="1" applyProtection="1">
      <alignment horizontal="left"/>
    </xf>
    <xf numFmtId="3" fontId="7" fillId="0" borderId="0" xfId="191" applyNumberFormat="1" applyFont="1" applyFill="1" applyBorder="1" applyAlignment="1" applyProtection="1"/>
    <xf numFmtId="41" fontId="7" fillId="0" borderId="0" xfId="191" applyNumberFormat="1" applyFont="1" applyFill="1" applyBorder="1" applyAlignment="1" applyProtection="1">
      <alignment horizontal="center"/>
    </xf>
    <xf numFmtId="0" fontId="7" fillId="0" borderId="0" xfId="191" applyNumberFormat="1" applyFont="1" applyFill="1" applyBorder="1" applyProtection="1"/>
    <xf numFmtId="3" fontId="7" fillId="0" borderId="0" xfId="191" applyNumberFormat="1" applyFont="1" applyFill="1" applyBorder="1" applyAlignment="1" applyProtection="1">
      <alignment horizontal="center"/>
    </xf>
    <xf numFmtId="0" fontId="7" fillId="0" borderId="0" xfId="191" applyNumberFormat="1" applyFont="1" applyFill="1" applyBorder="1" applyAlignment="1" applyProtection="1"/>
    <xf numFmtId="41" fontId="7" fillId="0" borderId="11" xfId="191" applyNumberFormat="1" applyFont="1" applyFill="1" applyBorder="1" applyAlignment="1" applyProtection="1"/>
    <xf numFmtId="0" fontId="7" fillId="0" borderId="0" xfId="191" applyNumberFormat="1" applyFont="1" applyFill="1" applyBorder="1" applyAlignment="1" applyProtection="1">
      <alignment horizontal="center"/>
    </xf>
    <xf numFmtId="10" fontId="7" fillId="0" borderId="0" xfId="191" applyNumberFormat="1" applyFont="1" applyFill="1" applyBorder="1" applyAlignment="1" applyProtection="1"/>
    <xf numFmtId="167" fontId="7" fillId="0" borderId="0" xfId="191" applyNumberFormat="1" applyFont="1" applyFill="1" applyBorder="1" applyAlignment="1" applyProtection="1"/>
    <xf numFmtId="168" fontId="7" fillId="0" borderId="0" xfId="191" applyFont="1" applyFill="1" applyBorder="1" applyAlignment="1" applyProtection="1"/>
    <xf numFmtId="3" fontId="7" fillId="0" borderId="0" xfId="191" quotePrefix="1" applyNumberFormat="1" applyFont="1" applyFill="1" applyBorder="1" applyAlignment="1" applyProtection="1"/>
    <xf numFmtId="3" fontId="39" fillId="0" borderId="0" xfId="191" applyNumberFormat="1" applyFont="1" applyFill="1" applyBorder="1" applyAlignment="1" applyProtection="1">
      <alignment horizontal="right"/>
    </xf>
    <xf numFmtId="167" fontId="39" fillId="0" borderId="0" xfId="191" applyNumberFormat="1" applyFont="1" applyFill="1" applyBorder="1" applyAlignment="1" applyProtection="1"/>
    <xf numFmtId="3" fontId="39" fillId="0" borderId="0" xfId="191" quotePrefix="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169" fontId="7" fillId="0" borderId="0" xfId="86" applyNumberFormat="1" applyFont="1" applyFill="1" applyBorder="1" applyProtection="1"/>
    <xf numFmtId="41" fontId="48" fillId="0" borderId="0" xfId="191" applyNumberFormat="1" applyFont="1" applyFill="1" applyBorder="1" applyAlignment="1" applyProtection="1"/>
    <xf numFmtId="169" fontId="7" fillId="0" borderId="0" xfId="86" applyNumberFormat="1" applyFont="1" applyProtection="1"/>
    <xf numFmtId="41" fontId="7" fillId="0" borderId="0" xfId="0" applyNumberFormat="1" applyFont="1" applyProtection="1"/>
    <xf numFmtId="0" fontId="0" fillId="0" borderId="0" xfId="0" applyAlignment="1" applyProtection="1"/>
    <xf numFmtId="41" fontId="7" fillId="0" borderId="11" xfId="0" applyNumberFormat="1" applyFont="1" applyFill="1" applyBorder="1" applyProtection="1"/>
    <xf numFmtId="41" fontId="48" fillId="0" borderId="0" xfId="0" applyNumberFormat="1" applyFont="1" applyProtection="1"/>
    <xf numFmtId="0" fontId="0" fillId="0" borderId="0" xfId="0" applyFill="1" applyAlignment="1" applyProtection="1"/>
    <xf numFmtId="41" fontId="7" fillId="0" borderId="0" xfId="0" applyNumberFormat="1" applyFont="1" applyFill="1" applyProtection="1"/>
    <xf numFmtId="169" fontId="7" fillId="0" borderId="0" xfId="86" applyNumberFormat="1" applyFont="1" applyFill="1" applyProtection="1"/>
    <xf numFmtId="0" fontId="7" fillId="0" borderId="0" xfId="0" applyFont="1" applyFill="1" applyAlignment="1" applyProtection="1">
      <alignment horizontal="center"/>
    </xf>
    <xf numFmtId="10" fontId="7" fillId="0" borderId="11" xfId="0" applyNumberFormat="1" applyFont="1" applyFill="1" applyBorder="1" applyProtection="1"/>
    <xf numFmtId="9" fontId="7" fillId="0" borderId="11" xfId="196" applyFont="1" applyFill="1" applyBorder="1" applyProtection="1"/>
    <xf numFmtId="169" fontId="7" fillId="0" borderId="11" xfId="86" applyNumberFormat="1" applyFont="1" applyFill="1" applyBorder="1" applyAlignment="1" applyProtection="1"/>
    <xf numFmtId="41" fontId="0" fillId="0" borderId="0" xfId="0" applyNumberFormat="1" applyProtection="1"/>
    <xf numFmtId="41" fontId="7" fillId="0" borderId="11" xfId="0" applyNumberFormat="1" applyFont="1" applyBorder="1" applyProtection="1"/>
    <xf numFmtId="10" fontId="7" fillId="0" borderId="0" xfId="0" applyNumberFormat="1" applyFont="1" applyProtection="1"/>
    <xf numFmtId="10" fontId="48" fillId="0" borderId="0" xfId="0" applyNumberFormat="1" applyFont="1" applyProtection="1"/>
    <xf numFmtId="169" fontId="7" fillId="0" borderId="11" xfId="86" applyNumberFormat="1" applyFont="1" applyFill="1" applyBorder="1" applyProtection="1"/>
    <xf numFmtId="169" fontId="7" fillId="0" borderId="0" xfId="87" applyNumberFormat="1" applyFont="1" applyFill="1" applyBorder="1" applyProtection="1"/>
    <xf numFmtId="173" fontId="7" fillId="0" borderId="0" xfId="0" applyNumberFormat="1" applyFont="1" applyProtection="1"/>
    <xf numFmtId="10" fontId="7" fillId="0" borderId="0" xfId="0" applyNumberFormat="1" applyFont="1" applyFill="1" applyProtection="1"/>
    <xf numFmtId="43" fontId="7" fillId="0" borderId="0" xfId="86" applyFont="1" applyProtection="1"/>
    <xf numFmtId="43" fontId="7" fillId="0" borderId="0" xfId="86" applyNumberFormat="1" applyFont="1" applyProtection="1"/>
    <xf numFmtId="169" fontId="7" fillId="0" borderId="0" xfId="0" applyNumberFormat="1" applyFont="1" applyProtection="1"/>
    <xf numFmtId="0" fontId="7" fillId="0" borderId="0" xfId="0" applyNumberFormat="1" applyFont="1" applyBorder="1" applyAlignment="1" applyProtection="1">
      <alignment horizontal="center"/>
    </xf>
    <xf numFmtId="169" fontId="7" fillId="0" borderId="0" xfId="0" applyNumberFormat="1" applyFont="1" applyBorder="1" applyProtection="1"/>
    <xf numFmtId="170" fontId="7" fillId="0" borderId="0" xfId="0" applyNumberFormat="1" applyFont="1" applyBorder="1" applyProtection="1"/>
    <xf numFmtId="0" fontId="65" fillId="0" borderId="0" xfId="0" quotePrefix="1" applyFont="1" applyAlignment="1" applyProtection="1">
      <alignment horizontal="left"/>
    </xf>
    <xf numFmtId="0" fontId="0" fillId="0" borderId="0" xfId="0" quotePrefix="1" applyAlignment="1" applyProtection="1">
      <alignment horizontal="left"/>
    </xf>
    <xf numFmtId="0" fontId="66" fillId="0" borderId="0" xfId="0" quotePrefix="1" applyFont="1" applyAlignment="1" applyProtection="1">
      <alignment horizontal="left"/>
    </xf>
    <xf numFmtId="0" fontId="7" fillId="0" borderId="17" xfId="0" quotePrefix="1" applyFont="1" applyFill="1" applyBorder="1" applyAlignment="1" applyProtection="1">
      <alignment horizontal="left"/>
    </xf>
    <xf numFmtId="0" fontId="0" fillId="0" borderId="48" xfId="0" quotePrefix="1" applyBorder="1" applyAlignment="1" applyProtection="1">
      <alignment horizontal="left"/>
    </xf>
    <xf numFmtId="0" fontId="54" fillId="0" borderId="39" xfId="0" quotePrefix="1" applyFont="1" applyFill="1" applyBorder="1" applyAlignment="1" applyProtection="1">
      <alignment horizontal="right"/>
    </xf>
    <xf numFmtId="0" fontId="83" fillId="0" borderId="14" xfId="0" applyFont="1" applyBorder="1" applyProtection="1"/>
    <xf numFmtId="10" fontId="1" fillId="0" borderId="0" xfId="0" applyNumberFormat="1" applyFont="1" applyFill="1" applyProtection="1"/>
    <xf numFmtId="169" fontId="54" fillId="0" borderId="39" xfId="86" applyNumberFormat="1" applyFont="1" applyFill="1" applyBorder="1" applyProtection="1"/>
    <xf numFmtId="179" fontId="54" fillId="0" borderId="39" xfId="196" applyNumberFormat="1" applyFont="1" applyFill="1" applyBorder="1" applyProtection="1"/>
    <xf numFmtId="0" fontId="83" fillId="0" borderId="49" xfId="0" applyFont="1" applyBorder="1" applyProtection="1"/>
    <xf numFmtId="0" fontId="83" fillId="0" borderId="47" xfId="0" applyFont="1" applyBorder="1" applyProtection="1"/>
    <xf numFmtId="41" fontId="54" fillId="0" borderId="39" xfId="0" applyNumberFormat="1" applyFont="1" applyFill="1" applyBorder="1" applyProtection="1"/>
    <xf numFmtId="3" fontId="54" fillId="0" borderId="43" xfId="0" applyNumberFormat="1" applyFont="1" applyBorder="1" applyProtection="1"/>
    <xf numFmtId="10" fontId="54" fillId="0" borderId="13" xfId="0" applyNumberFormat="1" applyFont="1" applyFill="1" applyBorder="1" applyProtection="1"/>
    <xf numFmtId="0" fontId="54" fillId="0" borderId="14" xfId="0" applyFont="1" applyBorder="1" applyProtection="1"/>
    <xf numFmtId="41" fontId="54" fillId="0" borderId="13" xfId="0" applyNumberFormat="1" applyFont="1" applyBorder="1" applyProtection="1"/>
    <xf numFmtId="10" fontId="54" fillId="0" borderId="13" xfId="0" applyNumberFormat="1" applyFont="1" applyBorder="1" applyProtection="1"/>
    <xf numFmtId="0" fontId="54" fillId="0" borderId="20" xfId="0" applyFont="1" applyBorder="1" applyProtection="1"/>
    <xf numFmtId="169" fontId="54" fillId="0" borderId="39" xfId="0" applyNumberFormat="1" applyFont="1" applyBorder="1" applyProtection="1"/>
    <xf numFmtId="169" fontId="54" fillId="0" borderId="45" xfId="0" applyNumberFormat="1" applyFont="1" applyBorder="1" applyProtection="1"/>
    <xf numFmtId="0" fontId="54" fillId="0" borderId="50" xfId="0" applyFont="1" applyBorder="1" applyProtection="1"/>
    <xf numFmtId="0" fontId="7" fillId="0" borderId="0" xfId="0" applyNumberFormat="1" applyFont="1" applyFill="1" applyAlignment="1" applyProtection="1">
      <alignment horizontal="center"/>
    </xf>
    <xf numFmtId="169" fontId="54" fillId="0" borderId="46" xfId="0" applyNumberFormat="1" applyFont="1" applyBorder="1" applyProtection="1"/>
    <xf numFmtId="0" fontId="54" fillId="0" borderId="16" xfId="0" applyFont="1" applyBorder="1" applyProtection="1"/>
    <xf numFmtId="0" fontId="5" fillId="0" borderId="0" xfId="0" applyFont="1" applyProtection="1"/>
    <xf numFmtId="169" fontId="54" fillId="0" borderId="24" xfId="0" applyNumberFormat="1" applyFont="1" applyBorder="1" applyProtection="1"/>
    <xf numFmtId="169" fontId="54" fillId="0" borderId="25" xfId="0" applyNumberFormat="1" applyFont="1" applyBorder="1" applyProtection="1"/>
    <xf numFmtId="43" fontId="54" fillId="0" borderId="26" xfId="86" applyFont="1" applyBorder="1" applyProtection="1"/>
    <xf numFmtId="0" fontId="50" fillId="0" borderId="0" xfId="0" applyFont="1" applyFill="1" applyProtection="1"/>
    <xf numFmtId="0" fontId="0" fillId="0" borderId="0" xfId="0" applyAlignment="1" applyProtection="1">
      <alignment wrapText="1"/>
    </xf>
    <xf numFmtId="0" fontId="7" fillId="0" borderId="0" xfId="86" applyNumberFormat="1" applyFont="1" applyFill="1" applyAlignment="1" applyProtection="1"/>
    <xf numFmtId="168" fontId="15" fillId="0" borderId="17" xfId="191" applyFont="1" applyBorder="1" applyAlignment="1" applyProtection="1"/>
    <xf numFmtId="168" fontId="7" fillId="0" borderId="18" xfId="191" applyFont="1" applyBorder="1" applyAlignment="1" applyProtection="1"/>
    <xf numFmtId="3" fontId="7" fillId="0" borderId="19" xfId="191" applyNumberFormat="1" applyFont="1" applyBorder="1" applyAlignment="1" applyProtection="1"/>
    <xf numFmtId="0" fontId="7" fillId="27" borderId="0" xfId="191" applyNumberFormat="1" applyFont="1" applyFill="1" applyBorder="1" applyAlignment="1" applyProtection="1">
      <alignment horizontal="center"/>
    </xf>
    <xf numFmtId="166" fontId="7" fillId="0" borderId="0" xfId="191" applyNumberFormat="1" applyFont="1" applyAlignment="1" applyProtection="1">
      <alignment horizontal="center"/>
    </xf>
    <xf numFmtId="167" fontId="7" fillId="0" borderId="0" xfId="191" applyNumberFormat="1" applyFont="1" applyAlignment="1" applyProtection="1"/>
    <xf numFmtId="0" fontId="7" fillId="0" borderId="0" xfId="0" quotePrefix="1" applyFont="1" applyBorder="1" applyAlignment="1" applyProtection="1">
      <alignment horizontal="right"/>
    </xf>
    <xf numFmtId="170" fontId="0" fillId="0" borderId="0" xfId="0" applyNumberFormat="1" applyBorder="1" applyProtection="1"/>
    <xf numFmtId="170" fontId="0" fillId="0" borderId="14" xfId="0" applyNumberFormat="1" applyBorder="1" applyProtection="1"/>
    <xf numFmtId="0" fontId="0" fillId="0" borderId="0" xfId="0" quotePrefix="1" applyBorder="1" applyAlignment="1" applyProtection="1">
      <alignment horizontal="right"/>
    </xf>
    <xf numFmtId="170" fontId="0" fillId="0" borderId="6" xfId="0" applyNumberFormat="1" applyBorder="1" applyProtection="1"/>
    <xf numFmtId="167" fontId="48" fillId="0" borderId="0" xfId="191" applyNumberFormat="1" applyFont="1" applyAlignment="1" applyProtection="1"/>
    <xf numFmtId="0" fontId="0" fillId="0" borderId="0" xfId="0" applyBorder="1" applyAlignment="1" applyProtection="1">
      <alignment horizontal="right"/>
    </xf>
    <xf numFmtId="169" fontId="0" fillId="0" borderId="0" xfId="0" applyNumberFormat="1" applyBorder="1" applyProtection="1"/>
    <xf numFmtId="172" fontId="7" fillId="0" borderId="0" xfId="191" applyNumberFormat="1" applyFont="1" applyAlignment="1" applyProtection="1"/>
    <xf numFmtId="165" fontId="7" fillId="0" borderId="15" xfId="191" applyNumberFormat="1" applyFont="1" applyBorder="1" applyAlignment="1" applyProtection="1">
      <alignment horizontal="center"/>
    </xf>
    <xf numFmtId="0" fontId="7" fillId="0" borderId="6" xfId="191" applyNumberFormat="1" applyFont="1" applyBorder="1" applyAlignment="1" applyProtection="1">
      <alignment horizontal="center"/>
    </xf>
    <xf numFmtId="169" fontId="7" fillId="0" borderId="6" xfId="191" quotePrefix="1" applyNumberFormat="1" applyFont="1" applyBorder="1" applyAlignment="1" applyProtection="1">
      <alignment horizontal="center"/>
    </xf>
    <xf numFmtId="177" fontId="7" fillId="0" borderId="6" xfId="191" quotePrefix="1" applyNumberFormat="1" applyFont="1" applyBorder="1" applyAlignment="1" applyProtection="1">
      <alignment horizontal="center"/>
    </xf>
    <xf numFmtId="169" fontId="1" fillId="0" borderId="6" xfId="191" applyNumberFormat="1" applyFont="1" applyFill="1" applyBorder="1" applyAlignment="1" applyProtection="1">
      <alignment horizontal="center"/>
    </xf>
    <xf numFmtId="178" fontId="7" fillId="0" borderId="0" xfId="191" applyNumberFormat="1" applyFont="1" applyBorder="1" applyAlignment="1" applyProtection="1">
      <alignment horizontal="center"/>
    </xf>
    <xf numFmtId="169" fontId="7" fillId="0" borderId="0" xfId="191" applyNumberFormat="1" applyFont="1" applyBorder="1" applyAlignment="1" applyProtection="1">
      <alignment horizontal="center"/>
    </xf>
    <xf numFmtId="164" fontId="7" fillId="0" borderId="2" xfId="191" applyNumberFormat="1" applyFont="1" applyBorder="1" applyAlignment="1" applyProtection="1">
      <alignment horizontal="left"/>
    </xf>
    <xf numFmtId="0" fontId="7" fillId="0" borderId="2" xfId="0" applyFont="1" applyBorder="1" applyAlignment="1" applyProtection="1">
      <alignment horizontal="center"/>
    </xf>
    <xf numFmtId="0" fontId="1" fillId="0" borderId="0" xfId="191" applyNumberFormat="1" applyFont="1" applyFill="1" applyBorder="1" applyAlignment="1" applyProtection="1"/>
    <xf numFmtId="0" fontId="7" fillId="0" borderId="0" xfId="0" applyFont="1" applyBorder="1" applyAlignment="1" applyProtection="1">
      <alignment horizontal="center"/>
    </xf>
    <xf numFmtId="41" fontId="1" fillId="0" borderId="0" xfId="191" applyNumberFormat="1" applyFont="1" applyFill="1" applyBorder="1" applyAlignment="1" applyProtection="1"/>
    <xf numFmtId="3" fontId="14" fillId="0" borderId="2" xfId="191" applyNumberFormat="1" applyFont="1" applyFill="1" applyBorder="1" applyAlignment="1" applyProtection="1"/>
    <xf numFmtId="41" fontId="7" fillId="0" borderId="2" xfId="191" applyNumberFormat="1" applyFont="1" applyFill="1" applyBorder="1" applyAlignment="1" applyProtection="1"/>
    <xf numFmtId="41" fontId="48" fillId="0" borderId="11" xfId="191" applyNumberFormat="1" applyFont="1" applyFill="1" applyBorder="1" applyAlignment="1" applyProtection="1"/>
    <xf numFmtId="10" fontId="7" fillId="0" borderId="0" xfId="0" applyNumberFormat="1" applyFont="1" applyFill="1" applyBorder="1" applyProtection="1"/>
    <xf numFmtId="9" fontId="7" fillId="0" borderId="0" xfId="196" applyFont="1" applyFill="1" applyBorder="1" applyProtection="1"/>
    <xf numFmtId="169" fontId="7" fillId="0" borderId="0" xfId="86" applyNumberFormat="1" applyFont="1" applyFill="1" applyBorder="1" applyAlignment="1" applyProtection="1"/>
    <xf numFmtId="41" fontId="56" fillId="0" borderId="0" xfId="0" applyNumberFormat="1" applyFont="1" applyProtection="1"/>
    <xf numFmtId="10" fontId="0" fillId="0" borderId="0" xfId="0" applyNumberFormat="1" applyProtection="1"/>
    <xf numFmtId="164" fontId="1" fillId="0" borderId="0" xfId="196" applyNumberFormat="1" applyProtection="1"/>
    <xf numFmtId="169" fontId="7" fillId="0" borderId="0" xfId="87" applyNumberFormat="1" applyFont="1" applyFill="1" applyProtection="1"/>
    <xf numFmtId="169" fontId="7" fillId="0" borderId="11" xfId="87" applyNumberFormat="1" applyFont="1" applyFill="1" applyBorder="1" applyProtection="1"/>
    <xf numFmtId="0" fontId="7" fillId="0" borderId="38" xfId="0" quotePrefix="1" applyFont="1" applyFill="1" applyBorder="1" applyAlignment="1" applyProtection="1">
      <alignment horizontal="left"/>
    </xf>
    <xf numFmtId="0" fontId="7" fillId="0" borderId="19" xfId="0" applyFont="1" applyFill="1" applyBorder="1" applyProtection="1"/>
    <xf numFmtId="0" fontId="7" fillId="0" borderId="14" xfId="0" applyFont="1" applyFill="1" applyBorder="1" applyProtection="1"/>
    <xf numFmtId="10" fontId="54" fillId="0" borderId="39" xfId="0" applyNumberFormat="1" applyFont="1" applyFill="1" applyBorder="1" applyProtection="1"/>
    <xf numFmtId="169" fontId="54" fillId="0" borderId="39" xfId="87" applyNumberFormat="1" applyFont="1" applyFill="1" applyBorder="1" applyProtection="1"/>
    <xf numFmtId="0" fontId="7" fillId="0" borderId="49" xfId="0" applyFont="1" applyFill="1" applyBorder="1" applyProtection="1"/>
    <xf numFmtId="166" fontId="54" fillId="0" borderId="39" xfId="0" applyNumberFormat="1" applyFont="1" applyFill="1" applyBorder="1" applyProtection="1"/>
    <xf numFmtId="0" fontId="7" fillId="0" borderId="47" xfId="0" applyFont="1" applyFill="1" applyBorder="1" applyProtection="1"/>
    <xf numFmtId="41" fontId="54" fillId="0" borderId="13" xfId="0" applyNumberFormat="1" applyFont="1" applyFill="1" applyBorder="1" applyProtection="1"/>
    <xf numFmtId="3" fontId="7" fillId="0" borderId="43" xfId="0" applyNumberFormat="1" applyFont="1" applyFill="1" applyBorder="1" applyProtection="1"/>
    <xf numFmtId="0" fontId="7" fillId="0" borderId="20" xfId="0" applyFont="1" applyFill="1" applyBorder="1" applyProtection="1"/>
    <xf numFmtId="169" fontId="54" fillId="0" borderId="44" xfId="0" applyNumberFormat="1" applyFont="1" applyFill="1" applyBorder="1" applyProtection="1"/>
    <xf numFmtId="169" fontId="54" fillId="0" borderId="46" xfId="0" applyNumberFormat="1" applyFont="1" applyFill="1" applyBorder="1" applyProtection="1"/>
    <xf numFmtId="0" fontId="7" fillId="0" borderId="16" xfId="0" applyFont="1" applyFill="1" applyBorder="1" applyProtection="1"/>
    <xf numFmtId="169" fontId="54" fillId="0" borderId="25" xfId="86" applyNumberFormat="1" applyFont="1" applyBorder="1" applyProtection="1"/>
    <xf numFmtId="169" fontId="54" fillId="0" borderId="26" xfId="86" applyNumberFormat="1" applyFont="1" applyBorder="1" applyProtection="1"/>
    <xf numFmtId="0" fontId="50" fillId="0" borderId="0" xfId="0" quotePrefix="1" applyFont="1" applyAlignment="1" applyProtection="1">
      <alignment horizontal="left"/>
    </xf>
    <xf numFmtId="0" fontId="46" fillId="0" borderId="0" xfId="0" applyFont="1" applyAlignment="1" applyProtection="1">
      <alignment horizontal="right"/>
    </xf>
    <xf numFmtId="0" fontId="67" fillId="0" borderId="0" xfId="0" applyFont="1" applyFill="1" applyAlignment="1" applyProtection="1">
      <alignment horizontal="right"/>
    </xf>
    <xf numFmtId="0" fontId="50" fillId="0" borderId="0" xfId="0" applyFont="1" applyProtection="1"/>
    <xf numFmtId="0" fontId="46" fillId="0" borderId="0" xfId="0" quotePrefix="1" applyFont="1" applyAlignment="1" applyProtection="1">
      <alignment horizontal="right"/>
    </xf>
    <xf numFmtId="0" fontId="68" fillId="0" borderId="0" xfId="0" quotePrefix="1" applyFont="1" applyAlignment="1" applyProtection="1">
      <alignment horizontal="left"/>
    </xf>
    <xf numFmtId="0" fontId="39" fillId="0" borderId="0" xfId="0" applyFont="1" applyAlignment="1" applyProtection="1">
      <alignment horizontal="left"/>
    </xf>
    <xf numFmtId="0" fontId="51" fillId="26" borderId="0" xfId="86" applyNumberFormat="1" applyFont="1" applyFill="1" applyAlignment="1" applyProtection="1">
      <alignment horizontal="left"/>
    </xf>
    <xf numFmtId="0" fontId="39" fillId="0" borderId="17" xfId="0" applyFont="1" applyBorder="1" applyProtection="1"/>
    <xf numFmtId="0" fontId="39" fillId="0" borderId="18" xfId="0" applyFont="1" applyBorder="1" applyProtection="1"/>
    <xf numFmtId="0" fontId="7" fillId="0" borderId="18" xfId="0" applyFont="1" applyBorder="1" applyProtection="1"/>
    <xf numFmtId="169" fontId="39" fillId="0" borderId="19" xfId="86" applyNumberFormat="1" applyFont="1" applyBorder="1" applyProtection="1"/>
    <xf numFmtId="0" fontId="14" fillId="0" borderId="0" xfId="86" applyNumberFormat="1" applyFont="1" applyFill="1" applyAlignment="1" applyProtection="1">
      <alignment horizontal="left"/>
    </xf>
    <xf numFmtId="0" fontId="14" fillId="0" borderId="0" xfId="86" applyNumberFormat="1" applyFont="1" applyFill="1" applyBorder="1" applyAlignment="1" applyProtection="1">
      <alignment horizontal="left"/>
    </xf>
    <xf numFmtId="0" fontId="39" fillId="0" borderId="13" xfId="0" applyFont="1" applyBorder="1" applyProtection="1"/>
    <xf numFmtId="0" fontId="9" fillId="0" borderId="0" xfId="86" applyNumberFormat="1" applyFont="1" applyFill="1" applyBorder="1" applyAlignment="1" applyProtection="1">
      <alignment horizontal="left"/>
    </xf>
    <xf numFmtId="169" fontId="39" fillId="0" borderId="20" xfId="86" applyNumberFormat="1" applyFont="1" applyBorder="1" applyProtection="1"/>
    <xf numFmtId="0" fontId="39" fillId="0" borderId="0" xfId="0" applyFont="1" applyFill="1" applyProtection="1"/>
    <xf numFmtId="0" fontId="52" fillId="0" borderId="0" xfId="0" applyFont="1" applyFill="1" applyAlignment="1" applyProtection="1">
      <alignment horizontal="left"/>
    </xf>
    <xf numFmtId="169" fontId="39" fillId="0" borderId="15" xfId="86" applyNumberFormat="1" applyFont="1" applyBorder="1" applyProtection="1"/>
    <xf numFmtId="169" fontId="7" fillId="0" borderId="6" xfId="86" applyNumberFormat="1" applyFont="1" applyBorder="1" applyProtection="1"/>
    <xf numFmtId="169" fontId="7" fillId="0" borderId="16" xfId="86" applyNumberFormat="1" applyFont="1" applyBorder="1" applyProtection="1"/>
    <xf numFmtId="0" fontId="53" fillId="0" borderId="0" xfId="0" applyFont="1" applyFill="1" applyAlignment="1" applyProtection="1"/>
    <xf numFmtId="0" fontId="55" fillId="0" borderId="0" xfId="0" applyFont="1" applyFill="1" applyAlignment="1" applyProtection="1"/>
    <xf numFmtId="0" fontId="7" fillId="0" borderId="0" xfId="0" applyFont="1" applyFill="1" applyAlignment="1" applyProtection="1">
      <alignment wrapText="1"/>
    </xf>
    <xf numFmtId="0" fontId="7" fillId="0" borderId="0" xfId="0" applyFont="1" applyFill="1" applyBorder="1" applyAlignment="1" applyProtection="1">
      <alignment wrapText="1"/>
    </xf>
    <xf numFmtId="0" fontId="39" fillId="0" borderId="21" xfId="0" applyFont="1" applyFill="1" applyBorder="1" applyAlignment="1" applyProtection="1">
      <alignment horizontal="center"/>
    </xf>
    <xf numFmtId="0" fontId="61" fillId="27" borderId="22" xfId="0" applyFont="1" applyFill="1" applyBorder="1" applyAlignment="1" applyProtection="1">
      <alignment horizontal="center"/>
    </xf>
    <xf numFmtId="0" fontId="39" fillId="0" borderId="22" xfId="0" applyFont="1" applyFill="1" applyBorder="1" applyAlignment="1" applyProtection="1">
      <alignment horizontal="center"/>
    </xf>
    <xf numFmtId="0" fontId="39" fillId="0" borderId="23" xfId="0" applyFont="1" applyFill="1" applyBorder="1" applyAlignment="1" applyProtection="1">
      <alignment horizontal="center"/>
    </xf>
    <xf numFmtId="0" fontId="39" fillId="0" borderId="0" xfId="0" applyFont="1" applyFill="1" applyBorder="1" applyAlignment="1" applyProtection="1">
      <alignment horizontal="center"/>
    </xf>
    <xf numFmtId="0" fontId="0" fillId="0" borderId="0" xfId="0" applyBorder="1" applyAlignment="1" applyProtection="1"/>
    <xf numFmtId="0" fontId="7" fillId="0" borderId="13" xfId="0" applyFont="1" applyFill="1" applyBorder="1" applyAlignment="1" applyProtection="1"/>
    <xf numFmtId="169" fontId="54" fillId="26" borderId="14" xfId="86" applyNumberFormat="1" applyFont="1" applyFill="1" applyBorder="1" applyAlignment="1" applyProtection="1">
      <alignment horizontal="right"/>
    </xf>
    <xf numFmtId="0" fontId="39" fillId="0" borderId="19" xfId="0" applyFont="1" applyFill="1" applyBorder="1" applyAlignment="1" applyProtection="1">
      <alignment horizontal="center"/>
    </xf>
    <xf numFmtId="0" fontId="7" fillId="0" borderId="13" xfId="0" applyFont="1" applyFill="1" applyBorder="1" applyProtection="1"/>
    <xf numFmtId="0" fontId="54" fillId="26" borderId="14" xfId="0" applyFont="1" applyFill="1" applyBorder="1" applyAlignment="1" applyProtection="1">
      <alignment horizontal="right"/>
    </xf>
    <xf numFmtId="169" fontId="7" fillId="0" borderId="14" xfId="0" applyNumberFormat="1" applyFont="1" applyFill="1" applyBorder="1" applyAlignment="1" applyProtection="1">
      <alignment horizontal="right"/>
    </xf>
    <xf numFmtId="169" fontId="7" fillId="0" borderId="0" xfId="0" applyNumberFormat="1" applyFont="1" applyFill="1" applyBorder="1" applyAlignment="1" applyProtection="1">
      <alignment horizontal="right"/>
    </xf>
    <xf numFmtId="10" fontId="7" fillId="0" borderId="14" xfId="0" applyNumberFormat="1" applyFont="1" applyBorder="1" applyProtection="1"/>
    <xf numFmtId="169" fontId="7" fillId="0" borderId="14" xfId="86" applyNumberFormat="1" applyFont="1" applyBorder="1" applyProtection="1"/>
    <xf numFmtId="0" fontId="39" fillId="0" borderId="24" xfId="0" applyFont="1" applyBorder="1" applyAlignment="1" applyProtection="1">
      <alignment horizontal="center"/>
    </xf>
    <xf numFmtId="169" fontId="39" fillId="0" borderId="24" xfId="86" quotePrefix="1" applyNumberFormat="1" applyFont="1" applyBorder="1" applyAlignment="1" applyProtection="1">
      <alignment horizontal="center" wrapText="1"/>
    </xf>
    <xf numFmtId="169" fontId="39" fillId="0" borderId="24" xfId="86" applyNumberFormat="1" applyFont="1" applyBorder="1" applyAlignment="1" applyProtection="1">
      <alignment horizontal="center"/>
    </xf>
    <xf numFmtId="169" fontId="39" fillId="0" borderId="19" xfId="86" applyNumberFormat="1" applyFont="1" applyFill="1" applyBorder="1" applyAlignment="1" applyProtection="1">
      <alignment horizontal="center" wrapText="1"/>
    </xf>
    <xf numFmtId="169" fontId="39" fillId="0" borderId="19" xfId="86" applyNumberFormat="1" applyFont="1" applyBorder="1" applyAlignment="1" applyProtection="1">
      <alignment horizontal="center" wrapText="1"/>
    </xf>
    <xf numFmtId="0" fontId="39" fillId="0" borderId="25" xfId="0" applyFont="1" applyBorder="1" applyAlignment="1" applyProtection="1">
      <alignment horizontal="center"/>
    </xf>
    <xf numFmtId="169" fontId="39" fillId="0" borderId="24" xfId="86" applyNumberFormat="1" applyFont="1" applyFill="1" applyBorder="1" applyAlignment="1" applyProtection="1">
      <alignment horizontal="center" wrapText="1"/>
    </xf>
    <xf numFmtId="169" fontId="39" fillId="0" borderId="24" xfId="86" applyNumberFormat="1" applyFont="1" applyBorder="1" applyAlignment="1" applyProtection="1">
      <alignment horizontal="center" wrapText="1"/>
    </xf>
    <xf numFmtId="0" fontId="39" fillId="0" borderId="26" xfId="0" applyFont="1" applyBorder="1" applyAlignment="1" applyProtection="1">
      <alignment horizontal="center"/>
    </xf>
    <xf numFmtId="0" fontId="39" fillId="0" borderId="26" xfId="0" applyFont="1" applyBorder="1" applyAlignment="1" applyProtection="1">
      <alignment horizontal="center" wrapText="1"/>
    </xf>
    <xf numFmtId="169" fontId="39" fillId="0" borderId="16" xfId="86" applyNumberFormat="1" applyFont="1" applyFill="1" applyBorder="1" applyAlignment="1" applyProtection="1">
      <alignment horizontal="center"/>
    </xf>
    <xf numFmtId="169" fontId="39" fillId="0" borderId="16" xfId="86" applyNumberFormat="1" applyFont="1" applyBorder="1" applyAlignment="1" applyProtection="1">
      <alignment horizontal="center"/>
    </xf>
    <xf numFmtId="0" fontId="39" fillId="0" borderId="26" xfId="0" applyFont="1" applyFill="1" applyBorder="1" applyAlignment="1" applyProtection="1">
      <alignment horizontal="center"/>
    </xf>
    <xf numFmtId="0" fontId="39" fillId="0" borderId="25" xfId="0" applyFont="1" applyFill="1" applyBorder="1" applyAlignment="1" applyProtection="1">
      <alignment horizontal="center"/>
    </xf>
    <xf numFmtId="169" fontId="39" fillId="0" borderId="26" xfId="86" applyNumberFormat="1" applyFont="1" applyBorder="1" applyAlignment="1" applyProtection="1">
      <alignment horizontal="center"/>
    </xf>
    <xf numFmtId="169" fontId="39" fillId="0" borderId="26" xfId="86" applyNumberFormat="1" applyFont="1" applyFill="1" applyBorder="1" applyAlignment="1" applyProtection="1">
      <alignment horizontal="center"/>
    </xf>
    <xf numFmtId="169" fontId="39" fillId="0" borderId="15" xfId="86" applyNumberFormat="1" applyFont="1" applyFill="1" applyBorder="1" applyAlignment="1" applyProtection="1">
      <alignment horizontal="center"/>
    </xf>
    <xf numFmtId="0" fontId="7" fillId="0" borderId="25" xfId="0" applyNumberFormat="1" applyFont="1" applyBorder="1" applyAlignment="1" applyProtection="1">
      <alignment horizontal="center"/>
    </xf>
    <xf numFmtId="169" fontId="78" fillId="26" borderId="0" xfId="0" applyNumberFormat="1" applyFont="1" applyFill="1" applyBorder="1" applyProtection="1"/>
    <xf numFmtId="169" fontId="78" fillId="26" borderId="24" xfId="86" applyNumberFormat="1" applyFont="1" applyFill="1" applyBorder="1" applyProtection="1"/>
    <xf numFmtId="169" fontId="78" fillId="26" borderId="25" xfId="86" applyNumberFormat="1" applyFont="1" applyFill="1" applyBorder="1" applyProtection="1"/>
    <xf numFmtId="169" fontId="78" fillId="26" borderId="14" xfId="86" applyNumberFormat="1" applyFont="1" applyFill="1" applyBorder="1" applyProtection="1"/>
    <xf numFmtId="170" fontId="7" fillId="0" borderId="14" xfId="0" applyNumberFormat="1" applyFont="1" applyBorder="1" applyProtection="1"/>
    <xf numFmtId="170" fontId="54" fillId="0" borderId="24" xfId="0" applyNumberFormat="1" applyFont="1" applyFill="1" applyBorder="1" applyProtection="1"/>
    <xf numFmtId="170" fontId="7" fillId="0" borderId="24" xfId="0" applyNumberFormat="1" applyFont="1" applyFill="1" applyBorder="1" applyProtection="1"/>
    <xf numFmtId="170" fontId="7" fillId="0" borderId="24" xfId="0" applyNumberFormat="1" applyFont="1" applyBorder="1" applyProtection="1"/>
    <xf numFmtId="170" fontId="7" fillId="0" borderId="25" xfId="0" applyNumberFormat="1" applyFont="1" applyBorder="1" applyProtection="1"/>
    <xf numFmtId="169" fontId="78" fillId="26" borderId="25" xfId="0" applyNumberFormat="1" applyFont="1" applyFill="1" applyBorder="1" applyProtection="1"/>
    <xf numFmtId="170" fontId="54" fillId="0" borderId="25" xfId="0" applyNumberFormat="1" applyFont="1" applyFill="1" applyBorder="1" applyProtection="1"/>
    <xf numFmtId="170" fontId="7" fillId="0" borderId="25" xfId="0" applyNumberFormat="1" applyFont="1" applyFill="1" applyBorder="1" applyProtection="1"/>
    <xf numFmtId="169" fontId="7" fillId="0" borderId="25" xfId="0" applyNumberFormat="1" applyFont="1" applyFill="1" applyBorder="1" applyProtection="1"/>
    <xf numFmtId="169" fontId="1" fillId="0" borderId="25" xfId="86" applyNumberFormat="1" applyBorder="1" applyProtection="1"/>
    <xf numFmtId="169" fontId="7" fillId="0" borderId="25" xfId="0" applyNumberFormat="1" applyFont="1" applyBorder="1" applyProtection="1"/>
    <xf numFmtId="169" fontId="7" fillId="0" borderId="25" xfId="86" applyNumberFormat="1" applyFont="1" applyBorder="1" applyProtection="1"/>
    <xf numFmtId="170" fontId="54" fillId="26" borderId="25" xfId="0" applyNumberFormat="1" applyFont="1" applyFill="1" applyBorder="1" applyProtection="1"/>
    <xf numFmtId="0" fontId="7" fillId="0" borderId="42" xfId="0" applyNumberFormat="1" applyFont="1" applyBorder="1" applyAlignment="1" applyProtection="1">
      <alignment horizontal="center"/>
    </xf>
    <xf numFmtId="169" fontId="7" fillId="0" borderId="42" xfId="0" applyNumberFormat="1" applyFont="1" applyFill="1" applyBorder="1" applyProtection="1"/>
    <xf numFmtId="169" fontId="1" fillId="0" borderId="42" xfId="86" applyNumberFormat="1" applyBorder="1" applyProtection="1"/>
    <xf numFmtId="169" fontId="7" fillId="0" borderId="42" xfId="0" applyNumberFormat="1" applyFont="1" applyBorder="1" applyProtection="1"/>
    <xf numFmtId="169" fontId="7" fillId="0" borderId="42" xfId="86" applyNumberFormat="1" applyFont="1" applyBorder="1" applyProtection="1"/>
    <xf numFmtId="169" fontId="7" fillId="0" borderId="43" xfId="86" applyNumberFormat="1" applyFont="1" applyBorder="1" applyProtection="1"/>
    <xf numFmtId="170" fontId="7" fillId="0" borderId="43" xfId="0" applyNumberFormat="1" applyFont="1" applyBorder="1" applyProtection="1"/>
    <xf numFmtId="170" fontId="54" fillId="26" borderId="42" xfId="0" applyNumberFormat="1" applyFont="1" applyFill="1" applyBorder="1" applyProtection="1"/>
    <xf numFmtId="170" fontId="7" fillId="0" borderId="42" xfId="0" applyNumberFormat="1" applyFont="1" applyBorder="1" applyProtection="1"/>
    <xf numFmtId="0" fontId="7" fillId="0" borderId="2" xfId="0" applyFont="1" applyBorder="1" applyProtection="1"/>
    <xf numFmtId="169" fontId="7" fillId="0" borderId="25" xfId="86" applyNumberFormat="1" applyFont="1" applyFill="1" applyBorder="1" applyProtection="1"/>
    <xf numFmtId="0" fontId="7" fillId="0" borderId="26" xfId="0" applyNumberFormat="1" applyFont="1" applyBorder="1" applyAlignment="1" applyProtection="1">
      <alignment horizontal="center"/>
    </xf>
    <xf numFmtId="169" fontId="7" fillId="0" borderId="26" xfId="0" applyNumberFormat="1" applyFont="1" applyFill="1" applyBorder="1" applyProtection="1"/>
    <xf numFmtId="169" fontId="1" fillId="0" borderId="26" xfId="86" applyNumberFormat="1" applyBorder="1" applyProtection="1"/>
    <xf numFmtId="169" fontId="7" fillId="0" borderId="26" xfId="0" applyNumberFormat="1" applyFont="1" applyBorder="1" applyProtection="1"/>
    <xf numFmtId="169" fontId="7" fillId="0" borderId="26" xfId="86" applyNumberFormat="1" applyFont="1" applyFill="1" applyBorder="1" applyProtection="1"/>
    <xf numFmtId="170" fontId="7" fillId="0" borderId="16" xfId="0" applyNumberFormat="1" applyFont="1" applyBorder="1" applyProtection="1"/>
    <xf numFmtId="170" fontId="54" fillId="26" borderId="26" xfId="0" applyNumberFormat="1" applyFont="1" applyFill="1" applyBorder="1" applyProtection="1"/>
    <xf numFmtId="170" fontId="7" fillId="0" borderId="26" xfId="0" applyNumberFormat="1" applyFont="1" applyBorder="1" applyProtection="1"/>
    <xf numFmtId="0" fontId="53" fillId="0" borderId="0" xfId="0" applyFont="1" applyFill="1" applyProtection="1"/>
    <xf numFmtId="0" fontId="46" fillId="0" borderId="0" xfId="0" applyFont="1" applyFill="1" applyAlignment="1" applyProtection="1">
      <alignment horizontal="right"/>
    </xf>
    <xf numFmtId="0" fontId="69" fillId="0" borderId="0" xfId="0" applyFont="1" applyProtection="1"/>
    <xf numFmtId="0" fontId="7" fillId="0" borderId="0" xfId="0" applyFont="1" applyAlignment="1" applyProtection="1">
      <alignment horizontal="left"/>
    </xf>
    <xf numFmtId="0" fontId="46" fillId="0" borderId="0" xfId="0" quotePrefix="1" applyFont="1" applyAlignment="1" applyProtection="1">
      <alignment horizontal="center"/>
    </xf>
    <xf numFmtId="0" fontId="9" fillId="0" borderId="0" xfId="0" applyFont="1" applyFill="1" applyProtection="1"/>
    <xf numFmtId="0" fontId="39" fillId="0" borderId="28" xfId="0" applyFont="1" applyFill="1" applyBorder="1" applyAlignment="1" applyProtection="1">
      <alignment horizontal="center"/>
    </xf>
    <xf numFmtId="168" fontId="7" fillId="0" borderId="29" xfId="191" applyFont="1" applyBorder="1" applyAlignment="1" applyProtection="1">
      <alignment horizontal="center"/>
    </xf>
    <xf numFmtId="168" fontId="7" fillId="0" borderId="29" xfId="191" quotePrefix="1" applyFont="1" applyBorder="1" applyAlignment="1" applyProtection="1">
      <alignment horizontal="center"/>
    </xf>
    <xf numFmtId="3" fontId="7" fillId="0" borderId="30" xfId="191" applyNumberFormat="1" applyFont="1" applyBorder="1" applyAlignment="1" applyProtection="1">
      <alignment horizontal="center"/>
    </xf>
    <xf numFmtId="0" fontId="55" fillId="0" borderId="24" xfId="0" applyFont="1" applyBorder="1" applyProtection="1"/>
    <xf numFmtId="169" fontId="7" fillId="0" borderId="13" xfId="86" quotePrefix="1" applyNumberFormat="1" applyFont="1" applyBorder="1" applyAlignment="1" applyProtection="1">
      <alignment horizontal="right"/>
    </xf>
    <xf numFmtId="169" fontId="39" fillId="0" borderId="0" xfId="86" applyNumberFormat="1" applyFont="1" applyBorder="1" applyProtection="1"/>
    <xf numFmtId="169" fontId="7" fillId="0" borderId="14" xfId="0" applyNumberFormat="1" applyFont="1" applyBorder="1" applyProtection="1"/>
    <xf numFmtId="0" fontId="57" fillId="0" borderId="31" xfId="86" applyNumberFormat="1" applyFont="1" applyFill="1" applyBorder="1" applyAlignment="1" applyProtection="1">
      <alignment horizontal="left"/>
    </xf>
    <xf numFmtId="169" fontId="7" fillId="0" borderId="32" xfId="86" quotePrefix="1" applyNumberFormat="1" applyFont="1" applyBorder="1" applyAlignment="1" applyProtection="1">
      <alignment horizontal="right"/>
    </xf>
    <xf numFmtId="169" fontId="39" fillId="0" borderId="11" xfId="86" applyNumberFormat="1" applyFont="1" applyBorder="1" applyProtection="1"/>
    <xf numFmtId="169" fontId="7" fillId="0" borderId="20" xfId="0" applyNumberFormat="1" applyFont="1" applyBorder="1" applyProtection="1"/>
    <xf numFmtId="0" fontId="52" fillId="0" borderId="0" xfId="0" applyFont="1" applyAlignment="1" applyProtection="1">
      <alignment horizontal="left"/>
    </xf>
    <xf numFmtId="169" fontId="55" fillId="0" borderId="26" xfId="86" applyNumberFormat="1" applyFont="1" applyBorder="1" applyProtection="1"/>
    <xf numFmtId="0" fontId="7" fillId="0" borderId="15" xfId="0" quotePrefix="1" applyFont="1" applyBorder="1" applyAlignment="1" applyProtection="1">
      <alignment horizontal="right"/>
    </xf>
    <xf numFmtId="169" fontId="39" fillId="0" borderId="6" xfId="86" applyNumberFormat="1" applyFont="1" applyFill="1" applyBorder="1" applyAlignment="1" applyProtection="1">
      <alignment horizontal="left"/>
    </xf>
    <xf numFmtId="169" fontId="39" fillId="0" borderId="16" xfId="86" applyNumberFormat="1" applyFont="1" applyFill="1" applyBorder="1" applyAlignment="1" applyProtection="1">
      <alignment horizontal="left"/>
    </xf>
    <xf numFmtId="169" fontId="55" fillId="0" borderId="0" xfId="0" applyNumberFormat="1" applyFont="1" applyAlignment="1" applyProtection="1">
      <alignment horizontal="left"/>
    </xf>
    <xf numFmtId="0" fontId="7" fillId="0" borderId="21" xfId="0" applyFont="1" applyFill="1" applyBorder="1" applyAlignment="1" applyProtection="1">
      <alignment horizontal="center"/>
    </xf>
    <xf numFmtId="0" fontId="39" fillId="0" borderId="22" xfId="0" applyFont="1" applyFill="1" applyBorder="1" applyAlignment="1" applyProtection="1"/>
    <xf numFmtId="0" fontId="0" fillId="0" borderId="22" xfId="0" applyBorder="1" applyAlignment="1" applyProtection="1"/>
    <xf numFmtId="0" fontId="0" fillId="0" borderId="23" xfId="0" applyBorder="1" applyAlignment="1" applyProtection="1"/>
    <xf numFmtId="0" fontId="0" fillId="0" borderId="0" xfId="0" applyFill="1" applyBorder="1" applyAlignment="1" applyProtection="1"/>
    <xf numFmtId="0" fontId="7" fillId="0" borderId="14" xfId="0" applyFont="1" applyFill="1" applyBorder="1" applyAlignment="1" applyProtection="1">
      <alignment horizontal="right"/>
    </xf>
    <xf numFmtId="0" fontId="7" fillId="0" borderId="16" xfId="0" applyFont="1" applyFill="1" applyBorder="1" applyAlignment="1" applyProtection="1">
      <alignment horizontal="right"/>
    </xf>
    <xf numFmtId="0" fontId="7" fillId="0" borderId="15" xfId="0" applyFont="1" applyBorder="1" applyProtection="1"/>
    <xf numFmtId="0" fontId="7" fillId="0" borderId="6" xfId="0" applyFont="1" applyBorder="1" applyAlignment="1" applyProtection="1">
      <alignment horizontal="center"/>
    </xf>
    <xf numFmtId="0" fontId="0" fillId="0" borderId="6" xfId="0" applyBorder="1" applyProtection="1"/>
    <xf numFmtId="0" fontId="39" fillId="0" borderId="24" xfId="0" applyFont="1" applyBorder="1" applyAlignment="1" applyProtection="1">
      <alignment horizontal="center" wrapText="1"/>
    </xf>
    <xf numFmtId="169" fontId="39" fillId="0" borderId="0" xfId="86" quotePrefix="1" applyNumberFormat="1" applyFont="1" applyBorder="1" applyAlignment="1" applyProtection="1">
      <alignment horizontal="center" wrapText="1"/>
    </xf>
    <xf numFmtId="0" fontId="39" fillId="0" borderId="25" xfId="0" applyFont="1" applyBorder="1" applyAlignment="1" applyProtection="1">
      <alignment horizontal="center" wrapText="1"/>
    </xf>
    <xf numFmtId="0" fontId="39" fillId="0" borderId="6" xfId="0" applyFont="1" applyBorder="1" applyAlignment="1" applyProtection="1">
      <alignment horizontal="center"/>
    </xf>
    <xf numFmtId="169" fontId="39" fillId="26" borderId="26" xfId="86" applyNumberFormat="1" applyFont="1" applyFill="1" applyBorder="1" applyAlignment="1" applyProtection="1">
      <alignment horizontal="center"/>
    </xf>
    <xf numFmtId="169" fontId="78" fillId="26" borderId="24" xfId="0" applyNumberFormat="1" applyFont="1" applyFill="1" applyBorder="1" applyProtection="1"/>
    <xf numFmtId="169" fontId="7" fillId="0" borderId="14" xfId="86" applyNumberFormat="1" applyFont="1" applyFill="1" applyBorder="1" applyProtection="1"/>
    <xf numFmtId="169" fontId="7" fillId="0" borderId="16" xfId="86" applyNumberFormat="1" applyFont="1" applyFill="1" applyBorder="1" applyProtection="1"/>
    <xf numFmtId="0" fontId="55" fillId="0" borderId="0" xfId="0" applyFont="1" applyProtection="1"/>
    <xf numFmtId="0" fontId="58" fillId="0" borderId="0" xfId="0" applyFont="1" applyFill="1" applyProtection="1"/>
    <xf numFmtId="0" fontId="46" fillId="0" borderId="0" xfId="0" applyFont="1" applyAlignment="1" applyProtection="1">
      <alignment horizontal="center"/>
    </xf>
    <xf numFmtId="0" fontId="68" fillId="0" borderId="0" xfId="0" applyFont="1" applyProtection="1"/>
    <xf numFmtId="169" fontId="7" fillId="0" borderId="0" xfId="0" applyNumberFormat="1" applyFont="1" applyFill="1" applyBorder="1" applyProtection="1"/>
    <xf numFmtId="169" fontId="39" fillId="26" borderId="16" xfId="86" applyNumberFormat="1" applyFont="1" applyFill="1" applyBorder="1" applyAlignment="1" applyProtection="1">
      <alignment horizontal="center"/>
    </xf>
    <xf numFmtId="0" fontId="7" fillId="0" borderId="25" xfId="0" applyNumberFormat="1" applyFont="1" applyFill="1" applyBorder="1" applyAlignment="1" applyProtection="1">
      <alignment horizontal="center"/>
    </xf>
    <xf numFmtId="169" fontId="7" fillId="0" borderId="13" xfId="0" applyNumberFormat="1" applyFont="1" applyFill="1" applyBorder="1" applyProtection="1"/>
    <xf numFmtId="169" fontId="7" fillId="0" borderId="14" xfId="86" applyNumberFormat="1" applyFont="1" applyFill="1" applyBorder="1" applyAlignment="1" applyProtection="1">
      <alignment horizontal="right"/>
    </xf>
    <xf numFmtId="170" fontId="46" fillId="0" borderId="0" xfId="0" quotePrefix="1" applyNumberFormat="1" applyFont="1" applyBorder="1" applyAlignment="1" applyProtection="1">
      <alignment horizontal="center"/>
    </xf>
    <xf numFmtId="170" fontId="7" fillId="0" borderId="14" xfId="0" applyNumberFormat="1" applyFont="1" applyFill="1" applyBorder="1" applyProtection="1"/>
    <xf numFmtId="170" fontId="7" fillId="0" borderId="0" xfId="0" applyNumberFormat="1" applyFont="1" applyFill="1" applyBorder="1" applyProtection="1"/>
    <xf numFmtId="170" fontId="7" fillId="0" borderId="19" xfId="0" applyNumberFormat="1" applyFont="1" applyBorder="1" applyProtection="1"/>
    <xf numFmtId="170" fontId="54" fillId="0" borderId="17" xfId="0" applyNumberFormat="1" applyFont="1" applyFill="1" applyBorder="1" applyProtection="1"/>
    <xf numFmtId="170" fontId="7" fillId="0" borderId="13" xfId="0" applyNumberFormat="1" applyFont="1" applyBorder="1" applyProtection="1"/>
    <xf numFmtId="170" fontId="54" fillId="0" borderId="13" xfId="0" applyNumberFormat="1" applyFont="1" applyFill="1" applyBorder="1" applyProtection="1"/>
    <xf numFmtId="0" fontId="81" fillId="0" borderId="0" xfId="191" applyNumberFormat="1" applyFont="1" applyFill="1" applyBorder="1" applyAlignment="1" applyProtection="1"/>
    <xf numFmtId="0" fontId="82" fillId="0" borderId="0" xfId="0" applyFont="1" applyAlignment="1" applyProtection="1">
      <alignment horizontal="left"/>
    </xf>
    <xf numFmtId="170" fontId="54" fillId="0" borderId="34" xfId="0" applyNumberFormat="1" applyFont="1" applyFill="1" applyBorder="1" applyProtection="1"/>
    <xf numFmtId="170" fontId="7" fillId="0" borderId="40" xfId="0" applyNumberFormat="1" applyFont="1" applyFill="1" applyBorder="1" applyProtection="1"/>
    <xf numFmtId="170" fontId="7" fillId="0" borderId="34" xfId="0" applyNumberFormat="1" applyFont="1" applyBorder="1" applyProtection="1"/>
    <xf numFmtId="170" fontId="7" fillId="0" borderId="40" xfId="0" applyNumberFormat="1" applyFont="1" applyBorder="1" applyProtection="1"/>
    <xf numFmtId="170" fontId="7" fillId="0" borderId="10" xfId="0" applyNumberFormat="1" applyFont="1" applyBorder="1" applyProtection="1"/>
    <xf numFmtId="169" fontId="1" fillId="0" borderId="0" xfId="86" applyNumberFormat="1" applyBorder="1" applyProtection="1"/>
    <xf numFmtId="169" fontId="78" fillId="26" borderId="14" xfId="86" applyNumberFormat="1" applyFont="1" applyFill="1" applyBorder="1" applyAlignment="1" applyProtection="1">
      <alignment horizontal="right"/>
    </xf>
    <xf numFmtId="169" fontId="39" fillId="0" borderId="31" xfId="86" applyNumberFormat="1" applyFont="1" applyBorder="1" applyAlignment="1" applyProtection="1">
      <alignment horizontal="center"/>
    </xf>
    <xf numFmtId="170" fontId="54" fillId="0" borderId="33" xfId="0" applyNumberFormat="1" applyFont="1" applyFill="1" applyBorder="1" applyProtection="1"/>
    <xf numFmtId="170" fontId="54" fillId="0" borderId="42" xfId="0" applyNumberFormat="1" applyFont="1" applyFill="1" applyBorder="1" applyProtection="1"/>
    <xf numFmtId="170" fontId="7" fillId="0" borderId="2" xfId="0" applyNumberFormat="1" applyFont="1" applyBorder="1" applyProtection="1"/>
    <xf numFmtId="170" fontId="7" fillId="0" borderId="33" xfId="0" applyNumberFormat="1" applyFont="1" applyBorder="1" applyProtection="1"/>
    <xf numFmtId="0" fontId="55" fillId="0" borderId="0" xfId="0" quotePrefix="1" applyFont="1" applyFill="1" applyAlignment="1" applyProtection="1">
      <alignment horizontal="left"/>
    </xf>
    <xf numFmtId="169" fontId="7" fillId="0" borderId="24" xfId="0" applyNumberFormat="1" applyFont="1" applyBorder="1" applyProtection="1"/>
    <xf numFmtId="170" fontId="54" fillId="26" borderId="24" xfId="0" applyNumberFormat="1" applyFont="1" applyFill="1" applyBorder="1" applyProtection="1"/>
    <xf numFmtId="170" fontId="7" fillId="0" borderId="17" xfId="0" applyNumberFormat="1" applyFont="1" applyFill="1" applyBorder="1" applyProtection="1"/>
    <xf numFmtId="170" fontId="54" fillId="0" borderId="18" xfId="0" applyNumberFormat="1" applyFont="1" applyFill="1" applyBorder="1" applyProtection="1"/>
    <xf numFmtId="170" fontId="7" fillId="0" borderId="13" xfId="0" applyNumberFormat="1" applyFont="1" applyFill="1" applyBorder="1" applyProtection="1"/>
    <xf numFmtId="170" fontId="54" fillId="0" borderId="0" xfId="0" applyNumberFormat="1" applyFont="1" applyFill="1" applyBorder="1" applyProtection="1"/>
    <xf numFmtId="169" fontId="7" fillId="0" borderId="26" xfId="86" applyNumberFormat="1" applyFont="1" applyBorder="1" applyProtection="1"/>
    <xf numFmtId="169" fontId="80" fillId="26" borderId="0" xfId="0" applyNumberFormat="1" applyFont="1" applyFill="1" applyBorder="1" applyProtection="1"/>
    <xf numFmtId="169" fontId="80" fillId="26" borderId="25" xfId="86" applyNumberFormat="1" applyFont="1" applyFill="1" applyBorder="1" applyProtection="1"/>
    <xf numFmtId="169" fontId="80" fillId="26" borderId="25" xfId="0" applyNumberFormat="1" applyFont="1" applyFill="1" applyBorder="1" applyProtection="1"/>
    <xf numFmtId="169" fontId="80" fillId="26" borderId="24" xfId="0" applyNumberFormat="1" applyFont="1" applyFill="1" applyBorder="1" applyProtection="1"/>
    <xf numFmtId="170" fontId="80" fillId="26" borderId="25" xfId="0" applyNumberFormat="1" applyFont="1" applyFill="1" applyBorder="1" applyProtection="1"/>
    <xf numFmtId="169" fontId="80" fillId="26" borderId="14" xfId="86" applyNumberFormat="1" applyFont="1" applyFill="1" applyBorder="1" applyProtection="1"/>
    <xf numFmtId="169" fontId="7" fillId="0" borderId="15" xfId="0" applyNumberFormat="1" applyFont="1" applyBorder="1" applyProtection="1"/>
    <xf numFmtId="0" fontId="55" fillId="0" borderId="0" xfId="0" quotePrefix="1" applyFont="1" applyAlignment="1" applyProtection="1">
      <alignment horizontal="left"/>
    </xf>
    <xf numFmtId="169" fontId="80" fillId="26" borderId="24" xfId="86" applyNumberFormat="1" applyFont="1" applyFill="1" applyBorder="1" applyProtection="1"/>
    <xf numFmtId="0" fontId="79" fillId="27" borderId="22" xfId="0" applyFont="1" applyFill="1" applyBorder="1" applyAlignment="1" applyProtection="1"/>
    <xf numFmtId="169" fontId="80" fillId="26" borderId="14" xfId="86" applyNumberFormat="1" applyFont="1" applyFill="1" applyBorder="1" applyAlignment="1" applyProtection="1">
      <alignment horizontal="right"/>
    </xf>
    <xf numFmtId="169" fontId="54" fillId="0" borderId="26" xfId="86" applyNumberFormat="1" applyFont="1" applyFill="1" applyBorder="1" applyProtection="1"/>
    <xf numFmtId="169" fontId="54" fillId="0" borderId="16" xfId="86" applyNumberFormat="1" applyFont="1" applyFill="1" applyBorder="1" applyProtection="1"/>
    <xf numFmtId="0" fontId="7" fillId="0" borderId="0" xfId="0" applyFont="1" applyFill="1" applyAlignment="1" applyProtection="1"/>
    <xf numFmtId="169" fontId="7" fillId="0" borderId="0" xfId="0" applyNumberFormat="1" applyFont="1" applyAlignment="1" applyProtection="1">
      <alignment horizontal="left"/>
    </xf>
    <xf numFmtId="169" fontId="54" fillId="0" borderId="25" xfId="86" applyNumberFormat="1" applyFont="1" applyFill="1" applyBorder="1" applyProtection="1"/>
    <xf numFmtId="169" fontId="54" fillId="0" borderId="14" xfId="86" applyNumberFormat="1" applyFont="1" applyFill="1" applyBorder="1" applyProtection="1"/>
    <xf numFmtId="169" fontId="7" fillId="0" borderId="25" xfId="87" applyNumberFormat="1" applyBorder="1" applyProtection="1"/>
    <xf numFmtId="169" fontId="7" fillId="0" borderId="25" xfId="87" applyNumberFormat="1" applyFont="1" applyFill="1" applyBorder="1" applyProtection="1"/>
    <xf numFmtId="169" fontId="7" fillId="0" borderId="14" xfId="87" applyNumberFormat="1" applyFont="1" applyFill="1" applyBorder="1" applyProtection="1"/>
    <xf numFmtId="169" fontId="7" fillId="0" borderId="26" xfId="87" applyNumberFormat="1" applyBorder="1" applyProtection="1"/>
    <xf numFmtId="169" fontId="7" fillId="0" borderId="26" xfId="87" applyNumberFormat="1" applyFont="1" applyFill="1" applyBorder="1" applyProtection="1"/>
    <xf numFmtId="169" fontId="7" fillId="0" borderId="16" xfId="87" applyNumberFormat="1" applyFont="1" applyFill="1" applyBorder="1" applyProtection="1"/>
    <xf numFmtId="170" fontId="78" fillId="0" borderId="14" xfId="0" applyNumberFormat="1" applyFont="1" applyFill="1" applyBorder="1" applyProtection="1"/>
    <xf numFmtId="0" fontId="81" fillId="0" borderId="0" xfId="0" applyFont="1" applyAlignment="1" applyProtection="1">
      <alignment horizontal="left"/>
    </xf>
    <xf numFmtId="0" fontId="52" fillId="26" borderId="0" xfId="0" applyFont="1" applyFill="1" applyAlignment="1" applyProtection="1">
      <alignment horizontal="left"/>
    </xf>
    <xf numFmtId="169" fontId="7" fillId="0" borderId="6" xfId="0" applyNumberFormat="1" applyFont="1" applyBorder="1" applyProtection="1"/>
    <xf numFmtId="0" fontId="78" fillId="26" borderId="14" xfId="86" applyNumberFormat="1" applyFont="1" applyFill="1" applyBorder="1" applyAlignment="1" applyProtection="1">
      <alignment horizontal="right"/>
    </xf>
    <xf numFmtId="0" fontId="54" fillId="26" borderId="20" xfId="0" applyFont="1" applyFill="1" applyBorder="1" applyAlignment="1" applyProtection="1">
      <alignment horizontal="right"/>
    </xf>
    <xf numFmtId="169" fontId="1" fillId="26" borderId="0" xfId="0" applyNumberFormat="1" applyFont="1" applyFill="1" applyBorder="1"/>
    <xf numFmtId="169" fontId="1" fillId="26" borderId="24" xfId="86" applyNumberFormat="1" applyFont="1" applyFill="1" applyBorder="1"/>
    <xf numFmtId="169" fontId="1" fillId="26" borderId="25" xfId="0" applyNumberFormat="1" applyFont="1" applyFill="1" applyBorder="1"/>
    <xf numFmtId="169" fontId="1" fillId="26" borderId="14" xfId="86" applyNumberFormat="1" applyFont="1" applyFill="1" applyBorder="1"/>
    <xf numFmtId="169" fontId="54" fillId="26" borderId="2" xfId="86" applyNumberFormat="1" applyFont="1" applyFill="1" applyBorder="1" applyAlignment="1" applyProtection="1">
      <alignment vertical="center"/>
    </xf>
    <xf numFmtId="169" fontId="101" fillId="0" borderId="0" xfId="86" applyNumberFormat="1" applyFont="1" applyFill="1" applyAlignment="1" applyProtection="1">
      <alignment vertical="center"/>
    </xf>
    <xf numFmtId="0" fontId="1" fillId="0" borderId="22" xfId="0" applyFont="1" applyFill="1" applyBorder="1" applyAlignment="1" applyProtection="1">
      <alignment horizontal="left"/>
    </xf>
    <xf numFmtId="0" fontId="39" fillId="0" borderId="11" xfId="0" applyFont="1" applyBorder="1" applyAlignment="1" applyProtection="1">
      <alignment horizontal="center"/>
    </xf>
    <xf numFmtId="0" fontId="65" fillId="0" borderId="0" xfId="0" applyFont="1" applyFill="1" applyBorder="1" applyAlignment="1" applyProtection="1">
      <alignment horizontal="center" wrapText="1"/>
    </xf>
    <xf numFmtId="0" fontId="0" fillId="0" borderId="0" xfId="0" applyAlignment="1" applyProtection="1">
      <alignment horizontal="left" vertical="top" wrapText="1"/>
    </xf>
    <xf numFmtId="168" fontId="7" fillId="0" borderId="17" xfId="191" applyFont="1" applyBorder="1" applyAlignment="1" applyProtection="1">
      <alignment wrapText="1"/>
    </xf>
    <xf numFmtId="0" fontId="7" fillId="0" borderId="18" xfId="0" applyFont="1" applyBorder="1" applyAlignment="1" applyProtection="1">
      <alignment wrapText="1"/>
    </xf>
    <xf numFmtId="0" fontId="7" fillId="0" borderId="19" xfId="0" applyFont="1" applyBorder="1" applyAlignment="1" applyProtection="1">
      <alignment wrapText="1"/>
    </xf>
    <xf numFmtId="0" fontId="7" fillId="0" borderId="13" xfId="0" applyFont="1" applyBorder="1" applyAlignment="1" applyProtection="1">
      <alignment wrapText="1"/>
    </xf>
    <xf numFmtId="0" fontId="7" fillId="0" borderId="0" xfId="0" applyFont="1" applyBorder="1" applyAlignment="1" applyProtection="1">
      <alignment wrapText="1"/>
    </xf>
    <xf numFmtId="0" fontId="7" fillId="0" borderId="14"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7" fillId="0" borderId="0" xfId="0" applyFont="1" applyFill="1" applyBorder="1" applyAlignment="1" applyProtection="1">
      <alignment wrapText="1"/>
    </xf>
    <xf numFmtId="49" fontId="46" fillId="0" borderId="0" xfId="0" applyNumberFormat="1" applyFont="1" applyAlignment="1" applyProtection="1">
      <alignment horizontal="center"/>
    </xf>
    <xf numFmtId="0" fontId="46" fillId="0" borderId="0" xfId="0" applyFont="1" applyAlignment="1" applyProtection="1">
      <alignment horizontal="center"/>
    </xf>
    <xf numFmtId="0" fontId="6" fillId="0" borderId="0" xfId="178" quotePrefix="1" applyFont="1" applyBorder="1" applyAlignment="1" applyProtection="1">
      <alignment horizontal="center"/>
    </xf>
    <xf numFmtId="0" fontId="46" fillId="0" borderId="0" xfId="178" applyFont="1" applyBorder="1" applyAlignment="1" applyProtection="1">
      <alignment horizontal="center"/>
    </xf>
    <xf numFmtId="3" fontId="6" fillId="0" borderId="0" xfId="0" applyNumberFormat="1" applyFont="1" applyAlignment="1" applyProtection="1">
      <alignment horizontal="center"/>
    </xf>
    <xf numFmtId="0" fontId="46" fillId="0" borderId="0" xfId="0" applyNumberFormat="1" applyFont="1" applyAlignment="1" applyProtection="1">
      <alignment horizontal="center"/>
    </xf>
    <xf numFmtId="49" fontId="6" fillId="0" borderId="0" xfId="0" applyNumberFormat="1" applyFont="1" applyAlignment="1" applyProtection="1">
      <alignment horizontal="center"/>
    </xf>
    <xf numFmtId="0" fontId="6" fillId="0" borderId="0" xfId="0" applyNumberFormat="1" applyFont="1" applyAlignment="1" applyProtection="1">
      <alignment horizontal="center"/>
    </xf>
  </cellXfs>
  <cellStyles count="26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0" xfId="263"/>
    <cellStyle name="Comma 2" xfId="87"/>
    <cellStyle name="Comma 2 2" xfId="88"/>
    <cellStyle name="Comma 3" xfId="89"/>
    <cellStyle name="Comma 3 2" xfId="90"/>
    <cellStyle name="Comma 3 3" xfId="91"/>
    <cellStyle name="Comma 3 3 2" xfId="92"/>
    <cellStyle name="Comma 3 4" xfId="93"/>
    <cellStyle name="Comma 3 5" xfId="94"/>
    <cellStyle name="Comma 4" xfId="95"/>
    <cellStyle name="Comma 4 2" xfId="96"/>
    <cellStyle name="Comma 4 3" xfId="97"/>
    <cellStyle name="Comma 5" xfId="98"/>
    <cellStyle name="Comma 5 2" xfId="99"/>
    <cellStyle name="Comma 6" xfId="100"/>
    <cellStyle name="Comma 7" xfId="101"/>
    <cellStyle name="Comma0" xfId="102"/>
    <cellStyle name="Comma0 2" xfId="103"/>
    <cellStyle name="Comma0 2 2" xfId="104"/>
    <cellStyle name="Comma0 3" xfId="105"/>
    <cellStyle name="Currency" xfId="106" builtinId="4"/>
    <cellStyle name="Currency 2" xfId="107"/>
    <cellStyle name="Currency 2 2" xfId="108"/>
    <cellStyle name="Currency 2 2 2" xfId="109"/>
    <cellStyle name="Currency 3" xfId="110"/>
    <cellStyle name="Currency 3 2" xfId="111"/>
    <cellStyle name="Currency 3 3" xfId="112"/>
    <cellStyle name="Currency 3 3 2" xfId="113"/>
    <cellStyle name="Currency 3 4" xfId="114"/>
    <cellStyle name="Currency 3 5" xfId="115"/>
    <cellStyle name="Currency 4" xfId="116"/>
    <cellStyle name="Currency 4 2" xfId="117"/>
    <cellStyle name="Currency 4 2 2" xfId="118"/>
    <cellStyle name="Currency 5" xfId="119"/>
    <cellStyle name="Currency 5 2" xfId="120"/>
    <cellStyle name="Currency 6" xfId="121"/>
    <cellStyle name="Currency 6 2" xfId="122"/>
    <cellStyle name="Currency 6 3" xfId="123"/>
    <cellStyle name="Currency 6 4" xfId="124"/>
    <cellStyle name="Currency0" xfId="125"/>
    <cellStyle name="Currency0 2" xfId="126"/>
    <cellStyle name="Currency0 2 2" xfId="127"/>
    <cellStyle name="Currency0 3" xfId="128"/>
    <cellStyle name="Date" xfId="129"/>
    <cellStyle name="Date 2" xfId="130"/>
    <cellStyle name="Date 2 2" xfId="131"/>
    <cellStyle name="Date 3" xfId="132"/>
    <cellStyle name="Explanatory Text" xfId="133" builtinId="53" customBuiltin="1"/>
    <cellStyle name="Explanatory Text 2" xfId="134"/>
    <cellStyle name="Fixed" xfId="135"/>
    <cellStyle name="Fixed 2" xfId="136"/>
    <cellStyle name="Fixed 2 2" xfId="137"/>
    <cellStyle name="Fixed 3" xfId="138"/>
    <cellStyle name="Good" xfId="139" builtinId="26" customBuiltin="1"/>
    <cellStyle name="Good 2" xfId="140"/>
    <cellStyle name="Heading 1" xfId="141" builtinId="16" customBuiltin="1"/>
    <cellStyle name="Heading 1 2" xfId="142"/>
    <cellStyle name="Heading 1 3" xfId="143"/>
    <cellStyle name="Heading 1 3 2" xfId="144"/>
    <cellStyle name="Heading 2" xfId="145" builtinId="17" customBuiltin="1"/>
    <cellStyle name="Heading 2 2" xfId="146"/>
    <cellStyle name="Heading 2 3" xfId="147"/>
    <cellStyle name="Heading 2 3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M" xfId="159"/>
    <cellStyle name="M 2" xfId="160"/>
    <cellStyle name="M 2 2" xfId="161"/>
    <cellStyle name="M 2 2 2" xfId="162"/>
    <cellStyle name="M 3" xfId="163"/>
    <cellStyle name="M 3 2" xfId="164"/>
    <cellStyle name="M 3 2 2" xfId="165"/>
    <cellStyle name="M 4" xfId="166"/>
    <cellStyle name="M 5" xfId="167"/>
    <cellStyle name="M 5 2" xfId="168"/>
    <cellStyle name="M 6" xfId="169"/>
    <cellStyle name="M 6 2" xfId="170"/>
    <cellStyle name="M 7" xfId="171"/>
    <cellStyle name="Neutral" xfId="172" builtinId="28" customBuiltin="1"/>
    <cellStyle name="Neutral 2" xfId="173"/>
    <cellStyle name="Normal" xfId="0" builtinId="0"/>
    <cellStyle name="Normal 12" xfId="174"/>
    <cellStyle name="Normal 2" xfId="175"/>
    <cellStyle name="Normal 2 2" xfId="176"/>
    <cellStyle name="Normal 3" xfId="177"/>
    <cellStyle name="Normal 3 2" xfId="178"/>
    <cellStyle name="Normal 3 3" xfId="179"/>
    <cellStyle name="Normal 3_OPCo Period I PJM  Formula Rate" xfId="180"/>
    <cellStyle name="Normal 4" xfId="181"/>
    <cellStyle name="Normal 4 2" xfId="182"/>
    <cellStyle name="Normal 4 3" xfId="183"/>
    <cellStyle name="Normal 4 3 2" xfId="184"/>
    <cellStyle name="Normal 4 4" xfId="185"/>
    <cellStyle name="Normal 4 5" xfId="186"/>
    <cellStyle name="Normal 4 5 2" xfId="187"/>
    <cellStyle name="Normal 4 5 3" xfId="188"/>
    <cellStyle name="Normal 4_PBOP Exhibit 1" xfId="189"/>
    <cellStyle name="Normal 5" xfId="190"/>
    <cellStyle name="Normal_FN1 Ratebase Draft SPP template (6-11-04) v2" xfId="191"/>
    <cellStyle name="Note" xfId="192" builtinId="10" customBuiltin="1"/>
    <cellStyle name="Note 2" xfId="193"/>
    <cellStyle name="Output" xfId="194" builtinId="21" customBuiltin="1"/>
    <cellStyle name="Output 2" xfId="195"/>
    <cellStyle name="Percent" xfId="196" builtinId="5"/>
    <cellStyle name="Percent 2" xfId="197"/>
    <cellStyle name="Percent 2 2" xfId="198"/>
    <cellStyle name="Percent 2 2 2" xfId="199"/>
    <cellStyle name="Percent 3" xfId="200"/>
    <cellStyle name="Percent 3 2" xfId="201"/>
    <cellStyle name="Percent 3 3" xfId="202"/>
    <cellStyle name="Percent 3 3 2" xfId="203"/>
    <cellStyle name="Percent 3 4" xfId="204"/>
    <cellStyle name="Percent 3 5" xfId="205"/>
    <cellStyle name="Percent 4" xfId="206"/>
    <cellStyle name="Percent 4 2" xfId="207"/>
    <cellStyle name="Percent 4 3" xfId="208"/>
    <cellStyle name="Percent 5" xfId="209"/>
    <cellStyle name="Percent 5 2" xfId="210"/>
    <cellStyle name="Percent 5 3" xfId="211"/>
    <cellStyle name="Percent 6" xfId="212"/>
    <cellStyle name="Percent 7" xfId="213"/>
    <cellStyle name="PSChar" xfId="214"/>
    <cellStyle name="PSChar 2" xfId="215"/>
    <cellStyle name="PSChar 2 2" xfId="216"/>
    <cellStyle name="PSDate" xfId="217"/>
    <cellStyle name="PSDec" xfId="218"/>
    <cellStyle name="PSdesc" xfId="219"/>
    <cellStyle name="PSHeading" xfId="220"/>
    <cellStyle name="PSInt" xfId="221"/>
    <cellStyle name="PSSpacer" xfId="222"/>
    <cellStyle name="PStest" xfId="223"/>
    <cellStyle name="R00A" xfId="224"/>
    <cellStyle name="R00B" xfId="225"/>
    <cellStyle name="R00L" xfId="226"/>
    <cellStyle name="R01A" xfId="227"/>
    <cellStyle name="R01B" xfId="228"/>
    <cellStyle name="R01H" xfId="229"/>
    <cellStyle name="R01L" xfId="230"/>
    <cellStyle name="R02A" xfId="231"/>
    <cellStyle name="R02B" xfId="232"/>
    <cellStyle name="R02H" xfId="233"/>
    <cellStyle name="R02L" xfId="234"/>
    <cellStyle name="R03A" xfId="235"/>
    <cellStyle name="R03B" xfId="236"/>
    <cellStyle name="R03H" xfId="237"/>
    <cellStyle name="R03L" xfId="238"/>
    <cellStyle name="R04A" xfId="239"/>
    <cellStyle name="R04B" xfId="240"/>
    <cellStyle name="R04H" xfId="241"/>
    <cellStyle name="R04L" xfId="242"/>
    <cellStyle name="R05A" xfId="243"/>
    <cellStyle name="R05B" xfId="244"/>
    <cellStyle name="R05H" xfId="245"/>
    <cellStyle name="R05L" xfId="246"/>
    <cellStyle name="R06A" xfId="247"/>
    <cellStyle name="R06B" xfId="248"/>
    <cellStyle name="R06H" xfId="249"/>
    <cellStyle name="R06L" xfId="250"/>
    <cellStyle name="R07A" xfId="251"/>
    <cellStyle name="R07B" xfId="252"/>
    <cellStyle name="R07H" xfId="253"/>
    <cellStyle name="R07L" xfId="254"/>
    <cellStyle name="Title" xfId="255" builtinId="15" customBuiltin="1"/>
    <cellStyle name="Title 2" xfId="256"/>
    <cellStyle name="Total" xfId="257" builtinId="25" customBuiltin="1"/>
    <cellStyle name="Total 2" xfId="258"/>
    <cellStyle name="Total 3" xfId="259"/>
    <cellStyle name="Total 3 2" xfId="260"/>
    <cellStyle name="Warning Text" xfId="261" builtinId="11" customBuiltin="1"/>
    <cellStyle name="Warning Text 2" xfId="262"/>
  </cellStyles>
  <dxfs count="52">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28</xdr:row>
      <xdr:rowOff>114300</xdr:rowOff>
    </xdr:from>
    <xdr:to>
      <xdr:col>4</xdr:col>
      <xdr:colOff>504825</xdr:colOff>
      <xdr:row>29</xdr:row>
      <xdr:rowOff>152400</xdr:rowOff>
    </xdr:to>
    <xdr:sp macro="" textlink="">
      <xdr:nvSpPr>
        <xdr:cNvPr id="1554" name="Text Box 1"/>
        <xdr:cNvSpPr txBox="1">
          <a:spLocks noChangeArrowheads="1"/>
        </xdr:cNvSpPr>
      </xdr:nvSpPr>
      <xdr:spPr bwMode="auto">
        <a:xfrm>
          <a:off x="4152900" y="5448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2936"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1912"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3960"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4984"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5996"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6977"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28966"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1998"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3022"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0</xdr:rowOff>
    </xdr:to>
    <xdr:sp macro="" textlink="">
      <xdr:nvSpPr>
        <xdr:cNvPr id="35909" name="Text Box 1"/>
        <xdr:cNvSpPr txBox="1">
          <a:spLocks noChangeArrowheads="1"/>
        </xdr:cNvSpPr>
      </xdr:nvSpPr>
      <xdr:spPr bwMode="auto">
        <a:xfrm>
          <a:off x="3905250" y="0"/>
          <a:ext cx="1143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523875</xdr:colOff>
      <xdr:row>0</xdr:row>
      <xdr:rowOff>219075</xdr:rowOff>
    </xdr:to>
    <xdr:sp macro="" textlink="">
      <xdr:nvSpPr>
        <xdr:cNvPr id="2597" name="Text Box 1"/>
        <xdr:cNvSpPr txBox="1">
          <a:spLocks noChangeArrowheads="1"/>
        </xdr:cNvSpPr>
      </xdr:nvSpPr>
      <xdr:spPr bwMode="auto">
        <a:xfrm>
          <a:off x="3914775" y="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76200</xdr:rowOff>
    </xdr:to>
    <xdr:sp macro="" textlink="">
      <xdr:nvSpPr>
        <xdr:cNvPr id="36881" name="Text Box 1"/>
        <xdr:cNvSpPr txBox="1">
          <a:spLocks noChangeArrowheads="1"/>
        </xdr:cNvSpPr>
      </xdr:nvSpPr>
      <xdr:spPr bwMode="auto">
        <a:xfrm>
          <a:off x="3905250" y="0"/>
          <a:ext cx="1143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79375</xdr:rowOff>
    </xdr:to>
    <xdr:sp macro="" textlink="">
      <xdr:nvSpPr>
        <xdr:cNvPr id="2" name="Text Box 1"/>
        <xdr:cNvSpPr txBox="1">
          <a:spLocks noChangeArrowheads="1"/>
        </xdr:cNvSpPr>
      </xdr:nvSpPr>
      <xdr:spPr bwMode="auto">
        <a:xfrm>
          <a:off x="4073525"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2784"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3568"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5856"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6881"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7904"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8929"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9898"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0920"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cing/dbw/SWPP%20Form%20Rate/Lila%20added/AEP%20SPP%20For%20Rate%20Proj%20w%2013%20mth%20rate%20base%20june-07%20-%20June-08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75"/>
  <sheetViews>
    <sheetView tabSelected="1" zoomScale="70" zoomScaleNormal="70" zoomScaleSheetLayoutView="80" workbookViewId="0"/>
  </sheetViews>
  <sheetFormatPr defaultColWidth="8.7265625" defaultRowHeight="12.75" customHeight="1"/>
  <cols>
    <col min="1" max="1" width="9.81640625" style="145" customWidth="1"/>
    <col min="2" max="2" width="7" style="145" bestFit="1" customWidth="1"/>
    <col min="3" max="3" width="43.1796875" style="145" customWidth="1"/>
    <col min="4" max="4" width="9" style="145" customWidth="1"/>
    <col min="5" max="5" width="15.7265625" style="145" customWidth="1"/>
    <col min="6" max="6" width="13.81640625" style="145" customWidth="1"/>
    <col min="7" max="7" width="14.26953125" style="145" customWidth="1"/>
    <col min="8" max="8" width="2.81640625" style="145" customWidth="1"/>
    <col min="9" max="9" width="13.7265625" style="145" customWidth="1"/>
    <col min="10" max="10" width="13.26953125" style="145" customWidth="1"/>
    <col min="11" max="11" width="13.81640625" style="145" bestFit="1" customWidth="1"/>
    <col min="12" max="12" width="16.453125" style="145" customWidth="1"/>
    <col min="13" max="13" width="2.453125" style="145" customWidth="1"/>
    <col min="14" max="14" width="6.1796875" style="145" customWidth="1"/>
    <col min="15" max="15" width="7.7265625" style="145" customWidth="1"/>
    <col min="16" max="16" width="10.7265625" style="145" customWidth="1"/>
    <col min="17" max="17" width="11.1796875" style="145" bestFit="1" customWidth="1"/>
    <col min="18" max="18" width="18.7265625" style="145" customWidth="1"/>
    <col min="19" max="19" width="2.453125" style="145" customWidth="1"/>
    <col min="20" max="20" width="14.26953125" style="145" customWidth="1"/>
    <col min="21" max="21" width="8.7265625" style="145"/>
    <col min="22" max="22" width="18" style="145" customWidth="1"/>
    <col min="23" max="16384" width="8.7265625" style="145"/>
  </cols>
  <sheetData>
    <row r="1" spans="1:23" ht="15.5">
      <c r="H1" s="146" t="s">
        <v>136</v>
      </c>
      <c r="U1" s="145">
        <v>2021</v>
      </c>
    </row>
    <row r="2" spans="1:23" ht="15.5">
      <c r="H2" s="147" t="s">
        <v>159</v>
      </c>
    </row>
    <row r="3" spans="1:23" ht="15.5">
      <c r="H3" s="148" t="str">
        <f>"For Calendar Year "&amp;U1-1&amp;" and Projected Year "&amp;U1</f>
        <v>For Calendar Year 2020 and Projected Year 2021</v>
      </c>
    </row>
    <row r="4" spans="1:23" ht="15.5">
      <c r="H4" s="149"/>
    </row>
    <row r="5" spans="1:23" ht="15.5">
      <c r="H5" s="150" t="s">
        <v>137</v>
      </c>
    </row>
    <row r="7" spans="1:23" ht="18">
      <c r="C7" s="151"/>
      <c r="E7" s="151"/>
      <c r="F7" s="151"/>
      <c r="G7" s="151"/>
      <c r="H7" s="151" t="s">
        <v>188</v>
      </c>
      <c r="I7" s="151"/>
      <c r="J7" s="151"/>
      <c r="K7" s="151"/>
      <c r="L7" s="151"/>
    </row>
    <row r="8" spans="1:23" ht="12.5">
      <c r="D8" s="152"/>
    </row>
    <row r="9" spans="1:23" ht="12.5">
      <c r="A9" s="145" t="str">
        <f>"Note: Some project's final trued-up cost may not meet SPP's $100,000 threshold for socialization.  In that case a true-up of the pirior year ARR will be made in columns "&amp;I12&amp;" through "&amp;Q12&amp;", but no projected ARR will be shown in columns "&amp;E12&amp;" through "&amp;LEFT(G12,3)&amp;" for the current year."</f>
        <v>Note: Some project's final trued-up cost may not meet SPP's $100,000 threshold for socialization.  In that case a true-up of the pirior year ARR will be made in columns (H) through (O), but no projected ARR will be shown in columns (E) through (G) for the current year.</v>
      </c>
    </row>
    <row r="12" spans="1:23" ht="22.5" customHeight="1">
      <c r="A12" s="153" t="s">
        <v>138</v>
      </c>
      <c r="B12" s="153" t="s">
        <v>139</v>
      </c>
      <c r="C12" s="154" t="s">
        <v>140</v>
      </c>
      <c r="D12" s="153" t="s">
        <v>141</v>
      </c>
      <c r="E12" s="153" t="s">
        <v>142</v>
      </c>
      <c r="F12" s="153" t="s">
        <v>143</v>
      </c>
      <c r="G12" s="153" t="str">
        <f>"(G) = "&amp;E12&amp;" + "&amp;F12</f>
        <v>(G) = (E) + (F)</v>
      </c>
      <c r="H12" s="153"/>
      <c r="I12" s="153" t="s">
        <v>144</v>
      </c>
      <c r="J12" s="153" t="s">
        <v>145</v>
      </c>
      <c r="K12" s="155" t="s">
        <v>167</v>
      </c>
      <c r="L12" s="153" t="str">
        <f>"(K) = "&amp;J12&amp;" - "&amp;K12</f>
        <v>(K) = (I) - (J)</v>
      </c>
      <c r="M12" s="153"/>
      <c r="N12" s="153" t="s">
        <v>168</v>
      </c>
      <c r="O12" s="153" t="s">
        <v>146</v>
      </c>
      <c r="P12" s="153" t="str">
        <f>"(N) = "&amp;N12&amp;"-"&amp;O12</f>
        <v>(N) = (L)-(M)</v>
      </c>
      <c r="Q12" s="153" t="s">
        <v>169</v>
      </c>
      <c r="R12" s="153" t="str">
        <f>"(P) = "&amp;I12&amp;"+"&amp;LEFT(L12,3)&amp;"+"&amp;LEFT(P12,3)&amp;"+"&amp;Q12</f>
        <v>(P) = (H)+(K)+(N)+(O)</v>
      </c>
      <c r="S12" s="153"/>
      <c r="T12" s="153" t="str">
        <f>"(Q) = "&amp;LEFT(G12,3)&amp;" + "&amp;LEFT(R12,3)</f>
        <v>(Q) = (G) + (P)</v>
      </c>
      <c r="U12" s="153"/>
      <c r="V12" s="156"/>
      <c r="W12" s="156"/>
    </row>
    <row r="13" spans="1:23" ht="16.5" customHeight="1">
      <c r="A13" s="157"/>
      <c r="B13" s="157"/>
      <c r="C13" s="157"/>
      <c r="D13" s="157"/>
      <c r="E13" s="648" t="str">
        <f>"Projected ARR For "&amp;U1&amp;" From WS-F"</f>
        <v>Projected ARR For 2021 From WS-F</v>
      </c>
      <c r="F13" s="648"/>
      <c r="G13" s="648"/>
      <c r="H13" s="157"/>
      <c r="I13" s="158" t="str">
        <f>"True-Up ARR CY"&amp;U1-2&amp;" From Worksheet G  (includes adjustment for SPP Collections)"</f>
        <v>True-Up ARR CY2019 From Worksheet G  (includes adjustment for SPP Collections)</v>
      </c>
      <c r="J13" s="158"/>
      <c r="K13" s="158"/>
      <c r="L13" s="158"/>
      <c r="M13" s="158"/>
      <c r="N13" s="158"/>
      <c r="O13" s="158"/>
      <c r="P13" s="158"/>
      <c r="Q13" s="158"/>
      <c r="R13" s="159"/>
      <c r="S13" s="157"/>
      <c r="T13" s="157"/>
      <c r="U13" s="157"/>
    </row>
    <row r="14" spans="1:23" ht="18" customHeight="1">
      <c r="G14" s="160"/>
      <c r="T14" s="649" t="str">
        <f>"Total ADJUSTED Revenue Requirement Effective
1/1/"&amp;U1&amp;""</f>
        <v>Total ADJUSTED Revenue Requirement Effective
1/1/2021</v>
      </c>
    </row>
    <row r="15" spans="1:23" ht="18" customHeight="1" thickBot="1">
      <c r="D15" s="157"/>
      <c r="E15" s="161"/>
      <c r="F15" s="161"/>
      <c r="G15" s="161"/>
      <c r="I15" s="158" t="s">
        <v>147</v>
      </c>
      <c r="J15" s="162"/>
      <c r="K15" s="162"/>
      <c r="L15" s="162"/>
      <c r="M15" s="163"/>
      <c r="N15" s="158" t="s">
        <v>166</v>
      </c>
      <c r="O15" s="164"/>
      <c r="P15" s="164"/>
      <c r="Q15" s="165"/>
      <c r="T15" s="649"/>
    </row>
    <row r="16" spans="1:23" ht="72.75" customHeight="1">
      <c r="A16" s="166" t="s">
        <v>156</v>
      </c>
      <c r="B16" s="167" t="s">
        <v>148</v>
      </c>
      <c r="C16" s="167" t="s">
        <v>116</v>
      </c>
      <c r="D16" s="168" t="s">
        <v>149</v>
      </c>
      <c r="E16" s="169" t="s">
        <v>164</v>
      </c>
      <c r="F16" s="170" t="s">
        <v>150</v>
      </c>
      <c r="G16" s="170" t="s">
        <v>151</v>
      </c>
      <c r="I16" s="171" t="s">
        <v>163</v>
      </c>
      <c r="J16" s="172" t="s">
        <v>267</v>
      </c>
      <c r="K16" s="171" t="s">
        <v>179</v>
      </c>
      <c r="L16" s="171" t="s">
        <v>165</v>
      </c>
      <c r="M16" s="171"/>
      <c r="N16" s="172" t="s">
        <v>152</v>
      </c>
      <c r="O16" s="172" t="s">
        <v>153</v>
      </c>
      <c r="P16" s="173" t="s">
        <v>154</v>
      </c>
      <c r="Q16" s="173" t="s">
        <v>155</v>
      </c>
      <c r="R16" s="169" t="s">
        <v>181</v>
      </c>
      <c r="T16" s="649"/>
      <c r="V16" s="174" t="s">
        <v>170</v>
      </c>
    </row>
    <row r="17" spans="1:23" ht="13">
      <c r="B17" s="157"/>
      <c r="C17" s="157"/>
      <c r="E17" s="175"/>
      <c r="F17" s="175"/>
      <c r="G17" s="175"/>
      <c r="I17" s="175"/>
      <c r="J17" s="175"/>
      <c r="K17" s="175"/>
      <c r="L17" s="175"/>
      <c r="M17" s="175"/>
      <c r="N17" s="175"/>
      <c r="O17" s="175"/>
      <c r="P17" s="175"/>
      <c r="Q17" s="175"/>
      <c r="R17" s="175"/>
      <c r="T17" s="175"/>
      <c r="V17" s="176"/>
    </row>
    <row r="18" spans="1:23" ht="13">
      <c r="A18" s="155" t="s">
        <v>194</v>
      </c>
      <c r="B18" s="153" t="s">
        <v>182</v>
      </c>
      <c r="C18" s="177" t="str">
        <f t="shared" ref="C18:F37" ca="1" si="0">INDIRECT("'"&amp; $A18 &amp; "'!" &amp;C$46)</f>
        <v>Snyder 138 kV Terminal Addition</v>
      </c>
      <c r="D18" s="178">
        <f t="shared" ca="1" si="0"/>
        <v>2010</v>
      </c>
      <c r="E18" s="646">
        <f ca="1">INDIRECT("'"&amp; $A18 &amp; "'!" &amp;E$46)</f>
        <v>84115.442190341273</v>
      </c>
      <c r="F18" s="646">
        <f ca="1">INDIRECT("'"&amp; $A18 &amp; "'!" &amp;F$46)</f>
        <v>0</v>
      </c>
      <c r="G18" s="180">
        <f t="shared" ref="G18:G23" ca="1" si="1">+E18+F18</f>
        <v>84115.442190341273</v>
      </c>
      <c r="H18" s="181"/>
      <c r="I18" s="179">
        <f t="shared" ref="I18:I37" ca="1" si="2">INDIRECT("'"&amp; $A18 &amp; "'!" &amp;I$46)</f>
        <v>1901.8854810385237</v>
      </c>
      <c r="J18" s="182">
        <v>118503.31573987207</v>
      </c>
      <c r="K18" s="182">
        <v>125499.06312681051</v>
      </c>
      <c r="L18" s="179">
        <f t="shared" ref="L18:L23" si="3">+J18-K18</f>
        <v>-6995.7473869384412</v>
      </c>
      <c r="M18" s="179"/>
      <c r="N18" s="180">
        <v>0</v>
      </c>
      <c r="O18" s="180">
        <v>0</v>
      </c>
      <c r="P18" s="180"/>
      <c r="Q18" s="182">
        <f ca="1">+V18/$V$39 * $Q$39</f>
        <v>-523.79400350318519</v>
      </c>
      <c r="R18" s="183">
        <f ca="1">I18+L18+P18+Q18</f>
        <v>-5617.6559094031027</v>
      </c>
      <c r="S18" s="183"/>
      <c r="T18" s="184">
        <f t="shared" ref="T18:T23" ca="1" si="4">+G18+R18</f>
        <v>78497.786280938177</v>
      </c>
      <c r="V18" s="185">
        <f t="shared" ref="V18:V23" ca="1" si="5">+I18+L18+P18</f>
        <v>-5093.8619058999175</v>
      </c>
      <c r="W18" s="145" t="str">
        <f t="shared" ref="W18:W23" si="6">A18</f>
        <v>OKT.001</v>
      </c>
    </row>
    <row r="19" spans="1:23" ht="13">
      <c r="A19" s="155" t="s">
        <v>195</v>
      </c>
      <c r="B19" s="153" t="s">
        <v>182</v>
      </c>
      <c r="C19" s="177" t="str">
        <f t="shared" ca="1" si="0"/>
        <v>Coffeyville T to Dearing 138 kV Rebuild - 1.1 miles</v>
      </c>
      <c r="D19" s="178">
        <f t="shared" ca="1" si="0"/>
        <v>2010</v>
      </c>
      <c r="E19" s="646">
        <f t="shared" ca="1" si="0"/>
        <v>113358.4397541738</v>
      </c>
      <c r="F19" s="646">
        <f t="shared" ca="1" si="0"/>
        <v>0</v>
      </c>
      <c r="G19" s="180">
        <f t="shared" ca="1" si="1"/>
        <v>113358.4397541738</v>
      </c>
      <c r="H19" s="181"/>
      <c r="I19" s="179">
        <f t="shared" ca="1" si="2"/>
        <v>2784.4319610480743</v>
      </c>
      <c r="J19" s="182">
        <v>160169.15499312466</v>
      </c>
      <c r="K19" s="182">
        <v>169624.61149672928</v>
      </c>
      <c r="L19" s="179">
        <f t="shared" si="3"/>
        <v>-9455.4565036046261</v>
      </c>
      <c r="M19" s="179"/>
      <c r="N19" s="180">
        <v>0</v>
      </c>
      <c r="O19" s="180">
        <v>0</v>
      </c>
      <c r="P19" s="180"/>
      <c r="Q19" s="182">
        <f t="shared" ref="Q19:Q35" ca="1" si="7">+V19/$V$39 * $Q$39</f>
        <v>-685.97121735210897</v>
      </c>
      <c r="R19" s="183">
        <f t="shared" ref="R19:R23" ca="1" si="8">I19+L19+P19+Q19</f>
        <v>-7356.9957599086611</v>
      </c>
      <c r="S19" s="183"/>
      <c r="T19" s="186">
        <f t="shared" ca="1" si="4"/>
        <v>106001.44399426514</v>
      </c>
      <c r="V19" s="185">
        <f t="shared" ca="1" si="5"/>
        <v>-6671.0245425565518</v>
      </c>
      <c r="W19" s="145" t="str">
        <f t="shared" si="6"/>
        <v>OKT.002</v>
      </c>
    </row>
    <row r="20" spans="1:23" ht="13">
      <c r="A20" s="155" t="s">
        <v>202</v>
      </c>
      <c r="B20" s="153" t="s">
        <v>182</v>
      </c>
      <c r="C20" s="177" t="str">
        <f t="shared" ca="1" si="0"/>
        <v>Tulsa Power Station Reactor</v>
      </c>
      <c r="D20" s="178">
        <f t="shared" ca="1" si="0"/>
        <v>2011</v>
      </c>
      <c r="E20" s="646">
        <f t="shared" ca="1" si="0"/>
        <v>72273.408385464543</v>
      </c>
      <c r="F20" s="646">
        <f t="shared" ca="1" si="0"/>
        <v>0</v>
      </c>
      <c r="G20" s="180">
        <f t="shared" ca="1" si="1"/>
        <v>72273.408385464543</v>
      </c>
      <c r="H20" s="181"/>
      <c r="I20" s="179">
        <f t="shared" ca="1" si="2"/>
        <v>1742.1433940639981</v>
      </c>
      <c r="J20" s="182">
        <v>101908.8933261754</v>
      </c>
      <c r="K20" s="182">
        <v>107925.00240921015</v>
      </c>
      <c r="L20" s="179">
        <f t="shared" si="3"/>
        <v>-6016.109083034753</v>
      </c>
      <c r="M20" s="179"/>
      <c r="N20" s="180">
        <v>0</v>
      </c>
      <c r="O20" s="180">
        <v>0</v>
      </c>
      <c r="P20" s="180"/>
      <c r="Q20" s="182">
        <f t="shared" ca="1" si="7"/>
        <v>-439.48533360676964</v>
      </c>
      <c r="R20" s="183">
        <f t="shared" ca="1" si="8"/>
        <v>-4713.4510225775248</v>
      </c>
      <c r="S20" s="183"/>
      <c r="T20" s="186">
        <f t="shared" ca="1" si="4"/>
        <v>67559.957362887013</v>
      </c>
      <c r="V20" s="185">
        <f t="shared" ca="1" si="5"/>
        <v>-4273.9656889707549</v>
      </c>
      <c r="W20" s="145" t="str">
        <f t="shared" si="6"/>
        <v>OKT.003</v>
      </c>
    </row>
    <row r="21" spans="1:23" ht="13">
      <c r="A21" s="155" t="s">
        <v>203</v>
      </c>
      <c r="B21" s="153" t="s">
        <v>182</v>
      </c>
      <c r="C21" s="177" t="str">
        <f t="shared" ca="1" si="0"/>
        <v xml:space="preserve">Bartlesville SE to Coffeyville T Rebuild </v>
      </c>
      <c r="D21" s="178">
        <f t="shared" ca="1" si="0"/>
        <v>2011</v>
      </c>
      <c r="E21" s="646">
        <f t="shared" ca="1" si="0"/>
        <v>1293013.3264763721</v>
      </c>
      <c r="F21" s="646">
        <f t="shared" ca="1" si="0"/>
        <v>0</v>
      </c>
      <c r="G21" s="180">
        <f t="shared" ca="1" si="1"/>
        <v>1293013.3264763721</v>
      </c>
      <c r="H21" s="181"/>
      <c r="I21" s="179">
        <f t="shared" ca="1" si="2"/>
        <v>24304.180288543226</v>
      </c>
      <c r="J21" s="182">
        <v>1811512.8217907238</v>
      </c>
      <c r="K21" s="182">
        <v>1918454.0158858013</v>
      </c>
      <c r="L21" s="179">
        <f t="shared" si="3"/>
        <v>-106941.19409507746</v>
      </c>
      <c r="M21" s="179"/>
      <c r="N21" s="180">
        <v>0</v>
      </c>
      <c r="O21" s="180">
        <v>0</v>
      </c>
      <c r="P21" s="180"/>
      <c r="Q21" s="182">
        <f t="shared" ca="1" si="7"/>
        <v>-8497.4373272935354</v>
      </c>
      <c r="R21" s="183">
        <f t="shared" ca="1" si="8"/>
        <v>-91134.451133827766</v>
      </c>
      <c r="S21" s="183"/>
      <c r="T21" s="186">
        <f t="shared" ca="1" si="4"/>
        <v>1201878.8753425444</v>
      </c>
      <c r="V21" s="185">
        <f t="shared" ca="1" si="5"/>
        <v>-82637.013806534233</v>
      </c>
      <c r="W21" s="145" t="str">
        <f t="shared" si="6"/>
        <v>OKT.004</v>
      </c>
    </row>
    <row r="22" spans="1:23" ht="13">
      <c r="A22" s="155" t="s">
        <v>207</v>
      </c>
      <c r="B22" s="153" t="s">
        <v>182</v>
      </c>
      <c r="C22" s="177" t="str">
        <f t="shared" ca="1" si="0"/>
        <v>Install 345kV terminal at Valliant***</v>
      </c>
      <c r="D22" s="178">
        <f t="shared" ca="1" si="0"/>
        <v>2012</v>
      </c>
      <c r="E22" s="646">
        <f t="shared" ca="1" si="0"/>
        <v>0</v>
      </c>
      <c r="F22" s="646">
        <f t="shared" ca="1" si="0"/>
        <v>0</v>
      </c>
      <c r="G22" s="180">
        <f t="shared" ca="1" si="1"/>
        <v>0</v>
      </c>
      <c r="H22" s="181"/>
      <c r="I22" s="179">
        <f t="shared" ca="1" si="2"/>
        <v>0</v>
      </c>
      <c r="J22" s="182">
        <v>0</v>
      </c>
      <c r="K22" s="182">
        <v>0</v>
      </c>
      <c r="L22" s="179">
        <f t="shared" si="3"/>
        <v>0</v>
      </c>
      <c r="M22" s="179"/>
      <c r="N22" s="180">
        <v>0</v>
      </c>
      <c r="O22" s="180">
        <v>0</v>
      </c>
      <c r="P22" s="180"/>
      <c r="Q22" s="182">
        <f t="shared" ca="1" si="7"/>
        <v>0</v>
      </c>
      <c r="R22" s="183">
        <f t="shared" ca="1" si="8"/>
        <v>0</v>
      </c>
      <c r="S22" s="183"/>
      <c r="T22" s="186">
        <f t="shared" ca="1" si="4"/>
        <v>0</v>
      </c>
      <c r="V22" s="185">
        <f t="shared" ca="1" si="5"/>
        <v>0</v>
      </c>
      <c r="W22" s="145" t="str">
        <f t="shared" si="6"/>
        <v>OKT.005</v>
      </c>
    </row>
    <row r="23" spans="1:23" ht="25">
      <c r="A23" s="155" t="s">
        <v>208</v>
      </c>
      <c r="B23" s="153" t="s">
        <v>182</v>
      </c>
      <c r="C23" s="177" t="str">
        <f t="shared" ca="1" si="0"/>
        <v xml:space="preserve">Canadian River - McAlester City 138 kV Line Conversion </v>
      </c>
      <c r="D23" s="178">
        <f t="shared" ca="1" si="0"/>
        <v>2013</v>
      </c>
      <c r="E23" s="646">
        <f t="shared" ca="1" si="0"/>
        <v>3509415.1582725761</v>
      </c>
      <c r="F23" s="646">
        <f t="shared" ca="1" si="0"/>
        <v>0</v>
      </c>
      <c r="G23" s="180">
        <f t="shared" ca="1" si="1"/>
        <v>3509415.1582725761</v>
      </c>
      <c r="H23" s="181"/>
      <c r="I23" s="179">
        <f t="shared" ca="1" si="2"/>
        <v>83964.991452114657</v>
      </c>
      <c r="J23" s="182">
        <v>4935311.0443271641</v>
      </c>
      <c r="K23" s="182">
        <v>5226663.1396378893</v>
      </c>
      <c r="L23" s="179">
        <f t="shared" si="3"/>
        <v>-291352.09531072527</v>
      </c>
      <c r="M23" s="179"/>
      <c r="N23" s="180">
        <v>0</v>
      </c>
      <c r="O23" s="180">
        <v>0</v>
      </c>
      <c r="P23" s="180"/>
      <c r="Q23" s="182">
        <f t="shared" ca="1" si="7"/>
        <v>-21325.297664472411</v>
      </c>
      <c r="R23" s="183">
        <f t="shared" ca="1" si="8"/>
        <v>-228712.40152308304</v>
      </c>
      <c r="S23" s="183"/>
      <c r="T23" s="186">
        <f t="shared" ca="1" si="4"/>
        <v>3280702.7567494931</v>
      </c>
      <c r="V23" s="185">
        <f t="shared" ca="1" si="5"/>
        <v>-207387.10385861062</v>
      </c>
      <c r="W23" s="145" t="str">
        <f t="shared" si="6"/>
        <v>OKT.006</v>
      </c>
    </row>
    <row r="24" spans="1:23" ht="13">
      <c r="A24" s="155" t="s">
        <v>216</v>
      </c>
      <c r="B24" s="153" t="s">
        <v>182</v>
      </c>
      <c r="C24" s="177" t="str">
        <f t="shared" ca="1" si="0"/>
        <v xml:space="preserve">Cornville Station Conversion </v>
      </c>
      <c r="D24" s="178">
        <f t="shared" ca="1" si="0"/>
        <v>2014</v>
      </c>
      <c r="E24" s="646">
        <f t="shared" ca="1" si="0"/>
        <v>1249308.9096017922</v>
      </c>
      <c r="F24" s="646">
        <f t="shared" ca="1" si="0"/>
        <v>0</v>
      </c>
      <c r="G24" s="180">
        <f t="shared" ref="G24:G30" ca="1" si="9">+E24+F24</f>
        <v>1249308.9096017922</v>
      </c>
      <c r="H24" s="181"/>
      <c r="I24" s="179">
        <f t="shared" ca="1" si="2"/>
        <v>32037.688592522405</v>
      </c>
      <c r="J24" s="182">
        <v>1758080.1220098534</v>
      </c>
      <c r="K24" s="182">
        <v>1861866.9598952732</v>
      </c>
      <c r="L24" s="179">
        <f t="shared" ref="L24:L30" si="10">+J24-K24</f>
        <v>-103786.83788541984</v>
      </c>
      <c r="M24" s="179"/>
      <c r="N24" s="180">
        <v>0</v>
      </c>
      <c r="O24" s="180">
        <v>0</v>
      </c>
      <c r="P24" s="180"/>
      <c r="Q24" s="182">
        <f t="shared" ca="1" si="7"/>
        <v>-7377.8549262487331</v>
      </c>
      <c r="R24" s="183">
        <f t="shared" ref="R24:R30" ca="1" si="11">I24+L24+P24+Q24</f>
        <v>-79127.004219146169</v>
      </c>
      <c r="S24" s="183"/>
      <c r="T24" s="186">
        <f t="shared" ref="T24:T30" ca="1" si="12">+G24+R24</f>
        <v>1170181.905382646</v>
      </c>
      <c r="V24" s="185">
        <f t="shared" ref="V24:V30" ca="1" si="13">+I24+L24+P24</f>
        <v>-71749.149292897433</v>
      </c>
      <c r="W24" s="145" t="str">
        <f t="shared" ref="W24:W30" si="14">A24</f>
        <v>OKT.007</v>
      </c>
    </row>
    <row r="25" spans="1:23" ht="13">
      <c r="A25" s="155" t="s">
        <v>217</v>
      </c>
      <c r="B25" s="153" t="s">
        <v>182</v>
      </c>
      <c r="C25" s="177" t="str">
        <f t="shared" ca="1" si="0"/>
        <v>Coweta 69 kV Capacitor</v>
      </c>
      <c r="D25" s="178">
        <f t="shared" ca="1" si="0"/>
        <v>2014</v>
      </c>
      <c r="E25" s="646">
        <f t="shared" ca="1" si="0"/>
        <v>229509.43964714528</v>
      </c>
      <c r="F25" s="646">
        <f t="shared" ca="1" si="0"/>
        <v>0</v>
      </c>
      <c r="G25" s="188">
        <f t="shared" ca="1" si="9"/>
        <v>229509.43964714528</v>
      </c>
      <c r="H25" s="189"/>
      <c r="I25" s="179">
        <f t="shared" ca="1" si="2"/>
        <v>4653.1643926791439</v>
      </c>
      <c r="J25" s="182">
        <v>323278.70877986873</v>
      </c>
      <c r="K25" s="182">
        <v>342363.20585136005</v>
      </c>
      <c r="L25" s="187">
        <f t="shared" si="10"/>
        <v>-19084.497071491322</v>
      </c>
      <c r="M25" s="187"/>
      <c r="N25" s="188">
        <v>0</v>
      </c>
      <c r="O25" s="188">
        <v>0</v>
      </c>
      <c r="P25" s="180"/>
      <c r="Q25" s="190">
        <f t="shared" ca="1" si="7"/>
        <v>-1483.9517951922062</v>
      </c>
      <c r="R25" s="191">
        <f t="shared" ca="1" si="11"/>
        <v>-15915.284474004384</v>
      </c>
      <c r="S25" s="191"/>
      <c r="T25" s="192">
        <f t="shared" ca="1" si="12"/>
        <v>213594.1551731409</v>
      </c>
      <c r="V25" s="185">
        <f ca="1">+I25+L25+P25</f>
        <v>-14431.332678812178</v>
      </c>
      <c r="W25" s="145" t="str">
        <f t="shared" si="14"/>
        <v>OKT.008</v>
      </c>
    </row>
    <row r="26" spans="1:23" ht="13">
      <c r="A26" s="193" t="s">
        <v>225</v>
      </c>
      <c r="B26" s="153" t="s">
        <v>182</v>
      </c>
      <c r="C26" s="177" t="str">
        <f t="shared" ca="1" si="0"/>
        <v>Prattville-Bluebell 138 kV</v>
      </c>
      <c r="D26" s="178">
        <f t="shared" ca="1" si="0"/>
        <v>2015</v>
      </c>
      <c r="E26" s="646">
        <f t="shared" ca="1" si="0"/>
        <v>1061489.8962062567</v>
      </c>
      <c r="F26" s="646">
        <f t="shared" ca="1" si="0"/>
        <v>0</v>
      </c>
      <c r="G26" s="188">
        <f t="shared" ca="1" si="9"/>
        <v>1061489.8962062567</v>
      </c>
      <c r="H26" s="189"/>
      <c r="I26" s="179">
        <f t="shared" ca="1" si="2"/>
        <v>26879.203860886162</v>
      </c>
      <c r="J26" s="182">
        <v>1491687.8515347643</v>
      </c>
      <c r="K26" s="182">
        <v>1579748.4372183678</v>
      </c>
      <c r="L26" s="187">
        <f t="shared" si="10"/>
        <v>-88060.585683603538</v>
      </c>
      <c r="M26" s="187"/>
      <c r="N26" s="188">
        <v>0</v>
      </c>
      <c r="O26" s="188">
        <v>0</v>
      </c>
      <c r="P26" s="180"/>
      <c r="Q26" s="190">
        <f t="shared" ca="1" si="7"/>
        <v>-6291.1876130094233</v>
      </c>
      <c r="R26" s="191">
        <f t="shared" ca="1" si="11"/>
        <v>-67472.569435726793</v>
      </c>
      <c r="S26" s="191"/>
      <c r="T26" s="192">
        <f t="shared" ca="1" si="12"/>
        <v>994017.32677052985</v>
      </c>
      <c r="V26" s="185">
        <f t="shared" ca="1" si="13"/>
        <v>-61181.381822717376</v>
      </c>
      <c r="W26" s="145" t="str">
        <f t="shared" si="14"/>
        <v>OKT.009</v>
      </c>
    </row>
    <row r="27" spans="1:23" ht="13">
      <c r="A27" s="193" t="s">
        <v>226</v>
      </c>
      <c r="B27" s="153" t="s">
        <v>182</v>
      </c>
      <c r="C27" s="177" t="str">
        <f t="shared" ca="1" si="0"/>
        <v>Wapanucka Customer Connection</v>
      </c>
      <c r="D27" s="178">
        <f t="shared" ca="1" si="0"/>
        <v>2013</v>
      </c>
      <c r="E27" s="646">
        <f t="shared" ca="1" si="0"/>
        <v>876471.96738932701</v>
      </c>
      <c r="F27" s="646">
        <f t="shared" ca="1" si="0"/>
        <v>0</v>
      </c>
      <c r="G27" s="188">
        <f t="shared" ca="1" si="9"/>
        <v>876471.96738932701</v>
      </c>
      <c r="H27" s="189"/>
      <c r="I27" s="179">
        <f t="shared" ca="1" si="2"/>
        <v>35312.366364019806</v>
      </c>
      <c r="J27" s="182">
        <v>1255322.3111925949</v>
      </c>
      <c r="K27" s="182">
        <v>1329429.2483990474</v>
      </c>
      <c r="L27" s="187">
        <f t="shared" si="10"/>
        <v>-74106.93720645248</v>
      </c>
      <c r="M27" s="187"/>
      <c r="N27" s="188">
        <v>0</v>
      </c>
      <c r="O27" s="188">
        <v>0</v>
      </c>
      <c r="P27" s="180"/>
      <c r="Q27" s="190">
        <f t="shared" ca="1" si="7"/>
        <v>-3989.1861913668827</v>
      </c>
      <c r="R27" s="191">
        <f t="shared" ca="1" si="11"/>
        <v>-42783.757033799557</v>
      </c>
      <c r="S27" s="191"/>
      <c r="T27" s="192">
        <f t="shared" ca="1" si="12"/>
        <v>833688.21035552747</v>
      </c>
      <c r="V27" s="185">
        <f t="shared" ca="1" si="13"/>
        <v>-38794.570842432673</v>
      </c>
      <c r="W27" s="145" t="str">
        <f t="shared" si="14"/>
        <v>OKT.010</v>
      </c>
    </row>
    <row r="28" spans="1:23" ht="13">
      <c r="A28" s="193" t="s">
        <v>227</v>
      </c>
      <c r="B28" s="153" t="s">
        <v>182</v>
      </c>
      <c r="C28" s="177" t="str">
        <f t="shared" ca="1" si="0"/>
        <v>Grady Customer Connection</v>
      </c>
      <c r="D28" s="178">
        <f t="shared" ca="1" si="0"/>
        <v>2014</v>
      </c>
      <c r="E28" s="646">
        <f t="shared" ca="1" si="0"/>
        <v>2497735.0197140798</v>
      </c>
      <c r="F28" s="646">
        <f t="shared" ca="1" si="0"/>
        <v>0</v>
      </c>
      <c r="G28" s="188">
        <f t="shared" ca="1" si="9"/>
        <v>2497735.0197140798</v>
      </c>
      <c r="H28" s="189"/>
      <c r="I28" s="179">
        <f t="shared" ca="1" si="2"/>
        <v>63254.840205323417</v>
      </c>
      <c r="J28" s="182">
        <v>3517323.8947126861</v>
      </c>
      <c r="K28" s="182">
        <v>3724966.2656609048</v>
      </c>
      <c r="L28" s="187">
        <f t="shared" si="10"/>
        <v>-207642.37094821874</v>
      </c>
      <c r="M28" s="187"/>
      <c r="N28" s="188">
        <v>0</v>
      </c>
      <c r="O28" s="188">
        <v>0</v>
      </c>
      <c r="P28" s="180"/>
      <c r="Q28" s="190">
        <f t="shared" ca="1" si="7"/>
        <v>-14847.148230729108</v>
      </c>
      <c r="R28" s="191">
        <f t="shared" ca="1" si="11"/>
        <v>-159234.67897362442</v>
      </c>
      <c r="S28" s="191"/>
      <c r="T28" s="192">
        <f t="shared" ca="1" si="12"/>
        <v>2338500.3407404553</v>
      </c>
      <c r="V28" s="185">
        <f t="shared" ca="1" si="13"/>
        <v>-144387.53074289532</v>
      </c>
      <c r="W28" s="145" t="str">
        <f t="shared" si="14"/>
        <v>OKT.011</v>
      </c>
    </row>
    <row r="29" spans="1:23" ht="13">
      <c r="A29" s="193" t="s">
        <v>228</v>
      </c>
      <c r="B29" s="153" t="s">
        <v>182</v>
      </c>
      <c r="C29" s="177" t="str">
        <f t="shared" ca="1" si="0"/>
        <v>Darlington-Red Rock 138 kV line</v>
      </c>
      <c r="D29" s="178">
        <f t="shared" ca="1" si="0"/>
        <v>2013</v>
      </c>
      <c r="E29" s="646">
        <f t="shared" ca="1" si="0"/>
        <v>1602683.1037737736</v>
      </c>
      <c r="F29" s="646">
        <f t="shared" ca="1" si="0"/>
        <v>0</v>
      </c>
      <c r="G29" s="188">
        <f t="shared" ca="1" si="9"/>
        <v>1602683.1037737736</v>
      </c>
      <c r="H29" s="189"/>
      <c r="I29" s="179">
        <f t="shared" ca="1" si="2"/>
        <v>68946.267190324143</v>
      </c>
      <c r="J29" s="182">
        <v>2307954.3783235746</v>
      </c>
      <c r="K29" s="182">
        <v>2444202.5981351808</v>
      </c>
      <c r="L29" s="187">
        <f t="shared" si="10"/>
        <v>-136248.21981160622</v>
      </c>
      <c r="M29" s="187"/>
      <c r="N29" s="188">
        <v>0</v>
      </c>
      <c r="O29" s="188">
        <v>0</v>
      </c>
      <c r="P29" s="180"/>
      <c r="Q29" s="190">
        <f t="shared" ca="1" si="7"/>
        <v>-6920.5565165110411</v>
      </c>
      <c r="R29" s="191">
        <f t="shared" ca="1" si="11"/>
        <v>-74222.509137793124</v>
      </c>
      <c r="S29" s="191"/>
      <c r="T29" s="192">
        <f t="shared" ca="1" si="12"/>
        <v>1528460.5946359804</v>
      </c>
      <c r="V29" s="185">
        <f t="shared" ca="1" si="13"/>
        <v>-67301.952621282078</v>
      </c>
      <c r="W29" s="145" t="str">
        <f t="shared" si="14"/>
        <v>OKT.012</v>
      </c>
    </row>
    <row r="30" spans="1:23" ht="13">
      <c r="A30" s="193" t="s">
        <v>233</v>
      </c>
      <c r="B30" s="153" t="s">
        <v>182</v>
      </c>
      <c r="C30" s="177" t="str">
        <f t="shared" ca="1" si="0"/>
        <v>Ellis 138 kV</v>
      </c>
      <c r="D30" s="178">
        <f t="shared" ca="1" si="0"/>
        <v>2013</v>
      </c>
      <c r="E30" s="646">
        <f t="shared" ca="1" si="0"/>
        <v>0</v>
      </c>
      <c r="F30" s="646">
        <f t="shared" ca="1" si="0"/>
        <v>0</v>
      </c>
      <c r="G30" s="188">
        <f t="shared" ca="1" si="9"/>
        <v>0</v>
      </c>
      <c r="H30" s="189"/>
      <c r="I30" s="179">
        <f t="shared" ca="1" si="2"/>
        <v>611561.28076019743</v>
      </c>
      <c r="J30" s="182">
        <v>277202.71132486576</v>
      </c>
      <c r="K30" s="182">
        <v>293567.14915764355</v>
      </c>
      <c r="L30" s="187">
        <f t="shared" si="10"/>
        <v>-16364.437832777796</v>
      </c>
      <c r="M30" s="187"/>
      <c r="N30" s="188">
        <v>0</v>
      </c>
      <c r="O30" s="188">
        <v>0</v>
      </c>
      <c r="P30" s="180"/>
      <c r="Q30" s="190">
        <f t="shared" ca="1" si="7"/>
        <v>61203.178057951634</v>
      </c>
      <c r="R30" s="191">
        <f t="shared" ca="1" si="11"/>
        <v>656400.0209853712</v>
      </c>
      <c r="S30" s="191"/>
      <c r="T30" s="192">
        <f t="shared" ca="1" si="12"/>
        <v>656400.0209853712</v>
      </c>
      <c r="V30" s="185">
        <f t="shared" ca="1" si="13"/>
        <v>595196.84292741958</v>
      </c>
      <c r="W30" s="145" t="str">
        <f t="shared" si="14"/>
        <v>OKT.013</v>
      </c>
    </row>
    <row r="31" spans="1:23" ht="13">
      <c r="A31" s="193" t="s">
        <v>236</v>
      </c>
      <c r="B31" s="153" t="s">
        <v>182</v>
      </c>
      <c r="C31" s="177" t="str">
        <f t="shared" ca="1" si="0"/>
        <v>Valliant-NW Texarkana 345 kV</v>
      </c>
      <c r="D31" s="178">
        <f t="shared" ca="1" si="0"/>
        <v>2016</v>
      </c>
      <c r="E31" s="646">
        <f t="shared" ca="1" si="0"/>
        <v>8692924.255398104</v>
      </c>
      <c r="F31" s="646">
        <f t="shared" ca="1" si="0"/>
        <v>0</v>
      </c>
      <c r="G31" s="188">
        <f t="shared" ref="G31:G37" ca="1" si="15">+E31+F31</f>
        <v>8692924.255398104</v>
      </c>
      <c r="H31" s="189"/>
      <c r="I31" s="179">
        <f t="shared" ca="1" si="2"/>
        <v>-50008.27845297195</v>
      </c>
      <c r="J31" s="182">
        <v>13024474.326578073</v>
      </c>
      <c r="K31" s="182">
        <v>13793363.632902758</v>
      </c>
      <c r="L31" s="187">
        <f t="shared" ref="L31:L37" si="16">+J31-K31</f>
        <v>-768889.30632468499</v>
      </c>
      <c r="M31" s="187"/>
      <c r="N31" s="188">
        <v>0</v>
      </c>
      <c r="O31" s="188">
        <v>0</v>
      </c>
      <c r="P31" s="180"/>
      <c r="Q31" s="190">
        <f t="shared" ca="1" si="7"/>
        <v>-84205.982084628078</v>
      </c>
      <c r="R31" s="191">
        <f t="shared" ref="R31:R37" ca="1" si="17">I31+L31+P31+Q31</f>
        <v>-903103.56686228502</v>
      </c>
      <c r="S31" s="191"/>
      <c r="T31" s="192">
        <f t="shared" ref="T31:T37" ca="1" si="18">+G31+R31</f>
        <v>7789820.6885358188</v>
      </c>
      <c r="V31" s="185">
        <f t="shared" ref="V31:V37" ca="1" si="19">+I31+L31+P31</f>
        <v>-818897.58477765694</v>
      </c>
      <c r="W31" s="145" t="str">
        <f t="shared" ref="W31:W37" si="20">A31</f>
        <v>OKT.014</v>
      </c>
    </row>
    <row r="32" spans="1:23" ht="13">
      <c r="A32" s="193" t="s">
        <v>239</v>
      </c>
      <c r="B32" s="153" t="s">
        <v>182</v>
      </c>
      <c r="C32" s="177" t="str">
        <f t="shared" ca="1" si="0"/>
        <v>Darlington Roman Nose 138 kv</v>
      </c>
      <c r="D32" s="178">
        <f t="shared" ca="1" si="0"/>
        <v>2017</v>
      </c>
      <c r="E32" s="646">
        <f t="shared" ca="1" si="0"/>
        <v>1424987.0679285447</v>
      </c>
      <c r="F32" s="646">
        <f t="shared" ca="1" si="0"/>
        <v>0</v>
      </c>
      <c r="G32" s="188">
        <f t="shared" ca="1" si="15"/>
        <v>1424987.0679285447</v>
      </c>
      <c r="H32" s="189"/>
      <c r="I32" s="179">
        <f t="shared" ca="1" si="2"/>
        <v>99319.89582780865</v>
      </c>
      <c r="J32" s="182">
        <v>1659201.7392259657</v>
      </c>
      <c r="K32" s="182">
        <v>1757151.3717668236</v>
      </c>
      <c r="L32" s="187">
        <f t="shared" si="16"/>
        <v>-97949.632540857885</v>
      </c>
      <c r="M32" s="187"/>
      <c r="N32" s="188">
        <v>0</v>
      </c>
      <c r="O32" s="188">
        <v>0</v>
      </c>
      <c r="P32" s="180"/>
      <c r="Q32" s="190">
        <f t="shared" ca="1" si="7"/>
        <v>140.9020711955431</v>
      </c>
      <c r="R32" s="191">
        <f t="shared" ca="1" si="17"/>
        <v>1511.1653581463083</v>
      </c>
      <c r="S32" s="191"/>
      <c r="T32" s="192">
        <f t="shared" ca="1" si="18"/>
        <v>1426498.2332866911</v>
      </c>
      <c r="V32" s="185">
        <f t="shared" ca="1" si="19"/>
        <v>1370.2632869507652</v>
      </c>
      <c r="W32" s="145" t="str">
        <f t="shared" si="20"/>
        <v>OKT.015</v>
      </c>
    </row>
    <row r="33" spans="1:23" ht="13">
      <c r="A33" s="193" t="s">
        <v>248</v>
      </c>
      <c r="B33" s="153" t="s">
        <v>182</v>
      </c>
      <c r="C33" s="177" t="str">
        <f t="shared" ca="1" si="0"/>
        <v>Carnegie South-Southwestern 123 kv line rebuild</v>
      </c>
      <c r="D33" s="178">
        <f t="shared" ca="1" si="0"/>
        <v>2017</v>
      </c>
      <c r="E33" s="646">
        <f t="shared" ca="1" si="0"/>
        <v>1249589.4972268606</v>
      </c>
      <c r="F33" s="646">
        <f t="shared" ca="1" si="0"/>
        <v>0</v>
      </c>
      <c r="G33" s="188">
        <f t="shared" ca="1" si="15"/>
        <v>1249589.4972268606</v>
      </c>
      <c r="H33" s="189"/>
      <c r="I33" s="179">
        <f t="shared" ca="1" si="2"/>
        <v>126307.7206779574</v>
      </c>
      <c r="J33" s="182">
        <v>1408601.6303679945</v>
      </c>
      <c r="K33" s="182">
        <v>1491757.2881937656</v>
      </c>
      <c r="L33" s="187">
        <f t="shared" si="16"/>
        <v>-83155.657825771021</v>
      </c>
      <c r="M33" s="187"/>
      <c r="N33" s="188">
        <v>0</v>
      </c>
      <c r="O33" s="188">
        <v>0</v>
      </c>
      <c r="P33" s="180"/>
      <c r="Q33" s="190">
        <f t="shared" ca="1" si="7"/>
        <v>4437.2604083727338</v>
      </c>
      <c r="R33" s="191">
        <f t="shared" ca="1" si="17"/>
        <v>47589.323260559118</v>
      </c>
      <c r="S33" s="191"/>
      <c r="T33" s="192">
        <f t="shared" ca="1" si="18"/>
        <v>1297178.8204874196</v>
      </c>
      <c r="V33" s="185">
        <f t="shared" ca="1" si="19"/>
        <v>43152.062852186384</v>
      </c>
      <c r="W33" s="145" t="str">
        <f t="shared" si="20"/>
        <v>OKT.016</v>
      </c>
    </row>
    <row r="34" spans="1:23" ht="13">
      <c r="A34" s="193" t="s">
        <v>249</v>
      </c>
      <c r="B34" s="153" t="s">
        <v>182</v>
      </c>
      <c r="C34" s="177" t="str">
        <f t="shared" ca="1" si="0"/>
        <v>Chisholm - Gracemont 345 kv line and station</v>
      </c>
      <c r="D34" s="178">
        <f t="shared" ca="1" si="0"/>
        <v>2017</v>
      </c>
      <c r="E34" s="646">
        <f t="shared" ca="1" si="0"/>
        <v>11380637.767430846</v>
      </c>
      <c r="F34" s="646">
        <f t="shared" ca="1" si="0"/>
        <v>0</v>
      </c>
      <c r="G34" s="188">
        <f t="shared" ca="1" si="15"/>
        <v>11380637.767430846</v>
      </c>
      <c r="H34" s="189"/>
      <c r="I34" s="179">
        <f t="shared" ca="1" si="2"/>
        <v>980448.60182941146</v>
      </c>
      <c r="J34" s="182">
        <v>12626698.526788646</v>
      </c>
      <c r="K34" s="182">
        <v>13372105.460535057</v>
      </c>
      <c r="L34" s="187">
        <f t="shared" si="16"/>
        <v>-745406.93374641053</v>
      </c>
      <c r="M34" s="187"/>
      <c r="N34" s="188">
        <v>0</v>
      </c>
      <c r="O34" s="188">
        <v>0</v>
      </c>
      <c r="P34" s="180"/>
      <c r="Q34" s="190">
        <f t="shared" ca="1" si="7"/>
        <v>24168.974069098127</v>
      </c>
      <c r="R34" s="191">
        <f t="shared" ca="1" si="17"/>
        <v>259210.64215209906</v>
      </c>
      <c r="S34" s="191"/>
      <c r="T34" s="192">
        <f t="shared" ca="1" si="18"/>
        <v>11639848.409582945</v>
      </c>
      <c r="V34" s="185">
        <f t="shared" ca="1" si="19"/>
        <v>235041.66808300093</v>
      </c>
      <c r="W34" s="145" t="str">
        <f t="shared" si="20"/>
        <v>OKT.017</v>
      </c>
    </row>
    <row r="35" spans="1:23" ht="13">
      <c r="A35" s="193" t="s">
        <v>264</v>
      </c>
      <c r="B35" s="153" t="s">
        <v>182</v>
      </c>
      <c r="C35" s="177" t="str">
        <f t="shared" ca="1" si="0"/>
        <v>Duncan-Comanche Tap 69 KV Rebuild</v>
      </c>
      <c r="D35" s="178">
        <f t="shared" ca="1" si="0"/>
        <v>2018</v>
      </c>
      <c r="E35" s="646">
        <f t="shared" ca="1" si="0"/>
        <v>1183351.4738305765</v>
      </c>
      <c r="F35" s="646">
        <f t="shared" ca="1" si="0"/>
        <v>0</v>
      </c>
      <c r="G35" s="188">
        <f t="shared" ca="1" si="15"/>
        <v>1183351.4738305765</v>
      </c>
      <c r="H35" s="189"/>
      <c r="I35" s="179">
        <f t="shared" ca="1" si="2"/>
        <v>69568.672688211547</v>
      </c>
      <c r="J35" s="182">
        <v>930333.23821495997</v>
      </c>
      <c r="K35" s="182">
        <v>985254.70838302583</v>
      </c>
      <c r="L35" s="187">
        <f t="shared" si="16"/>
        <v>-54921.470168065862</v>
      </c>
      <c r="M35" s="187"/>
      <c r="N35" s="188">
        <v>0</v>
      </c>
      <c r="O35" s="188">
        <v>0</v>
      </c>
      <c r="P35" s="180"/>
      <c r="Q35" s="190">
        <f t="shared" ca="1" si="7"/>
        <v>1506.149359734879</v>
      </c>
      <c r="R35" s="191">
        <f t="shared" ca="1" si="17"/>
        <v>16153.351879880564</v>
      </c>
      <c r="S35" s="191"/>
      <c r="T35" s="192">
        <f t="shared" ca="1" si="18"/>
        <v>1199504.8257104571</v>
      </c>
      <c r="V35" s="185">
        <f t="shared" ca="1" si="19"/>
        <v>14647.202520145685</v>
      </c>
      <c r="W35" s="145" t="str">
        <f t="shared" si="20"/>
        <v>OKT.018</v>
      </c>
    </row>
    <row r="36" spans="1:23" ht="13">
      <c r="A36" s="193" t="s">
        <v>287</v>
      </c>
      <c r="B36" s="153" t="s">
        <v>182</v>
      </c>
      <c r="C36" s="177" t="str">
        <f t="shared" ca="1" si="0"/>
        <v>Fort Towson-Valliant 69 KV Line Rebuild</v>
      </c>
      <c r="D36" s="178">
        <f t="shared" ca="1" si="0"/>
        <v>2019</v>
      </c>
      <c r="E36" s="646">
        <f t="shared" ca="1" si="0"/>
        <v>2147888.2260048082</v>
      </c>
      <c r="F36" s="646">
        <f t="shared" ca="1" si="0"/>
        <v>0</v>
      </c>
      <c r="G36" s="188">
        <f t="shared" ca="1" si="15"/>
        <v>2147888.2260048082</v>
      </c>
      <c r="H36" s="189"/>
      <c r="I36" s="179">
        <f t="shared" ca="1" si="2"/>
        <v>239895.2863540767</v>
      </c>
      <c r="J36" s="182">
        <v>1134524.7126540036</v>
      </c>
      <c r="K36" s="182">
        <v>1201500.461344349</v>
      </c>
      <c r="L36" s="187">
        <f t="shared" si="16"/>
        <v>-66975.748690345325</v>
      </c>
      <c r="M36" s="187"/>
      <c r="N36" s="188">
        <v>0</v>
      </c>
      <c r="O36" s="188">
        <v>0</v>
      </c>
      <c r="P36" s="180"/>
      <c r="Q36" s="190">
        <f ca="1">+V36/$V$39 * $Q$39</f>
        <v>17781.050721437685</v>
      </c>
      <c r="R36" s="191">
        <f t="shared" ca="1" si="17"/>
        <v>190700.58838516905</v>
      </c>
      <c r="S36" s="191"/>
      <c r="T36" s="192">
        <f t="shared" ca="1" si="18"/>
        <v>2338588.8143899771</v>
      </c>
      <c r="V36" s="185">
        <f t="shared" ca="1" si="19"/>
        <v>172919.53766373137</v>
      </c>
      <c r="W36" s="145" t="str">
        <f t="shared" si="20"/>
        <v>OKT.019</v>
      </c>
    </row>
    <row r="37" spans="1:23" ht="13">
      <c r="A37" s="193" t="s">
        <v>290</v>
      </c>
      <c r="B37" s="153" t="s">
        <v>182</v>
      </c>
      <c r="C37" s="177" t="str">
        <f t="shared" ca="1" si="0"/>
        <v>Keystone Dam - Wekiwa 138 kV</v>
      </c>
      <c r="D37" s="178">
        <f t="shared" ca="1" si="0"/>
        <v>2020</v>
      </c>
      <c r="E37" s="646">
        <f t="shared" ca="1" si="0"/>
        <v>541054.66812252079</v>
      </c>
      <c r="F37" s="646">
        <f t="shared" ca="1" si="0"/>
        <v>0</v>
      </c>
      <c r="G37" s="188">
        <f t="shared" ca="1" si="15"/>
        <v>541054.66812252079</v>
      </c>
      <c r="H37" s="189"/>
      <c r="I37" s="179">
        <f t="shared" ca="1" si="2"/>
        <v>0</v>
      </c>
      <c r="J37" s="182"/>
      <c r="K37" s="182"/>
      <c r="L37" s="187">
        <f t="shared" si="16"/>
        <v>0</v>
      </c>
      <c r="M37" s="187"/>
      <c r="N37" s="188">
        <v>0</v>
      </c>
      <c r="O37" s="188">
        <v>0</v>
      </c>
      <c r="P37" s="180"/>
      <c r="Q37" s="190">
        <f ca="1">+V37/$V$39 * $Q$39</f>
        <v>0</v>
      </c>
      <c r="R37" s="191">
        <f t="shared" ca="1" si="17"/>
        <v>0</v>
      </c>
      <c r="S37" s="191"/>
      <c r="T37" s="192">
        <f t="shared" ca="1" si="18"/>
        <v>541054.66812252079</v>
      </c>
      <c r="V37" s="185">
        <f t="shared" ca="1" si="19"/>
        <v>0</v>
      </c>
      <c r="W37" s="145" t="str">
        <f t="shared" si="20"/>
        <v>OKT.020</v>
      </c>
    </row>
    <row r="38" spans="1:23" ht="13">
      <c r="A38" s="156"/>
      <c r="B38" s="156"/>
      <c r="C38" s="156"/>
      <c r="D38" s="153"/>
      <c r="E38" s="191"/>
      <c r="F38" s="191"/>
      <c r="G38" s="191"/>
      <c r="H38" s="183"/>
      <c r="I38" s="191"/>
      <c r="J38" s="191"/>
      <c r="K38" s="194"/>
      <c r="L38" s="191"/>
      <c r="M38" s="191"/>
      <c r="N38" s="191"/>
      <c r="O38" s="191"/>
      <c r="P38" s="191"/>
      <c r="Q38" s="191"/>
      <c r="R38" s="191"/>
      <c r="S38" s="183"/>
      <c r="T38" s="192"/>
      <c r="V38" s="176"/>
    </row>
    <row r="39" spans="1:23" ht="13">
      <c r="A39" s="156"/>
      <c r="B39" s="156"/>
      <c r="C39" s="195" t="s">
        <v>183</v>
      </c>
      <c r="D39" s="196"/>
      <c r="E39" s="197">
        <f ca="1">SUM(E18:E38)</f>
        <v>39209807.067353562</v>
      </c>
      <c r="F39" s="197">
        <f ca="1">SUM(F18:F38)</f>
        <v>0</v>
      </c>
      <c r="G39" s="197">
        <f ca="1">SUM(G18:G38)</f>
        <v>39209807.067353562</v>
      </c>
      <c r="H39" s="197"/>
      <c r="I39" s="197">
        <f ca="1">SUM(I18:I38)</f>
        <v>2422874.3428672547</v>
      </c>
      <c r="J39" s="197">
        <f>SUM(J18:J38)</f>
        <v>48842089.38188491</v>
      </c>
      <c r="K39" s="645">
        <v>51725442.619999997</v>
      </c>
      <c r="L39" s="197">
        <f>SUM(L18:L38)</f>
        <v>-2883353.2381150858</v>
      </c>
      <c r="M39" s="197"/>
      <c r="N39" s="197">
        <f>SUM(N18:N38)</f>
        <v>0</v>
      </c>
      <c r="O39" s="197">
        <f>SUM(O18:O38)</f>
        <v>0</v>
      </c>
      <c r="P39" s="197">
        <f>SUM(P18:P38)</f>
        <v>0</v>
      </c>
      <c r="Q39" s="198">
        <v>-47350.33821612288</v>
      </c>
      <c r="R39" s="197">
        <f ca="1">SUM(R18:R38)</f>
        <v>-507829.23346395441</v>
      </c>
      <c r="S39" s="197"/>
      <c r="T39" s="197">
        <f ca="1">SUM(T18:T38)</f>
        <v>38701977.833889611</v>
      </c>
      <c r="V39" s="199">
        <f ca="1">SUM(V18:V38)</f>
        <v>-460478.89524783136</v>
      </c>
      <c r="W39" s="200" t="s">
        <v>180</v>
      </c>
    </row>
    <row r="40" spans="1:23" ht="13.5" thickBot="1">
      <c r="A40" s="156"/>
      <c r="B40" s="156"/>
      <c r="C40" s="201"/>
      <c r="D40" s="156"/>
      <c r="E40" s="202"/>
      <c r="F40" s="203" t="str">
        <f ca="1">IF(F39=OKT.WS.F.BPU.ATRR.Projected!O19,"","Error")</f>
        <v/>
      </c>
      <c r="G40" s="204"/>
      <c r="H40" s="156"/>
      <c r="J40" s="205"/>
      <c r="K40" s="206"/>
      <c r="L40" s="206"/>
      <c r="M40" s="206"/>
      <c r="N40" s="206"/>
      <c r="O40" s="206"/>
      <c r="P40" s="206"/>
      <c r="Q40" s="206"/>
      <c r="R40" s="183"/>
      <c r="S40" s="183"/>
      <c r="T40" s="183"/>
      <c r="V40" s="207"/>
      <c r="W40" s="200"/>
    </row>
    <row r="41" spans="1:23" ht="12.5">
      <c r="A41" s="156"/>
      <c r="B41" s="156"/>
      <c r="C41" s="208" t="s">
        <v>212</v>
      </c>
      <c r="D41" s="156"/>
      <c r="E41" s="183"/>
      <c r="F41" s="183"/>
      <c r="G41" s="183"/>
      <c r="H41" s="156"/>
      <c r="I41" s="209"/>
      <c r="J41" s="209"/>
      <c r="K41" s="156" t="s">
        <v>288</v>
      </c>
      <c r="L41" s="156"/>
      <c r="M41" s="156"/>
      <c r="N41" s="206"/>
      <c r="O41" s="206"/>
      <c r="P41" s="206"/>
      <c r="Q41" s="206"/>
      <c r="R41" s="183"/>
      <c r="S41" s="183"/>
      <c r="T41" s="183"/>
    </row>
    <row r="42" spans="1:23" ht="12.5">
      <c r="A42" s="156"/>
      <c r="B42" s="156"/>
      <c r="C42" s="210" t="s">
        <v>157</v>
      </c>
      <c r="D42" s="156"/>
      <c r="E42" s="183"/>
      <c r="F42" s="183"/>
      <c r="G42" s="183"/>
      <c r="H42" s="156"/>
      <c r="J42" s="211"/>
      <c r="L42" s="156"/>
      <c r="M42" s="156"/>
      <c r="N42" s="206"/>
      <c r="O42" s="206"/>
      <c r="P42" s="206"/>
      <c r="Q42" s="206"/>
      <c r="R42" s="206"/>
      <c r="S42" s="156"/>
      <c r="T42" s="156"/>
    </row>
    <row r="43" spans="1:23" ht="12.5">
      <c r="E43" s="212"/>
      <c r="F43" s="212"/>
      <c r="G43" s="212"/>
      <c r="I43" s="212"/>
      <c r="J43" s="213"/>
      <c r="N43" s="214"/>
      <c r="O43" s="214"/>
      <c r="P43" s="214"/>
      <c r="Q43" s="214"/>
      <c r="R43" s="214"/>
    </row>
    <row r="44" spans="1:23" ht="12.5">
      <c r="E44" s="212"/>
      <c r="F44" s="212"/>
      <c r="G44" s="212"/>
    </row>
    <row r="45" spans="1:23" ht="12.5">
      <c r="A45" s="215" t="s">
        <v>158</v>
      </c>
      <c r="B45" s="216"/>
      <c r="C45" s="216"/>
      <c r="D45" s="216"/>
      <c r="E45" s="217"/>
      <c r="F45" s="217"/>
      <c r="G45" s="217"/>
      <c r="H45" s="216"/>
      <c r="I45" s="216"/>
      <c r="J45" s="216"/>
      <c r="K45" s="216"/>
      <c r="L45" s="216"/>
      <c r="M45" s="216"/>
      <c r="N45" s="216"/>
      <c r="O45" s="218"/>
      <c r="V45" s="145" t="s">
        <v>171</v>
      </c>
    </row>
    <row r="46" spans="1:23" ht="15.5">
      <c r="A46" s="219" t="s">
        <v>161</v>
      </c>
      <c r="B46" s="220"/>
      <c r="C46" s="221" t="str">
        <f ca="1">RIGHT(CELL("address",OKT.001!D7),4)</f>
        <v>$D$7</v>
      </c>
      <c r="D46" s="221" t="str">
        <f ca="1">RIGHT(CELL("address",OKT.001!D11),4)</f>
        <v>D$11</v>
      </c>
      <c r="E46" s="221" t="str">
        <f ca="1">RIGHT(CELL("address",OKT.001!N5),4)</f>
        <v>$N$5</v>
      </c>
      <c r="F46" s="221" t="str">
        <f ca="1">RIGHT(CELL("address",OKT.001!N7),4)</f>
        <v>$N$7</v>
      </c>
      <c r="G46" s="220"/>
      <c r="H46" s="222"/>
      <c r="I46" s="221" t="str">
        <f ca="1">RIGHT(CELL("address",OKT.001!M90),4)</f>
        <v>M$90</v>
      </c>
      <c r="J46" s="221"/>
      <c r="K46" s="220"/>
      <c r="L46" s="220"/>
      <c r="M46" s="220"/>
      <c r="N46" s="221" t="str">
        <f ca="1">RIGHT(CELL("address",OKT.001!N88),4)</f>
        <v>N$88</v>
      </c>
      <c r="O46" s="223" t="str">
        <f ca="1">RIGHT(CELL("address",OKT.001!N89),4)</f>
        <v>N$89</v>
      </c>
      <c r="P46" s="175" t="s">
        <v>160</v>
      </c>
      <c r="V46" s="145" t="s">
        <v>172</v>
      </c>
    </row>
    <row r="47" spans="1:23" ht="12.5">
      <c r="A47" s="224" t="s">
        <v>162</v>
      </c>
      <c r="B47" s="225"/>
      <c r="C47" s="225"/>
      <c r="D47" s="225"/>
      <c r="E47" s="226"/>
      <c r="F47" s="226"/>
      <c r="G47" s="226"/>
      <c r="H47" s="225"/>
      <c r="I47" s="225"/>
      <c r="J47" s="225"/>
      <c r="K47" s="225"/>
      <c r="L47" s="225"/>
      <c r="M47" s="225"/>
      <c r="N47" s="225"/>
      <c r="O47" s="227"/>
      <c r="V47" s="145" t="s">
        <v>173</v>
      </c>
    </row>
    <row r="48" spans="1:23" ht="12.5">
      <c r="E48" s="212"/>
      <c r="F48" s="212"/>
      <c r="G48" s="212"/>
      <c r="V48" s="145" t="s">
        <v>174</v>
      </c>
    </row>
    <row r="49" spans="5:22" ht="12.5">
      <c r="E49" s="212"/>
      <c r="F49" s="212"/>
      <c r="G49" s="212"/>
      <c r="V49" s="145" t="s">
        <v>175</v>
      </c>
    </row>
    <row r="54" spans="5:22" ht="12.75" customHeight="1">
      <c r="G54" s="157"/>
      <c r="I54" s="228"/>
      <c r="J54" s="228"/>
    </row>
    <row r="55" spans="5:22" ht="12.75" customHeight="1">
      <c r="E55" s="229"/>
      <c r="F55" s="229"/>
      <c r="G55" s="230"/>
      <c r="I55" s="229"/>
      <c r="J55" s="231"/>
    </row>
    <row r="56" spans="5:22" ht="12.75" customHeight="1">
      <c r="E56" s="229"/>
      <c r="F56" s="229"/>
      <c r="G56" s="230"/>
      <c r="I56" s="229"/>
      <c r="J56" s="231"/>
    </row>
    <row r="57" spans="5:22" ht="12.75" customHeight="1">
      <c r="E57" s="229"/>
      <c r="F57" s="229"/>
      <c r="G57" s="230"/>
      <c r="I57" s="229"/>
      <c r="J57" s="231"/>
    </row>
    <row r="58" spans="5:22" ht="12.75" customHeight="1">
      <c r="E58" s="229"/>
      <c r="F58" s="229"/>
      <c r="G58" s="230"/>
      <c r="I58" s="229"/>
      <c r="J58" s="231"/>
    </row>
    <row r="59" spans="5:22" ht="12.75" customHeight="1">
      <c r="E59" s="229"/>
      <c r="F59" s="229"/>
      <c r="G59" s="230"/>
      <c r="I59" s="229"/>
      <c r="J59" s="231"/>
    </row>
    <row r="60" spans="5:22" ht="12.75" customHeight="1">
      <c r="E60" s="229"/>
      <c r="F60" s="229"/>
      <c r="G60" s="230"/>
      <c r="I60" s="229"/>
      <c r="J60" s="231"/>
    </row>
    <row r="61" spans="5:22" ht="12.75" customHeight="1">
      <c r="E61" s="229"/>
      <c r="F61" s="229"/>
      <c r="G61" s="230"/>
      <c r="I61" s="229"/>
      <c r="J61" s="231"/>
    </row>
    <row r="62" spans="5:22" ht="12.75" customHeight="1">
      <c r="E62" s="229"/>
      <c r="F62" s="229"/>
      <c r="G62" s="230"/>
      <c r="I62" s="229"/>
      <c r="J62" s="231"/>
    </row>
    <row r="63" spans="5:22" ht="12.75" customHeight="1">
      <c r="E63" s="229"/>
      <c r="F63" s="229"/>
      <c r="G63" s="230"/>
      <c r="I63" s="229"/>
      <c r="J63" s="231"/>
    </row>
    <row r="64" spans="5:22" ht="12.75" customHeight="1">
      <c r="E64" s="229"/>
      <c r="F64" s="229"/>
      <c r="G64" s="230"/>
      <c r="I64" s="229"/>
      <c r="J64" s="231"/>
    </row>
    <row r="65" spans="5:10" ht="12.75" customHeight="1">
      <c r="E65" s="229"/>
      <c r="F65" s="229"/>
      <c r="G65" s="230"/>
      <c r="I65" s="229"/>
      <c r="J65" s="231"/>
    </row>
    <row r="66" spans="5:10" ht="12.75" customHeight="1">
      <c r="E66" s="229"/>
      <c r="F66" s="229"/>
      <c r="G66" s="230"/>
      <c r="I66" s="229"/>
      <c r="J66" s="231"/>
    </row>
    <row r="67" spans="5:10" ht="12.75" customHeight="1">
      <c r="E67" s="229"/>
      <c r="F67" s="229"/>
      <c r="G67" s="230"/>
      <c r="I67" s="229"/>
      <c r="J67" s="231"/>
    </row>
    <row r="68" spans="5:10" ht="12.75" customHeight="1">
      <c r="E68" s="229"/>
      <c r="F68" s="229"/>
      <c r="G68" s="230"/>
      <c r="I68" s="229"/>
      <c r="J68" s="231"/>
    </row>
    <row r="69" spans="5:10" ht="12.75" customHeight="1">
      <c r="E69" s="229"/>
      <c r="F69" s="229"/>
      <c r="G69" s="230"/>
      <c r="I69" s="229"/>
      <c r="J69" s="231"/>
    </row>
    <row r="70" spans="5:10" ht="12.75" customHeight="1">
      <c r="E70" s="229"/>
      <c r="F70" s="229"/>
      <c r="G70" s="230"/>
      <c r="I70" s="229"/>
      <c r="J70" s="231"/>
    </row>
    <row r="71" spans="5:10" ht="12.75" customHeight="1">
      <c r="E71" s="229"/>
      <c r="F71" s="229"/>
      <c r="G71" s="230"/>
      <c r="I71" s="229"/>
      <c r="J71" s="231"/>
    </row>
    <row r="72" spans="5:10" ht="12.75" customHeight="1">
      <c r="E72" s="229"/>
      <c r="F72" s="229"/>
      <c r="G72" s="230"/>
      <c r="I72" s="229"/>
      <c r="J72" s="231"/>
    </row>
    <row r="73" spans="5:10" ht="12.75" customHeight="1">
      <c r="E73" s="229"/>
      <c r="F73" s="229"/>
      <c r="G73" s="230"/>
      <c r="I73" s="229"/>
      <c r="J73" s="231"/>
    </row>
    <row r="74" spans="5:10" ht="12.75" customHeight="1">
      <c r="E74" s="229"/>
      <c r="F74" s="229"/>
      <c r="I74" s="229"/>
      <c r="J74" s="231"/>
    </row>
    <row r="75" spans="5:10" ht="12.75" customHeight="1">
      <c r="E75" s="229"/>
      <c r="F75" s="229"/>
      <c r="G75" s="230"/>
      <c r="I75" s="229"/>
      <c r="J75" s="231"/>
    </row>
  </sheetData>
  <mergeCells count="2">
    <mergeCell ref="E13:G13"/>
    <mergeCell ref="T14:T16"/>
  </mergeCells>
  <phoneticPr fontId="62" type="noConversion"/>
  <pageMargins left="0.5" right="0.5" top="1" bottom="1" header="0.65" footer="0.5"/>
  <pageSetup scale="52" orientation="landscape" r:id="rId1"/>
  <headerFooter alignWithMargins="0">
    <oddHeader xml:space="preserve">&amp;R&amp;16AEPTCo - SPP Formula Rate
Schedule 11 Revenue Requirements
&amp;A
Page: &amp;P of &amp;N
</oddHeader>
    <oddFooter>&amp;L&amp;A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U163"/>
  <sheetViews>
    <sheetView view="pageBreakPreview" zoomScale="80" zoomScaleNormal="100" zoomScaleSheetLayoutView="80"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8.54296875" style="145" customWidth="1"/>
    <col min="11" max="11" width="17.7265625" style="145" customWidth="1"/>
    <col min="12" max="12" width="16.1796875" style="145" customWidth="1"/>
    <col min="13" max="13" width="18.7265625" style="145" customWidth="1"/>
    <col min="14" max="14" width="20.453125" style="145" customWidth="1"/>
    <col min="15" max="15" width="20"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7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1249308.9096017922</v>
      </c>
      <c r="P5" s="243"/>
      <c r="R5" s="243"/>
      <c r="S5" s="243"/>
      <c r="T5" s="243"/>
      <c r="U5" s="243"/>
    </row>
    <row r="6" spans="1:21" ht="15.5">
      <c r="C6" s="235"/>
      <c r="D6" s="292"/>
      <c r="E6" s="243"/>
      <c r="F6" s="243"/>
      <c r="G6" s="243"/>
      <c r="H6" s="449"/>
      <c r="I6" s="449"/>
      <c r="J6" s="450"/>
      <c r="K6" s="451" t="s">
        <v>243</v>
      </c>
      <c r="L6" s="452"/>
      <c r="M6" s="278"/>
      <c r="N6" s="453">
        <f>VLOOKUP(I10,C17:I73,6)</f>
        <v>1249308.9096017922</v>
      </c>
      <c r="O6" s="243"/>
      <c r="P6" s="243"/>
      <c r="R6" s="243"/>
      <c r="S6" s="243"/>
      <c r="T6" s="243"/>
      <c r="U6" s="243"/>
    </row>
    <row r="7" spans="1:21" ht="13.5" thickBot="1">
      <c r="C7" s="454" t="s">
        <v>46</v>
      </c>
      <c r="D7" s="455" t="s">
        <v>214</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213</v>
      </c>
      <c r="E9" s="647" t="s">
        <v>306</v>
      </c>
      <c r="F9" s="465"/>
      <c r="G9" s="465"/>
      <c r="H9" s="465"/>
      <c r="I9" s="466"/>
      <c r="J9" s="467"/>
      <c r="O9" s="468"/>
      <c r="P9" s="278"/>
      <c r="R9" s="243"/>
      <c r="S9" s="243"/>
      <c r="T9" s="243"/>
      <c r="U9" s="243"/>
    </row>
    <row r="10" spans="1:21" ht="13">
      <c r="C10" s="469" t="s">
        <v>49</v>
      </c>
      <c r="D10" s="470">
        <v>10218098</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10</v>
      </c>
      <c r="E12" s="472" t="s">
        <v>55</v>
      </c>
      <c r="F12" s="408"/>
      <c r="G12" s="220"/>
      <c r="H12" s="220"/>
      <c r="I12" s="476">
        <f>OKT.WS.F.BPU.ATRR.Projected!$F$79</f>
        <v>0.10818506718567715</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329616.06451612903</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2014</v>
      </c>
      <c r="D17" s="496">
        <v>10780000</v>
      </c>
      <c r="E17" s="497">
        <v>108783.19956647091</v>
      </c>
      <c r="F17" s="496">
        <v>10671216.80043353</v>
      </c>
      <c r="G17" s="497">
        <v>891533.50922396348</v>
      </c>
      <c r="H17" s="499">
        <v>891533.50922396348</v>
      </c>
      <c r="I17" s="500">
        <v>0</v>
      </c>
      <c r="J17" s="500"/>
      <c r="K17" s="501">
        <f t="shared" ref="K17:K22" si="1">G17</f>
        <v>891533.50922396348</v>
      </c>
      <c r="L17" s="502">
        <f t="shared" ref="L17:L22" si="2">IF(K17&lt;&gt;0,+G17-K17,0)</f>
        <v>0</v>
      </c>
      <c r="M17" s="501">
        <f t="shared" ref="M17:M22" si="3">H17</f>
        <v>891533.50922396348</v>
      </c>
      <c r="N17" s="503">
        <f>IF(M17&lt;&gt;0,+H17-M17,0)</f>
        <v>0</v>
      </c>
      <c r="O17" s="504">
        <f>+N17-L17</f>
        <v>0</v>
      </c>
      <c r="P17" s="278"/>
      <c r="R17" s="243"/>
      <c r="S17" s="243"/>
      <c r="T17" s="243"/>
      <c r="U17" s="243"/>
    </row>
    <row r="18" spans="2:21" ht="12.5">
      <c r="B18" s="145" t="str">
        <f t="shared" si="0"/>
        <v/>
      </c>
      <c r="C18" s="495">
        <f>IF(D11="","-",+C17+1)</f>
        <v>2015</v>
      </c>
      <c r="D18" s="496">
        <v>10671216.80043353</v>
      </c>
      <c r="E18" s="498">
        <v>177316.90361351607</v>
      </c>
      <c r="F18" s="496">
        <v>10493899.896820014</v>
      </c>
      <c r="G18" s="498">
        <v>1258875.2944357994</v>
      </c>
      <c r="H18" s="499">
        <v>1258875.2944357994</v>
      </c>
      <c r="I18" s="500">
        <v>0</v>
      </c>
      <c r="J18" s="500"/>
      <c r="K18" s="506">
        <f t="shared" si="1"/>
        <v>1258875.2944357994</v>
      </c>
      <c r="L18" s="507">
        <f t="shared" si="2"/>
        <v>0</v>
      </c>
      <c r="M18" s="506">
        <f t="shared" si="3"/>
        <v>1258875.2944357994</v>
      </c>
      <c r="N18" s="504">
        <f>IF(M18&lt;&gt;0,+H18-M18,0)</f>
        <v>0</v>
      </c>
      <c r="O18" s="504">
        <f>+N18-L18</f>
        <v>0</v>
      </c>
      <c r="P18" s="278"/>
      <c r="R18" s="243"/>
      <c r="S18" s="243"/>
      <c r="T18" s="243"/>
      <c r="U18" s="243"/>
    </row>
    <row r="19" spans="2:21" ht="12.5">
      <c r="B19" s="145" t="str">
        <f t="shared" si="0"/>
        <v>IU</v>
      </c>
      <c r="C19" s="495">
        <f>IF(D11="","-",+C18+1)</f>
        <v>2016</v>
      </c>
      <c r="D19" s="496">
        <v>9931637.8968200125</v>
      </c>
      <c r="E19" s="498">
        <v>212319.01830997164</v>
      </c>
      <c r="F19" s="496">
        <v>9719318.8785100412</v>
      </c>
      <c r="G19" s="498">
        <v>1260842.7357894429</v>
      </c>
      <c r="H19" s="499">
        <v>1260842.7357894429</v>
      </c>
      <c r="I19" s="500">
        <f>H19-G19</f>
        <v>0</v>
      </c>
      <c r="J19" s="500"/>
      <c r="K19" s="506">
        <f t="shared" si="1"/>
        <v>1260842.7357894429</v>
      </c>
      <c r="L19" s="507">
        <f t="shared" si="2"/>
        <v>0</v>
      </c>
      <c r="M19" s="506">
        <f t="shared" si="3"/>
        <v>1260842.7357894429</v>
      </c>
      <c r="N19" s="504">
        <f t="shared" ref="N19:N73" si="4">IF(M19&lt;&gt;0,+H19-M19,0)</f>
        <v>0</v>
      </c>
      <c r="O19" s="504">
        <f t="shared" ref="O19:O73" si="5">+N19-L19</f>
        <v>0</v>
      </c>
      <c r="P19" s="278"/>
      <c r="R19" s="243"/>
      <c r="S19" s="243"/>
      <c r="T19" s="243"/>
      <c r="U19" s="243"/>
    </row>
    <row r="20" spans="2:21" ht="12.5">
      <c r="B20" s="145" t="str">
        <f t="shared" si="0"/>
        <v>IU</v>
      </c>
      <c r="C20" s="495">
        <f>IF(D11="","-",+C19+1)</f>
        <v>2017</v>
      </c>
      <c r="D20" s="496">
        <v>9719678.8785100412</v>
      </c>
      <c r="E20" s="498">
        <v>200908.03630390498</v>
      </c>
      <c r="F20" s="496">
        <v>9518770.8422061354</v>
      </c>
      <c r="G20" s="498">
        <v>1258445.35153371</v>
      </c>
      <c r="H20" s="499">
        <v>1258445.35153371</v>
      </c>
      <c r="I20" s="500">
        <f t="shared" ref="I20:I73" si="6">H20-G20</f>
        <v>0</v>
      </c>
      <c r="J20" s="500"/>
      <c r="K20" s="506">
        <f t="shared" si="1"/>
        <v>1258445.35153371</v>
      </c>
      <c r="L20" s="507">
        <f t="shared" si="2"/>
        <v>0</v>
      </c>
      <c r="M20" s="506">
        <f t="shared" si="3"/>
        <v>1258445.35153371</v>
      </c>
      <c r="N20" s="504">
        <f>IF(M20&lt;&gt;0,+H20-M20,0)</f>
        <v>0</v>
      </c>
      <c r="O20" s="504">
        <f>+N20-L20</f>
        <v>0</v>
      </c>
      <c r="P20" s="278"/>
      <c r="R20" s="243"/>
      <c r="S20" s="243"/>
      <c r="T20" s="243"/>
      <c r="U20" s="243"/>
    </row>
    <row r="21" spans="2:21" ht="12.5">
      <c r="B21" s="145" t="str">
        <f t="shared" si="0"/>
        <v/>
      </c>
      <c r="C21" s="495">
        <f>IF(D11="","-",+C20+1)</f>
        <v>2018</v>
      </c>
      <c r="D21" s="496">
        <v>9518770.8422061354</v>
      </c>
      <c r="E21" s="498">
        <v>250594.58163414692</v>
      </c>
      <c r="F21" s="496">
        <v>9268176.2605719883</v>
      </c>
      <c r="G21" s="498">
        <v>1205193.6465713971</v>
      </c>
      <c r="H21" s="499">
        <v>1205193.6465713971</v>
      </c>
      <c r="I21" s="500">
        <v>0</v>
      </c>
      <c r="J21" s="500"/>
      <c r="K21" s="506">
        <f t="shared" si="1"/>
        <v>1205193.6465713971</v>
      </c>
      <c r="L21" s="507">
        <f t="shared" si="2"/>
        <v>0</v>
      </c>
      <c r="M21" s="506">
        <f t="shared" si="3"/>
        <v>1205193.6465713971</v>
      </c>
      <c r="N21" s="504">
        <f>IF(M21&lt;&gt;0,+H21-M21,0)</f>
        <v>0</v>
      </c>
      <c r="O21" s="504">
        <f>+N21-L21</f>
        <v>0</v>
      </c>
      <c r="P21" s="278"/>
      <c r="R21" s="243"/>
      <c r="S21" s="243"/>
      <c r="T21" s="243"/>
      <c r="U21" s="243"/>
    </row>
    <row r="22" spans="2:21" ht="12.5">
      <c r="B22" s="145" t="str">
        <f t="shared" si="0"/>
        <v/>
      </c>
      <c r="C22" s="495">
        <f>IF(D11="","-",+C21+1)</f>
        <v>2019</v>
      </c>
      <c r="D22" s="496">
        <v>9268176.2605719883</v>
      </c>
      <c r="E22" s="498">
        <v>303057.00441769959</v>
      </c>
      <c r="F22" s="496">
        <v>8965119.2561542895</v>
      </c>
      <c r="G22" s="498">
        <v>1250604.5823260741</v>
      </c>
      <c r="H22" s="499">
        <v>1250604.5823260741</v>
      </c>
      <c r="I22" s="500">
        <f t="shared" si="6"/>
        <v>0</v>
      </c>
      <c r="J22" s="500"/>
      <c r="K22" s="506">
        <f t="shared" si="1"/>
        <v>1250604.5823260741</v>
      </c>
      <c r="L22" s="507">
        <f t="shared" si="2"/>
        <v>0</v>
      </c>
      <c r="M22" s="506">
        <f t="shared" si="3"/>
        <v>1250604.5823260741</v>
      </c>
      <c r="N22" s="504">
        <f>IF(M22&lt;&gt;0,+H22-M22,0)</f>
        <v>0</v>
      </c>
      <c r="O22" s="504">
        <f>+N22-L22</f>
        <v>0</v>
      </c>
      <c r="P22" s="278"/>
      <c r="R22" s="243"/>
      <c r="S22" s="243"/>
      <c r="T22" s="243"/>
      <c r="U22" s="243"/>
    </row>
    <row r="23" spans="2:21" ht="12.5">
      <c r="B23" s="145" t="str">
        <f t="shared" si="0"/>
        <v>IU</v>
      </c>
      <c r="C23" s="495">
        <f>IF(D11="","-",+C22+1)</f>
        <v>2020</v>
      </c>
      <c r="D23" s="496">
        <v>9017581.6789378412</v>
      </c>
      <c r="E23" s="498">
        <v>299204.10245587147</v>
      </c>
      <c r="F23" s="496">
        <v>8718377.57648197</v>
      </c>
      <c r="G23" s="498">
        <v>1229743.0760443411</v>
      </c>
      <c r="H23" s="499">
        <v>1229743.0760443411</v>
      </c>
      <c r="I23" s="500">
        <f t="shared" si="6"/>
        <v>0</v>
      </c>
      <c r="J23" s="500"/>
      <c r="K23" s="506">
        <f t="shared" ref="K23" si="7">G23</f>
        <v>1229743.0760443411</v>
      </c>
      <c r="L23" s="507">
        <f t="shared" ref="L23" si="8">IF(K23&lt;&gt;0,+G23-K23,0)</f>
        <v>0</v>
      </c>
      <c r="M23" s="506">
        <f t="shared" ref="M23" si="9">H23</f>
        <v>1229743.0760443411</v>
      </c>
      <c r="N23" s="504">
        <f>IF(M23&lt;&gt;0,+H23-M23,0)</f>
        <v>0</v>
      </c>
      <c r="O23" s="504">
        <f>+N23-L23</f>
        <v>0</v>
      </c>
      <c r="P23" s="278"/>
      <c r="R23" s="243"/>
      <c r="S23" s="243"/>
      <c r="T23" s="243"/>
      <c r="U23" s="243"/>
    </row>
    <row r="24" spans="2:21" ht="12.5">
      <c r="B24" s="145" t="str">
        <f t="shared" si="0"/>
        <v>IU</v>
      </c>
      <c r="C24" s="495">
        <f>IF(D11="","-",+C23+1)</f>
        <v>2021</v>
      </c>
      <c r="D24" s="508">
        <f>IF(F23+SUM(E$17:E23)=D$10,F23,D$10-SUM(E$17:E23))</f>
        <v>8665915.1536984183</v>
      </c>
      <c r="E24" s="509">
        <f t="shared" ref="E24:E73" si="10">IF(+$I$14&lt;F23,$I$14,D24)</f>
        <v>329616.06451612903</v>
      </c>
      <c r="F24" s="510">
        <f t="shared" ref="F24:F73" si="11">+D24-E24</f>
        <v>8336299.0891822893</v>
      </c>
      <c r="G24" s="511">
        <f t="shared" ref="G24:G73" si="12">(D24+F24)/2*I$12+E24</f>
        <v>1249308.9096017922</v>
      </c>
      <c r="H24" s="477">
        <f t="shared" ref="H24:H73" si="13">+(D24+F24)/2*I$13+E24</f>
        <v>1249308.9096017922</v>
      </c>
      <c r="I24" s="500">
        <f t="shared" si="6"/>
        <v>0</v>
      </c>
      <c r="J24" s="500"/>
      <c r="K24" s="512"/>
      <c r="L24" s="504">
        <f t="shared" ref="L24:L73" si="14">IF(K24&lt;&gt;0,+G24-K24,0)</f>
        <v>0</v>
      </c>
      <c r="M24" s="512"/>
      <c r="N24" s="504">
        <f t="shared" si="4"/>
        <v>0</v>
      </c>
      <c r="O24" s="504">
        <f t="shared" si="5"/>
        <v>0</v>
      </c>
      <c r="P24" s="278"/>
      <c r="R24" s="243"/>
      <c r="S24" s="243"/>
      <c r="T24" s="243"/>
      <c r="U24" s="243"/>
    </row>
    <row r="25" spans="2:21" ht="12.5">
      <c r="B25" s="145" t="str">
        <f t="shared" si="0"/>
        <v/>
      </c>
      <c r="C25" s="495">
        <f>IF(D11="","-",+C24+1)</f>
        <v>2022</v>
      </c>
      <c r="D25" s="508">
        <f>IF(F24+SUM(E$17:E24)=D$10,F24,D$10-SUM(E$17:E24))</f>
        <v>8336299.0891822893</v>
      </c>
      <c r="E25" s="509">
        <f t="shared" si="10"/>
        <v>329616.06451612903</v>
      </c>
      <c r="F25" s="510">
        <f t="shared" si="11"/>
        <v>8006683.0246661603</v>
      </c>
      <c r="G25" s="511">
        <f t="shared" si="12"/>
        <v>1213649.3735166362</v>
      </c>
      <c r="H25" s="477">
        <f t="shared" si="13"/>
        <v>1213649.3735166362</v>
      </c>
      <c r="I25" s="500">
        <f t="shared" si="6"/>
        <v>0</v>
      </c>
      <c r="J25" s="500"/>
      <c r="K25" s="512"/>
      <c r="L25" s="504">
        <f t="shared" si="14"/>
        <v>0</v>
      </c>
      <c r="M25" s="512"/>
      <c r="N25" s="504">
        <f t="shared" si="4"/>
        <v>0</v>
      </c>
      <c r="O25" s="504">
        <f t="shared" si="5"/>
        <v>0</v>
      </c>
      <c r="P25" s="278"/>
      <c r="R25" s="243"/>
      <c r="S25" s="243"/>
      <c r="T25" s="243"/>
      <c r="U25" s="243"/>
    </row>
    <row r="26" spans="2:21" ht="12.5">
      <c r="B26" s="145" t="str">
        <f t="shared" si="0"/>
        <v/>
      </c>
      <c r="C26" s="495">
        <f>IF(D11="","-",+C25+1)</f>
        <v>2023</v>
      </c>
      <c r="D26" s="508">
        <f>IF(F25+SUM(E$17:E25)=D$10,F25,D$10-SUM(E$17:E25))</f>
        <v>8006683.0246661603</v>
      </c>
      <c r="E26" s="509">
        <f t="shared" si="10"/>
        <v>329616.06451612903</v>
      </c>
      <c r="F26" s="510">
        <f t="shared" si="11"/>
        <v>7677066.9601500314</v>
      </c>
      <c r="G26" s="511">
        <f t="shared" si="12"/>
        <v>1177989.8374314804</v>
      </c>
      <c r="H26" s="477">
        <f t="shared" si="13"/>
        <v>1177989.8374314804</v>
      </c>
      <c r="I26" s="500">
        <f t="shared" si="6"/>
        <v>0</v>
      </c>
      <c r="J26" s="500"/>
      <c r="K26" s="512"/>
      <c r="L26" s="504">
        <f t="shared" si="14"/>
        <v>0</v>
      </c>
      <c r="M26" s="512"/>
      <c r="N26" s="504">
        <f t="shared" si="4"/>
        <v>0</v>
      </c>
      <c r="O26" s="504">
        <f t="shared" si="5"/>
        <v>0</v>
      </c>
      <c r="P26" s="278"/>
      <c r="R26" s="243"/>
      <c r="S26" s="243"/>
      <c r="T26" s="243"/>
      <c r="U26" s="243"/>
    </row>
    <row r="27" spans="2:21" ht="12.5">
      <c r="B27" s="145" t="str">
        <f t="shared" si="0"/>
        <v/>
      </c>
      <c r="C27" s="495">
        <f>IF(D11="","-",+C26+1)</f>
        <v>2024</v>
      </c>
      <c r="D27" s="508">
        <f>IF(F26+SUM(E$17:E26)=D$10,F26,D$10-SUM(E$17:E26))</f>
        <v>7677066.9601500314</v>
      </c>
      <c r="E27" s="509">
        <f t="shared" si="10"/>
        <v>329616.06451612903</v>
      </c>
      <c r="F27" s="510">
        <f t="shared" si="11"/>
        <v>7347450.8956339024</v>
      </c>
      <c r="G27" s="511">
        <f t="shared" si="12"/>
        <v>1142330.3013463244</v>
      </c>
      <c r="H27" s="477">
        <f t="shared" si="13"/>
        <v>1142330.3013463244</v>
      </c>
      <c r="I27" s="500">
        <f t="shared" si="6"/>
        <v>0</v>
      </c>
      <c r="J27" s="500"/>
      <c r="K27" s="512"/>
      <c r="L27" s="504">
        <f t="shared" si="14"/>
        <v>0</v>
      </c>
      <c r="M27" s="512"/>
      <c r="N27" s="504">
        <f t="shared" si="4"/>
        <v>0</v>
      </c>
      <c r="O27" s="504">
        <f t="shared" si="5"/>
        <v>0</v>
      </c>
      <c r="P27" s="278"/>
      <c r="R27" s="243"/>
      <c r="S27" s="243"/>
      <c r="T27" s="243"/>
      <c r="U27" s="243"/>
    </row>
    <row r="28" spans="2:21" ht="12.5">
      <c r="B28" s="145" t="str">
        <f t="shared" si="0"/>
        <v/>
      </c>
      <c r="C28" s="495">
        <f>IF(D11="","-",+C27+1)</f>
        <v>2025</v>
      </c>
      <c r="D28" s="508">
        <f>IF(F27+SUM(E$17:E27)=D$10,F27,D$10-SUM(E$17:E27))</f>
        <v>7347450.8956339024</v>
      </c>
      <c r="E28" s="509">
        <f t="shared" si="10"/>
        <v>329616.06451612903</v>
      </c>
      <c r="F28" s="510">
        <f t="shared" si="11"/>
        <v>7017834.8311177734</v>
      </c>
      <c r="G28" s="511">
        <f t="shared" si="12"/>
        <v>1106670.7652611686</v>
      </c>
      <c r="H28" s="477">
        <f t="shared" si="13"/>
        <v>1106670.7652611686</v>
      </c>
      <c r="I28" s="500">
        <f t="shared" si="6"/>
        <v>0</v>
      </c>
      <c r="J28" s="500"/>
      <c r="K28" s="512"/>
      <c r="L28" s="504">
        <f t="shared" si="14"/>
        <v>0</v>
      </c>
      <c r="M28" s="512"/>
      <c r="N28" s="504">
        <f t="shared" si="4"/>
        <v>0</v>
      </c>
      <c r="O28" s="504">
        <f t="shared" si="5"/>
        <v>0</v>
      </c>
      <c r="P28" s="278"/>
      <c r="R28" s="243"/>
      <c r="S28" s="243"/>
      <c r="T28" s="243"/>
      <c r="U28" s="243"/>
    </row>
    <row r="29" spans="2:21" ht="12.5">
      <c r="B29" s="145" t="str">
        <f t="shared" si="0"/>
        <v/>
      </c>
      <c r="C29" s="495">
        <f>IF(D11="","-",+C28+1)</f>
        <v>2026</v>
      </c>
      <c r="D29" s="508">
        <f>IF(F28+SUM(E$17:E28)=D$10,F28,D$10-SUM(E$17:E28))</f>
        <v>7017834.8311177734</v>
      </c>
      <c r="E29" s="509">
        <f t="shared" si="10"/>
        <v>329616.06451612903</v>
      </c>
      <c r="F29" s="510">
        <f t="shared" si="11"/>
        <v>6688218.7666016445</v>
      </c>
      <c r="G29" s="511">
        <f t="shared" si="12"/>
        <v>1071011.2291760126</v>
      </c>
      <c r="H29" s="477">
        <f t="shared" si="13"/>
        <v>1071011.2291760126</v>
      </c>
      <c r="I29" s="500">
        <f t="shared" si="6"/>
        <v>0</v>
      </c>
      <c r="J29" s="500"/>
      <c r="K29" s="512"/>
      <c r="L29" s="504">
        <f t="shared" si="14"/>
        <v>0</v>
      </c>
      <c r="M29" s="512"/>
      <c r="N29" s="504">
        <f t="shared" si="4"/>
        <v>0</v>
      </c>
      <c r="O29" s="504">
        <f t="shared" si="5"/>
        <v>0</v>
      </c>
      <c r="P29" s="278"/>
      <c r="R29" s="243"/>
      <c r="S29" s="243"/>
      <c r="T29" s="243"/>
      <c r="U29" s="243"/>
    </row>
    <row r="30" spans="2:21" ht="12.5">
      <c r="B30" s="145" t="str">
        <f t="shared" si="0"/>
        <v/>
      </c>
      <c r="C30" s="495">
        <f>IF(D11="","-",+C29+1)</f>
        <v>2027</v>
      </c>
      <c r="D30" s="508">
        <f>IF(F29+SUM(E$17:E29)=D$10,F29,D$10-SUM(E$17:E29))</f>
        <v>6688218.7666016445</v>
      </c>
      <c r="E30" s="509">
        <f t="shared" si="10"/>
        <v>329616.06451612903</v>
      </c>
      <c r="F30" s="510">
        <f t="shared" si="11"/>
        <v>6358602.7020855155</v>
      </c>
      <c r="G30" s="511">
        <f t="shared" si="12"/>
        <v>1035351.6930908568</v>
      </c>
      <c r="H30" s="477">
        <f t="shared" si="13"/>
        <v>1035351.6930908568</v>
      </c>
      <c r="I30" s="500">
        <f t="shared" si="6"/>
        <v>0</v>
      </c>
      <c r="J30" s="500"/>
      <c r="K30" s="512"/>
      <c r="L30" s="504">
        <f t="shared" si="14"/>
        <v>0</v>
      </c>
      <c r="M30" s="512"/>
      <c r="N30" s="504">
        <f t="shared" si="4"/>
        <v>0</v>
      </c>
      <c r="O30" s="504">
        <f t="shared" si="5"/>
        <v>0</v>
      </c>
      <c r="P30" s="278"/>
      <c r="R30" s="243"/>
      <c r="S30" s="243"/>
      <c r="T30" s="243"/>
      <c r="U30" s="243"/>
    </row>
    <row r="31" spans="2:21" ht="12.5">
      <c r="B31" s="145" t="str">
        <f t="shared" si="0"/>
        <v/>
      </c>
      <c r="C31" s="495">
        <f>IF(D11="","-",+C30+1)</f>
        <v>2028</v>
      </c>
      <c r="D31" s="508">
        <f>IF(F30+SUM(E$17:E30)=D$10,F30,D$10-SUM(E$17:E30))</f>
        <v>6358602.7020855155</v>
      </c>
      <c r="E31" s="509">
        <f t="shared" si="10"/>
        <v>329616.06451612903</v>
      </c>
      <c r="F31" s="510">
        <f t="shared" si="11"/>
        <v>6028986.6375693865</v>
      </c>
      <c r="G31" s="511">
        <f t="shared" si="12"/>
        <v>999692.15700570075</v>
      </c>
      <c r="H31" s="477">
        <f t="shared" si="13"/>
        <v>999692.15700570075</v>
      </c>
      <c r="I31" s="500">
        <f t="shared" si="6"/>
        <v>0</v>
      </c>
      <c r="J31" s="500"/>
      <c r="K31" s="512"/>
      <c r="L31" s="504">
        <f t="shared" si="14"/>
        <v>0</v>
      </c>
      <c r="M31" s="512"/>
      <c r="N31" s="504">
        <f t="shared" si="4"/>
        <v>0</v>
      </c>
      <c r="O31" s="504">
        <f t="shared" si="5"/>
        <v>0</v>
      </c>
      <c r="P31" s="278"/>
      <c r="Q31" s="220"/>
      <c r="R31" s="278"/>
      <c r="S31" s="278"/>
      <c r="T31" s="278"/>
      <c r="U31" s="243"/>
    </row>
    <row r="32" spans="2:21" ht="12.5">
      <c r="B32" s="145" t="str">
        <f t="shared" si="0"/>
        <v/>
      </c>
      <c r="C32" s="495">
        <f>IF(D12="","-",+C31+1)</f>
        <v>2029</v>
      </c>
      <c r="D32" s="508">
        <f>IF(F31+SUM(E$17:E31)=D$10,F31,D$10-SUM(E$17:E31))</f>
        <v>6028986.6375693865</v>
      </c>
      <c r="E32" s="509">
        <f>IF(+$I$14&lt;F31,$I$14,D32)</f>
        <v>329616.06451612903</v>
      </c>
      <c r="F32" s="510">
        <f>+D32-E32</f>
        <v>5699370.5730532575</v>
      </c>
      <c r="G32" s="511">
        <f t="shared" si="12"/>
        <v>964032.62092054496</v>
      </c>
      <c r="H32" s="477">
        <f t="shared" si="13"/>
        <v>964032.62092054496</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2030</v>
      </c>
      <c r="D33" s="581">
        <f>IF(F32+SUM(E$17:E32)=D$10,F32,D$10-SUM(E$17:E32))</f>
        <v>5699370.5730532575</v>
      </c>
      <c r="E33" s="509">
        <f>IF(+$I$14&lt;F31,$I$14,D33)</f>
        <v>329616.06451612903</v>
      </c>
      <c r="F33" s="510">
        <f t="shared" si="11"/>
        <v>5369754.5085371286</v>
      </c>
      <c r="G33" s="511">
        <f t="shared" si="12"/>
        <v>928373.08483538893</v>
      </c>
      <c r="H33" s="477">
        <f t="shared" si="13"/>
        <v>928373.08483538893</v>
      </c>
      <c r="I33" s="500">
        <f t="shared" si="6"/>
        <v>0</v>
      </c>
      <c r="J33" s="500"/>
      <c r="K33" s="512"/>
      <c r="L33" s="504">
        <f t="shared" si="14"/>
        <v>0</v>
      </c>
      <c r="M33" s="512"/>
      <c r="N33" s="504">
        <f t="shared" si="4"/>
        <v>0</v>
      </c>
      <c r="O33" s="504">
        <f t="shared" si="5"/>
        <v>0</v>
      </c>
      <c r="P33" s="278"/>
      <c r="R33" s="243"/>
      <c r="S33" s="243"/>
      <c r="T33" s="243"/>
      <c r="U33" s="243"/>
    </row>
    <row r="34" spans="2:21" ht="12.5">
      <c r="B34" s="145" t="str">
        <f t="shared" si="0"/>
        <v/>
      </c>
      <c r="C34" s="513">
        <f>IF(D11="","-",+C33+1)</f>
        <v>2031</v>
      </c>
      <c r="D34" s="581">
        <f>IF(F33+SUM(E$17:E33)=D$10,F33,D$10-SUM(E$17:E33))</f>
        <v>5369754.5085371286</v>
      </c>
      <c r="E34" s="515">
        <f t="shared" si="10"/>
        <v>329616.06451612903</v>
      </c>
      <c r="F34" s="516">
        <f t="shared" si="11"/>
        <v>5040138.4440209996</v>
      </c>
      <c r="G34" s="517">
        <f t="shared" si="12"/>
        <v>892713.54875023314</v>
      </c>
      <c r="H34" s="518">
        <f t="shared" si="13"/>
        <v>892713.54875023314</v>
      </c>
      <c r="I34" s="519">
        <f t="shared" si="6"/>
        <v>0</v>
      </c>
      <c r="J34" s="519"/>
      <c r="K34" s="520"/>
      <c r="L34" s="521">
        <f t="shared" si="14"/>
        <v>0</v>
      </c>
      <c r="M34" s="520"/>
      <c r="N34" s="521">
        <f t="shared" si="4"/>
        <v>0</v>
      </c>
      <c r="O34" s="521">
        <f t="shared" si="5"/>
        <v>0</v>
      </c>
      <c r="P34" s="522"/>
      <c r="Q34" s="216"/>
      <c r="R34" s="522"/>
      <c r="S34" s="522"/>
      <c r="T34" s="522"/>
      <c r="U34" s="243"/>
    </row>
    <row r="35" spans="2:21" ht="12.5">
      <c r="B35" s="145" t="str">
        <f t="shared" si="0"/>
        <v/>
      </c>
      <c r="C35" s="495">
        <f>IF(D11="","-",+C34+1)</f>
        <v>2032</v>
      </c>
      <c r="D35" s="508">
        <f>IF(F34+SUM(E$17:E34)=D$10,F34,D$10-SUM(E$17:E34))</f>
        <v>5040138.4440209996</v>
      </c>
      <c r="E35" s="509">
        <f t="shared" si="10"/>
        <v>329616.06451612903</v>
      </c>
      <c r="F35" s="510">
        <f t="shared" si="11"/>
        <v>4710522.3795048706</v>
      </c>
      <c r="G35" s="511">
        <f t="shared" si="12"/>
        <v>857054.01266507711</v>
      </c>
      <c r="H35" s="477">
        <f t="shared" si="13"/>
        <v>857054.01266507711</v>
      </c>
      <c r="I35" s="500">
        <f t="shared" si="6"/>
        <v>0</v>
      </c>
      <c r="J35" s="500"/>
      <c r="K35" s="512"/>
      <c r="L35" s="504">
        <f t="shared" si="14"/>
        <v>0</v>
      </c>
      <c r="M35" s="512"/>
      <c r="N35" s="504">
        <f t="shared" si="4"/>
        <v>0</v>
      </c>
      <c r="O35" s="504">
        <f t="shared" si="5"/>
        <v>0</v>
      </c>
      <c r="P35" s="278"/>
      <c r="R35" s="243"/>
      <c r="S35" s="243"/>
      <c r="T35" s="243"/>
      <c r="U35" s="243"/>
    </row>
    <row r="36" spans="2:21" ht="12.5">
      <c r="B36" s="145" t="str">
        <f t="shared" si="0"/>
        <v/>
      </c>
      <c r="C36" s="495">
        <f>IF(D11="","-",+C35+1)</f>
        <v>2033</v>
      </c>
      <c r="D36" s="508">
        <f>IF(F35+SUM(E$17:E35)=D$10,F35,D$10-SUM(E$17:E35))</f>
        <v>4710522.3795048706</v>
      </c>
      <c r="E36" s="509">
        <f t="shared" si="10"/>
        <v>329616.06451612903</v>
      </c>
      <c r="F36" s="510">
        <f t="shared" si="11"/>
        <v>4380906.3149887417</v>
      </c>
      <c r="G36" s="511">
        <f t="shared" si="12"/>
        <v>821394.47657992132</v>
      </c>
      <c r="H36" s="477">
        <f t="shared" si="13"/>
        <v>821394.47657992132</v>
      </c>
      <c r="I36" s="500">
        <f t="shared" si="6"/>
        <v>0</v>
      </c>
      <c r="J36" s="500"/>
      <c r="K36" s="512"/>
      <c r="L36" s="504">
        <f t="shared" si="14"/>
        <v>0</v>
      </c>
      <c r="M36" s="512"/>
      <c r="N36" s="504">
        <f t="shared" si="4"/>
        <v>0</v>
      </c>
      <c r="O36" s="504">
        <f t="shared" si="5"/>
        <v>0</v>
      </c>
      <c r="P36" s="278"/>
      <c r="R36" s="243"/>
      <c r="S36" s="243"/>
      <c r="T36" s="243"/>
      <c r="U36" s="243"/>
    </row>
    <row r="37" spans="2:21" ht="12.5">
      <c r="B37" s="145" t="str">
        <f t="shared" si="0"/>
        <v/>
      </c>
      <c r="C37" s="495">
        <f>IF(D11="","-",+C36+1)</f>
        <v>2034</v>
      </c>
      <c r="D37" s="508">
        <f>IF(F36+SUM(E$17:E36)=D$10,F36,D$10-SUM(E$17:E36))</f>
        <v>4380906.3149887417</v>
      </c>
      <c r="E37" s="509">
        <f t="shared" si="10"/>
        <v>329616.06451612903</v>
      </c>
      <c r="F37" s="510">
        <f t="shared" si="11"/>
        <v>4051290.2504726127</v>
      </c>
      <c r="G37" s="511">
        <f t="shared" si="12"/>
        <v>785734.94049476541</v>
      </c>
      <c r="H37" s="477">
        <f t="shared" si="13"/>
        <v>785734.94049476541</v>
      </c>
      <c r="I37" s="500">
        <f t="shared" si="6"/>
        <v>0</v>
      </c>
      <c r="J37" s="500"/>
      <c r="K37" s="512"/>
      <c r="L37" s="504">
        <f t="shared" si="14"/>
        <v>0</v>
      </c>
      <c r="M37" s="512"/>
      <c r="N37" s="504">
        <f t="shared" si="4"/>
        <v>0</v>
      </c>
      <c r="O37" s="504">
        <f t="shared" si="5"/>
        <v>0</v>
      </c>
      <c r="P37" s="278"/>
      <c r="R37" s="243"/>
      <c r="S37" s="243"/>
      <c r="T37" s="243"/>
      <c r="U37" s="243"/>
    </row>
    <row r="38" spans="2:21" ht="12.5">
      <c r="B38" s="145" t="str">
        <f t="shared" si="0"/>
        <v/>
      </c>
      <c r="C38" s="495">
        <f>IF(D11="","-",+C37+1)</f>
        <v>2035</v>
      </c>
      <c r="D38" s="508">
        <f>IF(F37+SUM(E$17:E37)=D$10,F37,D$10-SUM(E$17:E37))</f>
        <v>4051290.2504726127</v>
      </c>
      <c r="E38" s="509">
        <f t="shared" si="10"/>
        <v>329616.06451612903</v>
      </c>
      <c r="F38" s="510">
        <f t="shared" si="11"/>
        <v>3721674.1859564837</v>
      </c>
      <c r="G38" s="511">
        <f t="shared" si="12"/>
        <v>750075.4044096095</v>
      </c>
      <c r="H38" s="477">
        <f t="shared" si="13"/>
        <v>750075.4044096095</v>
      </c>
      <c r="I38" s="500">
        <f t="shared" si="6"/>
        <v>0</v>
      </c>
      <c r="J38" s="500"/>
      <c r="K38" s="512"/>
      <c r="L38" s="504">
        <f t="shared" si="14"/>
        <v>0</v>
      </c>
      <c r="M38" s="512"/>
      <c r="N38" s="504">
        <f t="shared" si="4"/>
        <v>0</v>
      </c>
      <c r="O38" s="504">
        <f t="shared" si="5"/>
        <v>0</v>
      </c>
      <c r="P38" s="278"/>
      <c r="R38" s="243"/>
      <c r="S38" s="243"/>
      <c r="T38" s="243"/>
      <c r="U38" s="243"/>
    </row>
    <row r="39" spans="2:21" ht="12.5">
      <c r="B39" s="145" t="str">
        <f t="shared" si="0"/>
        <v/>
      </c>
      <c r="C39" s="495">
        <f>IF(D11="","-",+C38+1)</f>
        <v>2036</v>
      </c>
      <c r="D39" s="508">
        <f>IF(F38+SUM(E$17:E38)=D$10,F38,D$10-SUM(E$17:E38))</f>
        <v>3721674.1859564837</v>
      </c>
      <c r="E39" s="509">
        <f t="shared" si="10"/>
        <v>329616.06451612903</v>
      </c>
      <c r="F39" s="510">
        <f t="shared" si="11"/>
        <v>3392058.1214403547</v>
      </c>
      <c r="G39" s="511">
        <f t="shared" si="12"/>
        <v>714415.86832445359</v>
      </c>
      <c r="H39" s="477">
        <f t="shared" si="13"/>
        <v>714415.86832445359</v>
      </c>
      <c r="I39" s="500">
        <f t="shared" si="6"/>
        <v>0</v>
      </c>
      <c r="J39" s="500"/>
      <c r="K39" s="512"/>
      <c r="L39" s="504">
        <f t="shared" si="14"/>
        <v>0</v>
      </c>
      <c r="M39" s="512"/>
      <c r="N39" s="504">
        <f t="shared" si="4"/>
        <v>0</v>
      </c>
      <c r="O39" s="504">
        <f t="shared" si="5"/>
        <v>0</v>
      </c>
      <c r="P39" s="278"/>
      <c r="R39" s="243"/>
      <c r="S39" s="243"/>
      <c r="T39" s="243"/>
      <c r="U39" s="243"/>
    </row>
    <row r="40" spans="2:21" ht="12.5">
      <c r="B40" s="145" t="str">
        <f t="shared" si="0"/>
        <v/>
      </c>
      <c r="C40" s="495">
        <f>IF(D11="","-",+C39+1)</f>
        <v>2037</v>
      </c>
      <c r="D40" s="508">
        <f>IF(F39+SUM(E$17:E39)=D$10,F39,D$10-SUM(E$17:E39))</f>
        <v>3392058.1214403547</v>
      </c>
      <c r="E40" s="509">
        <f t="shared" si="10"/>
        <v>329616.06451612903</v>
      </c>
      <c r="F40" s="510">
        <f t="shared" si="11"/>
        <v>3062442.0569242258</v>
      </c>
      <c r="G40" s="511">
        <f t="shared" si="12"/>
        <v>678756.33223929768</v>
      </c>
      <c r="H40" s="477">
        <f t="shared" si="13"/>
        <v>678756.33223929768</v>
      </c>
      <c r="I40" s="500">
        <f t="shared" si="6"/>
        <v>0</v>
      </c>
      <c r="J40" s="500"/>
      <c r="K40" s="512"/>
      <c r="L40" s="504">
        <f t="shared" si="14"/>
        <v>0</v>
      </c>
      <c r="M40" s="512"/>
      <c r="N40" s="504">
        <f t="shared" si="4"/>
        <v>0</v>
      </c>
      <c r="O40" s="504">
        <f t="shared" si="5"/>
        <v>0</v>
      </c>
      <c r="P40" s="278"/>
      <c r="R40" s="243"/>
      <c r="S40" s="243"/>
      <c r="T40" s="243"/>
      <c r="U40" s="243"/>
    </row>
    <row r="41" spans="2:21" ht="12.5">
      <c r="B41" s="145" t="str">
        <f t="shared" si="0"/>
        <v/>
      </c>
      <c r="C41" s="495">
        <f>IF(D12="","-",+C40+1)</f>
        <v>2038</v>
      </c>
      <c r="D41" s="508">
        <f>IF(F40+SUM(E$17:E40)=D$10,F40,D$10-SUM(E$17:E40))</f>
        <v>3062442.0569242258</v>
      </c>
      <c r="E41" s="509">
        <f t="shared" si="10"/>
        <v>329616.06451612903</v>
      </c>
      <c r="F41" s="510">
        <f t="shared" si="11"/>
        <v>2732825.9924080968</v>
      </c>
      <c r="G41" s="511">
        <f t="shared" si="12"/>
        <v>643096.79615414178</v>
      </c>
      <c r="H41" s="477">
        <f t="shared" si="13"/>
        <v>643096.79615414178</v>
      </c>
      <c r="I41" s="500">
        <f t="shared" si="6"/>
        <v>0</v>
      </c>
      <c r="J41" s="500"/>
      <c r="K41" s="512"/>
      <c r="L41" s="504">
        <f t="shared" si="14"/>
        <v>0</v>
      </c>
      <c r="M41" s="512"/>
      <c r="N41" s="504">
        <f t="shared" si="4"/>
        <v>0</v>
      </c>
      <c r="O41" s="504">
        <f t="shared" si="5"/>
        <v>0</v>
      </c>
      <c r="P41" s="278"/>
      <c r="R41" s="243"/>
      <c r="S41" s="243"/>
      <c r="T41" s="243"/>
      <c r="U41" s="243"/>
    </row>
    <row r="42" spans="2:21" ht="12.5">
      <c r="B42" s="145" t="str">
        <f t="shared" si="0"/>
        <v/>
      </c>
      <c r="C42" s="495">
        <f>IF(D13="","-",+C41+1)</f>
        <v>2039</v>
      </c>
      <c r="D42" s="508">
        <f>IF(F41+SUM(E$17:E41)=D$10,F41,D$10-SUM(E$17:E41))</f>
        <v>2732825.9924080968</v>
      </c>
      <c r="E42" s="509">
        <f t="shared" si="10"/>
        <v>329616.06451612903</v>
      </c>
      <c r="F42" s="510">
        <f t="shared" si="11"/>
        <v>2403209.9278919678</v>
      </c>
      <c r="G42" s="511">
        <f t="shared" si="12"/>
        <v>607437.26006898587</v>
      </c>
      <c r="H42" s="477">
        <f t="shared" si="13"/>
        <v>607437.26006898587</v>
      </c>
      <c r="I42" s="500">
        <f t="shared" si="6"/>
        <v>0</v>
      </c>
      <c r="J42" s="500"/>
      <c r="K42" s="512"/>
      <c r="L42" s="504">
        <f t="shared" si="14"/>
        <v>0</v>
      </c>
      <c r="M42" s="512"/>
      <c r="N42" s="504">
        <f t="shared" si="4"/>
        <v>0</v>
      </c>
      <c r="O42" s="504">
        <f t="shared" si="5"/>
        <v>0</v>
      </c>
      <c r="P42" s="278"/>
      <c r="R42" s="243"/>
      <c r="S42" s="243"/>
      <c r="T42" s="243"/>
      <c r="U42" s="243"/>
    </row>
    <row r="43" spans="2:21" ht="12.5">
      <c r="B43" s="145" t="str">
        <f t="shared" si="0"/>
        <v/>
      </c>
      <c r="C43" s="495">
        <f>IF(D11="","-",+C42+1)</f>
        <v>2040</v>
      </c>
      <c r="D43" s="508">
        <f>IF(F42+SUM(E$17:E42)=D$10,F42,D$10-SUM(E$17:E42))</f>
        <v>2403209.9278919678</v>
      </c>
      <c r="E43" s="509">
        <f t="shared" si="10"/>
        <v>329616.06451612903</v>
      </c>
      <c r="F43" s="510">
        <f t="shared" si="11"/>
        <v>2073593.8633758388</v>
      </c>
      <c r="G43" s="511">
        <f t="shared" si="12"/>
        <v>571777.72398382996</v>
      </c>
      <c r="H43" s="477">
        <f t="shared" si="13"/>
        <v>571777.72398382996</v>
      </c>
      <c r="I43" s="500">
        <f t="shared" si="6"/>
        <v>0</v>
      </c>
      <c r="J43" s="500"/>
      <c r="K43" s="512"/>
      <c r="L43" s="504">
        <f t="shared" si="14"/>
        <v>0</v>
      </c>
      <c r="M43" s="512"/>
      <c r="N43" s="504">
        <f t="shared" si="4"/>
        <v>0</v>
      </c>
      <c r="O43" s="504">
        <f t="shared" si="5"/>
        <v>0</v>
      </c>
      <c r="P43" s="278"/>
      <c r="R43" s="243"/>
      <c r="S43" s="243"/>
      <c r="T43" s="243"/>
      <c r="U43" s="243"/>
    </row>
    <row r="44" spans="2:21" ht="12.5">
      <c r="B44" s="145" t="str">
        <f t="shared" si="0"/>
        <v/>
      </c>
      <c r="C44" s="495">
        <f>IF(D11="","-",+C43+1)</f>
        <v>2041</v>
      </c>
      <c r="D44" s="508">
        <f>IF(F43+SUM(E$17:E43)=D$10,F43,D$10-SUM(E$17:E43))</f>
        <v>2073593.8633758388</v>
      </c>
      <c r="E44" s="509">
        <f t="shared" si="10"/>
        <v>329616.06451612903</v>
      </c>
      <c r="F44" s="510">
        <f t="shared" si="11"/>
        <v>1743977.7988597099</v>
      </c>
      <c r="G44" s="511">
        <f t="shared" si="12"/>
        <v>536118.18789867405</v>
      </c>
      <c r="H44" s="477">
        <f t="shared" si="13"/>
        <v>536118.18789867405</v>
      </c>
      <c r="I44" s="500">
        <f t="shared" si="6"/>
        <v>0</v>
      </c>
      <c r="J44" s="500"/>
      <c r="K44" s="512"/>
      <c r="L44" s="504">
        <f t="shared" si="14"/>
        <v>0</v>
      </c>
      <c r="M44" s="512"/>
      <c r="N44" s="504">
        <f t="shared" si="4"/>
        <v>0</v>
      </c>
      <c r="O44" s="504">
        <f t="shared" si="5"/>
        <v>0</v>
      </c>
      <c r="P44" s="278"/>
      <c r="R44" s="243"/>
      <c r="S44" s="243"/>
      <c r="T44" s="243"/>
      <c r="U44" s="243"/>
    </row>
    <row r="45" spans="2:21" ht="12.5">
      <c r="B45" s="145" t="str">
        <f t="shared" si="0"/>
        <v/>
      </c>
      <c r="C45" s="495">
        <f>IF(D11="","-",+C44+1)</f>
        <v>2042</v>
      </c>
      <c r="D45" s="508">
        <f>IF(F44+SUM(E$17:E44)=D$10,F44,D$10-SUM(E$17:E44))</f>
        <v>1743977.7988597099</v>
      </c>
      <c r="E45" s="509">
        <f t="shared" si="10"/>
        <v>329616.06451612903</v>
      </c>
      <c r="F45" s="510">
        <f t="shared" si="11"/>
        <v>1414361.7343435809</v>
      </c>
      <c r="G45" s="511">
        <f t="shared" si="12"/>
        <v>500458.65181351814</v>
      </c>
      <c r="H45" s="477">
        <f t="shared" si="13"/>
        <v>500458.65181351814</v>
      </c>
      <c r="I45" s="500">
        <f t="shared" si="6"/>
        <v>0</v>
      </c>
      <c r="J45" s="500"/>
      <c r="K45" s="512"/>
      <c r="L45" s="504">
        <f t="shared" si="14"/>
        <v>0</v>
      </c>
      <c r="M45" s="512"/>
      <c r="N45" s="504">
        <f t="shared" si="4"/>
        <v>0</v>
      </c>
      <c r="O45" s="504">
        <f t="shared" si="5"/>
        <v>0</v>
      </c>
      <c r="P45" s="278"/>
      <c r="R45" s="243"/>
      <c r="S45" s="243"/>
      <c r="T45" s="243"/>
      <c r="U45" s="243"/>
    </row>
    <row r="46" spans="2:21" ht="12.5">
      <c r="B46" s="145" t="str">
        <f t="shared" si="0"/>
        <v/>
      </c>
      <c r="C46" s="495">
        <f>IF(D11="","-",+C45+1)</f>
        <v>2043</v>
      </c>
      <c r="D46" s="508">
        <f>IF(F45+SUM(E$17:E45)=D$10,F45,D$10-SUM(E$17:E45))</f>
        <v>1414361.7343435809</v>
      </c>
      <c r="E46" s="509">
        <f t="shared" si="10"/>
        <v>329616.06451612903</v>
      </c>
      <c r="F46" s="510">
        <f t="shared" si="11"/>
        <v>1084745.6698274519</v>
      </c>
      <c r="G46" s="511">
        <f t="shared" si="12"/>
        <v>464799.11572836223</v>
      </c>
      <c r="H46" s="477">
        <f t="shared" si="13"/>
        <v>464799.11572836223</v>
      </c>
      <c r="I46" s="500">
        <f t="shared" si="6"/>
        <v>0</v>
      </c>
      <c r="J46" s="500"/>
      <c r="K46" s="512"/>
      <c r="L46" s="504">
        <f t="shared" si="14"/>
        <v>0</v>
      </c>
      <c r="M46" s="512"/>
      <c r="N46" s="504">
        <f t="shared" si="4"/>
        <v>0</v>
      </c>
      <c r="O46" s="504">
        <f t="shared" si="5"/>
        <v>0</v>
      </c>
      <c r="P46" s="278"/>
      <c r="R46" s="243"/>
      <c r="S46" s="243"/>
      <c r="T46" s="243"/>
      <c r="U46" s="243"/>
    </row>
    <row r="47" spans="2:21" ht="12.5">
      <c r="B47" s="145" t="str">
        <f t="shared" si="0"/>
        <v/>
      </c>
      <c r="C47" s="495">
        <f>IF(D11="","-",+C46+1)</f>
        <v>2044</v>
      </c>
      <c r="D47" s="508">
        <f>IF(F46+SUM(E$17:E46)=D$10,F46,D$10-SUM(E$17:E46))</f>
        <v>1084745.6698274519</v>
      </c>
      <c r="E47" s="509">
        <f t="shared" si="10"/>
        <v>329616.06451612903</v>
      </c>
      <c r="F47" s="510">
        <f t="shared" si="11"/>
        <v>755129.60531132296</v>
      </c>
      <c r="G47" s="511">
        <f t="shared" si="12"/>
        <v>429139.57964320632</v>
      </c>
      <c r="H47" s="477">
        <f t="shared" si="13"/>
        <v>429139.57964320632</v>
      </c>
      <c r="I47" s="500">
        <f t="shared" si="6"/>
        <v>0</v>
      </c>
      <c r="J47" s="500"/>
      <c r="K47" s="512"/>
      <c r="L47" s="504">
        <f t="shared" si="14"/>
        <v>0</v>
      </c>
      <c r="M47" s="512"/>
      <c r="N47" s="504">
        <f t="shared" si="4"/>
        <v>0</v>
      </c>
      <c r="O47" s="504">
        <f t="shared" si="5"/>
        <v>0</v>
      </c>
      <c r="P47" s="278"/>
      <c r="R47" s="243"/>
      <c r="S47" s="243"/>
      <c r="T47" s="243"/>
      <c r="U47" s="243"/>
    </row>
    <row r="48" spans="2:21" ht="12.5">
      <c r="B48" s="145" t="str">
        <f t="shared" si="0"/>
        <v/>
      </c>
      <c r="C48" s="495">
        <f>IF(D11="","-",+C47+1)</f>
        <v>2045</v>
      </c>
      <c r="D48" s="508">
        <f>IF(F47+SUM(E$17:E47)=D$10,F47,D$10-SUM(E$17:E47))</f>
        <v>755129.60531132296</v>
      </c>
      <c r="E48" s="509">
        <f t="shared" si="10"/>
        <v>329616.06451612903</v>
      </c>
      <c r="F48" s="510">
        <f t="shared" si="11"/>
        <v>425513.54079519393</v>
      </c>
      <c r="G48" s="511">
        <f t="shared" si="12"/>
        <v>393480.04355805041</v>
      </c>
      <c r="H48" s="477">
        <f t="shared" si="13"/>
        <v>393480.04355805041</v>
      </c>
      <c r="I48" s="500">
        <f t="shared" si="6"/>
        <v>0</v>
      </c>
      <c r="J48" s="500"/>
      <c r="K48" s="512"/>
      <c r="L48" s="504">
        <f t="shared" si="14"/>
        <v>0</v>
      </c>
      <c r="M48" s="512"/>
      <c r="N48" s="504">
        <f t="shared" si="4"/>
        <v>0</v>
      </c>
      <c r="O48" s="504">
        <f t="shared" si="5"/>
        <v>0</v>
      </c>
      <c r="P48" s="278"/>
      <c r="R48" s="243"/>
      <c r="S48" s="243"/>
      <c r="T48" s="243"/>
      <c r="U48" s="243"/>
    </row>
    <row r="49" spans="2:21" ht="12.5">
      <c r="B49" s="145" t="str">
        <f t="shared" si="0"/>
        <v/>
      </c>
      <c r="C49" s="495">
        <f>IF(D11="","-",+C48+1)</f>
        <v>2046</v>
      </c>
      <c r="D49" s="508">
        <f>IF(F48+SUM(E$17:E48)=D$10,F48,D$10-SUM(E$17:E48))</f>
        <v>425513.54079519393</v>
      </c>
      <c r="E49" s="509">
        <f t="shared" si="10"/>
        <v>329616.06451612903</v>
      </c>
      <c r="F49" s="510">
        <f t="shared" si="11"/>
        <v>95897.476279064897</v>
      </c>
      <c r="G49" s="511">
        <f t="shared" si="12"/>
        <v>357820.5074728945</v>
      </c>
      <c r="H49" s="477">
        <f t="shared" si="13"/>
        <v>357820.5074728945</v>
      </c>
      <c r="I49" s="500">
        <f t="shared" si="6"/>
        <v>0</v>
      </c>
      <c r="J49" s="500"/>
      <c r="K49" s="512"/>
      <c r="L49" s="504">
        <f t="shared" si="14"/>
        <v>0</v>
      </c>
      <c r="M49" s="512"/>
      <c r="N49" s="504">
        <f t="shared" si="4"/>
        <v>0</v>
      </c>
      <c r="O49" s="504">
        <f t="shared" si="5"/>
        <v>0</v>
      </c>
      <c r="P49" s="278"/>
      <c r="R49" s="243"/>
      <c r="S49" s="243"/>
      <c r="T49" s="243"/>
      <c r="U49" s="243"/>
    </row>
    <row r="50" spans="2:21" ht="12.5">
      <c r="B50" s="145" t="str">
        <f t="shared" si="0"/>
        <v/>
      </c>
      <c r="C50" s="495">
        <f>IF(D11="","-",+C49+1)</f>
        <v>2047</v>
      </c>
      <c r="D50" s="508">
        <f>IF(F49+SUM(E$17:E49)=D$10,F49,D$10-SUM(E$17:E49))</f>
        <v>95897.476279064897</v>
      </c>
      <c r="E50" s="509">
        <f t="shared" si="10"/>
        <v>95897.476279064897</v>
      </c>
      <c r="F50" s="510">
        <f t="shared" si="11"/>
        <v>0</v>
      </c>
      <c r="G50" s="511">
        <f t="shared" si="12"/>
        <v>101084.81373615866</v>
      </c>
      <c r="H50" s="477">
        <f t="shared" si="13"/>
        <v>101084.81373615866</v>
      </c>
      <c r="I50" s="500">
        <f t="shared" si="6"/>
        <v>0</v>
      </c>
      <c r="J50" s="500"/>
      <c r="K50" s="512"/>
      <c r="L50" s="504">
        <f t="shared" si="14"/>
        <v>0</v>
      </c>
      <c r="M50" s="512"/>
      <c r="N50" s="504">
        <f t="shared" si="4"/>
        <v>0</v>
      </c>
      <c r="O50" s="504">
        <f t="shared" si="5"/>
        <v>0</v>
      </c>
      <c r="P50" s="278"/>
      <c r="R50" s="243"/>
      <c r="S50" s="243"/>
      <c r="T50" s="243"/>
      <c r="U50" s="243"/>
    </row>
    <row r="51" spans="2:21" ht="12.5">
      <c r="B51" s="145" t="str">
        <f t="shared" si="0"/>
        <v/>
      </c>
      <c r="C51" s="495">
        <f>IF(D11="","-",+C50+1)</f>
        <v>2048</v>
      </c>
      <c r="D51" s="508">
        <f>IF(F50+SUM(E$17:E50)=D$10,F50,D$10-SUM(E$17:E50))</f>
        <v>0</v>
      </c>
      <c r="E51" s="509">
        <f t="shared" si="10"/>
        <v>0</v>
      </c>
      <c r="F51" s="510">
        <f t="shared" si="11"/>
        <v>0</v>
      </c>
      <c r="G51" s="511">
        <f t="shared" si="12"/>
        <v>0</v>
      </c>
      <c r="H51" s="477">
        <f t="shared" si="13"/>
        <v>0</v>
      </c>
      <c r="I51" s="500">
        <f t="shared" si="6"/>
        <v>0</v>
      </c>
      <c r="J51" s="500"/>
      <c r="K51" s="512"/>
      <c r="L51" s="504">
        <f t="shared" si="14"/>
        <v>0</v>
      </c>
      <c r="M51" s="512"/>
      <c r="N51" s="504">
        <f t="shared" si="4"/>
        <v>0</v>
      </c>
      <c r="O51" s="504">
        <f t="shared" si="5"/>
        <v>0</v>
      </c>
      <c r="P51" s="278"/>
      <c r="R51" s="243"/>
      <c r="S51" s="243"/>
      <c r="T51" s="243"/>
      <c r="U51" s="243"/>
    </row>
    <row r="52" spans="2:21" ht="12.5">
      <c r="B52" s="145" t="str">
        <f t="shared" si="0"/>
        <v/>
      </c>
      <c r="C52" s="495">
        <f>IF(D11="","-",+C51+1)</f>
        <v>2049</v>
      </c>
      <c r="D52" s="508">
        <f>IF(F51+SUM(E$17:E51)=D$10,F51,D$10-SUM(E$17:E51))</f>
        <v>0</v>
      </c>
      <c r="E52" s="509">
        <f t="shared" si="10"/>
        <v>0</v>
      </c>
      <c r="F52" s="510">
        <f t="shared" si="11"/>
        <v>0</v>
      </c>
      <c r="G52" s="511">
        <f t="shared" si="12"/>
        <v>0</v>
      </c>
      <c r="H52" s="477">
        <f t="shared" si="13"/>
        <v>0</v>
      </c>
      <c r="I52" s="500">
        <f t="shared" si="6"/>
        <v>0</v>
      </c>
      <c r="J52" s="500"/>
      <c r="K52" s="512"/>
      <c r="L52" s="504">
        <f t="shared" si="14"/>
        <v>0</v>
      </c>
      <c r="M52" s="512"/>
      <c r="N52" s="504">
        <f t="shared" si="4"/>
        <v>0</v>
      </c>
      <c r="O52" s="504">
        <f t="shared" si="5"/>
        <v>0</v>
      </c>
      <c r="P52" s="278"/>
      <c r="R52" s="243"/>
      <c r="S52" s="243"/>
      <c r="T52" s="243"/>
      <c r="U52" s="243"/>
    </row>
    <row r="53" spans="2:21" ht="12.5">
      <c r="B53" s="145" t="str">
        <f t="shared" si="0"/>
        <v/>
      </c>
      <c r="C53" s="495">
        <f>IF(D11="","-",+C52+1)</f>
        <v>2050</v>
      </c>
      <c r="D53" s="508">
        <f>IF(F52+SUM(E$17:E52)=D$10,F52,D$10-SUM(E$17:E52))</f>
        <v>0</v>
      </c>
      <c r="E53" s="509">
        <f t="shared" si="10"/>
        <v>0</v>
      </c>
      <c r="F53" s="510">
        <f t="shared" si="11"/>
        <v>0</v>
      </c>
      <c r="G53" s="511">
        <f t="shared" si="12"/>
        <v>0</v>
      </c>
      <c r="H53" s="477">
        <f t="shared" si="13"/>
        <v>0</v>
      </c>
      <c r="I53" s="500">
        <f t="shared" si="6"/>
        <v>0</v>
      </c>
      <c r="J53" s="500"/>
      <c r="K53" s="512"/>
      <c r="L53" s="504">
        <f t="shared" si="14"/>
        <v>0</v>
      </c>
      <c r="M53" s="512"/>
      <c r="N53" s="504">
        <f t="shared" si="4"/>
        <v>0</v>
      </c>
      <c r="O53" s="504">
        <f t="shared" si="5"/>
        <v>0</v>
      </c>
      <c r="P53" s="278"/>
      <c r="R53" s="243"/>
      <c r="S53" s="243"/>
      <c r="T53" s="243"/>
      <c r="U53" s="243"/>
    </row>
    <row r="54" spans="2:21" ht="12.5">
      <c r="B54" s="145" t="str">
        <f t="shared" si="0"/>
        <v/>
      </c>
      <c r="C54" s="495">
        <f>IF(D11="","-",+C53+1)</f>
        <v>2051</v>
      </c>
      <c r="D54" s="508">
        <f>IF(F53+SUM(E$17:E53)=D$10,F53,D$10-SUM(E$17:E53))</f>
        <v>0</v>
      </c>
      <c r="E54" s="509">
        <f t="shared" si="10"/>
        <v>0</v>
      </c>
      <c r="F54" s="510">
        <f t="shared" si="11"/>
        <v>0</v>
      </c>
      <c r="G54" s="511">
        <f t="shared" si="12"/>
        <v>0</v>
      </c>
      <c r="H54" s="477">
        <f t="shared" si="13"/>
        <v>0</v>
      </c>
      <c r="I54" s="500">
        <f t="shared" si="6"/>
        <v>0</v>
      </c>
      <c r="J54" s="500"/>
      <c r="K54" s="512"/>
      <c r="L54" s="504">
        <f t="shared" si="14"/>
        <v>0</v>
      </c>
      <c r="M54" s="512"/>
      <c r="N54" s="504">
        <f t="shared" si="4"/>
        <v>0</v>
      </c>
      <c r="O54" s="504">
        <f t="shared" si="5"/>
        <v>0</v>
      </c>
      <c r="P54" s="278"/>
      <c r="R54" s="243"/>
      <c r="S54" s="243"/>
      <c r="T54" s="243"/>
      <c r="U54" s="243"/>
    </row>
    <row r="55" spans="2:21" ht="12.5">
      <c r="B55" s="145" t="str">
        <f t="shared" si="0"/>
        <v/>
      </c>
      <c r="C55" s="495">
        <f>IF(D11="","-",+C54+1)</f>
        <v>2052</v>
      </c>
      <c r="D55" s="508">
        <f>IF(F54+SUM(E$17:E54)=D$10,F54,D$10-SUM(E$17:E54))</f>
        <v>0</v>
      </c>
      <c r="E55" s="509">
        <f t="shared" si="10"/>
        <v>0</v>
      </c>
      <c r="F55" s="510">
        <f t="shared" si="11"/>
        <v>0</v>
      </c>
      <c r="G55" s="511">
        <f t="shared" si="12"/>
        <v>0</v>
      </c>
      <c r="H55" s="477">
        <f t="shared" si="13"/>
        <v>0</v>
      </c>
      <c r="I55" s="500">
        <f t="shared" si="6"/>
        <v>0</v>
      </c>
      <c r="J55" s="500"/>
      <c r="K55" s="512"/>
      <c r="L55" s="504">
        <f t="shared" si="14"/>
        <v>0</v>
      </c>
      <c r="M55" s="512"/>
      <c r="N55" s="504">
        <f t="shared" si="4"/>
        <v>0</v>
      </c>
      <c r="O55" s="504">
        <f t="shared" si="5"/>
        <v>0</v>
      </c>
      <c r="P55" s="278"/>
      <c r="R55" s="243"/>
      <c r="S55" s="243"/>
      <c r="T55" s="243"/>
      <c r="U55" s="243"/>
    </row>
    <row r="56" spans="2:21" ht="12.5">
      <c r="B56" s="145" t="str">
        <f t="shared" si="0"/>
        <v/>
      </c>
      <c r="C56" s="495">
        <f>IF(D11="","-",+C55+1)</f>
        <v>2053</v>
      </c>
      <c r="D56" s="508">
        <f>IF(F55+SUM(E$17:E55)=D$10,F55,D$10-SUM(E$17:E55))</f>
        <v>0</v>
      </c>
      <c r="E56" s="509">
        <f t="shared" si="10"/>
        <v>0</v>
      </c>
      <c r="F56" s="510">
        <f t="shared" si="11"/>
        <v>0</v>
      </c>
      <c r="G56" s="511">
        <f t="shared" si="12"/>
        <v>0</v>
      </c>
      <c r="H56" s="477">
        <f t="shared" si="13"/>
        <v>0</v>
      </c>
      <c r="I56" s="500">
        <f t="shared" si="6"/>
        <v>0</v>
      </c>
      <c r="J56" s="500"/>
      <c r="K56" s="512"/>
      <c r="L56" s="504">
        <f t="shared" si="14"/>
        <v>0</v>
      </c>
      <c r="M56" s="512"/>
      <c r="N56" s="504">
        <f t="shared" si="4"/>
        <v>0</v>
      </c>
      <c r="O56" s="504">
        <f t="shared" si="5"/>
        <v>0</v>
      </c>
      <c r="P56" s="278"/>
      <c r="R56" s="243"/>
      <c r="S56" s="243"/>
      <c r="T56" s="243"/>
      <c r="U56" s="243"/>
    </row>
    <row r="57" spans="2:21" ht="12.5">
      <c r="B57" s="145" t="str">
        <f t="shared" si="0"/>
        <v/>
      </c>
      <c r="C57" s="495">
        <f>IF(D11="","-",+C56+1)</f>
        <v>2054</v>
      </c>
      <c r="D57" s="508">
        <f>IF(F56+SUM(E$17:E56)=D$10,F56,D$10-SUM(E$17:E56))</f>
        <v>0</v>
      </c>
      <c r="E57" s="509">
        <f t="shared" si="10"/>
        <v>0</v>
      </c>
      <c r="F57" s="510">
        <f t="shared" si="11"/>
        <v>0</v>
      </c>
      <c r="G57" s="511">
        <f t="shared" si="12"/>
        <v>0</v>
      </c>
      <c r="H57" s="477">
        <f t="shared" si="13"/>
        <v>0</v>
      </c>
      <c r="I57" s="500">
        <f t="shared" si="6"/>
        <v>0</v>
      </c>
      <c r="J57" s="500"/>
      <c r="K57" s="512"/>
      <c r="L57" s="504">
        <f t="shared" si="14"/>
        <v>0</v>
      </c>
      <c r="M57" s="512"/>
      <c r="N57" s="504">
        <f t="shared" si="4"/>
        <v>0</v>
      </c>
      <c r="O57" s="504">
        <f t="shared" si="5"/>
        <v>0</v>
      </c>
      <c r="P57" s="278"/>
      <c r="R57" s="243"/>
      <c r="S57" s="243"/>
      <c r="T57" s="243"/>
      <c r="U57" s="243"/>
    </row>
    <row r="58" spans="2:21" ht="12.5">
      <c r="B58" s="145" t="str">
        <f t="shared" si="0"/>
        <v/>
      </c>
      <c r="C58" s="495">
        <f>IF(D11="","-",+C57+1)</f>
        <v>2055</v>
      </c>
      <c r="D58" s="508">
        <f>IF(F57+SUM(E$17:E57)=D$10,F57,D$10-SUM(E$17:E57))</f>
        <v>0</v>
      </c>
      <c r="E58" s="509">
        <f t="shared" si="10"/>
        <v>0</v>
      </c>
      <c r="F58" s="510">
        <f t="shared" si="11"/>
        <v>0</v>
      </c>
      <c r="G58" s="511">
        <f t="shared" si="12"/>
        <v>0</v>
      </c>
      <c r="H58" s="477">
        <f t="shared" si="13"/>
        <v>0</v>
      </c>
      <c r="I58" s="500">
        <f t="shared" si="6"/>
        <v>0</v>
      </c>
      <c r="J58" s="500"/>
      <c r="K58" s="512"/>
      <c r="L58" s="504">
        <f t="shared" si="14"/>
        <v>0</v>
      </c>
      <c r="M58" s="512"/>
      <c r="N58" s="504">
        <f t="shared" si="4"/>
        <v>0</v>
      </c>
      <c r="O58" s="504">
        <f t="shared" si="5"/>
        <v>0</v>
      </c>
      <c r="P58" s="278"/>
      <c r="R58" s="243"/>
      <c r="S58" s="243"/>
      <c r="T58" s="243"/>
      <c r="U58" s="243"/>
    </row>
    <row r="59" spans="2:21" ht="12.5">
      <c r="B59" s="145" t="str">
        <f t="shared" si="0"/>
        <v/>
      </c>
      <c r="C59" s="495">
        <f>IF(D11="","-",+C58+1)</f>
        <v>2056</v>
      </c>
      <c r="D59" s="508">
        <f>IF(F58+SUM(E$17:E58)=D$10,F58,D$10-SUM(E$17:E58))</f>
        <v>0</v>
      </c>
      <c r="E59" s="509">
        <f t="shared" si="10"/>
        <v>0</v>
      </c>
      <c r="F59" s="510">
        <f t="shared" si="11"/>
        <v>0</v>
      </c>
      <c r="G59" s="511">
        <f t="shared" si="12"/>
        <v>0</v>
      </c>
      <c r="H59" s="477">
        <f t="shared" si="13"/>
        <v>0</v>
      </c>
      <c r="I59" s="500">
        <f t="shared" si="6"/>
        <v>0</v>
      </c>
      <c r="J59" s="500"/>
      <c r="K59" s="512"/>
      <c r="L59" s="504">
        <f t="shared" si="14"/>
        <v>0</v>
      </c>
      <c r="M59" s="512"/>
      <c r="N59" s="504">
        <f t="shared" si="4"/>
        <v>0</v>
      </c>
      <c r="O59" s="504">
        <f t="shared" si="5"/>
        <v>0</v>
      </c>
      <c r="P59" s="278"/>
      <c r="R59" s="243"/>
      <c r="S59" s="243"/>
      <c r="T59" s="243"/>
      <c r="U59" s="243"/>
    </row>
    <row r="60" spans="2:21" ht="12.5">
      <c r="B60" s="145" t="str">
        <f t="shared" si="0"/>
        <v/>
      </c>
      <c r="C60" s="495">
        <f>IF(D11="","-",+C59+1)</f>
        <v>2057</v>
      </c>
      <c r="D60" s="508">
        <f>IF(F59+SUM(E$17:E59)=D$10,F59,D$10-SUM(E$17:E59))</f>
        <v>0</v>
      </c>
      <c r="E60" s="509">
        <f t="shared" si="10"/>
        <v>0</v>
      </c>
      <c r="F60" s="510">
        <f t="shared" si="11"/>
        <v>0</v>
      </c>
      <c r="G60" s="511">
        <f t="shared" si="12"/>
        <v>0</v>
      </c>
      <c r="H60" s="477">
        <f t="shared" si="13"/>
        <v>0</v>
      </c>
      <c r="I60" s="500">
        <f t="shared" si="6"/>
        <v>0</v>
      </c>
      <c r="J60" s="500"/>
      <c r="K60" s="512"/>
      <c r="L60" s="504">
        <f t="shared" si="14"/>
        <v>0</v>
      </c>
      <c r="M60" s="512"/>
      <c r="N60" s="504">
        <f t="shared" si="4"/>
        <v>0</v>
      </c>
      <c r="O60" s="504">
        <f t="shared" si="5"/>
        <v>0</v>
      </c>
      <c r="P60" s="278"/>
      <c r="R60" s="243"/>
      <c r="S60" s="243"/>
      <c r="T60" s="243"/>
      <c r="U60" s="243"/>
    </row>
    <row r="61" spans="2:21" ht="12.5">
      <c r="B61" s="145" t="str">
        <f t="shared" si="0"/>
        <v/>
      </c>
      <c r="C61" s="495">
        <f>IF(D11="","-",+C60+1)</f>
        <v>2058</v>
      </c>
      <c r="D61" s="508">
        <f>IF(F60+SUM(E$17:E60)=D$10,F60,D$10-SUM(E$17:E60))</f>
        <v>0</v>
      </c>
      <c r="E61" s="509">
        <f t="shared" si="10"/>
        <v>0</v>
      </c>
      <c r="F61" s="510">
        <f t="shared" si="11"/>
        <v>0</v>
      </c>
      <c r="G61" s="511">
        <f t="shared" si="12"/>
        <v>0</v>
      </c>
      <c r="H61" s="477">
        <f t="shared" si="13"/>
        <v>0</v>
      </c>
      <c r="I61" s="500">
        <f t="shared" si="6"/>
        <v>0</v>
      </c>
      <c r="J61" s="500"/>
      <c r="K61" s="512"/>
      <c r="L61" s="504">
        <f t="shared" si="14"/>
        <v>0</v>
      </c>
      <c r="M61" s="512"/>
      <c r="N61" s="504">
        <f t="shared" si="4"/>
        <v>0</v>
      </c>
      <c r="O61" s="504">
        <f t="shared" si="5"/>
        <v>0</v>
      </c>
      <c r="P61" s="278"/>
      <c r="R61" s="243"/>
      <c r="S61" s="243"/>
      <c r="T61" s="243"/>
      <c r="U61" s="243"/>
    </row>
    <row r="62" spans="2:21" ht="12.5">
      <c r="B62" s="145" t="str">
        <f t="shared" si="0"/>
        <v/>
      </c>
      <c r="C62" s="495">
        <f>IF(D11="","-",+C61+1)</f>
        <v>2059</v>
      </c>
      <c r="D62" s="508">
        <f>IF(F61+SUM(E$17:E61)=D$10,F61,D$10-SUM(E$17:E61))</f>
        <v>0</v>
      </c>
      <c r="E62" s="509">
        <f t="shared" si="10"/>
        <v>0</v>
      </c>
      <c r="F62" s="510">
        <f t="shared" si="11"/>
        <v>0</v>
      </c>
      <c r="G62" s="511">
        <f t="shared" si="12"/>
        <v>0</v>
      </c>
      <c r="H62" s="477">
        <f t="shared" si="13"/>
        <v>0</v>
      </c>
      <c r="I62" s="500">
        <f t="shared" si="6"/>
        <v>0</v>
      </c>
      <c r="J62" s="500"/>
      <c r="K62" s="512"/>
      <c r="L62" s="504">
        <f t="shared" si="14"/>
        <v>0</v>
      </c>
      <c r="M62" s="512"/>
      <c r="N62" s="504">
        <f t="shared" si="4"/>
        <v>0</v>
      </c>
      <c r="O62" s="504">
        <f t="shared" si="5"/>
        <v>0</v>
      </c>
      <c r="P62" s="278"/>
      <c r="R62" s="243"/>
      <c r="S62" s="243"/>
      <c r="T62" s="243"/>
      <c r="U62" s="243"/>
    </row>
    <row r="63" spans="2:21" ht="12.5">
      <c r="B63" s="145" t="str">
        <f t="shared" si="0"/>
        <v/>
      </c>
      <c r="C63" s="495">
        <f>IF(D11="","-",+C62+1)</f>
        <v>2060</v>
      </c>
      <c r="D63" s="508">
        <f>IF(F62+SUM(E$17:E62)=D$10,F62,D$10-SUM(E$17:E62))</f>
        <v>0</v>
      </c>
      <c r="E63" s="509">
        <f t="shared" si="10"/>
        <v>0</v>
      </c>
      <c r="F63" s="510">
        <f t="shared" si="11"/>
        <v>0</v>
      </c>
      <c r="G63" s="511">
        <f t="shared" si="12"/>
        <v>0</v>
      </c>
      <c r="H63" s="477">
        <f t="shared" si="13"/>
        <v>0</v>
      </c>
      <c r="I63" s="500">
        <f t="shared" si="6"/>
        <v>0</v>
      </c>
      <c r="J63" s="500"/>
      <c r="K63" s="512"/>
      <c r="L63" s="504">
        <f t="shared" si="14"/>
        <v>0</v>
      </c>
      <c r="M63" s="512"/>
      <c r="N63" s="504">
        <f t="shared" si="4"/>
        <v>0</v>
      </c>
      <c r="O63" s="504">
        <f t="shared" si="5"/>
        <v>0</v>
      </c>
      <c r="P63" s="278"/>
      <c r="R63" s="243"/>
      <c r="S63" s="243"/>
      <c r="T63" s="243"/>
      <c r="U63" s="243"/>
    </row>
    <row r="64" spans="2:21" ht="12.5">
      <c r="B64" s="145" t="str">
        <f t="shared" si="0"/>
        <v/>
      </c>
      <c r="C64" s="495">
        <f>IF(D11="","-",+C63+1)</f>
        <v>2061</v>
      </c>
      <c r="D64" s="508">
        <f>IF(F63+SUM(E$17:E63)=D$10,F63,D$10-SUM(E$17:E63))</f>
        <v>0</v>
      </c>
      <c r="E64" s="509">
        <f t="shared" si="10"/>
        <v>0</v>
      </c>
      <c r="F64" s="510">
        <f t="shared" si="11"/>
        <v>0</v>
      </c>
      <c r="G64" s="511">
        <f t="shared" si="12"/>
        <v>0</v>
      </c>
      <c r="H64" s="477">
        <f t="shared" si="13"/>
        <v>0</v>
      </c>
      <c r="I64" s="500">
        <f t="shared" si="6"/>
        <v>0</v>
      </c>
      <c r="J64" s="500"/>
      <c r="K64" s="512"/>
      <c r="L64" s="504">
        <f t="shared" si="14"/>
        <v>0</v>
      </c>
      <c r="M64" s="512"/>
      <c r="N64" s="504">
        <f t="shared" si="4"/>
        <v>0</v>
      </c>
      <c r="O64" s="504">
        <f t="shared" si="5"/>
        <v>0</v>
      </c>
      <c r="P64" s="278"/>
      <c r="R64" s="243"/>
      <c r="S64" s="243"/>
      <c r="T64" s="243"/>
      <c r="U64" s="243"/>
    </row>
    <row r="65" spans="2:21" ht="12.5">
      <c r="B65" s="145" t="str">
        <f t="shared" si="0"/>
        <v/>
      </c>
      <c r="C65" s="495">
        <f>IF(D11="","-",+C64+1)</f>
        <v>2062</v>
      </c>
      <c r="D65" s="508">
        <f>IF(F64+SUM(E$17:E64)=D$10,F64,D$10-SUM(E$17:E64))</f>
        <v>0</v>
      </c>
      <c r="E65" s="509">
        <f t="shared" si="10"/>
        <v>0</v>
      </c>
      <c r="F65" s="510">
        <f t="shared" si="11"/>
        <v>0</v>
      </c>
      <c r="G65" s="511">
        <f t="shared" si="12"/>
        <v>0</v>
      </c>
      <c r="H65" s="477">
        <f t="shared" si="13"/>
        <v>0</v>
      </c>
      <c r="I65" s="500">
        <f t="shared" si="6"/>
        <v>0</v>
      </c>
      <c r="J65" s="500"/>
      <c r="K65" s="512"/>
      <c r="L65" s="504">
        <f t="shared" si="14"/>
        <v>0</v>
      </c>
      <c r="M65" s="512"/>
      <c r="N65" s="504">
        <f t="shared" si="4"/>
        <v>0</v>
      </c>
      <c r="O65" s="504">
        <f t="shared" si="5"/>
        <v>0</v>
      </c>
      <c r="P65" s="278"/>
      <c r="R65" s="243"/>
      <c r="S65" s="243"/>
      <c r="T65" s="243"/>
      <c r="U65" s="243"/>
    </row>
    <row r="66" spans="2:21" ht="12.5">
      <c r="B66" s="145" t="str">
        <f t="shared" si="0"/>
        <v/>
      </c>
      <c r="C66" s="495">
        <f>IF(D11="","-",+C65+1)</f>
        <v>2063</v>
      </c>
      <c r="D66" s="508">
        <f>IF(F65+SUM(E$17:E65)=D$10,F65,D$10-SUM(E$17:E65))</f>
        <v>0</v>
      </c>
      <c r="E66" s="509">
        <f t="shared" si="10"/>
        <v>0</v>
      </c>
      <c r="F66" s="510">
        <f t="shared" si="11"/>
        <v>0</v>
      </c>
      <c r="G66" s="511">
        <f t="shared" si="12"/>
        <v>0</v>
      </c>
      <c r="H66" s="477">
        <f t="shared" si="13"/>
        <v>0</v>
      </c>
      <c r="I66" s="500">
        <f t="shared" si="6"/>
        <v>0</v>
      </c>
      <c r="J66" s="500"/>
      <c r="K66" s="512"/>
      <c r="L66" s="504">
        <f t="shared" si="14"/>
        <v>0</v>
      </c>
      <c r="M66" s="512"/>
      <c r="N66" s="504">
        <f t="shared" si="4"/>
        <v>0</v>
      </c>
      <c r="O66" s="504">
        <f t="shared" si="5"/>
        <v>0</v>
      </c>
      <c r="P66" s="278"/>
      <c r="R66" s="243"/>
      <c r="S66" s="243"/>
      <c r="T66" s="243"/>
      <c r="U66" s="243"/>
    </row>
    <row r="67" spans="2:21" ht="12.5">
      <c r="B67" s="145" t="str">
        <f t="shared" si="0"/>
        <v/>
      </c>
      <c r="C67" s="495">
        <f>IF(D11="","-",+C66+1)</f>
        <v>2064</v>
      </c>
      <c r="D67" s="508">
        <f>IF(F66+SUM(E$17:E66)=D$10,F66,D$10-SUM(E$17:E66))</f>
        <v>0</v>
      </c>
      <c r="E67" s="509">
        <f t="shared" si="10"/>
        <v>0</v>
      </c>
      <c r="F67" s="510">
        <f t="shared" si="11"/>
        <v>0</v>
      </c>
      <c r="G67" s="511">
        <f t="shared" si="12"/>
        <v>0</v>
      </c>
      <c r="H67" s="477">
        <f t="shared" si="13"/>
        <v>0</v>
      </c>
      <c r="I67" s="500">
        <f t="shared" si="6"/>
        <v>0</v>
      </c>
      <c r="J67" s="500"/>
      <c r="K67" s="512"/>
      <c r="L67" s="504">
        <f t="shared" si="14"/>
        <v>0</v>
      </c>
      <c r="M67" s="512"/>
      <c r="N67" s="504">
        <f t="shared" si="4"/>
        <v>0</v>
      </c>
      <c r="O67" s="504">
        <f t="shared" si="5"/>
        <v>0</v>
      </c>
      <c r="P67" s="278"/>
      <c r="R67" s="243"/>
      <c r="S67" s="243"/>
      <c r="T67" s="243"/>
      <c r="U67" s="243"/>
    </row>
    <row r="68" spans="2:21" ht="12.5">
      <c r="B68" s="145" t="str">
        <f t="shared" si="0"/>
        <v/>
      </c>
      <c r="C68" s="495">
        <f>IF(D11="","-",+C67+1)</f>
        <v>2065</v>
      </c>
      <c r="D68" s="508">
        <f>IF(F67+SUM(E$17:E67)=D$10,F67,D$10-SUM(E$17:E67))</f>
        <v>0</v>
      </c>
      <c r="E68" s="509">
        <f t="shared" si="10"/>
        <v>0</v>
      </c>
      <c r="F68" s="510">
        <f t="shared" si="11"/>
        <v>0</v>
      </c>
      <c r="G68" s="511">
        <f t="shared" si="12"/>
        <v>0</v>
      </c>
      <c r="H68" s="477">
        <f t="shared" si="13"/>
        <v>0</v>
      </c>
      <c r="I68" s="500">
        <f t="shared" si="6"/>
        <v>0</v>
      </c>
      <c r="J68" s="500"/>
      <c r="K68" s="512"/>
      <c r="L68" s="504">
        <f t="shared" si="14"/>
        <v>0</v>
      </c>
      <c r="M68" s="512"/>
      <c r="N68" s="504">
        <f t="shared" si="4"/>
        <v>0</v>
      </c>
      <c r="O68" s="504">
        <f t="shared" si="5"/>
        <v>0</v>
      </c>
      <c r="P68" s="278"/>
      <c r="R68" s="243"/>
      <c r="S68" s="243"/>
      <c r="T68" s="243"/>
      <c r="U68" s="243"/>
    </row>
    <row r="69" spans="2:21" ht="12.5">
      <c r="B69" s="145" t="str">
        <f t="shared" si="0"/>
        <v/>
      </c>
      <c r="C69" s="495">
        <f>IF(D11="","-",+C68+1)</f>
        <v>2066</v>
      </c>
      <c r="D69" s="508">
        <f>IF(F68+SUM(E$17:E68)=D$10,F68,D$10-SUM(E$17:E68))</f>
        <v>0</v>
      </c>
      <c r="E69" s="509">
        <f t="shared" si="10"/>
        <v>0</v>
      </c>
      <c r="F69" s="510">
        <f t="shared" si="11"/>
        <v>0</v>
      </c>
      <c r="G69" s="511">
        <f t="shared" si="12"/>
        <v>0</v>
      </c>
      <c r="H69" s="477">
        <f t="shared" si="13"/>
        <v>0</v>
      </c>
      <c r="I69" s="500">
        <f t="shared" si="6"/>
        <v>0</v>
      </c>
      <c r="J69" s="500"/>
      <c r="K69" s="512"/>
      <c r="L69" s="504">
        <f t="shared" si="14"/>
        <v>0</v>
      </c>
      <c r="M69" s="512"/>
      <c r="N69" s="504">
        <f t="shared" si="4"/>
        <v>0</v>
      </c>
      <c r="O69" s="504">
        <f t="shared" si="5"/>
        <v>0</v>
      </c>
      <c r="P69" s="278"/>
      <c r="R69" s="243"/>
      <c r="S69" s="243"/>
      <c r="T69" s="243"/>
      <c r="U69" s="243"/>
    </row>
    <row r="70" spans="2:21" ht="12.5">
      <c r="B70" s="145" t="str">
        <f t="shared" si="0"/>
        <v/>
      </c>
      <c r="C70" s="495">
        <f>IF(D11="","-",+C69+1)</f>
        <v>2067</v>
      </c>
      <c r="D70" s="508">
        <f>IF(F69+SUM(E$17:E69)=D$10,F69,D$10-SUM(E$17:E69))</f>
        <v>0</v>
      </c>
      <c r="E70" s="509">
        <f t="shared" si="10"/>
        <v>0</v>
      </c>
      <c r="F70" s="510">
        <f t="shared" si="11"/>
        <v>0</v>
      </c>
      <c r="G70" s="511">
        <f t="shared" si="12"/>
        <v>0</v>
      </c>
      <c r="H70" s="477">
        <f t="shared" si="13"/>
        <v>0</v>
      </c>
      <c r="I70" s="500">
        <f t="shared" si="6"/>
        <v>0</v>
      </c>
      <c r="J70" s="500"/>
      <c r="K70" s="512"/>
      <c r="L70" s="504">
        <f t="shared" si="14"/>
        <v>0</v>
      </c>
      <c r="M70" s="512"/>
      <c r="N70" s="504">
        <f t="shared" si="4"/>
        <v>0</v>
      </c>
      <c r="O70" s="504">
        <f t="shared" si="5"/>
        <v>0</v>
      </c>
      <c r="P70" s="278"/>
      <c r="R70" s="243"/>
      <c r="S70" s="243"/>
      <c r="T70" s="243"/>
      <c r="U70" s="243"/>
    </row>
    <row r="71" spans="2:21" ht="12.5">
      <c r="B71" s="145" t="str">
        <f t="shared" si="0"/>
        <v/>
      </c>
      <c r="C71" s="495">
        <f>IF(D11="","-",+C70+1)</f>
        <v>2068</v>
      </c>
      <c r="D71" s="508">
        <f>IF(F70+SUM(E$17:E70)=D$10,F70,D$10-SUM(E$17:E70))</f>
        <v>0</v>
      </c>
      <c r="E71" s="509">
        <f t="shared" si="10"/>
        <v>0</v>
      </c>
      <c r="F71" s="510">
        <f t="shared" si="11"/>
        <v>0</v>
      </c>
      <c r="G71" s="511">
        <f t="shared" si="12"/>
        <v>0</v>
      </c>
      <c r="H71" s="477">
        <f t="shared" si="13"/>
        <v>0</v>
      </c>
      <c r="I71" s="500">
        <f t="shared" si="6"/>
        <v>0</v>
      </c>
      <c r="J71" s="500"/>
      <c r="K71" s="512"/>
      <c r="L71" s="504">
        <f t="shared" si="14"/>
        <v>0</v>
      </c>
      <c r="M71" s="512"/>
      <c r="N71" s="504">
        <f t="shared" si="4"/>
        <v>0</v>
      </c>
      <c r="O71" s="504">
        <f t="shared" si="5"/>
        <v>0</v>
      </c>
      <c r="P71" s="278"/>
      <c r="R71" s="243"/>
      <c r="S71" s="243"/>
      <c r="T71" s="243"/>
      <c r="U71" s="243"/>
    </row>
    <row r="72" spans="2:21" ht="12.5">
      <c r="B72" s="145" t="str">
        <f t="shared" si="0"/>
        <v/>
      </c>
      <c r="C72" s="495">
        <f>IF(D11="","-",+C71+1)</f>
        <v>2069</v>
      </c>
      <c r="D72" s="508">
        <f>IF(F71+SUM(E$17:E71)=D$10,F71,D$10-SUM(E$17:E71))</f>
        <v>0</v>
      </c>
      <c r="E72" s="509">
        <f t="shared" si="10"/>
        <v>0</v>
      </c>
      <c r="F72" s="510">
        <f t="shared" si="11"/>
        <v>0</v>
      </c>
      <c r="G72" s="511">
        <f t="shared" si="12"/>
        <v>0</v>
      </c>
      <c r="H72" s="477">
        <f t="shared" si="13"/>
        <v>0</v>
      </c>
      <c r="I72" s="500">
        <f t="shared" si="6"/>
        <v>0</v>
      </c>
      <c r="J72" s="500"/>
      <c r="K72" s="512"/>
      <c r="L72" s="504">
        <f t="shared" si="14"/>
        <v>0</v>
      </c>
      <c r="M72" s="512"/>
      <c r="N72" s="504">
        <f t="shared" si="4"/>
        <v>0</v>
      </c>
      <c r="O72" s="504">
        <f t="shared" si="5"/>
        <v>0</v>
      </c>
      <c r="P72" s="278"/>
      <c r="R72" s="243"/>
      <c r="S72" s="243"/>
      <c r="T72" s="243"/>
      <c r="U72" s="243"/>
    </row>
    <row r="73" spans="2:21" ht="13" thickBot="1">
      <c r="B73" s="145" t="str">
        <f t="shared" si="0"/>
        <v/>
      </c>
      <c r="C73" s="524">
        <f>IF(D11="","-",+C72+1)</f>
        <v>2070</v>
      </c>
      <c r="D73" s="525">
        <f>IF(F72+SUM(E$17:E72)=D$10,F72,D$10-SUM(E$17:E72))</f>
        <v>0</v>
      </c>
      <c r="E73" s="526">
        <f t="shared" si="10"/>
        <v>0</v>
      </c>
      <c r="F73" s="527">
        <f t="shared" si="11"/>
        <v>0</v>
      </c>
      <c r="G73" s="611">
        <f t="shared" si="12"/>
        <v>0</v>
      </c>
      <c r="H73" s="458">
        <f t="shared" si="13"/>
        <v>0</v>
      </c>
      <c r="I73" s="529">
        <f t="shared" si="6"/>
        <v>0</v>
      </c>
      <c r="J73" s="500"/>
      <c r="K73" s="530"/>
      <c r="L73" s="531">
        <f t="shared" si="14"/>
        <v>0</v>
      </c>
      <c r="M73" s="530"/>
      <c r="N73" s="531">
        <f t="shared" si="4"/>
        <v>0</v>
      </c>
      <c r="O73" s="531">
        <f t="shared" si="5"/>
        <v>0</v>
      </c>
      <c r="P73" s="278"/>
      <c r="R73" s="243"/>
      <c r="S73" s="243"/>
      <c r="T73" s="243"/>
      <c r="U73" s="243"/>
    </row>
    <row r="74" spans="2:21" ht="12.5">
      <c r="C74" s="349" t="s">
        <v>75</v>
      </c>
      <c r="D74" s="294"/>
      <c r="E74" s="294">
        <f>SUM(E17:E73)</f>
        <v>10218098</v>
      </c>
      <c r="F74" s="294"/>
      <c r="G74" s="294">
        <f>SUM(G17:G73)</f>
        <v>29349005.431631815</v>
      </c>
      <c r="H74" s="294">
        <f>SUM(H17:H73)</f>
        <v>29349005.431631815</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7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1250604.5823260741</v>
      </c>
      <c r="N88" s="544">
        <f>IF(J93&lt;D11,0,VLOOKUP(J93,C17:O73,11))</f>
        <v>1250604.5823260741</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1282642.2709185965</v>
      </c>
      <c r="N89" s="548">
        <f>IF(J93&lt;D11,0,VLOOKUP(J93,C100:P155,7))</f>
        <v>1282642.2709185965</v>
      </c>
      <c r="O89" s="549">
        <f>+N89-M89</f>
        <v>0</v>
      </c>
      <c r="P89" s="243"/>
      <c r="Q89" s="243"/>
      <c r="R89" s="243"/>
      <c r="S89" s="243"/>
      <c r="T89" s="243"/>
      <c r="U89" s="243"/>
    </row>
    <row r="90" spans="1:21" ht="13.5" thickBot="1">
      <c r="C90" s="454" t="s">
        <v>82</v>
      </c>
      <c r="D90" s="550" t="str">
        <f>+D7</f>
        <v xml:space="preserve">Cornville Station Conversion </v>
      </c>
      <c r="E90" s="243"/>
      <c r="F90" s="243"/>
      <c r="G90" s="243"/>
      <c r="H90" s="243"/>
      <c r="I90" s="325"/>
      <c r="J90" s="325"/>
      <c r="K90" s="551"/>
      <c r="L90" s="552" t="s">
        <v>135</v>
      </c>
      <c r="M90" s="553">
        <f>+M89-M88</f>
        <v>32037.688592522405</v>
      </c>
      <c r="N90" s="553">
        <f>+N89-N88</f>
        <v>32037.688592522405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TP2011093</v>
      </c>
      <c r="E92" s="558"/>
      <c r="F92" s="558"/>
      <c r="G92" s="558"/>
      <c r="H92" s="558"/>
      <c r="I92" s="558"/>
      <c r="J92" s="558"/>
      <c r="K92" s="560"/>
      <c r="P92" s="468"/>
      <c r="Q92" s="243"/>
      <c r="R92" s="243"/>
      <c r="S92" s="243"/>
      <c r="T92" s="243"/>
      <c r="U92" s="243"/>
    </row>
    <row r="93" spans="1:21" ht="13">
      <c r="C93" s="472" t="s">
        <v>49</v>
      </c>
      <c r="D93" s="470">
        <f>IF(D11=I10,0,D10)</f>
        <v>10218098</v>
      </c>
      <c r="E93" s="248" t="s">
        <v>84</v>
      </c>
      <c r="H93" s="408"/>
      <c r="I93" s="408"/>
      <c r="J93" s="471">
        <f>+'OKT.WS.G.BPU.ATRR.True-up'!M16</f>
        <v>2019</v>
      </c>
      <c r="K93" s="467"/>
      <c r="L93" s="294" t="s">
        <v>85</v>
      </c>
      <c r="P93" s="278"/>
      <c r="Q93" s="243"/>
      <c r="R93" s="243"/>
      <c r="S93" s="243"/>
      <c r="T93" s="243"/>
      <c r="U93" s="243"/>
    </row>
    <row r="94" spans="1:21" ht="12.5">
      <c r="C94" s="472" t="s">
        <v>52</v>
      </c>
      <c r="D94" s="561">
        <f>IF(D11=I10,"",D11)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82">
        <f>IF(D11=I10,"",D12)</f>
        <v>10</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309639.33333333331</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55" si="15">IF(D100=F99,"","IU")</f>
        <v>IU</v>
      </c>
      <c r="C100" s="495">
        <f>IF(D94= "","-",D94)</f>
        <v>2014</v>
      </c>
      <c r="D100" s="612">
        <v>0</v>
      </c>
      <c r="E100" s="613">
        <v>102248.51895114942</v>
      </c>
      <c r="F100" s="614">
        <v>10064175.65104885</v>
      </c>
      <c r="G100" s="615">
        <v>5032087.8255244251</v>
      </c>
      <c r="H100" s="615">
        <v>643416.4924496013</v>
      </c>
      <c r="I100" s="615">
        <v>643416.4924496013</v>
      </c>
      <c r="J100" s="616">
        <v>0</v>
      </c>
      <c r="K100" s="504"/>
      <c r="L100" s="506">
        <f>H100</f>
        <v>643416.4924496013</v>
      </c>
      <c r="M100" s="504">
        <f>IF(L100&lt;&gt;0,+H100-L100,0)</f>
        <v>0</v>
      </c>
      <c r="N100" s="506">
        <f>I100</f>
        <v>643416.4924496013</v>
      </c>
      <c r="O100" s="504">
        <f>IF(N100&lt;&gt;0,+I100-N100,0)</f>
        <v>0</v>
      </c>
      <c r="P100" s="504">
        <f>+O100-M100</f>
        <v>0</v>
      </c>
      <c r="Q100" s="243"/>
      <c r="R100" s="243"/>
      <c r="S100" s="243"/>
      <c r="T100" s="243"/>
      <c r="U100" s="243"/>
    </row>
    <row r="101" spans="1:21" ht="12.5">
      <c r="B101" s="145" t="str">
        <f t="shared" si="15"/>
        <v>IU</v>
      </c>
      <c r="C101" s="495">
        <f>IF(D94="","-",+C100+1)</f>
        <v>2015</v>
      </c>
      <c r="D101" s="617">
        <v>10115489.48104885</v>
      </c>
      <c r="E101" s="617">
        <v>212869.54166666666</v>
      </c>
      <c r="F101" s="617">
        <v>9902619.9393821843</v>
      </c>
      <c r="G101" s="617">
        <v>10009054.710215516</v>
      </c>
      <c r="H101" s="617">
        <v>1327171.8833094309</v>
      </c>
      <c r="I101" s="617">
        <v>1327171.8833094309</v>
      </c>
      <c r="J101" s="617">
        <v>0</v>
      </c>
      <c r="K101" s="504"/>
      <c r="L101" s="506">
        <f>H101</f>
        <v>1327171.8833094309</v>
      </c>
      <c r="M101" s="504">
        <f>IF(L101&lt;&gt;0,+H101-L101,0)</f>
        <v>0</v>
      </c>
      <c r="N101" s="506">
        <f>I101</f>
        <v>1327171.8833094309</v>
      </c>
      <c r="O101" s="504">
        <f t="shared" ref="O101:O131" si="16">IF(N101&lt;&gt;0,+I101-N101,0)</f>
        <v>0</v>
      </c>
      <c r="P101" s="504">
        <f t="shared" ref="P101:P131" si="17">+O101-M101</f>
        <v>0</v>
      </c>
      <c r="Q101" s="243"/>
      <c r="R101" s="243"/>
      <c r="S101" s="243"/>
      <c r="T101" s="243"/>
      <c r="U101" s="243"/>
    </row>
    <row r="102" spans="1:21" ht="12.5">
      <c r="B102" s="145" t="str">
        <f t="shared" si="15"/>
        <v>IU</v>
      </c>
      <c r="C102" s="495">
        <f>IF(D94="","-",+C101+1)</f>
        <v>2016</v>
      </c>
      <c r="D102" s="617">
        <v>9902979.9393821843</v>
      </c>
      <c r="E102" s="617">
        <v>200354.86274509804</v>
      </c>
      <c r="F102" s="617">
        <v>9702625.0766370855</v>
      </c>
      <c r="G102" s="617">
        <v>9802802.5080096349</v>
      </c>
      <c r="H102" s="617">
        <v>1262679.2712885526</v>
      </c>
      <c r="I102" s="617">
        <v>1262679.2712885526</v>
      </c>
      <c r="J102" s="504">
        <f t="shared" ref="J102:J155" si="18">+I102-H102</f>
        <v>0</v>
      </c>
      <c r="K102" s="504"/>
      <c r="L102" s="506">
        <f>H102</f>
        <v>1262679.2712885526</v>
      </c>
      <c r="M102" s="504">
        <f>IF(L102&lt;&gt;0,+H102-L102,0)</f>
        <v>0</v>
      </c>
      <c r="N102" s="506">
        <f>I102</f>
        <v>1262679.2712885526</v>
      </c>
      <c r="O102" s="504">
        <f>IF(N102&lt;&gt;0,+I102-N102,0)</f>
        <v>0</v>
      </c>
      <c r="P102" s="504">
        <f>+O102-M102</f>
        <v>0</v>
      </c>
      <c r="Q102" s="243"/>
      <c r="R102" s="243"/>
      <c r="S102" s="243"/>
      <c r="T102" s="243"/>
      <c r="U102" s="243"/>
    </row>
    <row r="103" spans="1:21" ht="12.5">
      <c r="B103" s="145" t="str">
        <f t="shared" si="15"/>
        <v/>
      </c>
      <c r="C103" s="495">
        <f>IF(D94="","-",+C102+1)</f>
        <v>2017</v>
      </c>
      <c r="D103" s="617">
        <v>9702625.0766370855</v>
      </c>
      <c r="E103" s="617">
        <v>255452.45</v>
      </c>
      <c r="F103" s="617">
        <v>9447172.6266370863</v>
      </c>
      <c r="G103" s="617">
        <v>9574898.8516370859</v>
      </c>
      <c r="H103" s="617">
        <v>1378931.4814948814</v>
      </c>
      <c r="I103" s="617">
        <v>1378931.4814948814</v>
      </c>
      <c r="J103" s="504">
        <f t="shared" si="18"/>
        <v>0</v>
      </c>
      <c r="K103" s="504"/>
      <c r="L103" s="506">
        <f>H103</f>
        <v>1378931.4814948814</v>
      </c>
      <c r="M103" s="504">
        <f>IF(L103&lt;&gt;0,+H103-L103,0)</f>
        <v>0</v>
      </c>
      <c r="N103" s="506">
        <f>I103</f>
        <v>1378931.4814948814</v>
      </c>
      <c r="O103" s="504">
        <f>IF(N103&lt;&gt;0,+I103-N103,0)</f>
        <v>0</v>
      </c>
      <c r="P103" s="504">
        <f>+O103-M103</f>
        <v>0</v>
      </c>
      <c r="Q103" s="243"/>
      <c r="R103" s="243"/>
      <c r="S103" s="243"/>
      <c r="T103" s="243"/>
      <c r="U103" s="243"/>
    </row>
    <row r="104" spans="1:21" ht="12.5">
      <c r="B104" s="145" t="str">
        <f t="shared" si="15"/>
        <v/>
      </c>
      <c r="C104" s="495">
        <f>IF(D94="","-",+C103+1)</f>
        <v>2018</v>
      </c>
      <c r="D104" s="617">
        <v>9447172.6266370863</v>
      </c>
      <c r="E104" s="617">
        <v>283836.05555555556</v>
      </c>
      <c r="F104" s="617">
        <v>9163336.5710815303</v>
      </c>
      <c r="G104" s="617">
        <v>9305254.5988593083</v>
      </c>
      <c r="H104" s="617">
        <v>1266121.5205016474</v>
      </c>
      <c r="I104" s="617">
        <v>1266121.5205016474</v>
      </c>
      <c r="J104" s="504">
        <f t="shared" si="18"/>
        <v>0</v>
      </c>
      <c r="K104" s="504"/>
      <c r="L104" s="506">
        <f>H104</f>
        <v>1266121.5205016474</v>
      </c>
      <c r="M104" s="504">
        <f>IF(L104&lt;&gt;0,+H104-L104,0)</f>
        <v>0</v>
      </c>
      <c r="N104" s="506">
        <f>I104</f>
        <v>1266121.5205016474</v>
      </c>
      <c r="O104" s="504">
        <f>IF(N104&lt;&gt;0,+I104-N104,0)</f>
        <v>0</v>
      </c>
      <c r="P104" s="504">
        <f>+O104-M104</f>
        <v>0</v>
      </c>
      <c r="Q104" s="243"/>
      <c r="R104" s="243"/>
      <c r="S104" s="243"/>
      <c r="T104" s="243"/>
      <c r="U104" s="243"/>
    </row>
    <row r="105" spans="1:21" ht="12.5">
      <c r="B105" s="145" t="str">
        <f t="shared" si="15"/>
        <v/>
      </c>
      <c r="C105" s="495">
        <f>IF(D94="","-",+C104+1)</f>
        <v>2019</v>
      </c>
      <c r="D105" s="349">
        <f>IF(F104+SUM(E$100:E104)=D$93,F104,D$93-SUM(E$100:E104))</f>
        <v>9163336.5710815303</v>
      </c>
      <c r="E105" s="509">
        <f t="shared" ref="E105:E155" si="19">IF(+$J$97&lt;F104,$J$97,D105)</f>
        <v>309639.33333333331</v>
      </c>
      <c r="F105" s="510">
        <f t="shared" ref="F105:F155" si="20">+D105-E105</f>
        <v>8853697.2377481963</v>
      </c>
      <c r="G105" s="510">
        <f t="shared" ref="G105:G155" si="21">+(F105+D105)/2</f>
        <v>9008516.9044148624</v>
      </c>
      <c r="H105" s="523">
        <f t="shared" ref="H105:H155" si="22">+J$95*G105+E105</f>
        <v>1282642.2709185965</v>
      </c>
      <c r="I105" s="572">
        <f t="shared" ref="I105:I155" si="23">+J$96*G105+E105</f>
        <v>1282642.2709185965</v>
      </c>
      <c r="J105" s="504">
        <f t="shared" si="18"/>
        <v>0</v>
      </c>
      <c r="K105" s="504"/>
      <c r="L105" s="512"/>
      <c r="M105" s="504">
        <f t="shared" ref="M105:M131" si="24">IF(L105&lt;&gt;0,+H105-L105,0)</f>
        <v>0</v>
      </c>
      <c r="N105" s="512"/>
      <c r="O105" s="504">
        <f t="shared" si="16"/>
        <v>0</v>
      </c>
      <c r="P105" s="504">
        <f t="shared" si="17"/>
        <v>0</v>
      </c>
      <c r="Q105" s="243"/>
      <c r="R105" s="243"/>
      <c r="S105" s="243"/>
      <c r="T105" s="243"/>
      <c r="U105" s="243"/>
    </row>
    <row r="106" spans="1:21" ht="12.5">
      <c r="B106" s="145" t="str">
        <f t="shared" si="15"/>
        <v/>
      </c>
      <c r="C106" s="495">
        <f>IF(D94="","-",+C105+1)</f>
        <v>2020</v>
      </c>
      <c r="D106" s="349">
        <f>IF(F105+SUM(E$100:E105)=D$93,F105,D$93-SUM(E$100:E105))</f>
        <v>8853697.2377481963</v>
      </c>
      <c r="E106" s="509">
        <f t="shared" si="19"/>
        <v>309639.33333333331</v>
      </c>
      <c r="F106" s="510">
        <f t="shared" si="20"/>
        <v>8544057.9044148624</v>
      </c>
      <c r="G106" s="510">
        <f t="shared" si="21"/>
        <v>8698877.5710815303</v>
      </c>
      <c r="H106" s="523">
        <f t="shared" si="22"/>
        <v>1249198.3662090849</v>
      </c>
      <c r="I106" s="572">
        <f t="shared" si="23"/>
        <v>1249198.3662090849</v>
      </c>
      <c r="J106" s="504">
        <f t="shared" si="18"/>
        <v>0</v>
      </c>
      <c r="K106" s="504"/>
      <c r="L106" s="512"/>
      <c r="M106" s="504">
        <f t="shared" si="24"/>
        <v>0</v>
      </c>
      <c r="N106" s="512"/>
      <c r="O106" s="504">
        <f t="shared" si="16"/>
        <v>0</v>
      </c>
      <c r="P106" s="504">
        <f t="shared" si="17"/>
        <v>0</v>
      </c>
      <c r="Q106" s="243"/>
      <c r="R106" s="243"/>
      <c r="S106" s="243"/>
      <c r="T106" s="243"/>
      <c r="U106" s="243"/>
    </row>
    <row r="107" spans="1:21" ht="12.5">
      <c r="B107" s="145" t="str">
        <f t="shared" si="15"/>
        <v/>
      </c>
      <c r="C107" s="495">
        <f>IF(D94="","-",+C106+1)</f>
        <v>2021</v>
      </c>
      <c r="D107" s="349">
        <f>IF(F106+SUM(E$100:E106)=D$93,F106,D$93-SUM(E$100:E106))</f>
        <v>8544057.9044148624</v>
      </c>
      <c r="E107" s="509">
        <f t="shared" si="19"/>
        <v>309639.33333333331</v>
      </c>
      <c r="F107" s="510">
        <f t="shared" si="20"/>
        <v>8234418.5710815294</v>
      </c>
      <c r="G107" s="510">
        <f t="shared" si="21"/>
        <v>8389238.2377481963</v>
      </c>
      <c r="H107" s="523">
        <f t="shared" si="22"/>
        <v>1215754.4614995732</v>
      </c>
      <c r="I107" s="572">
        <f t="shared" si="23"/>
        <v>1215754.4614995732</v>
      </c>
      <c r="J107" s="504">
        <f t="shared" si="18"/>
        <v>0</v>
      </c>
      <c r="K107" s="504"/>
      <c r="L107" s="512"/>
      <c r="M107" s="504">
        <f t="shared" si="24"/>
        <v>0</v>
      </c>
      <c r="N107" s="512"/>
      <c r="O107" s="504">
        <f t="shared" si="16"/>
        <v>0</v>
      </c>
      <c r="P107" s="504">
        <f t="shared" si="17"/>
        <v>0</v>
      </c>
      <c r="Q107" s="243"/>
      <c r="R107" s="243"/>
      <c r="S107" s="243"/>
      <c r="T107" s="243"/>
      <c r="U107" s="243"/>
    </row>
    <row r="108" spans="1:21" ht="12.5">
      <c r="B108" s="145" t="str">
        <f t="shared" si="15"/>
        <v/>
      </c>
      <c r="C108" s="495">
        <f>IF(D94="","-",+C107+1)</f>
        <v>2022</v>
      </c>
      <c r="D108" s="349">
        <f>IF(F107+SUM(E$100:E107)=D$93,F107,D$93-SUM(E$100:E107))</f>
        <v>8234418.5710815294</v>
      </c>
      <c r="E108" s="509">
        <f t="shared" si="19"/>
        <v>309639.33333333331</v>
      </c>
      <c r="F108" s="510">
        <f t="shared" si="20"/>
        <v>7924779.2377481963</v>
      </c>
      <c r="G108" s="510">
        <f t="shared" si="21"/>
        <v>8079598.9044148624</v>
      </c>
      <c r="H108" s="523">
        <f t="shared" si="22"/>
        <v>1182310.5567900613</v>
      </c>
      <c r="I108" s="572">
        <f t="shared" si="23"/>
        <v>1182310.5567900613</v>
      </c>
      <c r="J108" s="504">
        <f t="shared" si="18"/>
        <v>0</v>
      </c>
      <c r="K108" s="504"/>
      <c r="L108" s="512"/>
      <c r="M108" s="504">
        <f t="shared" si="24"/>
        <v>0</v>
      </c>
      <c r="N108" s="512"/>
      <c r="O108" s="504">
        <f t="shared" si="16"/>
        <v>0</v>
      </c>
      <c r="P108" s="504">
        <f t="shared" si="17"/>
        <v>0</v>
      </c>
      <c r="Q108" s="243"/>
      <c r="R108" s="243"/>
      <c r="S108" s="243"/>
      <c r="T108" s="243"/>
      <c r="U108" s="243"/>
    </row>
    <row r="109" spans="1:21" ht="12.5">
      <c r="B109" s="145" t="str">
        <f t="shared" si="15"/>
        <v/>
      </c>
      <c r="C109" s="495">
        <f>IF(D94="","-",+C108+1)</f>
        <v>2023</v>
      </c>
      <c r="D109" s="349">
        <f>IF(F108+SUM(E$100:E108)=D$93,F108,D$93-SUM(E$100:E108))</f>
        <v>7924779.2377481963</v>
      </c>
      <c r="E109" s="509">
        <f t="shared" si="19"/>
        <v>309639.33333333331</v>
      </c>
      <c r="F109" s="510">
        <f t="shared" si="20"/>
        <v>7615139.9044148633</v>
      </c>
      <c r="G109" s="510">
        <f t="shared" si="21"/>
        <v>7769959.5710815303</v>
      </c>
      <c r="H109" s="523">
        <f t="shared" si="22"/>
        <v>1148866.6520805499</v>
      </c>
      <c r="I109" s="572">
        <f t="shared" si="23"/>
        <v>1148866.6520805499</v>
      </c>
      <c r="J109" s="504">
        <f t="shared" si="18"/>
        <v>0</v>
      </c>
      <c r="K109" s="504"/>
      <c r="L109" s="512"/>
      <c r="M109" s="504">
        <f t="shared" si="24"/>
        <v>0</v>
      </c>
      <c r="N109" s="512"/>
      <c r="O109" s="504">
        <f t="shared" si="16"/>
        <v>0</v>
      </c>
      <c r="P109" s="504">
        <f t="shared" si="17"/>
        <v>0</v>
      </c>
      <c r="Q109" s="243"/>
      <c r="R109" s="243"/>
      <c r="S109" s="243"/>
      <c r="T109" s="243"/>
      <c r="U109" s="243"/>
    </row>
    <row r="110" spans="1:21" ht="12.5">
      <c r="B110" s="145" t="str">
        <f t="shared" si="15"/>
        <v/>
      </c>
      <c r="C110" s="495">
        <f>IF(D94="","-",+C109+1)</f>
        <v>2024</v>
      </c>
      <c r="D110" s="349">
        <f>IF(F109+SUM(E$100:E109)=D$93,F109,D$93-SUM(E$100:E109))</f>
        <v>7615139.9044148633</v>
      </c>
      <c r="E110" s="509">
        <f t="shared" si="19"/>
        <v>309639.33333333331</v>
      </c>
      <c r="F110" s="510">
        <f t="shared" si="20"/>
        <v>7305500.5710815303</v>
      </c>
      <c r="G110" s="510">
        <f t="shared" si="21"/>
        <v>7460320.2377481963</v>
      </c>
      <c r="H110" s="523">
        <f t="shared" si="22"/>
        <v>1115422.7473710382</v>
      </c>
      <c r="I110" s="572">
        <f t="shared" si="23"/>
        <v>1115422.7473710382</v>
      </c>
      <c r="J110" s="504">
        <f t="shared" si="18"/>
        <v>0</v>
      </c>
      <c r="K110" s="504"/>
      <c r="L110" s="512"/>
      <c r="M110" s="504">
        <f t="shared" si="24"/>
        <v>0</v>
      </c>
      <c r="N110" s="512"/>
      <c r="O110" s="504">
        <f t="shared" si="16"/>
        <v>0</v>
      </c>
      <c r="P110" s="504">
        <f t="shared" si="17"/>
        <v>0</v>
      </c>
      <c r="Q110" s="243"/>
      <c r="R110" s="243"/>
      <c r="S110" s="243"/>
      <c r="T110" s="243"/>
      <c r="U110" s="243"/>
    </row>
    <row r="111" spans="1:21" ht="12.5">
      <c r="B111" s="145" t="str">
        <f t="shared" si="15"/>
        <v/>
      </c>
      <c r="C111" s="495">
        <f>IF(D94="","-",+C110+1)</f>
        <v>2025</v>
      </c>
      <c r="D111" s="349">
        <f>IF(F110+SUM(E$100:E110)=D$93,F110,D$93-SUM(E$100:E110))</f>
        <v>7305500.5710815303</v>
      </c>
      <c r="E111" s="509">
        <f t="shared" si="19"/>
        <v>309639.33333333331</v>
      </c>
      <c r="F111" s="510">
        <f t="shared" si="20"/>
        <v>6995861.2377481973</v>
      </c>
      <c r="G111" s="510">
        <f t="shared" si="21"/>
        <v>7150680.9044148643</v>
      </c>
      <c r="H111" s="523">
        <f t="shared" si="22"/>
        <v>1081978.8426615265</v>
      </c>
      <c r="I111" s="572">
        <f t="shared" si="23"/>
        <v>1081978.8426615265</v>
      </c>
      <c r="J111" s="504">
        <f t="shared" si="18"/>
        <v>0</v>
      </c>
      <c r="K111" s="504"/>
      <c r="L111" s="512"/>
      <c r="M111" s="504">
        <f t="shared" si="24"/>
        <v>0</v>
      </c>
      <c r="N111" s="512"/>
      <c r="O111" s="504">
        <f t="shared" si="16"/>
        <v>0</v>
      </c>
      <c r="P111" s="504">
        <f t="shared" si="17"/>
        <v>0</v>
      </c>
      <c r="Q111" s="243"/>
      <c r="R111" s="243"/>
      <c r="S111" s="243"/>
      <c r="T111" s="243"/>
      <c r="U111" s="243"/>
    </row>
    <row r="112" spans="1:21" ht="12.5">
      <c r="B112" s="145" t="str">
        <f t="shared" si="15"/>
        <v/>
      </c>
      <c r="C112" s="495">
        <f>IF(D94="","-",+C111+1)</f>
        <v>2026</v>
      </c>
      <c r="D112" s="349">
        <f>IF(F111+SUM(E$100:E111)=D$93,F111,D$93-SUM(E$100:E111))</f>
        <v>6995861.2377481973</v>
      </c>
      <c r="E112" s="509">
        <f t="shared" si="19"/>
        <v>309639.33333333331</v>
      </c>
      <c r="F112" s="510">
        <f t="shared" si="20"/>
        <v>6686221.9044148643</v>
      </c>
      <c r="G112" s="510">
        <f t="shared" si="21"/>
        <v>6841041.5710815303</v>
      </c>
      <c r="H112" s="523">
        <f t="shared" si="22"/>
        <v>1048534.9379520149</v>
      </c>
      <c r="I112" s="572">
        <f t="shared" si="23"/>
        <v>1048534.9379520149</v>
      </c>
      <c r="J112" s="504">
        <f t="shared" si="18"/>
        <v>0</v>
      </c>
      <c r="K112" s="504"/>
      <c r="L112" s="512"/>
      <c r="M112" s="504">
        <f t="shared" si="24"/>
        <v>0</v>
      </c>
      <c r="N112" s="512"/>
      <c r="O112" s="504">
        <f t="shared" si="16"/>
        <v>0</v>
      </c>
      <c r="P112" s="504">
        <f t="shared" si="17"/>
        <v>0</v>
      </c>
      <c r="Q112" s="243"/>
      <c r="R112" s="243"/>
      <c r="S112" s="243"/>
      <c r="T112" s="243"/>
      <c r="U112" s="243"/>
    </row>
    <row r="113" spans="2:21" ht="12.5">
      <c r="B113" s="145" t="str">
        <f t="shared" si="15"/>
        <v/>
      </c>
      <c r="C113" s="495">
        <f>IF(D94="","-",+C112+1)</f>
        <v>2027</v>
      </c>
      <c r="D113" s="349">
        <f>IF(F112+SUM(E$100:E112)=D$93,F112,D$93-SUM(E$100:E112))</f>
        <v>6686221.9044148643</v>
      </c>
      <c r="E113" s="509">
        <f t="shared" si="19"/>
        <v>309639.33333333331</v>
      </c>
      <c r="F113" s="510">
        <f t="shared" si="20"/>
        <v>6376582.5710815312</v>
      </c>
      <c r="G113" s="510">
        <f t="shared" si="21"/>
        <v>6531402.2377481982</v>
      </c>
      <c r="H113" s="523">
        <f t="shared" si="22"/>
        <v>1015091.0332425032</v>
      </c>
      <c r="I113" s="572">
        <f t="shared" si="23"/>
        <v>1015091.0332425032</v>
      </c>
      <c r="J113" s="504">
        <f t="shared" si="18"/>
        <v>0</v>
      </c>
      <c r="K113" s="504"/>
      <c r="L113" s="512"/>
      <c r="M113" s="504">
        <f t="shared" si="24"/>
        <v>0</v>
      </c>
      <c r="N113" s="512"/>
      <c r="O113" s="504">
        <f t="shared" si="16"/>
        <v>0</v>
      </c>
      <c r="P113" s="504">
        <f t="shared" si="17"/>
        <v>0</v>
      </c>
      <c r="Q113" s="243"/>
      <c r="R113" s="243"/>
      <c r="S113" s="243"/>
      <c r="T113" s="243"/>
      <c r="U113" s="243"/>
    </row>
    <row r="114" spans="2:21" ht="12.5">
      <c r="B114" s="145" t="str">
        <f t="shared" si="15"/>
        <v/>
      </c>
      <c r="C114" s="495">
        <f>IF(D94="","-",+C113+1)</f>
        <v>2028</v>
      </c>
      <c r="D114" s="349">
        <f>IF(F113+SUM(E$100:E113)=D$93,F113,D$93-SUM(E$100:E113))</f>
        <v>6376582.5710815312</v>
      </c>
      <c r="E114" s="509">
        <f t="shared" si="19"/>
        <v>309639.33333333331</v>
      </c>
      <c r="F114" s="510">
        <f t="shared" si="20"/>
        <v>6066943.2377481982</v>
      </c>
      <c r="G114" s="510">
        <f t="shared" si="21"/>
        <v>6221762.9044148643</v>
      </c>
      <c r="H114" s="523">
        <f t="shared" si="22"/>
        <v>981647.12853299151</v>
      </c>
      <c r="I114" s="572">
        <f t="shared" si="23"/>
        <v>981647.12853299151</v>
      </c>
      <c r="J114" s="504">
        <f t="shared" si="18"/>
        <v>0</v>
      </c>
      <c r="K114" s="504"/>
      <c r="L114" s="512"/>
      <c r="M114" s="504">
        <f t="shared" si="24"/>
        <v>0</v>
      </c>
      <c r="N114" s="512"/>
      <c r="O114" s="504">
        <f t="shared" si="16"/>
        <v>0</v>
      </c>
      <c r="P114" s="504">
        <f t="shared" si="17"/>
        <v>0</v>
      </c>
      <c r="Q114" s="243"/>
      <c r="R114" s="243"/>
      <c r="S114" s="243"/>
      <c r="T114" s="243"/>
      <c r="U114" s="243"/>
    </row>
    <row r="115" spans="2:21" ht="12.5">
      <c r="B115" s="145" t="str">
        <f t="shared" si="15"/>
        <v/>
      </c>
      <c r="C115" s="495">
        <f>IF(D94="","-",+C114+1)</f>
        <v>2029</v>
      </c>
      <c r="D115" s="349">
        <f>IF(F114+SUM(E$100:E114)=D$93,F114,D$93-SUM(E$100:E114))</f>
        <v>6066943.2377481982</v>
      </c>
      <c r="E115" s="509">
        <f t="shared" si="19"/>
        <v>309639.33333333331</v>
      </c>
      <c r="F115" s="510">
        <f t="shared" si="20"/>
        <v>5757303.9044148652</v>
      </c>
      <c r="G115" s="510">
        <f t="shared" si="21"/>
        <v>5912123.5710815322</v>
      </c>
      <c r="H115" s="523">
        <f t="shared" si="22"/>
        <v>948203.22382347984</v>
      </c>
      <c r="I115" s="572">
        <f t="shared" si="23"/>
        <v>948203.22382347984</v>
      </c>
      <c r="J115" s="504">
        <f t="shared" si="18"/>
        <v>0</v>
      </c>
      <c r="K115" s="504"/>
      <c r="L115" s="512"/>
      <c r="M115" s="504">
        <f t="shared" si="24"/>
        <v>0</v>
      </c>
      <c r="N115" s="512"/>
      <c r="O115" s="504">
        <f t="shared" si="16"/>
        <v>0</v>
      </c>
      <c r="P115" s="504">
        <f t="shared" si="17"/>
        <v>0</v>
      </c>
      <c r="Q115" s="243"/>
      <c r="R115" s="243"/>
      <c r="S115" s="243"/>
      <c r="T115" s="243"/>
      <c r="U115" s="243"/>
    </row>
    <row r="116" spans="2:21" ht="12.5">
      <c r="B116" s="145" t="str">
        <f t="shared" si="15"/>
        <v/>
      </c>
      <c r="C116" s="495">
        <f>IF(D94="","-",+C115+1)</f>
        <v>2030</v>
      </c>
      <c r="D116" s="349">
        <f>IF(F115+SUM(E$100:E115)=D$93,F115,D$93-SUM(E$100:E115))</f>
        <v>5757303.9044148652</v>
      </c>
      <c r="E116" s="509">
        <f t="shared" si="19"/>
        <v>309639.33333333331</v>
      </c>
      <c r="F116" s="510">
        <f t="shared" si="20"/>
        <v>5447664.5710815322</v>
      </c>
      <c r="G116" s="510">
        <f t="shared" si="21"/>
        <v>5602484.2377481982</v>
      </c>
      <c r="H116" s="523">
        <f t="shared" si="22"/>
        <v>914759.31911396817</v>
      </c>
      <c r="I116" s="572">
        <f t="shared" si="23"/>
        <v>914759.31911396817</v>
      </c>
      <c r="J116" s="504">
        <f t="shared" si="18"/>
        <v>0</v>
      </c>
      <c r="K116" s="504"/>
      <c r="L116" s="512"/>
      <c r="M116" s="504">
        <f t="shared" si="24"/>
        <v>0</v>
      </c>
      <c r="N116" s="512"/>
      <c r="O116" s="504">
        <f t="shared" si="16"/>
        <v>0</v>
      </c>
      <c r="P116" s="504">
        <f t="shared" si="17"/>
        <v>0</v>
      </c>
      <c r="Q116" s="243"/>
      <c r="R116" s="243"/>
      <c r="S116" s="243"/>
      <c r="T116" s="243"/>
      <c r="U116" s="243"/>
    </row>
    <row r="117" spans="2:21" ht="12.5">
      <c r="B117" s="145" t="str">
        <f t="shared" si="15"/>
        <v/>
      </c>
      <c r="C117" s="495">
        <f>IF(D94="","-",+C116+1)</f>
        <v>2031</v>
      </c>
      <c r="D117" s="349">
        <f>IF(F116+SUM(E$100:E116)=D$93,F116,D$93-SUM(E$100:E116))</f>
        <v>5447664.5710815322</v>
      </c>
      <c r="E117" s="509">
        <f t="shared" si="19"/>
        <v>309639.33333333331</v>
      </c>
      <c r="F117" s="510">
        <f t="shared" si="20"/>
        <v>5138025.2377481991</v>
      </c>
      <c r="G117" s="510">
        <f t="shared" si="21"/>
        <v>5292844.9044148661</v>
      </c>
      <c r="H117" s="523">
        <f t="shared" si="22"/>
        <v>881315.41440445674</v>
      </c>
      <c r="I117" s="572">
        <f t="shared" si="23"/>
        <v>881315.41440445674</v>
      </c>
      <c r="J117" s="504">
        <f t="shared" si="18"/>
        <v>0</v>
      </c>
      <c r="K117" s="504"/>
      <c r="L117" s="512"/>
      <c r="M117" s="504">
        <f t="shared" si="24"/>
        <v>0</v>
      </c>
      <c r="N117" s="512"/>
      <c r="O117" s="504">
        <f t="shared" si="16"/>
        <v>0</v>
      </c>
      <c r="P117" s="504">
        <f t="shared" si="17"/>
        <v>0</v>
      </c>
      <c r="Q117" s="243"/>
      <c r="R117" s="243"/>
      <c r="S117" s="243"/>
      <c r="T117" s="243"/>
      <c r="U117" s="243"/>
    </row>
    <row r="118" spans="2:21" ht="12.5">
      <c r="B118" s="145" t="str">
        <f t="shared" si="15"/>
        <v/>
      </c>
      <c r="C118" s="495">
        <f>IF(D94="","-",+C117+1)</f>
        <v>2032</v>
      </c>
      <c r="D118" s="349">
        <f>IF(F117+SUM(E$100:E117)=D$93,F117,D$93-SUM(E$100:E117))</f>
        <v>5138025.2377481991</v>
      </c>
      <c r="E118" s="509">
        <f t="shared" si="19"/>
        <v>309639.33333333331</v>
      </c>
      <c r="F118" s="510">
        <f t="shared" si="20"/>
        <v>4828385.9044148661</v>
      </c>
      <c r="G118" s="510">
        <f t="shared" si="21"/>
        <v>4983205.5710815322</v>
      </c>
      <c r="H118" s="523">
        <f t="shared" si="22"/>
        <v>847871.50969494483</v>
      </c>
      <c r="I118" s="572">
        <f t="shared" si="23"/>
        <v>847871.50969494483</v>
      </c>
      <c r="J118" s="504">
        <f t="shared" si="18"/>
        <v>0</v>
      </c>
      <c r="K118" s="504"/>
      <c r="L118" s="512"/>
      <c r="M118" s="504">
        <f t="shared" si="24"/>
        <v>0</v>
      </c>
      <c r="N118" s="512"/>
      <c r="O118" s="504">
        <f t="shared" si="16"/>
        <v>0</v>
      </c>
      <c r="P118" s="504">
        <f t="shared" si="17"/>
        <v>0</v>
      </c>
      <c r="Q118" s="243"/>
      <c r="R118" s="243"/>
      <c r="S118" s="243"/>
      <c r="T118" s="243"/>
      <c r="U118" s="243"/>
    </row>
    <row r="119" spans="2:21" ht="12.5">
      <c r="B119" s="145" t="str">
        <f t="shared" si="15"/>
        <v/>
      </c>
      <c r="C119" s="495">
        <f>IF(D94="","-",+C118+1)</f>
        <v>2033</v>
      </c>
      <c r="D119" s="349">
        <f>IF(F118+SUM(E$100:E118)=D$93,F118,D$93-SUM(E$100:E118))</f>
        <v>4828385.9044148661</v>
      </c>
      <c r="E119" s="509">
        <f t="shared" si="19"/>
        <v>309639.33333333331</v>
      </c>
      <c r="F119" s="510">
        <f t="shared" si="20"/>
        <v>4518746.5710815331</v>
      </c>
      <c r="G119" s="510">
        <f t="shared" si="21"/>
        <v>4673566.2377482001</v>
      </c>
      <c r="H119" s="523">
        <f t="shared" si="22"/>
        <v>814427.6049854334</v>
      </c>
      <c r="I119" s="572">
        <f t="shared" si="23"/>
        <v>814427.6049854334</v>
      </c>
      <c r="J119" s="504">
        <f t="shared" si="18"/>
        <v>0</v>
      </c>
      <c r="K119" s="504"/>
      <c r="L119" s="512"/>
      <c r="M119" s="504">
        <f t="shared" si="24"/>
        <v>0</v>
      </c>
      <c r="N119" s="512"/>
      <c r="O119" s="504">
        <f t="shared" si="16"/>
        <v>0</v>
      </c>
      <c r="P119" s="504">
        <f t="shared" si="17"/>
        <v>0</v>
      </c>
      <c r="Q119" s="243"/>
      <c r="R119" s="243"/>
      <c r="S119" s="243"/>
      <c r="T119" s="243"/>
      <c r="U119" s="243"/>
    </row>
    <row r="120" spans="2:21" ht="12.5">
      <c r="B120" s="145" t="str">
        <f t="shared" si="15"/>
        <v/>
      </c>
      <c r="C120" s="495">
        <f>IF(D94="","-",+C119+1)</f>
        <v>2034</v>
      </c>
      <c r="D120" s="349">
        <f>IF(F119+SUM(E$100:E119)=D$93,F119,D$93-SUM(E$100:E119))</f>
        <v>4518746.5710815331</v>
      </c>
      <c r="E120" s="509">
        <f t="shared" si="19"/>
        <v>309639.33333333331</v>
      </c>
      <c r="F120" s="510">
        <f t="shared" si="20"/>
        <v>4209107.2377482001</v>
      </c>
      <c r="G120" s="510">
        <f t="shared" si="21"/>
        <v>4363926.9044148661</v>
      </c>
      <c r="H120" s="523">
        <f t="shared" si="22"/>
        <v>780983.70027592161</v>
      </c>
      <c r="I120" s="572">
        <f t="shared" si="23"/>
        <v>780983.70027592161</v>
      </c>
      <c r="J120" s="504">
        <f t="shared" si="18"/>
        <v>0</v>
      </c>
      <c r="K120" s="504"/>
      <c r="L120" s="512"/>
      <c r="M120" s="504">
        <f t="shared" si="24"/>
        <v>0</v>
      </c>
      <c r="N120" s="512"/>
      <c r="O120" s="504">
        <f t="shared" si="16"/>
        <v>0</v>
      </c>
      <c r="P120" s="504">
        <f t="shared" si="17"/>
        <v>0</v>
      </c>
      <c r="Q120" s="243"/>
      <c r="R120" s="243"/>
      <c r="S120" s="243"/>
      <c r="T120" s="243"/>
      <c r="U120" s="243"/>
    </row>
    <row r="121" spans="2:21" ht="12.5">
      <c r="B121" s="145" t="str">
        <f t="shared" si="15"/>
        <v/>
      </c>
      <c r="C121" s="495">
        <f>IF(D94="","-",+C120+1)</f>
        <v>2035</v>
      </c>
      <c r="D121" s="349">
        <f>IF(F120+SUM(E$100:E120)=D$93,F120,D$93-SUM(E$100:E120))</f>
        <v>4209107.2377482001</v>
      </c>
      <c r="E121" s="509">
        <f t="shared" si="19"/>
        <v>309639.33333333331</v>
      </c>
      <c r="F121" s="510">
        <f t="shared" si="20"/>
        <v>3899467.9044148666</v>
      </c>
      <c r="G121" s="510">
        <f t="shared" si="21"/>
        <v>4054287.5710815331</v>
      </c>
      <c r="H121" s="523">
        <f t="shared" si="22"/>
        <v>747539.79556640994</v>
      </c>
      <c r="I121" s="572">
        <f t="shared" si="23"/>
        <v>747539.79556640994</v>
      </c>
      <c r="J121" s="504">
        <f t="shared" si="18"/>
        <v>0</v>
      </c>
      <c r="K121" s="504"/>
      <c r="L121" s="512"/>
      <c r="M121" s="504">
        <f t="shared" si="24"/>
        <v>0</v>
      </c>
      <c r="N121" s="512"/>
      <c r="O121" s="504">
        <f t="shared" si="16"/>
        <v>0</v>
      </c>
      <c r="P121" s="504">
        <f t="shared" si="17"/>
        <v>0</v>
      </c>
      <c r="Q121" s="243"/>
      <c r="R121" s="243"/>
      <c r="S121" s="243"/>
      <c r="T121" s="243"/>
      <c r="U121" s="243"/>
    </row>
    <row r="122" spans="2:21" ht="12.5">
      <c r="B122" s="145" t="str">
        <f t="shared" si="15"/>
        <v/>
      </c>
      <c r="C122" s="495">
        <f>IF(D94="","-",+C121+1)</f>
        <v>2036</v>
      </c>
      <c r="D122" s="349">
        <f>IF(F121+SUM(E$100:E121)=D$93,F121,D$93-SUM(E$100:E121))</f>
        <v>3899467.9044148666</v>
      </c>
      <c r="E122" s="509">
        <f t="shared" si="19"/>
        <v>309639.33333333331</v>
      </c>
      <c r="F122" s="510">
        <f t="shared" si="20"/>
        <v>3589828.5710815331</v>
      </c>
      <c r="G122" s="510">
        <f t="shared" si="21"/>
        <v>3744648.2377482001</v>
      </c>
      <c r="H122" s="523">
        <f t="shared" si="22"/>
        <v>714095.89085689839</v>
      </c>
      <c r="I122" s="572">
        <f t="shared" si="23"/>
        <v>714095.89085689839</v>
      </c>
      <c r="J122" s="504">
        <f t="shared" si="18"/>
        <v>0</v>
      </c>
      <c r="K122" s="504"/>
      <c r="L122" s="512"/>
      <c r="M122" s="504">
        <f t="shared" si="24"/>
        <v>0</v>
      </c>
      <c r="N122" s="512"/>
      <c r="O122" s="504">
        <f t="shared" si="16"/>
        <v>0</v>
      </c>
      <c r="P122" s="504">
        <f t="shared" si="17"/>
        <v>0</v>
      </c>
      <c r="Q122" s="243"/>
      <c r="R122" s="243"/>
      <c r="S122" s="243"/>
      <c r="T122" s="243"/>
      <c r="U122" s="243"/>
    </row>
    <row r="123" spans="2:21" ht="12.5">
      <c r="B123" s="145" t="str">
        <f t="shared" si="15"/>
        <v/>
      </c>
      <c r="C123" s="495">
        <f>IF(D94="","-",+C122+1)</f>
        <v>2037</v>
      </c>
      <c r="D123" s="349">
        <f>IF(F122+SUM(E$100:E122)=D$93,F122,D$93-SUM(E$100:E122))</f>
        <v>3589828.5710815331</v>
      </c>
      <c r="E123" s="509">
        <f t="shared" si="19"/>
        <v>309639.33333333331</v>
      </c>
      <c r="F123" s="510">
        <f t="shared" si="20"/>
        <v>3280189.2377481996</v>
      </c>
      <c r="G123" s="510">
        <f t="shared" si="21"/>
        <v>3435008.9044148661</v>
      </c>
      <c r="H123" s="523">
        <f t="shared" si="22"/>
        <v>680651.98614738649</v>
      </c>
      <c r="I123" s="572">
        <f t="shared" si="23"/>
        <v>680651.98614738649</v>
      </c>
      <c r="J123" s="504">
        <f t="shared" si="18"/>
        <v>0</v>
      </c>
      <c r="K123" s="504"/>
      <c r="L123" s="512"/>
      <c r="M123" s="504">
        <f t="shared" si="24"/>
        <v>0</v>
      </c>
      <c r="N123" s="512"/>
      <c r="O123" s="504">
        <f t="shared" si="16"/>
        <v>0</v>
      </c>
      <c r="P123" s="504">
        <f t="shared" si="17"/>
        <v>0</v>
      </c>
      <c r="Q123" s="243"/>
      <c r="R123" s="243"/>
      <c r="S123" s="243"/>
      <c r="T123" s="243"/>
      <c r="U123" s="243"/>
    </row>
    <row r="124" spans="2:21" ht="12.5">
      <c r="B124" s="145" t="str">
        <f t="shared" si="15"/>
        <v/>
      </c>
      <c r="C124" s="495">
        <f>IF(D94="","-",+C123+1)</f>
        <v>2038</v>
      </c>
      <c r="D124" s="349">
        <f>IF(F123+SUM(E$100:E123)=D$93,F123,D$93-SUM(E$100:E123))</f>
        <v>3280189.2377481996</v>
      </c>
      <c r="E124" s="509">
        <f t="shared" si="19"/>
        <v>309639.33333333331</v>
      </c>
      <c r="F124" s="510">
        <f t="shared" si="20"/>
        <v>2970549.9044148661</v>
      </c>
      <c r="G124" s="510">
        <f t="shared" si="21"/>
        <v>3125369.5710815331</v>
      </c>
      <c r="H124" s="523">
        <f t="shared" si="22"/>
        <v>647208.08143787493</v>
      </c>
      <c r="I124" s="572">
        <f t="shared" si="23"/>
        <v>647208.08143787493</v>
      </c>
      <c r="J124" s="504">
        <f t="shared" si="18"/>
        <v>0</v>
      </c>
      <c r="K124" s="504"/>
      <c r="L124" s="512"/>
      <c r="M124" s="504">
        <f t="shared" si="24"/>
        <v>0</v>
      </c>
      <c r="N124" s="512"/>
      <c r="O124" s="504">
        <f t="shared" si="16"/>
        <v>0</v>
      </c>
      <c r="P124" s="504">
        <f t="shared" si="17"/>
        <v>0</v>
      </c>
      <c r="Q124" s="243"/>
      <c r="R124" s="243"/>
      <c r="S124" s="243"/>
      <c r="T124" s="243"/>
      <c r="U124" s="243"/>
    </row>
    <row r="125" spans="2:21" ht="12.5">
      <c r="B125" s="145" t="str">
        <f t="shared" si="15"/>
        <v/>
      </c>
      <c r="C125" s="495">
        <f>IF(D94="","-",+C124+1)</f>
        <v>2039</v>
      </c>
      <c r="D125" s="349">
        <f>IF(F124+SUM(E$100:E124)=D$93,F124,D$93-SUM(E$100:E124))</f>
        <v>2970549.9044148661</v>
      </c>
      <c r="E125" s="509">
        <f t="shared" si="19"/>
        <v>309639.33333333331</v>
      </c>
      <c r="F125" s="510">
        <f t="shared" si="20"/>
        <v>2660910.5710815326</v>
      </c>
      <c r="G125" s="510">
        <f t="shared" si="21"/>
        <v>2815730.2377481991</v>
      </c>
      <c r="H125" s="523">
        <f t="shared" si="22"/>
        <v>613764.17672836315</v>
      </c>
      <c r="I125" s="572">
        <f t="shared" si="23"/>
        <v>613764.17672836315</v>
      </c>
      <c r="J125" s="504">
        <f t="shared" si="18"/>
        <v>0</v>
      </c>
      <c r="K125" s="504"/>
      <c r="L125" s="512"/>
      <c r="M125" s="504">
        <f t="shared" si="24"/>
        <v>0</v>
      </c>
      <c r="N125" s="512"/>
      <c r="O125" s="504">
        <f t="shared" si="16"/>
        <v>0</v>
      </c>
      <c r="P125" s="504">
        <f t="shared" si="17"/>
        <v>0</v>
      </c>
      <c r="Q125" s="243"/>
      <c r="R125" s="243"/>
      <c r="S125" s="243"/>
      <c r="T125" s="243"/>
      <c r="U125" s="243"/>
    </row>
    <row r="126" spans="2:21" ht="12.5">
      <c r="B126" s="145" t="str">
        <f t="shared" si="15"/>
        <v/>
      </c>
      <c r="C126" s="495">
        <f>IF(D94="","-",+C125+1)</f>
        <v>2040</v>
      </c>
      <c r="D126" s="349">
        <f>IF(F125+SUM(E$100:E125)=D$93,F125,D$93-SUM(E$100:E125))</f>
        <v>2660910.5710815326</v>
      </c>
      <c r="E126" s="509">
        <f t="shared" si="19"/>
        <v>309639.33333333331</v>
      </c>
      <c r="F126" s="510">
        <f t="shared" si="20"/>
        <v>2351271.2377481991</v>
      </c>
      <c r="G126" s="510">
        <f t="shared" si="21"/>
        <v>2506090.9044148661</v>
      </c>
      <c r="H126" s="523">
        <f t="shared" si="22"/>
        <v>580320.27201885148</v>
      </c>
      <c r="I126" s="572">
        <f t="shared" si="23"/>
        <v>580320.27201885148</v>
      </c>
      <c r="J126" s="504">
        <f t="shared" si="18"/>
        <v>0</v>
      </c>
      <c r="K126" s="504"/>
      <c r="L126" s="512"/>
      <c r="M126" s="504">
        <f t="shared" si="24"/>
        <v>0</v>
      </c>
      <c r="N126" s="512"/>
      <c r="O126" s="504">
        <f t="shared" si="16"/>
        <v>0</v>
      </c>
      <c r="P126" s="504">
        <f t="shared" si="17"/>
        <v>0</v>
      </c>
      <c r="Q126" s="243"/>
      <c r="R126" s="243"/>
      <c r="S126" s="243"/>
      <c r="T126" s="243"/>
      <c r="U126" s="243"/>
    </row>
    <row r="127" spans="2:21" ht="12.5">
      <c r="B127" s="145" t="str">
        <f t="shared" si="15"/>
        <v/>
      </c>
      <c r="C127" s="495">
        <f>IF(D94="","-",+C126+1)</f>
        <v>2041</v>
      </c>
      <c r="D127" s="349">
        <f>IF(F126+SUM(E$100:E126)=D$93,F126,D$93-SUM(E$100:E126))</f>
        <v>2351271.2377481991</v>
      </c>
      <c r="E127" s="509">
        <f t="shared" si="19"/>
        <v>309639.33333333331</v>
      </c>
      <c r="F127" s="510">
        <f t="shared" si="20"/>
        <v>2041631.9044148659</v>
      </c>
      <c r="G127" s="510">
        <f t="shared" si="21"/>
        <v>2196451.5710815326</v>
      </c>
      <c r="H127" s="523">
        <f t="shared" si="22"/>
        <v>546876.36730933981</v>
      </c>
      <c r="I127" s="572">
        <f t="shared" si="23"/>
        <v>546876.36730933981</v>
      </c>
      <c r="J127" s="504">
        <f t="shared" si="18"/>
        <v>0</v>
      </c>
      <c r="K127" s="504"/>
      <c r="L127" s="512"/>
      <c r="M127" s="504">
        <f t="shared" si="24"/>
        <v>0</v>
      </c>
      <c r="N127" s="512"/>
      <c r="O127" s="504">
        <f t="shared" si="16"/>
        <v>0</v>
      </c>
      <c r="P127" s="504">
        <f t="shared" si="17"/>
        <v>0</v>
      </c>
      <c r="Q127" s="243"/>
      <c r="R127" s="243"/>
      <c r="S127" s="243"/>
      <c r="T127" s="243"/>
      <c r="U127" s="243"/>
    </row>
    <row r="128" spans="2:21" ht="12.5">
      <c r="B128" s="145" t="str">
        <f t="shared" si="15"/>
        <v/>
      </c>
      <c r="C128" s="495">
        <f>IF(D94="","-",+C127+1)</f>
        <v>2042</v>
      </c>
      <c r="D128" s="349">
        <f>IF(F127+SUM(E$100:E127)=D$93,F127,D$93-SUM(E$100:E127))</f>
        <v>2041631.9044148659</v>
      </c>
      <c r="E128" s="509">
        <f t="shared" si="19"/>
        <v>309639.33333333331</v>
      </c>
      <c r="F128" s="510">
        <f t="shared" si="20"/>
        <v>1731992.5710815326</v>
      </c>
      <c r="G128" s="510">
        <f t="shared" si="21"/>
        <v>1886812.2377481991</v>
      </c>
      <c r="H128" s="523">
        <f t="shared" si="22"/>
        <v>513432.46259982814</v>
      </c>
      <c r="I128" s="572">
        <f t="shared" si="23"/>
        <v>513432.46259982814</v>
      </c>
      <c r="J128" s="504">
        <f t="shared" si="18"/>
        <v>0</v>
      </c>
      <c r="K128" s="504"/>
      <c r="L128" s="512"/>
      <c r="M128" s="504">
        <f t="shared" si="24"/>
        <v>0</v>
      </c>
      <c r="N128" s="512"/>
      <c r="O128" s="504">
        <f t="shared" si="16"/>
        <v>0</v>
      </c>
      <c r="P128" s="504">
        <f t="shared" si="17"/>
        <v>0</v>
      </c>
      <c r="Q128" s="243"/>
      <c r="R128" s="243"/>
      <c r="S128" s="243"/>
      <c r="T128" s="243"/>
      <c r="U128" s="243"/>
    </row>
    <row r="129" spans="2:21" ht="12.5">
      <c r="B129" s="145" t="str">
        <f t="shared" si="15"/>
        <v/>
      </c>
      <c r="C129" s="495">
        <f>IF(D94="","-",+C128+1)</f>
        <v>2043</v>
      </c>
      <c r="D129" s="349">
        <f>IF(F128+SUM(E$100:E128)=D$93,F128,D$93-SUM(E$100:E128))</f>
        <v>1731992.5710815326</v>
      </c>
      <c r="E129" s="509">
        <f t="shared" si="19"/>
        <v>309639.33333333331</v>
      </c>
      <c r="F129" s="510">
        <f t="shared" si="20"/>
        <v>1422353.2377481994</v>
      </c>
      <c r="G129" s="510">
        <f t="shared" si="21"/>
        <v>1577172.9044148661</v>
      </c>
      <c r="H129" s="523">
        <f t="shared" si="22"/>
        <v>479988.55789031647</v>
      </c>
      <c r="I129" s="572">
        <f t="shared" si="23"/>
        <v>479988.55789031647</v>
      </c>
      <c r="J129" s="504">
        <f t="shared" si="18"/>
        <v>0</v>
      </c>
      <c r="K129" s="504"/>
      <c r="L129" s="512"/>
      <c r="M129" s="504">
        <f t="shared" si="24"/>
        <v>0</v>
      </c>
      <c r="N129" s="512"/>
      <c r="O129" s="504">
        <f t="shared" si="16"/>
        <v>0</v>
      </c>
      <c r="P129" s="504">
        <f t="shared" si="17"/>
        <v>0</v>
      </c>
      <c r="Q129" s="243"/>
      <c r="R129" s="243"/>
      <c r="S129" s="243"/>
      <c r="T129" s="243"/>
      <c r="U129" s="243"/>
    </row>
    <row r="130" spans="2:21" ht="12.5">
      <c r="B130" s="145" t="str">
        <f t="shared" si="15"/>
        <v/>
      </c>
      <c r="C130" s="495">
        <f>IF(D94="","-",+C129+1)</f>
        <v>2044</v>
      </c>
      <c r="D130" s="349">
        <f>IF(F129+SUM(E$100:E129)=D$93,F129,D$93-SUM(E$100:E129))</f>
        <v>1422353.2377481994</v>
      </c>
      <c r="E130" s="509">
        <f t="shared" si="19"/>
        <v>309639.33333333331</v>
      </c>
      <c r="F130" s="510">
        <f t="shared" si="20"/>
        <v>1112713.9044148661</v>
      </c>
      <c r="G130" s="510">
        <f t="shared" si="21"/>
        <v>1267533.5710815326</v>
      </c>
      <c r="H130" s="523">
        <f t="shared" si="22"/>
        <v>446544.6531808048</v>
      </c>
      <c r="I130" s="572">
        <f t="shared" si="23"/>
        <v>446544.6531808048</v>
      </c>
      <c r="J130" s="504">
        <f t="shared" si="18"/>
        <v>0</v>
      </c>
      <c r="K130" s="504"/>
      <c r="L130" s="512"/>
      <c r="M130" s="504">
        <f t="shared" si="24"/>
        <v>0</v>
      </c>
      <c r="N130" s="512"/>
      <c r="O130" s="504">
        <f t="shared" si="16"/>
        <v>0</v>
      </c>
      <c r="P130" s="504">
        <f t="shared" si="17"/>
        <v>0</v>
      </c>
      <c r="Q130" s="243"/>
      <c r="R130" s="243"/>
      <c r="S130" s="243"/>
      <c r="T130" s="243"/>
      <c r="U130" s="243"/>
    </row>
    <row r="131" spans="2:21" ht="12.5">
      <c r="B131" s="145" t="str">
        <f t="shared" si="15"/>
        <v/>
      </c>
      <c r="C131" s="495">
        <f>IF(D94="","-",+C130+1)</f>
        <v>2045</v>
      </c>
      <c r="D131" s="349">
        <f>IF(F130+SUM(E$100:E130)=D$93,F130,D$93-SUM(E$100:E130))</f>
        <v>1112713.9044148661</v>
      </c>
      <c r="E131" s="509">
        <f t="shared" si="19"/>
        <v>309639.33333333331</v>
      </c>
      <c r="F131" s="510">
        <f t="shared" si="20"/>
        <v>803074.57108153286</v>
      </c>
      <c r="G131" s="510">
        <f t="shared" si="21"/>
        <v>957894.23774819949</v>
      </c>
      <c r="H131" s="523">
        <f t="shared" si="22"/>
        <v>413100.74847129313</v>
      </c>
      <c r="I131" s="572">
        <f t="shared" si="23"/>
        <v>413100.74847129313</v>
      </c>
      <c r="J131" s="504">
        <f t="shared" si="18"/>
        <v>0</v>
      </c>
      <c r="K131" s="504"/>
      <c r="L131" s="512"/>
      <c r="M131" s="504">
        <f t="shared" si="24"/>
        <v>0</v>
      </c>
      <c r="N131" s="512"/>
      <c r="O131" s="504">
        <f t="shared" si="16"/>
        <v>0</v>
      </c>
      <c r="P131" s="504">
        <f t="shared" si="17"/>
        <v>0</v>
      </c>
      <c r="Q131" s="243"/>
      <c r="R131" s="243"/>
      <c r="S131" s="243"/>
      <c r="T131" s="243"/>
      <c r="U131" s="243"/>
    </row>
    <row r="132" spans="2:21" ht="12.5">
      <c r="B132" s="145" t="str">
        <f t="shared" si="15"/>
        <v/>
      </c>
      <c r="C132" s="495">
        <f>IF(D94="","-",+C131+1)</f>
        <v>2046</v>
      </c>
      <c r="D132" s="349">
        <f>IF(F131+SUM(E$100:E131)=D$93,F131,D$93-SUM(E$100:E131))</f>
        <v>803074.57108153286</v>
      </c>
      <c r="E132" s="509">
        <f t="shared" si="19"/>
        <v>309639.33333333331</v>
      </c>
      <c r="F132" s="510">
        <f t="shared" si="20"/>
        <v>493435.23774819955</v>
      </c>
      <c r="G132" s="510">
        <f t="shared" si="21"/>
        <v>648254.90441486624</v>
      </c>
      <c r="H132" s="523">
        <f t="shared" si="22"/>
        <v>379656.84376178146</v>
      </c>
      <c r="I132" s="572">
        <f t="shared" si="23"/>
        <v>379656.84376178146</v>
      </c>
      <c r="J132" s="504">
        <f t="shared" si="18"/>
        <v>0</v>
      </c>
      <c r="K132" s="504"/>
      <c r="L132" s="512"/>
      <c r="M132" s="504">
        <f t="shared" ref="M132:M155" si="25">IF(L542&lt;&gt;0,+H542-L542,0)</f>
        <v>0</v>
      </c>
      <c r="N132" s="512"/>
      <c r="O132" s="504">
        <f t="shared" ref="O132:O155" si="26">IF(N542&lt;&gt;0,+I542-N542,0)</f>
        <v>0</v>
      </c>
      <c r="P132" s="504">
        <f t="shared" ref="P132:P155" si="27">+O542-M542</f>
        <v>0</v>
      </c>
      <c r="Q132" s="243"/>
      <c r="R132" s="243"/>
      <c r="S132" s="243"/>
      <c r="T132" s="243"/>
      <c r="U132" s="243"/>
    </row>
    <row r="133" spans="2:21" ht="12.5">
      <c r="B133" s="145" t="str">
        <f t="shared" si="15"/>
        <v/>
      </c>
      <c r="C133" s="495">
        <f>IF(D94="","-",+C132+1)</f>
        <v>2047</v>
      </c>
      <c r="D133" s="349">
        <f>IF(F132+SUM(E$100:E132)=D$93,F132,D$93-SUM(E$100:E132))</f>
        <v>493435.23774819955</v>
      </c>
      <c r="E133" s="509">
        <f t="shared" si="19"/>
        <v>309639.33333333331</v>
      </c>
      <c r="F133" s="510">
        <f t="shared" si="20"/>
        <v>183795.90441486624</v>
      </c>
      <c r="G133" s="510">
        <f t="shared" si="21"/>
        <v>338615.57108153286</v>
      </c>
      <c r="H133" s="523">
        <f t="shared" si="22"/>
        <v>346212.93905226974</v>
      </c>
      <c r="I133" s="572">
        <f t="shared" si="23"/>
        <v>346212.93905226974</v>
      </c>
      <c r="J133" s="504">
        <f t="shared" si="18"/>
        <v>0</v>
      </c>
      <c r="K133" s="504"/>
      <c r="L133" s="512"/>
      <c r="M133" s="504">
        <f t="shared" si="25"/>
        <v>0</v>
      </c>
      <c r="N133" s="512"/>
      <c r="O133" s="504">
        <f t="shared" si="26"/>
        <v>0</v>
      </c>
      <c r="P133" s="504">
        <f t="shared" si="27"/>
        <v>0</v>
      </c>
      <c r="Q133" s="243"/>
      <c r="R133" s="243"/>
      <c r="S133" s="243"/>
      <c r="T133" s="243"/>
      <c r="U133" s="243"/>
    </row>
    <row r="134" spans="2:21" ht="12.5">
      <c r="B134" s="145" t="str">
        <f t="shared" si="15"/>
        <v/>
      </c>
      <c r="C134" s="495">
        <f>IF(D94="","-",+C133+1)</f>
        <v>2048</v>
      </c>
      <c r="D134" s="349">
        <f>IF(F133+SUM(E$100:E133)=D$93,F133,D$93-SUM(E$100:E133))</f>
        <v>183795.90441486624</v>
      </c>
      <c r="E134" s="509">
        <f t="shared" si="19"/>
        <v>183795.90441486624</v>
      </c>
      <c r="F134" s="510">
        <f t="shared" si="20"/>
        <v>0</v>
      </c>
      <c r="G134" s="510">
        <f t="shared" si="21"/>
        <v>91897.952207433118</v>
      </c>
      <c r="H134" s="523">
        <f t="shared" si="22"/>
        <v>193721.73109695653</v>
      </c>
      <c r="I134" s="572">
        <f t="shared" si="23"/>
        <v>193721.73109695653</v>
      </c>
      <c r="J134" s="504">
        <f t="shared" si="18"/>
        <v>0</v>
      </c>
      <c r="K134" s="504"/>
      <c r="L134" s="512"/>
      <c r="M134" s="504">
        <f t="shared" si="25"/>
        <v>0</v>
      </c>
      <c r="N134" s="512"/>
      <c r="O134" s="504">
        <f t="shared" si="26"/>
        <v>0</v>
      </c>
      <c r="P134" s="504">
        <f t="shared" si="27"/>
        <v>0</v>
      </c>
      <c r="Q134" s="243"/>
      <c r="R134" s="243"/>
      <c r="S134" s="243"/>
      <c r="T134" s="243"/>
      <c r="U134" s="243"/>
    </row>
    <row r="135" spans="2:21" ht="12.5">
      <c r="B135" s="145" t="str">
        <f t="shared" si="15"/>
        <v/>
      </c>
      <c r="C135" s="495">
        <f>IF(D94="","-",+C134+1)</f>
        <v>2049</v>
      </c>
      <c r="D135" s="349">
        <f>IF(F134+SUM(E$100:E134)=D$93,F134,D$93-SUM(E$100:E134))</f>
        <v>0</v>
      </c>
      <c r="E135" s="509">
        <f t="shared" si="19"/>
        <v>0</v>
      </c>
      <c r="F135" s="510">
        <f t="shared" si="20"/>
        <v>0</v>
      </c>
      <c r="G135" s="510">
        <f t="shared" si="21"/>
        <v>0</v>
      </c>
      <c r="H135" s="523">
        <f t="shared" si="22"/>
        <v>0</v>
      </c>
      <c r="I135" s="572">
        <f t="shared" si="23"/>
        <v>0</v>
      </c>
      <c r="J135" s="504">
        <f t="shared" si="18"/>
        <v>0</v>
      </c>
      <c r="K135" s="504"/>
      <c r="L135" s="512"/>
      <c r="M135" s="504">
        <f t="shared" si="25"/>
        <v>0</v>
      </c>
      <c r="N135" s="512"/>
      <c r="O135" s="504">
        <f t="shared" si="26"/>
        <v>0</v>
      </c>
      <c r="P135" s="504">
        <f t="shared" si="27"/>
        <v>0</v>
      </c>
      <c r="Q135" s="243"/>
      <c r="R135" s="243"/>
      <c r="S135" s="243"/>
      <c r="T135" s="243"/>
      <c r="U135" s="243"/>
    </row>
    <row r="136" spans="2:21" ht="12.5">
      <c r="B136" s="145" t="str">
        <f t="shared" si="15"/>
        <v/>
      </c>
      <c r="C136" s="495">
        <f>IF(D94="","-",+C135+1)</f>
        <v>2050</v>
      </c>
      <c r="D136" s="349">
        <f>IF(F135+SUM(E$100:E135)=D$93,F135,D$93-SUM(E$100:E135))</f>
        <v>0</v>
      </c>
      <c r="E136" s="509">
        <f t="shared" si="19"/>
        <v>0</v>
      </c>
      <c r="F136" s="510">
        <f t="shared" si="20"/>
        <v>0</v>
      </c>
      <c r="G136" s="510">
        <f t="shared" si="21"/>
        <v>0</v>
      </c>
      <c r="H136" s="523">
        <f t="shared" si="22"/>
        <v>0</v>
      </c>
      <c r="I136" s="572">
        <f t="shared" si="23"/>
        <v>0</v>
      </c>
      <c r="J136" s="504">
        <f t="shared" si="18"/>
        <v>0</v>
      </c>
      <c r="K136" s="504"/>
      <c r="L136" s="512"/>
      <c r="M136" s="504">
        <f t="shared" si="25"/>
        <v>0</v>
      </c>
      <c r="N136" s="512"/>
      <c r="O136" s="504">
        <f t="shared" si="26"/>
        <v>0</v>
      </c>
      <c r="P136" s="504">
        <f t="shared" si="27"/>
        <v>0</v>
      </c>
      <c r="Q136" s="243"/>
      <c r="R136" s="243"/>
      <c r="S136" s="243"/>
      <c r="T136" s="243"/>
      <c r="U136" s="243"/>
    </row>
    <row r="137" spans="2:21" ht="12.5">
      <c r="B137" s="145" t="str">
        <f t="shared" si="15"/>
        <v/>
      </c>
      <c r="C137" s="495">
        <f>IF(D94="","-",+C136+1)</f>
        <v>2051</v>
      </c>
      <c r="D137" s="349">
        <f>IF(F136+SUM(E$100:E136)=D$93,F136,D$93-SUM(E$100:E136))</f>
        <v>0</v>
      </c>
      <c r="E137" s="509">
        <f t="shared" si="19"/>
        <v>0</v>
      </c>
      <c r="F137" s="510">
        <f t="shared" si="20"/>
        <v>0</v>
      </c>
      <c r="G137" s="510">
        <f t="shared" si="21"/>
        <v>0</v>
      </c>
      <c r="H137" s="523">
        <f t="shared" si="22"/>
        <v>0</v>
      </c>
      <c r="I137" s="572">
        <f t="shared" si="23"/>
        <v>0</v>
      </c>
      <c r="J137" s="504">
        <f t="shared" si="18"/>
        <v>0</v>
      </c>
      <c r="K137" s="504"/>
      <c r="L137" s="512"/>
      <c r="M137" s="504">
        <f t="shared" si="25"/>
        <v>0</v>
      </c>
      <c r="N137" s="512"/>
      <c r="O137" s="504">
        <f t="shared" si="26"/>
        <v>0</v>
      </c>
      <c r="P137" s="504">
        <f t="shared" si="27"/>
        <v>0</v>
      </c>
      <c r="Q137" s="243"/>
      <c r="R137" s="243"/>
      <c r="S137" s="243"/>
      <c r="T137" s="243"/>
      <c r="U137" s="243"/>
    </row>
    <row r="138" spans="2:21" ht="12.5">
      <c r="B138" s="145" t="str">
        <f t="shared" si="15"/>
        <v/>
      </c>
      <c r="C138" s="495">
        <f>IF(D94="","-",+C137+1)</f>
        <v>2052</v>
      </c>
      <c r="D138" s="349">
        <f>IF(F137+SUM(E$100:E137)=D$93,F137,D$93-SUM(E$100:E137))</f>
        <v>0</v>
      </c>
      <c r="E138" s="509">
        <f t="shared" si="19"/>
        <v>0</v>
      </c>
      <c r="F138" s="510">
        <f t="shared" si="20"/>
        <v>0</v>
      </c>
      <c r="G138" s="510">
        <f t="shared" si="21"/>
        <v>0</v>
      </c>
      <c r="H138" s="523">
        <f t="shared" si="22"/>
        <v>0</v>
      </c>
      <c r="I138" s="572">
        <f t="shared" si="23"/>
        <v>0</v>
      </c>
      <c r="J138" s="504">
        <f t="shared" si="18"/>
        <v>0</v>
      </c>
      <c r="K138" s="504"/>
      <c r="L138" s="512"/>
      <c r="M138" s="504">
        <f t="shared" si="25"/>
        <v>0</v>
      </c>
      <c r="N138" s="512"/>
      <c r="O138" s="504">
        <f t="shared" si="26"/>
        <v>0</v>
      </c>
      <c r="P138" s="504">
        <f t="shared" si="27"/>
        <v>0</v>
      </c>
      <c r="Q138" s="243"/>
      <c r="R138" s="243"/>
      <c r="S138" s="243"/>
      <c r="T138" s="243"/>
      <c r="U138" s="243"/>
    </row>
    <row r="139" spans="2:21" ht="12.5">
      <c r="B139" s="145" t="str">
        <f t="shared" si="15"/>
        <v/>
      </c>
      <c r="C139" s="495">
        <f>IF(D94="","-",+C138+1)</f>
        <v>2053</v>
      </c>
      <c r="D139" s="349">
        <f>IF(F138+SUM(E$100:E138)=D$93,F138,D$93-SUM(E$100:E138))</f>
        <v>0</v>
      </c>
      <c r="E139" s="509">
        <f t="shared" si="19"/>
        <v>0</v>
      </c>
      <c r="F139" s="510">
        <f t="shared" si="20"/>
        <v>0</v>
      </c>
      <c r="G139" s="510">
        <f t="shared" si="21"/>
        <v>0</v>
      </c>
      <c r="H139" s="523">
        <f t="shared" si="22"/>
        <v>0</v>
      </c>
      <c r="I139" s="572">
        <f t="shared" si="23"/>
        <v>0</v>
      </c>
      <c r="J139" s="504">
        <f t="shared" si="18"/>
        <v>0</v>
      </c>
      <c r="K139" s="504"/>
      <c r="L139" s="512"/>
      <c r="M139" s="504">
        <f t="shared" si="25"/>
        <v>0</v>
      </c>
      <c r="N139" s="512"/>
      <c r="O139" s="504">
        <f t="shared" si="26"/>
        <v>0</v>
      </c>
      <c r="P139" s="504">
        <f t="shared" si="27"/>
        <v>0</v>
      </c>
      <c r="Q139" s="243"/>
      <c r="R139" s="243"/>
      <c r="S139" s="243"/>
      <c r="T139" s="243"/>
      <c r="U139" s="243"/>
    </row>
    <row r="140" spans="2:21" ht="12.5">
      <c r="B140" s="145" t="str">
        <f t="shared" si="15"/>
        <v/>
      </c>
      <c r="C140" s="495">
        <f>IF(D94="","-",+C139+1)</f>
        <v>2054</v>
      </c>
      <c r="D140" s="349">
        <f>IF(F139+SUM(E$100:E139)=D$93,F139,D$93-SUM(E$100:E139))</f>
        <v>0</v>
      </c>
      <c r="E140" s="509">
        <f t="shared" si="19"/>
        <v>0</v>
      </c>
      <c r="F140" s="510">
        <f t="shared" si="20"/>
        <v>0</v>
      </c>
      <c r="G140" s="510">
        <f t="shared" si="21"/>
        <v>0</v>
      </c>
      <c r="H140" s="523">
        <f t="shared" si="22"/>
        <v>0</v>
      </c>
      <c r="I140" s="572">
        <f t="shared" si="23"/>
        <v>0</v>
      </c>
      <c r="J140" s="504">
        <f t="shared" si="18"/>
        <v>0</v>
      </c>
      <c r="K140" s="504"/>
      <c r="L140" s="512"/>
      <c r="M140" s="504">
        <f t="shared" si="25"/>
        <v>0</v>
      </c>
      <c r="N140" s="512"/>
      <c r="O140" s="504">
        <f t="shared" si="26"/>
        <v>0</v>
      </c>
      <c r="P140" s="504">
        <f t="shared" si="27"/>
        <v>0</v>
      </c>
      <c r="Q140" s="243"/>
      <c r="R140" s="243"/>
      <c r="S140" s="243"/>
      <c r="T140" s="243"/>
      <c r="U140" s="243"/>
    </row>
    <row r="141" spans="2:21" ht="12.5">
      <c r="B141" s="145" t="str">
        <f t="shared" si="15"/>
        <v/>
      </c>
      <c r="C141" s="495">
        <f>IF(D94="","-",+C140+1)</f>
        <v>2055</v>
      </c>
      <c r="D141" s="349">
        <f>IF(F140+SUM(E$100:E140)=D$93,F140,D$93-SUM(E$100:E140))</f>
        <v>0</v>
      </c>
      <c r="E141" s="509">
        <f t="shared" si="19"/>
        <v>0</v>
      </c>
      <c r="F141" s="510">
        <f t="shared" si="20"/>
        <v>0</v>
      </c>
      <c r="G141" s="510">
        <f t="shared" si="21"/>
        <v>0</v>
      </c>
      <c r="H141" s="523">
        <f t="shared" si="22"/>
        <v>0</v>
      </c>
      <c r="I141" s="572">
        <f t="shared" si="23"/>
        <v>0</v>
      </c>
      <c r="J141" s="504">
        <f t="shared" si="18"/>
        <v>0</v>
      </c>
      <c r="K141" s="504"/>
      <c r="L141" s="512"/>
      <c r="M141" s="504">
        <f t="shared" si="25"/>
        <v>0</v>
      </c>
      <c r="N141" s="512"/>
      <c r="O141" s="504">
        <f t="shared" si="26"/>
        <v>0</v>
      </c>
      <c r="P141" s="504">
        <f t="shared" si="27"/>
        <v>0</v>
      </c>
      <c r="Q141" s="243"/>
      <c r="R141" s="243"/>
      <c r="S141" s="243"/>
      <c r="T141" s="243"/>
      <c r="U141" s="243"/>
    </row>
    <row r="142" spans="2:21" ht="12.5">
      <c r="B142" s="145" t="str">
        <f t="shared" si="15"/>
        <v/>
      </c>
      <c r="C142" s="495">
        <f>IF(D94="","-",+C141+1)</f>
        <v>2056</v>
      </c>
      <c r="D142" s="349">
        <f>IF(F141+SUM(E$100:E141)=D$93,F141,D$93-SUM(E$100:E141))</f>
        <v>0</v>
      </c>
      <c r="E142" s="509">
        <f t="shared" si="19"/>
        <v>0</v>
      </c>
      <c r="F142" s="510">
        <f t="shared" si="20"/>
        <v>0</v>
      </c>
      <c r="G142" s="510">
        <f t="shared" si="21"/>
        <v>0</v>
      </c>
      <c r="H142" s="523">
        <f t="shared" si="22"/>
        <v>0</v>
      </c>
      <c r="I142" s="572">
        <f t="shared" si="23"/>
        <v>0</v>
      </c>
      <c r="J142" s="504">
        <f t="shared" si="18"/>
        <v>0</v>
      </c>
      <c r="K142" s="504"/>
      <c r="L142" s="512"/>
      <c r="M142" s="504">
        <f t="shared" si="25"/>
        <v>0</v>
      </c>
      <c r="N142" s="512"/>
      <c r="O142" s="504">
        <f t="shared" si="26"/>
        <v>0</v>
      </c>
      <c r="P142" s="504">
        <f t="shared" si="27"/>
        <v>0</v>
      </c>
      <c r="Q142" s="243"/>
      <c r="R142" s="243"/>
      <c r="S142" s="243"/>
      <c r="T142" s="243"/>
      <c r="U142" s="243"/>
    </row>
    <row r="143" spans="2:21" ht="12.5">
      <c r="B143" s="145" t="str">
        <f t="shared" si="15"/>
        <v/>
      </c>
      <c r="C143" s="495">
        <f>IF(D94="","-",+C142+1)</f>
        <v>2057</v>
      </c>
      <c r="D143" s="349">
        <f>IF(F142+SUM(E$100:E142)=D$93,F142,D$93-SUM(E$100:E142))</f>
        <v>0</v>
      </c>
      <c r="E143" s="509">
        <f t="shared" si="19"/>
        <v>0</v>
      </c>
      <c r="F143" s="510">
        <f t="shared" si="20"/>
        <v>0</v>
      </c>
      <c r="G143" s="510">
        <f t="shared" si="21"/>
        <v>0</v>
      </c>
      <c r="H143" s="523">
        <f t="shared" si="22"/>
        <v>0</v>
      </c>
      <c r="I143" s="572">
        <f t="shared" si="23"/>
        <v>0</v>
      </c>
      <c r="J143" s="504">
        <f t="shared" si="18"/>
        <v>0</v>
      </c>
      <c r="K143" s="504"/>
      <c r="L143" s="512"/>
      <c r="M143" s="504">
        <f t="shared" si="25"/>
        <v>0</v>
      </c>
      <c r="N143" s="512"/>
      <c r="O143" s="504">
        <f t="shared" si="26"/>
        <v>0</v>
      </c>
      <c r="P143" s="504">
        <f t="shared" si="27"/>
        <v>0</v>
      </c>
      <c r="Q143" s="243"/>
      <c r="R143" s="243"/>
      <c r="S143" s="243"/>
      <c r="T143" s="243"/>
      <c r="U143" s="243"/>
    </row>
    <row r="144" spans="2:21" ht="12.5">
      <c r="B144" s="145" t="str">
        <f t="shared" si="15"/>
        <v/>
      </c>
      <c r="C144" s="495">
        <f>IF(D94="","-",+C143+1)</f>
        <v>2058</v>
      </c>
      <c r="D144" s="349">
        <f>IF(F143+SUM(E$100:E143)=D$93,F143,D$93-SUM(E$100:E143))</f>
        <v>0</v>
      </c>
      <c r="E144" s="509">
        <f t="shared" si="19"/>
        <v>0</v>
      </c>
      <c r="F144" s="510">
        <f t="shared" si="20"/>
        <v>0</v>
      </c>
      <c r="G144" s="510">
        <f t="shared" si="21"/>
        <v>0</v>
      </c>
      <c r="H144" s="523">
        <f t="shared" si="22"/>
        <v>0</v>
      </c>
      <c r="I144" s="572">
        <f t="shared" si="23"/>
        <v>0</v>
      </c>
      <c r="J144" s="504">
        <f t="shared" si="18"/>
        <v>0</v>
      </c>
      <c r="K144" s="504"/>
      <c r="L144" s="512"/>
      <c r="M144" s="504">
        <f t="shared" si="25"/>
        <v>0</v>
      </c>
      <c r="N144" s="512"/>
      <c r="O144" s="504">
        <f t="shared" si="26"/>
        <v>0</v>
      </c>
      <c r="P144" s="504">
        <f t="shared" si="27"/>
        <v>0</v>
      </c>
      <c r="Q144" s="243"/>
      <c r="R144" s="243"/>
      <c r="S144" s="243"/>
      <c r="T144" s="243"/>
      <c r="U144" s="243"/>
    </row>
    <row r="145" spans="2:21" ht="12.5">
      <c r="B145" s="145" t="str">
        <f t="shared" si="15"/>
        <v/>
      </c>
      <c r="C145" s="495">
        <f>IF(D94="","-",+C144+1)</f>
        <v>2059</v>
      </c>
      <c r="D145" s="349">
        <f>IF(F144+SUM(E$100:E144)=D$93,F144,D$93-SUM(E$100:E144))</f>
        <v>0</v>
      </c>
      <c r="E145" s="509">
        <f t="shared" si="19"/>
        <v>0</v>
      </c>
      <c r="F145" s="510">
        <f t="shared" si="20"/>
        <v>0</v>
      </c>
      <c r="G145" s="510">
        <f t="shared" si="21"/>
        <v>0</v>
      </c>
      <c r="H145" s="523">
        <f t="shared" si="22"/>
        <v>0</v>
      </c>
      <c r="I145" s="572">
        <f t="shared" si="23"/>
        <v>0</v>
      </c>
      <c r="J145" s="504">
        <f t="shared" si="18"/>
        <v>0</v>
      </c>
      <c r="K145" s="504"/>
      <c r="L145" s="512"/>
      <c r="M145" s="504">
        <f t="shared" si="25"/>
        <v>0</v>
      </c>
      <c r="N145" s="512"/>
      <c r="O145" s="504">
        <f t="shared" si="26"/>
        <v>0</v>
      </c>
      <c r="P145" s="504">
        <f t="shared" si="27"/>
        <v>0</v>
      </c>
      <c r="Q145" s="243"/>
      <c r="R145" s="243"/>
      <c r="S145" s="243"/>
      <c r="T145" s="243"/>
      <c r="U145" s="243"/>
    </row>
    <row r="146" spans="2:21" ht="12.5">
      <c r="B146" s="145" t="str">
        <f t="shared" si="15"/>
        <v/>
      </c>
      <c r="C146" s="495">
        <f>IF(D94="","-",+C145+1)</f>
        <v>2060</v>
      </c>
      <c r="D146" s="349">
        <f>IF(F145+SUM(E$100:E145)=D$93,F145,D$93-SUM(E$100:E145))</f>
        <v>0</v>
      </c>
      <c r="E146" s="509">
        <f t="shared" si="19"/>
        <v>0</v>
      </c>
      <c r="F146" s="510">
        <f t="shared" si="20"/>
        <v>0</v>
      </c>
      <c r="G146" s="510">
        <f t="shared" si="21"/>
        <v>0</v>
      </c>
      <c r="H146" s="523">
        <f t="shared" si="22"/>
        <v>0</v>
      </c>
      <c r="I146" s="572">
        <f t="shared" si="23"/>
        <v>0</v>
      </c>
      <c r="J146" s="504">
        <f t="shared" si="18"/>
        <v>0</v>
      </c>
      <c r="K146" s="504"/>
      <c r="L146" s="512"/>
      <c r="M146" s="504">
        <f t="shared" si="25"/>
        <v>0</v>
      </c>
      <c r="N146" s="512"/>
      <c r="O146" s="504">
        <f t="shared" si="26"/>
        <v>0</v>
      </c>
      <c r="P146" s="504">
        <f t="shared" si="27"/>
        <v>0</v>
      </c>
      <c r="Q146" s="243"/>
      <c r="R146" s="243"/>
      <c r="S146" s="243"/>
      <c r="T146" s="243"/>
      <c r="U146" s="243"/>
    </row>
    <row r="147" spans="2:21" ht="12.5">
      <c r="B147" s="145" t="str">
        <f t="shared" si="15"/>
        <v/>
      </c>
      <c r="C147" s="495">
        <f>IF(D94="","-",+C146+1)</f>
        <v>2061</v>
      </c>
      <c r="D147" s="349">
        <f>IF(F146+SUM(E$100:E146)=D$93,F146,D$93-SUM(E$100:E146))</f>
        <v>0</v>
      </c>
      <c r="E147" s="509">
        <f t="shared" si="19"/>
        <v>0</v>
      </c>
      <c r="F147" s="510">
        <f t="shared" si="20"/>
        <v>0</v>
      </c>
      <c r="G147" s="510">
        <f t="shared" si="21"/>
        <v>0</v>
      </c>
      <c r="H147" s="523">
        <f t="shared" si="22"/>
        <v>0</v>
      </c>
      <c r="I147" s="572">
        <f t="shared" si="23"/>
        <v>0</v>
      </c>
      <c r="J147" s="504">
        <f t="shared" si="18"/>
        <v>0</v>
      </c>
      <c r="K147" s="504"/>
      <c r="L147" s="512"/>
      <c r="M147" s="504">
        <f t="shared" si="25"/>
        <v>0</v>
      </c>
      <c r="N147" s="512"/>
      <c r="O147" s="504">
        <f t="shared" si="26"/>
        <v>0</v>
      </c>
      <c r="P147" s="504">
        <f t="shared" si="27"/>
        <v>0</v>
      </c>
      <c r="Q147" s="243"/>
      <c r="R147" s="243"/>
      <c r="S147" s="243"/>
      <c r="T147" s="243"/>
      <c r="U147" s="243"/>
    </row>
    <row r="148" spans="2:21" ht="12.5">
      <c r="B148" s="145" t="str">
        <f t="shared" si="15"/>
        <v/>
      </c>
      <c r="C148" s="495">
        <f>IF(D94="","-",+C147+1)</f>
        <v>2062</v>
      </c>
      <c r="D148" s="349">
        <f>IF(F147+SUM(E$100:E147)=D$93,F147,D$93-SUM(E$100:E147))</f>
        <v>0</v>
      </c>
      <c r="E148" s="509">
        <f t="shared" si="19"/>
        <v>0</v>
      </c>
      <c r="F148" s="510">
        <f t="shared" si="20"/>
        <v>0</v>
      </c>
      <c r="G148" s="510">
        <f t="shared" si="21"/>
        <v>0</v>
      </c>
      <c r="H148" s="523">
        <f t="shared" si="22"/>
        <v>0</v>
      </c>
      <c r="I148" s="572">
        <f t="shared" si="23"/>
        <v>0</v>
      </c>
      <c r="J148" s="504">
        <f t="shared" si="18"/>
        <v>0</v>
      </c>
      <c r="K148" s="504"/>
      <c r="L148" s="512"/>
      <c r="M148" s="504">
        <f t="shared" si="25"/>
        <v>0</v>
      </c>
      <c r="N148" s="512"/>
      <c r="O148" s="504">
        <f t="shared" si="26"/>
        <v>0</v>
      </c>
      <c r="P148" s="504">
        <f t="shared" si="27"/>
        <v>0</v>
      </c>
      <c r="Q148" s="243"/>
      <c r="R148" s="243"/>
      <c r="S148" s="243"/>
      <c r="T148" s="243"/>
      <c r="U148" s="243"/>
    </row>
    <row r="149" spans="2:21" ht="12.5">
      <c r="B149" s="145" t="str">
        <f t="shared" si="15"/>
        <v/>
      </c>
      <c r="C149" s="495">
        <f>IF(D94="","-",+C148+1)</f>
        <v>2063</v>
      </c>
      <c r="D149" s="349">
        <f>IF(F148+SUM(E$100:E148)=D$93,F148,D$93-SUM(E$100:E148))</f>
        <v>0</v>
      </c>
      <c r="E149" s="509">
        <f t="shared" si="19"/>
        <v>0</v>
      </c>
      <c r="F149" s="510">
        <f t="shared" si="20"/>
        <v>0</v>
      </c>
      <c r="G149" s="510">
        <f t="shared" si="21"/>
        <v>0</v>
      </c>
      <c r="H149" s="523">
        <f t="shared" si="22"/>
        <v>0</v>
      </c>
      <c r="I149" s="572">
        <f t="shared" si="23"/>
        <v>0</v>
      </c>
      <c r="J149" s="504">
        <f t="shared" si="18"/>
        <v>0</v>
      </c>
      <c r="K149" s="504"/>
      <c r="L149" s="512"/>
      <c r="M149" s="504">
        <f t="shared" si="25"/>
        <v>0</v>
      </c>
      <c r="N149" s="512"/>
      <c r="O149" s="504">
        <f t="shared" si="26"/>
        <v>0</v>
      </c>
      <c r="P149" s="504">
        <f t="shared" si="27"/>
        <v>0</v>
      </c>
      <c r="Q149" s="243"/>
      <c r="R149" s="243"/>
      <c r="S149" s="243"/>
      <c r="T149" s="243"/>
      <c r="U149" s="243"/>
    </row>
    <row r="150" spans="2:21" ht="12.5">
      <c r="B150" s="145" t="str">
        <f t="shared" si="15"/>
        <v/>
      </c>
      <c r="C150" s="495">
        <f>IF(D94="","-",+C149+1)</f>
        <v>2064</v>
      </c>
      <c r="D150" s="349">
        <f>IF(F149+SUM(E$100:E149)=D$93,F149,D$93-SUM(E$100:E149))</f>
        <v>0</v>
      </c>
      <c r="E150" s="509">
        <f t="shared" si="19"/>
        <v>0</v>
      </c>
      <c r="F150" s="510">
        <f t="shared" si="20"/>
        <v>0</v>
      </c>
      <c r="G150" s="510">
        <f t="shared" si="21"/>
        <v>0</v>
      </c>
      <c r="H150" s="523">
        <f t="shared" si="22"/>
        <v>0</v>
      </c>
      <c r="I150" s="572">
        <f t="shared" si="23"/>
        <v>0</v>
      </c>
      <c r="J150" s="504">
        <f t="shared" si="18"/>
        <v>0</v>
      </c>
      <c r="K150" s="504"/>
      <c r="L150" s="512"/>
      <c r="M150" s="504">
        <f t="shared" si="25"/>
        <v>0</v>
      </c>
      <c r="N150" s="512"/>
      <c r="O150" s="504">
        <f t="shared" si="26"/>
        <v>0</v>
      </c>
      <c r="P150" s="504">
        <f t="shared" si="27"/>
        <v>0</v>
      </c>
      <c r="Q150" s="243"/>
      <c r="R150" s="243"/>
      <c r="S150" s="243"/>
      <c r="T150" s="243"/>
      <c r="U150" s="243"/>
    </row>
    <row r="151" spans="2:21" ht="12.5">
      <c r="B151" s="145" t="str">
        <f t="shared" si="15"/>
        <v/>
      </c>
      <c r="C151" s="495">
        <f>IF(D94="","-",+C150+1)</f>
        <v>2065</v>
      </c>
      <c r="D151" s="349">
        <f>IF(F150+SUM(E$100:E150)=D$93,F150,D$93-SUM(E$100:E150))</f>
        <v>0</v>
      </c>
      <c r="E151" s="509">
        <f t="shared" si="19"/>
        <v>0</v>
      </c>
      <c r="F151" s="510">
        <f t="shared" si="20"/>
        <v>0</v>
      </c>
      <c r="G151" s="510">
        <f t="shared" si="21"/>
        <v>0</v>
      </c>
      <c r="H151" s="523">
        <f t="shared" si="22"/>
        <v>0</v>
      </c>
      <c r="I151" s="572">
        <f t="shared" si="23"/>
        <v>0</v>
      </c>
      <c r="J151" s="504">
        <f t="shared" si="18"/>
        <v>0</v>
      </c>
      <c r="K151" s="504"/>
      <c r="L151" s="512"/>
      <c r="M151" s="504">
        <f t="shared" si="25"/>
        <v>0</v>
      </c>
      <c r="N151" s="512"/>
      <c r="O151" s="504">
        <f t="shared" si="26"/>
        <v>0</v>
      </c>
      <c r="P151" s="504">
        <f t="shared" si="27"/>
        <v>0</v>
      </c>
      <c r="Q151" s="243"/>
      <c r="R151" s="243"/>
      <c r="S151" s="243"/>
      <c r="T151" s="243"/>
      <c r="U151" s="243"/>
    </row>
    <row r="152" spans="2:21" ht="12.5">
      <c r="B152" s="145" t="str">
        <f t="shared" si="15"/>
        <v/>
      </c>
      <c r="C152" s="495">
        <f>IF(D94="","-",+C151+1)</f>
        <v>2066</v>
      </c>
      <c r="D152" s="349">
        <f>IF(F151+SUM(E$100:E151)=D$93,F151,D$93-SUM(E$100:E151))</f>
        <v>0</v>
      </c>
      <c r="E152" s="509">
        <f t="shared" si="19"/>
        <v>0</v>
      </c>
      <c r="F152" s="510">
        <f t="shared" si="20"/>
        <v>0</v>
      </c>
      <c r="G152" s="510">
        <f t="shared" si="21"/>
        <v>0</v>
      </c>
      <c r="H152" s="523">
        <f t="shared" si="22"/>
        <v>0</v>
      </c>
      <c r="I152" s="572">
        <f t="shared" si="23"/>
        <v>0</v>
      </c>
      <c r="J152" s="504">
        <f t="shared" si="18"/>
        <v>0</v>
      </c>
      <c r="K152" s="504"/>
      <c r="L152" s="512"/>
      <c r="M152" s="504">
        <f t="shared" si="25"/>
        <v>0</v>
      </c>
      <c r="N152" s="512"/>
      <c r="O152" s="504">
        <f t="shared" si="26"/>
        <v>0</v>
      </c>
      <c r="P152" s="504">
        <f t="shared" si="27"/>
        <v>0</v>
      </c>
      <c r="Q152" s="243"/>
      <c r="R152" s="243"/>
      <c r="S152" s="243"/>
      <c r="T152" s="243"/>
      <c r="U152" s="243"/>
    </row>
    <row r="153" spans="2:21" ht="12.5">
      <c r="B153" s="145" t="str">
        <f t="shared" si="15"/>
        <v/>
      </c>
      <c r="C153" s="495">
        <f>IF(D94="","-",+C152+1)</f>
        <v>2067</v>
      </c>
      <c r="D153" s="349">
        <f>IF(F152+SUM(E$100:E152)=D$93,F152,D$93-SUM(E$100:E152))</f>
        <v>0</v>
      </c>
      <c r="E153" s="509">
        <f t="shared" si="19"/>
        <v>0</v>
      </c>
      <c r="F153" s="510">
        <f t="shared" si="20"/>
        <v>0</v>
      </c>
      <c r="G153" s="510">
        <f t="shared" si="21"/>
        <v>0</v>
      </c>
      <c r="H153" s="523">
        <f t="shared" si="22"/>
        <v>0</v>
      </c>
      <c r="I153" s="572">
        <f t="shared" si="23"/>
        <v>0</v>
      </c>
      <c r="J153" s="504">
        <f t="shared" si="18"/>
        <v>0</v>
      </c>
      <c r="K153" s="504"/>
      <c r="L153" s="512"/>
      <c r="M153" s="504">
        <f t="shared" si="25"/>
        <v>0</v>
      </c>
      <c r="N153" s="512"/>
      <c r="O153" s="504">
        <f t="shared" si="26"/>
        <v>0</v>
      </c>
      <c r="P153" s="504">
        <f t="shared" si="27"/>
        <v>0</v>
      </c>
      <c r="Q153" s="243"/>
      <c r="R153" s="243"/>
      <c r="S153" s="243"/>
      <c r="T153" s="243"/>
      <c r="U153" s="243"/>
    </row>
    <row r="154" spans="2:21" ht="12.5">
      <c r="B154" s="145" t="str">
        <f t="shared" si="15"/>
        <v/>
      </c>
      <c r="C154" s="495">
        <f>IF(D94="","-",+C153+1)</f>
        <v>2068</v>
      </c>
      <c r="D154" s="349">
        <f>IF(F153+SUM(E$100:E153)=D$93,F153,D$93-SUM(E$100:E153))</f>
        <v>0</v>
      </c>
      <c r="E154" s="509">
        <f t="shared" si="19"/>
        <v>0</v>
      </c>
      <c r="F154" s="510">
        <f t="shared" si="20"/>
        <v>0</v>
      </c>
      <c r="G154" s="510">
        <f t="shared" si="21"/>
        <v>0</v>
      </c>
      <c r="H154" s="523">
        <f t="shared" si="22"/>
        <v>0</v>
      </c>
      <c r="I154" s="572">
        <f t="shared" si="23"/>
        <v>0</v>
      </c>
      <c r="J154" s="504">
        <f t="shared" si="18"/>
        <v>0</v>
      </c>
      <c r="K154" s="504"/>
      <c r="L154" s="512"/>
      <c r="M154" s="504">
        <f t="shared" si="25"/>
        <v>0</v>
      </c>
      <c r="N154" s="512"/>
      <c r="O154" s="504">
        <f t="shared" si="26"/>
        <v>0</v>
      </c>
      <c r="P154" s="504">
        <f t="shared" si="27"/>
        <v>0</v>
      </c>
      <c r="Q154" s="243"/>
      <c r="R154" s="243"/>
      <c r="S154" s="243"/>
      <c r="T154" s="243"/>
      <c r="U154" s="243"/>
    </row>
    <row r="155" spans="2:21" ht="13" thickBot="1">
      <c r="B155" s="145" t="str">
        <f t="shared" si="15"/>
        <v/>
      </c>
      <c r="C155" s="524">
        <f>IF(D94="","-",+C154+1)</f>
        <v>2069</v>
      </c>
      <c r="D155" s="618">
        <f>IF(F154+SUM(E$100:E154)=D$93,F154,D$93-SUM(E$100:E154))</f>
        <v>0</v>
      </c>
      <c r="E155" s="526">
        <f t="shared" si="19"/>
        <v>0</v>
      </c>
      <c r="F155" s="527">
        <f t="shared" si="20"/>
        <v>0</v>
      </c>
      <c r="G155" s="527">
        <f t="shared" si="21"/>
        <v>0</v>
      </c>
      <c r="H155" s="528">
        <f t="shared" si="22"/>
        <v>0</v>
      </c>
      <c r="I155" s="573">
        <f t="shared" si="23"/>
        <v>0</v>
      </c>
      <c r="J155" s="531">
        <f t="shared" si="18"/>
        <v>0</v>
      </c>
      <c r="K155" s="504"/>
      <c r="L155" s="530"/>
      <c r="M155" s="531">
        <f t="shared" si="25"/>
        <v>0</v>
      </c>
      <c r="N155" s="530"/>
      <c r="O155" s="531">
        <f t="shared" si="26"/>
        <v>0</v>
      </c>
      <c r="P155" s="531">
        <f t="shared" si="27"/>
        <v>0</v>
      </c>
      <c r="Q155" s="243"/>
      <c r="R155" s="243"/>
      <c r="S155" s="243"/>
      <c r="T155" s="243"/>
      <c r="U155" s="243"/>
    </row>
    <row r="156" spans="2:21" ht="12.5">
      <c r="C156" s="349" t="s">
        <v>75</v>
      </c>
      <c r="D156" s="294"/>
      <c r="E156" s="294">
        <f>SUM(E100:E155)</f>
        <v>10218098.000000002</v>
      </c>
      <c r="F156" s="294"/>
      <c r="G156" s="294"/>
      <c r="H156" s="294">
        <f>SUM(H100:H155)</f>
        <v>29690442.924718633</v>
      </c>
      <c r="I156" s="294">
        <f>SUM(I100:I155)</f>
        <v>29690442.924718633</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8" priority="1" stopIfTrue="1" operator="equal">
      <formula>$I$10</formula>
    </cfRule>
  </conditionalFormatting>
  <conditionalFormatting sqref="C100:C155">
    <cfRule type="cellIs" dxfId="37"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U163"/>
  <sheetViews>
    <sheetView view="pageBreakPreview" zoomScale="78" zoomScaleNormal="100" zoomScaleSheetLayoutView="78"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8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229509.43964714528</v>
      </c>
      <c r="P5" s="243"/>
      <c r="R5" s="243"/>
      <c r="S5" s="243"/>
      <c r="T5" s="243"/>
      <c r="U5" s="243"/>
    </row>
    <row r="6" spans="1:21" ht="15.5">
      <c r="C6" s="235"/>
      <c r="D6" s="292"/>
      <c r="E6" s="243"/>
      <c r="F6" s="243"/>
      <c r="G6" s="243"/>
      <c r="H6" s="449"/>
      <c r="I6" s="449"/>
      <c r="J6" s="450"/>
      <c r="K6" s="451" t="s">
        <v>243</v>
      </c>
      <c r="L6" s="452"/>
      <c r="M6" s="278"/>
      <c r="N6" s="453">
        <f>VLOOKUP(I10,C17:I73,6)</f>
        <v>229509.43964714528</v>
      </c>
      <c r="O6" s="243"/>
      <c r="P6" s="243"/>
      <c r="R6" s="243"/>
      <c r="S6" s="243"/>
      <c r="T6" s="243"/>
      <c r="U6" s="243"/>
    </row>
    <row r="7" spans="1:21" ht="13.5" thickBot="1">
      <c r="C7" s="454" t="s">
        <v>46</v>
      </c>
      <c r="D7" s="455" t="s">
        <v>215</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c r="E9" s="647" t="s">
        <v>305</v>
      </c>
      <c r="F9" s="465"/>
      <c r="G9" s="465"/>
      <c r="H9" s="465"/>
      <c r="I9" s="466"/>
      <c r="J9" s="467"/>
      <c r="O9" s="468"/>
      <c r="P9" s="278"/>
      <c r="R9" s="243"/>
      <c r="S9" s="243"/>
      <c r="T9" s="243"/>
      <c r="U9" s="243"/>
    </row>
    <row r="10" spans="1:21" ht="13">
      <c r="C10" s="469" t="s">
        <v>49</v>
      </c>
      <c r="D10" s="470">
        <v>1864625.01</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6</v>
      </c>
      <c r="E12" s="472" t="s">
        <v>55</v>
      </c>
      <c r="F12" s="408"/>
      <c r="G12" s="220"/>
      <c r="H12" s="220"/>
      <c r="I12" s="476">
        <f>OKT.WS.F.BPU.ATRR.Projected!$F$79</f>
        <v>0.10818506718567715</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60149.193870967742</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2014</v>
      </c>
      <c r="D17" s="496">
        <v>669000</v>
      </c>
      <c r="E17" s="497">
        <v>5786.5857813386465</v>
      </c>
      <c r="F17" s="496">
        <v>663213.41421866138</v>
      </c>
      <c r="G17" s="497">
        <v>48353.352128136466</v>
      </c>
      <c r="H17" s="499">
        <v>48353.352128136466</v>
      </c>
      <c r="I17" s="500">
        <v>0</v>
      </c>
      <c r="J17" s="500"/>
      <c r="K17" s="501">
        <f t="shared" ref="K17:K22" si="1">G17</f>
        <v>48353.352128136466</v>
      </c>
      <c r="L17" s="502">
        <f t="shared" ref="L17:L22" si="2">IF(K17&lt;&gt;0,+G17-K17,0)</f>
        <v>0</v>
      </c>
      <c r="M17" s="501">
        <f t="shared" ref="M17:M22" si="3">H17</f>
        <v>48353.352128136466</v>
      </c>
      <c r="N17" s="503">
        <f>IF(M17&lt;&gt;0,+H17-M17,0)</f>
        <v>0</v>
      </c>
      <c r="O17" s="504">
        <f>+N17-L17</f>
        <v>0</v>
      </c>
      <c r="P17" s="278"/>
      <c r="R17" s="243"/>
      <c r="S17" s="243"/>
      <c r="T17" s="243"/>
      <c r="U17" s="243"/>
    </row>
    <row r="18" spans="2:21" ht="12.5">
      <c r="B18" s="145" t="str">
        <f t="shared" si="0"/>
        <v/>
      </c>
      <c r="C18" s="495">
        <f>IF(D11="","-",+C17+1)</f>
        <v>2015</v>
      </c>
      <c r="D18" s="614">
        <v>663213.41421866138</v>
      </c>
      <c r="E18" s="613">
        <v>32256.539821806971</v>
      </c>
      <c r="F18" s="614">
        <v>630956.87439685443</v>
      </c>
      <c r="G18" s="613">
        <v>97286.386538537452</v>
      </c>
      <c r="H18" s="617">
        <v>97286.386538537452</v>
      </c>
      <c r="I18" s="500">
        <v>0</v>
      </c>
      <c r="J18" s="500"/>
      <c r="K18" s="506">
        <f t="shared" si="1"/>
        <v>97286.386538537452</v>
      </c>
      <c r="L18" s="507">
        <f t="shared" si="2"/>
        <v>0</v>
      </c>
      <c r="M18" s="506">
        <f t="shared" si="3"/>
        <v>97286.386538537452</v>
      </c>
      <c r="N18" s="504">
        <f>IF(M18&lt;&gt;0,+H18-M18,0)</f>
        <v>0</v>
      </c>
      <c r="O18" s="504">
        <f>+N18-L18</f>
        <v>0</v>
      </c>
      <c r="P18" s="278"/>
      <c r="R18" s="243"/>
      <c r="S18" s="243"/>
      <c r="T18" s="243"/>
      <c r="U18" s="243"/>
    </row>
    <row r="19" spans="2:21" ht="12.5">
      <c r="B19" s="145" t="str">
        <f t="shared" si="0"/>
        <v>IU</v>
      </c>
      <c r="C19" s="495">
        <f>IF(D11="","-",+C18+1)</f>
        <v>2016</v>
      </c>
      <c r="D19" s="614">
        <v>1826581.8843968543</v>
      </c>
      <c r="E19" s="613">
        <v>38745.889906300305</v>
      </c>
      <c r="F19" s="614">
        <v>1787835.9944905541</v>
      </c>
      <c r="G19" s="613">
        <v>231618.29862330039</v>
      </c>
      <c r="H19" s="617">
        <v>231618.29862330039</v>
      </c>
      <c r="I19" s="500">
        <f>H19-G19</f>
        <v>0</v>
      </c>
      <c r="J19" s="500"/>
      <c r="K19" s="506">
        <f t="shared" si="1"/>
        <v>231618.29862330039</v>
      </c>
      <c r="L19" s="507">
        <f t="shared" si="2"/>
        <v>0</v>
      </c>
      <c r="M19" s="506">
        <f t="shared" si="3"/>
        <v>231618.29862330039</v>
      </c>
      <c r="N19" s="504">
        <f t="shared" ref="N19:N73" si="4">IF(M19&lt;&gt;0,+H19-M19,0)</f>
        <v>0</v>
      </c>
      <c r="O19" s="504">
        <f t="shared" ref="O19:O73" si="5">+N19-L19</f>
        <v>0</v>
      </c>
      <c r="P19" s="278"/>
      <c r="R19" s="243"/>
      <c r="S19" s="243"/>
      <c r="T19" s="243"/>
      <c r="U19" s="243"/>
    </row>
    <row r="20" spans="2:21" ht="12.5">
      <c r="B20" s="145" t="str">
        <f t="shared" si="0"/>
        <v/>
      </c>
      <c r="C20" s="495">
        <f>IF(D11="","-",+C19+1)</f>
        <v>2017</v>
      </c>
      <c r="D20" s="614">
        <v>1787835.9944905541</v>
      </c>
      <c r="E20" s="613">
        <v>36662.21925080863</v>
      </c>
      <c r="F20" s="614">
        <v>1751173.7752397454</v>
      </c>
      <c r="G20" s="613">
        <v>231201.53737593384</v>
      </c>
      <c r="H20" s="617">
        <v>231201.53737593384</v>
      </c>
      <c r="I20" s="500">
        <f t="shared" ref="I20:I73" si="6">H20-G20</f>
        <v>0</v>
      </c>
      <c r="J20" s="500"/>
      <c r="K20" s="506">
        <f t="shared" si="1"/>
        <v>231201.53737593384</v>
      </c>
      <c r="L20" s="507">
        <f t="shared" si="2"/>
        <v>0</v>
      </c>
      <c r="M20" s="506">
        <f t="shared" si="3"/>
        <v>231201.53737593384</v>
      </c>
      <c r="N20" s="504">
        <f>IF(M20&lt;&gt;0,+H20-M20,0)</f>
        <v>0</v>
      </c>
      <c r="O20" s="504">
        <f>+N20-L20</f>
        <v>0</v>
      </c>
      <c r="P20" s="278"/>
      <c r="R20" s="243"/>
      <c r="S20" s="243"/>
      <c r="T20" s="243"/>
      <c r="U20" s="243"/>
    </row>
    <row r="21" spans="2:21" ht="12.5">
      <c r="B21" s="145" t="str">
        <f t="shared" si="0"/>
        <v/>
      </c>
      <c r="C21" s="495">
        <f>IF(D11="","-",+C20+1)</f>
        <v>2018</v>
      </c>
      <c r="D21" s="614">
        <v>1751173.7752397454</v>
      </c>
      <c r="E21" s="613">
        <v>45729.148838219895</v>
      </c>
      <c r="F21" s="614">
        <v>1705444.6264015255</v>
      </c>
      <c r="G21" s="613">
        <v>221366.23750408986</v>
      </c>
      <c r="H21" s="617">
        <v>221366.23750408986</v>
      </c>
      <c r="I21" s="500">
        <v>0</v>
      </c>
      <c r="J21" s="500"/>
      <c r="K21" s="506">
        <f t="shared" si="1"/>
        <v>221366.23750408986</v>
      </c>
      <c r="L21" s="507">
        <f t="shared" si="2"/>
        <v>0</v>
      </c>
      <c r="M21" s="506">
        <f t="shared" si="3"/>
        <v>221366.23750408986</v>
      </c>
      <c r="N21" s="504">
        <f>IF(M21&lt;&gt;0,+H21-M21,0)</f>
        <v>0</v>
      </c>
      <c r="O21" s="504">
        <f>+N21-L21</f>
        <v>0</v>
      </c>
      <c r="P21" s="278"/>
      <c r="R21" s="243"/>
      <c r="S21" s="243"/>
      <c r="T21" s="243"/>
      <c r="U21" s="243"/>
    </row>
    <row r="22" spans="2:21" ht="12.5">
      <c r="B22" s="145" t="str">
        <f t="shared" si="0"/>
        <v/>
      </c>
      <c r="C22" s="495">
        <f>IF(D11="","-",+C21+1)</f>
        <v>2019</v>
      </c>
      <c r="D22" s="614">
        <v>1705444.6264015255</v>
      </c>
      <c r="E22" s="613">
        <v>55302.6277388339</v>
      </c>
      <c r="F22" s="614">
        <v>1650141.9986626916</v>
      </c>
      <c r="G22" s="613">
        <v>229685.69393356299</v>
      </c>
      <c r="H22" s="617">
        <v>229685.69393356299</v>
      </c>
      <c r="I22" s="500">
        <f t="shared" si="6"/>
        <v>0</v>
      </c>
      <c r="J22" s="500"/>
      <c r="K22" s="506">
        <f t="shared" si="1"/>
        <v>229685.69393356299</v>
      </c>
      <c r="L22" s="507">
        <f t="shared" si="2"/>
        <v>0</v>
      </c>
      <c r="M22" s="506">
        <f t="shared" si="3"/>
        <v>229685.69393356299</v>
      </c>
      <c r="N22" s="504">
        <f>IF(M22&lt;&gt;0,+H22-M22,0)</f>
        <v>0</v>
      </c>
      <c r="O22" s="504">
        <f>+N22-L22</f>
        <v>0</v>
      </c>
      <c r="P22" s="278"/>
      <c r="R22" s="243"/>
      <c r="S22" s="243"/>
      <c r="T22" s="243"/>
      <c r="U22" s="243"/>
    </row>
    <row r="23" spans="2:21" ht="12.5">
      <c r="B23" s="145" t="str">
        <f t="shared" si="0"/>
        <v>IU</v>
      </c>
      <c r="C23" s="495">
        <f>IF(D11="","-",+C22+1)</f>
        <v>2020</v>
      </c>
      <c r="D23" s="614">
        <v>1659715.4775633055</v>
      </c>
      <c r="E23" s="613">
        <v>54599.54020149546</v>
      </c>
      <c r="F23" s="614">
        <v>1605115.9373618101</v>
      </c>
      <c r="G23" s="613">
        <v>225892.94644088054</v>
      </c>
      <c r="H23" s="617">
        <v>225892.94644088054</v>
      </c>
      <c r="I23" s="500">
        <f t="shared" si="6"/>
        <v>0</v>
      </c>
      <c r="J23" s="500"/>
      <c r="K23" s="506">
        <f t="shared" ref="K23" si="7">G23</f>
        <v>225892.94644088054</v>
      </c>
      <c r="L23" s="507">
        <f t="shared" ref="L23" si="8">IF(K23&lt;&gt;0,+G23-K23,0)</f>
        <v>0</v>
      </c>
      <c r="M23" s="506">
        <f t="shared" ref="M23" si="9">H23</f>
        <v>225892.94644088054</v>
      </c>
      <c r="N23" s="504">
        <f>IF(M23&lt;&gt;0,+H23-M23,0)</f>
        <v>0</v>
      </c>
      <c r="O23" s="504">
        <f>+N23-L23</f>
        <v>0</v>
      </c>
      <c r="P23" s="278"/>
      <c r="R23" s="243"/>
      <c r="S23" s="243"/>
      <c r="T23" s="243"/>
      <c r="U23" s="243"/>
    </row>
    <row r="24" spans="2:21" ht="12.5">
      <c r="B24" s="145" t="str">
        <f t="shared" si="0"/>
        <v>IU</v>
      </c>
      <c r="C24" s="495">
        <f>IF(D11="","-",+C23+1)</f>
        <v>2021</v>
      </c>
      <c r="D24" s="508">
        <f>IF(F23+SUM(E$17:E23)=D$10,F23,D$10-SUM(E$17:E23))</f>
        <v>1595542.4584611962</v>
      </c>
      <c r="E24" s="509">
        <f t="shared" ref="E24:E73" si="10">IF(+$I$14&lt;F23,$I$14,D24)</f>
        <v>60149.193870967742</v>
      </c>
      <c r="F24" s="510">
        <f t="shared" ref="F24:F73" si="11">+D24-E24</f>
        <v>1535393.2645902284</v>
      </c>
      <c r="G24" s="511">
        <f t="shared" ref="G24:G73" si="12">(D24+F24)/2*I$12+E24</f>
        <v>229509.43964714528</v>
      </c>
      <c r="H24" s="477">
        <f t="shared" ref="H24:H73" si="13">+(D24+F24)/2*I$13+E24</f>
        <v>229509.43964714528</v>
      </c>
      <c r="I24" s="500">
        <f t="shared" si="6"/>
        <v>0</v>
      </c>
      <c r="J24" s="500"/>
      <c r="K24" s="512"/>
      <c r="L24" s="504">
        <f t="shared" ref="L24:L73" si="14">IF(K24&lt;&gt;0,+G24-K24,0)</f>
        <v>0</v>
      </c>
      <c r="M24" s="512"/>
      <c r="N24" s="504">
        <f t="shared" si="4"/>
        <v>0</v>
      </c>
      <c r="O24" s="504">
        <f t="shared" si="5"/>
        <v>0</v>
      </c>
      <c r="P24" s="278"/>
      <c r="R24" s="243"/>
      <c r="S24" s="243"/>
      <c r="T24" s="243"/>
      <c r="U24" s="243"/>
    </row>
    <row r="25" spans="2:21" ht="12.5">
      <c r="B25" s="145" t="str">
        <f t="shared" si="0"/>
        <v/>
      </c>
      <c r="C25" s="495">
        <f>IF(D11="","-",+C24+1)</f>
        <v>2022</v>
      </c>
      <c r="D25" s="508">
        <f>IF(F24+SUM(E$17:E24)=D$10,F24,D$10-SUM(E$17:E24))</f>
        <v>1535393.2645902284</v>
      </c>
      <c r="E25" s="509">
        <f t="shared" si="10"/>
        <v>60149.193870967742</v>
      </c>
      <c r="F25" s="510">
        <f t="shared" si="11"/>
        <v>1475244.0707192607</v>
      </c>
      <c r="G25" s="511">
        <f t="shared" si="12"/>
        <v>223002.19506705031</v>
      </c>
      <c r="H25" s="477">
        <f t="shared" si="13"/>
        <v>223002.19506705031</v>
      </c>
      <c r="I25" s="500">
        <f t="shared" si="6"/>
        <v>0</v>
      </c>
      <c r="J25" s="500"/>
      <c r="K25" s="512"/>
      <c r="L25" s="504">
        <f t="shared" si="14"/>
        <v>0</v>
      </c>
      <c r="M25" s="512"/>
      <c r="N25" s="504">
        <f t="shared" si="4"/>
        <v>0</v>
      </c>
      <c r="O25" s="504">
        <f t="shared" si="5"/>
        <v>0</v>
      </c>
      <c r="P25" s="278"/>
      <c r="R25" s="243"/>
      <c r="S25" s="243"/>
      <c r="T25" s="243"/>
      <c r="U25" s="243"/>
    </row>
    <row r="26" spans="2:21" ht="12.5">
      <c r="B26" s="145" t="str">
        <f t="shared" si="0"/>
        <v/>
      </c>
      <c r="C26" s="495">
        <f>IF(D11="","-",+C25+1)</f>
        <v>2023</v>
      </c>
      <c r="D26" s="508">
        <f>IF(F25+SUM(E$17:E25)=D$10,F25,D$10-SUM(E$17:E25))</f>
        <v>1475244.0707192607</v>
      </c>
      <c r="E26" s="509">
        <f t="shared" si="10"/>
        <v>60149.193870967742</v>
      </c>
      <c r="F26" s="510">
        <f t="shared" si="11"/>
        <v>1415094.876848293</v>
      </c>
      <c r="G26" s="511">
        <f t="shared" si="12"/>
        <v>216494.95048695535</v>
      </c>
      <c r="H26" s="477">
        <f t="shared" si="13"/>
        <v>216494.95048695535</v>
      </c>
      <c r="I26" s="500">
        <f t="shared" si="6"/>
        <v>0</v>
      </c>
      <c r="J26" s="500"/>
      <c r="K26" s="512"/>
      <c r="L26" s="504">
        <f t="shared" si="14"/>
        <v>0</v>
      </c>
      <c r="M26" s="512"/>
      <c r="N26" s="504">
        <f t="shared" si="4"/>
        <v>0</v>
      </c>
      <c r="O26" s="504">
        <f t="shared" si="5"/>
        <v>0</v>
      </c>
      <c r="P26" s="278"/>
      <c r="R26" s="243"/>
      <c r="S26" s="243"/>
      <c r="T26" s="243"/>
      <c r="U26" s="243"/>
    </row>
    <row r="27" spans="2:21" ht="12.5">
      <c r="B27" s="145" t="str">
        <f t="shared" si="0"/>
        <v/>
      </c>
      <c r="C27" s="495">
        <f>IF(D11="","-",+C26+1)</f>
        <v>2024</v>
      </c>
      <c r="D27" s="508">
        <f>IF(F26+SUM(E$17:E26)=D$10,F26,D$10-SUM(E$17:E26))</f>
        <v>1415094.876848293</v>
      </c>
      <c r="E27" s="509">
        <f t="shared" si="10"/>
        <v>60149.193870967742</v>
      </c>
      <c r="F27" s="510">
        <f t="shared" si="11"/>
        <v>1354945.6829773253</v>
      </c>
      <c r="G27" s="511">
        <f t="shared" si="12"/>
        <v>209987.70590686038</v>
      </c>
      <c r="H27" s="477">
        <f t="shared" si="13"/>
        <v>209987.70590686038</v>
      </c>
      <c r="I27" s="500">
        <f t="shared" si="6"/>
        <v>0</v>
      </c>
      <c r="J27" s="500"/>
      <c r="K27" s="512"/>
      <c r="L27" s="504">
        <f t="shared" si="14"/>
        <v>0</v>
      </c>
      <c r="M27" s="512"/>
      <c r="N27" s="504">
        <f t="shared" si="4"/>
        <v>0</v>
      </c>
      <c r="O27" s="504">
        <f t="shared" si="5"/>
        <v>0</v>
      </c>
      <c r="P27" s="278"/>
      <c r="R27" s="243"/>
      <c r="S27" s="243"/>
      <c r="T27" s="243"/>
      <c r="U27" s="243"/>
    </row>
    <row r="28" spans="2:21" ht="12.5">
      <c r="B28" s="145" t="str">
        <f t="shared" si="0"/>
        <v/>
      </c>
      <c r="C28" s="495">
        <f>IF(D11="","-",+C27+1)</f>
        <v>2025</v>
      </c>
      <c r="D28" s="508">
        <f>IF(F27+SUM(E$17:E27)=D$10,F27,D$10-SUM(E$17:E27))</f>
        <v>1354945.6829773253</v>
      </c>
      <c r="E28" s="509">
        <f t="shared" si="10"/>
        <v>60149.193870967742</v>
      </c>
      <c r="F28" s="510">
        <f t="shared" si="11"/>
        <v>1294796.4891063576</v>
      </c>
      <c r="G28" s="511">
        <f t="shared" si="12"/>
        <v>203480.46132676542</v>
      </c>
      <c r="H28" s="477">
        <f t="shared" si="13"/>
        <v>203480.46132676542</v>
      </c>
      <c r="I28" s="500">
        <f t="shared" si="6"/>
        <v>0</v>
      </c>
      <c r="J28" s="500"/>
      <c r="K28" s="512"/>
      <c r="L28" s="504">
        <f t="shared" si="14"/>
        <v>0</v>
      </c>
      <c r="M28" s="512"/>
      <c r="N28" s="504">
        <f t="shared" si="4"/>
        <v>0</v>
      </c>
      <c r="O28" s="504">
        <f t="shared" si="5"/>
        <v>0</v>
      </c>
      <c r="P28" s="278"/>
      <c r="R28" s="243"/>
      <c r="S28" s="243"/>
      <c r="T28" s="243"/>
      <c r="U28" s="243"/>
    </row>
    <row r="29" spans="2:21" ht="12.5">
      <c r="B29" s="145" t="str">
        <f t="shared" si="0"/>
        <v/>
      </c>
      <c r="C29" s="495">
        <f>IF(D11="","-",+C28+1)</f>
        <v>2026</v>
      </c>
      <c r="D29" s="508">
        <f>IF(F28+SUM(E$17:E28)=D$10,F28,D$10-SUM(E$17:E28))</f>
        <v>1294796.4891063576</v>
      </c>
      <c r="E29" s="509">
        <f t="shared" si="10"/>
        <v>60149.193870967742</v>
      </c>
      <c r="F29" s="510">
        <f t="shared" si="11"/>
        <v>1234647.2952353898</v>
      </c>
      <c r="G29" s="511">
        <f t="shared" si="12"/>
        <v>196973.21674667046</v>
      </c>
      <c r="H29" s="477">
        <f t="shared" si="13"/>
        <v>196973.21674667046</v>
      </c>
      <c r="I29" s="500">
        <f t="shared" si="6"/>
        <v>0</v>
      </c>
      <c r="J29" s="500"/>
      <c r="K29" s="512"/>
      <c r="L29" s="504">
        <f t="shared" si="14"/>
        <v>0</v>
      </c>
      <c r="M29" s="512"/>
      <c r="N29" s="504">
        <f t="shared" si="4"/>
        <v>0</v>
      </c>
      <c r="O29" s="504">
        <f t="shared" si="5"/>
        <v>0</v>
      </c>
      <c r="P29" s="278"/>
      <c r="R29" s="243"/>
      <c r="S29" s="243"/>
      <c r="T29" s="243"/>
      <c r="U29" s="243"/>
    </row>
    <row r="30" spans="2:21" ht="12.5">
      <c r="B30" s="145" t="str">
        <f t="shared" si="0"/>
        <v/>
      </c>
      <c r="C30" s="495">
        <f>IF(D11="","-",+C29+1)</f>
        <v>2027</v>
      </c>
      <c r="D30" s="508">
        <f>IF(F29+SUM(E$17:E29)=D$10,F29,D$10-SUM(E$17:E29))</f>
        <v>1234647.2952353898</v>
      </c>
      <c r="E30" s="509">
        <f t="shared" si="10"/>
        <v>60149.193870967742</v>
      </c>
      <c r="F30" s="510">
        <f t="shared" si="11"/>
        <v>1174498.1013644221</v>
      </c>
      <c r="G30" s="511">
        <f t="shared" si="12"/>
        <v>190465.97216657549</v>
      </c>
      <c r="H30" s="477">
        <f t="shared" si="13"/>
        <v>190465.97216657549</v>
      </c>
      <c r="I30" s="500">
        <f t="shared" si="6"/>
        <v>0</v>
      </c>
      <c r="J30" s="500"/>
      <c r="K30" s="512"/>
      <c r="L30" s="504">
        <f t="shared" si="14"/>
        <v>0</v>
      </c>
      <c r="M30" s="512"/>
      <c r="N30" s="504">
        <f t="shared" si="4"/>
        <v>0</v>
      </c>
      <c r="O30" s="504">
        <f t="shared" si="5"/>
        <v>0</v>
      </c>
      <c r="P30" s="278"/>
      <c r="R30" s="243"/>
      <c r="S30" s="243"/>
      <c r="T30" s="243"/>
      <c r="U30" s="243"/>
    </row>
    <row r="31" spans="2:21" ht="12.5">
      <c r="B31" s="145" t="str">
        <f t="shared" si="0"/>
        <v/>
      </c>
      <c r="C31" s="495">
        <f>IF(D11="","-",+C30+1)</f>
        <v>2028</v>
      </c>
      <c r="D31" s="508">
        <f>IF(F30+SUM(E$17:E30)=D$10,F30,D$10-SUM(E$17:E30))</f>
        <v>1174498.1013644221</v>
      </c>
      <c r="E31" s="509">
        <f t="shared" si="10"/>
        <v>60149.193870967742</v>
      </c>
      <c r="F31" s="510">
        <f t="shared" si="11"/>
        <v>1114348.9074934544</v>
      </c>
      <c r="G31" s="511">
        <f t="shared" si="12"/>
        <v>183958.72758648053</v>
      </c>
      <c r="H31" s="477">
        <f t="shared" si="13"/>
        <v>183958.72758648053</v>
      </c>
      <c r="I31" s="500">
        <f t="shared" si="6"/>
        <v>0</v>
      </c>
      <c r="J31" s="500"/>
      <c r="K31" s="512"/>
      <c r="L31" s="504">
        <f t="shared" si="14"/>
        <v>0</v>
      </c>
      <c r="M31" s="512"/>
      <c r="N31" s="504">
        <f t="shared" si="4"/>
        <v>0</v>
      </c>
      <c r="O31" s="504">
        <f t="shared" si="5"/>
        <v>0</v>
      </c>
      <c r="P31" s="278"/>
      <c r="Q31" s="220"/>
      <c r="R31" s="278"/>
      <c r="S31" s="278"/>
      <c r="T31" s="278"/>
      <c r="U31" s="243"/>
    </row>
    <row r="32" spans="2:21" ht="12.5">
      <c r="B32" s="145" t="str">
        <f t="shared" si="0"/>
        <v/>
      </c>
      <c r="C32" s="495">
        <f>IF(D12="","-",+C31+1)</f>
        <v>2029</v>
      </c>
      <c r="D32" s="508">
        <f>IF(F31+SUM(E$17:E31)=D$10,F31,D$10-SUM(E$17:E31))</f>
        <v>1114348.9074934544</v>
      </c>
      <c r="E32" s="509">
        <f>IF(+$I$14&lt;F31,$I$14,D32)</f>
        <v>60149.193870967742</v>
      </c>
      <c r="F32" s="510">
        <f>+D32-E32</f>
        <v>1054199.7136224867</v>
      </c>
      <c r="G32" s="511">
        <f t="shared" si="12"/>
        <v>177451.48300638556</v>
      </c>
      <c r="H32" s="477">
        <f t="shared" si="13"/>
        <v>177451.48300638556</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2030</v>
      </c>
      <c r="D33" s="508">
        <f>IF(F32+SUM(E$17:E32)=D$10,F32,D$10-SUM(E$17:E32))</f>
        <v>1054199.7136224867</v>
      </c>
      <c r="E33" s="509">
        <f>IF(+$I$14&lt;F32,$I$14,D33)</f>
        <v>60149.193870967742</v>
      </c>
      <c r="F33" s="510">
        <f>+D33-E33</f>
        <v>994050.51975151896</v>
      </c>
      <c r="G33" s="511">
        <f t="shared" si="12"/>
        <v>170944.2384262906</v>
      </c>
      <c r="H33" s="477">
        <f t="shared" si="13"/>
        <v>170944.2384262906</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2031</v>
      </c>
      <c r="D34" s="514">
        <f>IF(F33+SUM(E$17:E33)=D$10,F33,D$10-SUM(E$17:E33))</f>
        <v>994050.51975151896</v>
      </c>
      <c r="E34" s="515">
        <f t="shared" si="10"/>
        <v>60149.193870967742</v>
      </c>
      <c r="F34" s="516">
        <f t="shared" si="11"/>
        <v>933901.32588055125</v>
      </c>
      <c r="G34" s="517">
        <f t="shared" si="12"/>
        <v>164436.99384619563</v>
      </c>
      <c r="H34" s="518">
        <f t="shared" si="13"/>
        <v>164436.99384619563</v>
      </c>
      <c r="I34" s="519">
        <f t="shared" si="6"/>
        <v>0</v>
      </c>
      <c r="J34" s="519"/>
      <c r="K34" s="520"/>
      <c r="L34" s="521">
        <f t="shared" si="14"/>
        <v>0</v>
      </c>
      <c r="M34" s="520"/>
      <c r="N34" s="521">
        <f t="shared" si="4"/>
        <v>0</v>
      </c>
      <c r="O34" s="521">
        <f t="shared" si="5"/>
        <v>0</v>
      </c>
      <c r="P34" s="522"/>
      <c r="Q34" s="216"/>
      <c r="R34" s="522"/>
      <c r="S34" s="522"/>
      <c r="T34" s="522"/>
      <c r="U34" s="243"/>
    </row>
    <row r="35" spans="2:21" ht="12.5">
      <c r="B35" s="145" t="str">
        <f t="shared" si="0"/>
        <v/>
      </c>
      <c r="C35" s="495">
        <f>IF(D11="","-",+C34+1)</f>
        <v>2032</v>
      </c>
      <c r="D35" s="508">
        <f>IF(F34+SUM(E$17:E34)=D$10,F34,D$10-SUM(E$17:E34))</f>
        <v>933901.32588055125</v>
      </c>
      <c r="E35" s="509">
        <f t="shared" si="10"/>
        <v>60149.193870967742</v>
      </c>
      <c r="F35" s="510">
        <f t="shared" si="11"/>
        <v>873752.13200958353</v>
      </c>
      <c r="G35" s="511">
        <f t="shared" si="12"/>
        <v>157929.74926610067</v>
      </c>
      <c r="H35" s="477">
        <f t="shared" si="13"/>
        <v>157929.74926610067</v>
      </c>
      <c r="I35" s="500">
        <f t="shared" si="6"/>
        <v>0</v>
      </c>
      <c r="J35" s="500"/>
      <c r="K35" s="512"/>
      <c r="L35" s="504">
        <f t="shared" si="14"/>
        <v>0</v>
      </c>
      <c r="M35" s="512"/>
      <c r="N35" s="504">
        <f t="shared" si="4"/>
        <v>0</v>
      </c>
      <c r="O35" s="504">
        <f t="shared" si="5"/>
        <v>0</v>
      </c>
      <c r="P35" s="278"/>
      <c r="R35" s="243"/>
      <c r="S35" s="243"/>
      <c r="T35" s="243"/>
      <c r="U35" s="243"/>
    </row>
    <row r="36" spans="2:21" ht="12.5">
      <c r="B36" s="145" t="str">
        <f t="shared" si="0"/>
        <v/>
      </c>
      <c r="C36" s="495">
        <f>IF(D11="","-",+C35+1)</f>
        <v>2033</v>
      </c>
      <c r="D36" s="508">
        <f>IF(F35+SUM(E$17:E35)=D$10,F35,D$10-SUM(E$17:E35))</f>
        <v>873752.13200958353</v>
      </c>
      <c r="E36" s="509">
        <f t="shared" si="10"/>
        <v>60149.193870967742</v>
      </c>
      <c r="F36" s="510">
        <f t="shared" si="11"/>
        <v>813602.93813861581</v>
      </c>
      <c r="G36" s="511">
        <f t="shared" si="12"/>
        <v>151422.5046860057</v>
      </c>
      <c r="H36" s="477">
        <f t="shared" si="13"/>
        <v>151422.5046860057</v>
      </c>
      <c r="I36" s="500">
        <f t="shared" si="6"/>
        <v>0</v>
      </c>
      <c r="J36" s="500"/>
      <c r="K36" s="512"/>
      <c r="L36" s="504">
        <f t="shared" si="14"/>
        <v>0</v>
      </c>
      <c r="M36" s="512"/>
      <c r="N36" s="504">
        <f t="shared" si="4"/>
        <v>0</v>
      </c>
      <c r="O36" s="504">
        <f t="shared" si="5"/>
        <v>0</v>
      </c>
      <c r="P36" s="278"/>
      <c r="R36" s="243"/>
      <c r="S36" s="243"/>
      <c r="T36" s="243"/>
      <c r="U36" s="243"/>
    </row>
    <row r="37" spans="2:21" ht="12.5">
      <c r="B37" s="145" t="str">
        <f t="shared" si="0"/>
        <v/>
      </c>
      <c r="C37" s="495">
        <f>IF(D11="","-",+C36+1)</f>
        <v>2034</v>
      </c>
      <c r="D37" s="508">
        <f>IF(F36+SUM(E$17:E36)=D$10,F36,D$10-SUM(E$17:E36))</f>
        <v>813602.93813861581</v>
      </c>
      <c r="E37" s="509">
        <f t="shared" si="10"/>
        <v>60149.193870967742</v>
      </c>
      <c r="F37" s="510">
        <f t="shared" si="11"/>
        <v>753453.74426764809</v>
      </c>
      <c r="G37" s="511">
        <f t="shared" si="12"/>
        <v>144915.26010591074</v>
      </c>
      <c r="H37" s="477">
        <f t="shared" si="13"/>
        <v>144915.26010591074</v>
      </c>
      <c r="I37" s="500">
        <f t="shared" si="6"/>
        <v>0</v>
      </c>
      <c r="J37" s="500"/>
      <c r="K37" s="512"/>
      <c r="L37" s="504">
        <f t="shared" si="14"/>
        <v>0</v>
      </c>
      <c r="M37" s="512"/>
      <c r="N37" s="504">
        <f t="shared" si="4"/>
        <v>0</v>
      </c>
      <c r="O37" s="504">
        <f t="shared" si="5"/>
        <v>0</v>
      </c>
      <c r="P37" s="278"/>
      <c r="R37" s="243"/>
      <c r="S37" s="243"/>
      <c r="T37" s="243"/>
      <c r="U37" s="243"/>
    </row>
    <row r="38" spans="2:21" ht="12.5">
      <c r="B38" s="145" t="str">
        <f t="shared" si="0"/>
        <v/>
      </c>
      <c r="C38" s="495">
        <f>IF(D11="","-",+C37+1)</f>
        <v>2035</v>
      </c>
      <c r="D38" s="508">
        <f>IF(F37+SUM(E$17:E37)=D$10,F37,D$10-SUM(E$17:E37))</f>
        <v>753453.74426764809</v>
      </c>
      <c r="E38" s="509">
        <f t="shared" si="10"/>
        <v>60149.193870967742</v>
      </c>
      <c r="F38" s="510">
        <f t="shared" si="11"/>
        <v>693304.55039668037</v>
      </c>
      <c r="G38" s="511">
        <f t="shared" si="12"/>
        <v>138408.01552581578</v>
      </c>
      <c r="H38" s="477">
        <f t="shared" si="13"/>
        <v>138408.01552581578</v>
      </c>
      <c r="I38" s="500">
        <f t="shared" si="6"/>
        <v>0</v>
      </c>
      <c r="J38" s="500"/>
      <c r="K38" s="512"/>
      <c r="L38" s="504">
        <f t="shared" si="14"/>
        <v>0</v>
      </c>
      <c r="M38" s="512"/>
      <c r="N38" s="504">
        <f t="shared" si="4"/>
        <v>0</v>
      </c>
      <c r="O38" s="504">
        <f t="shared" si="5"/>
        <v>0</v>
      </c>
      <c r="P38" s="278"/>
      <c r="R38" s="243"/>
      <c r="S38" s="243"/>
      <c r="T38" s="243"/>
      <c r="U38" s="243"/>
    </row>
    <row r="39" spans="2:21" ht="12.5">
      <c r="B39" s="145" t="str">
        <f t="shared" si="0"/>
        <v/>
      </c>
      <c r="C39" s="495">
        <f>IF(D11="","-",+C38+1)</f>
        <v>2036</v>
      </c>
      <c r="D39" s="508">
        <f>IF(F38+SUM(E$17:E38)=D$10,F38,D$10-SUM(E$17:E38))</f>
        <v>693304.55039668037</v>
      </c>
      <c r="E39" s="509">
        <f t="shared" si="10"/>
        <v>60149.193870967742</v>
      </c>
      <c r="F39" s="510">
        <f t="shared" si="11"/>
        <v>633155.35652571265</v>
      </c>
      <c r="G39" s="511">
        <f t="shared" si="12"/>
        <v>131900.77094572081</v>
      </c>
      <c r="H39" s="477">
        <f t="shared" si="13"/>
        <v>131900.77094572081</v>
      </c>
      <c r="I39" s="500">
        <f t="shared" si="6"/>
        <v>0</v>
      </c>
      <c r="J39" s="500"/>
      <c r="K39" s="512"/>
      <c r="L39" s="504">
        <f t="shared" si="14"/>
        <v>0</v>
      </c>
      <c r="M39" s="512"/>
      <c r="N39" s="504">
        <f t="shared" si="4"/>
        <v>0</v>
      </c>
      <c r="O39" s="504">
        <f t="shared" si="5"/>
        <v>0</v>
      </c>
      <c r="P39" s="278"/>
      <c r="R39" s="243"/>
      <c r="S39" s="243"/>
      <c r="T39" s="243"/>
      <c r="U39" s="243"/>
    </row>
    <row r="40" spans="2:21" ht="12.5">
      <c r="B40" s="145" t="str">
        <f t="shared" si="0"/>
        <v/>
      </c>
      <c r="C40" s="495">
        <f>IF(D11="","-",+C39+1)</f>
        <v>2037</v>
      </c>
      <c r="D40" s="508">
        <f>IF(F39+SUM(E$17:E39)=D$10,F39,D$10-SUM(E$17:E39))</f>
        <v>633155.35652571265</v>
      </c>
      <c r="E40" s="509">
        <f t="shared" si="10"/>
        <v>60149.193870967742</v>
      </c>
      <c r="F40" s="510">
        <f t="shared" si="11"/>
        <v>573006.16265474493</v>
      </c>
      <c r="G40" s="511">
        <f t="shared" si="12"/>
        <v>125393.52636562585</v>
      </c>
      <c r="H40" s="477">
        <f t="shared" si="13"/>
        <v>125393.52636562585</v>
      </c>
      <c r="I40" s="500">
        <f t="shared" si="6"/>
        <v>0</v>
      </c>
      <c r="J40" s="500"/>
      <c r="K40" s="512"/>
      <c r="L40" s="504">
        <f t="shared" si="14"/>
        <v>0</v>
      </c>
      <c r="M40" s="512"/>
      <c r="N40" s="504">
        <f t="shared" si="4"/>
        <v>0</v>
      </c>
      <c r="O40" s="504">
        <f t="shared" si="5"/>
        <v>0</v>
      </c>
      <c r="P40" s="278"/>
      <c r="R40" s="243"/>
      <c r="S40" s="243"/>
      <c r="T40" s="243"/>
      <c r="U40" s="243"/>
    </row>
    <row r="41" spans="2:21" ht="12.5">
      <c r="B41" s="145" t="str">
        <f t="shared" si="0"/>
        <v/>
      </c>
      <c r="C41" s="495">
        <f>IF(D12="","-",+C40+1)</f>
        <v>2038</v>
      </c>
      <c r="D41" s="508">
        <f>IF(F40+SUM(E$17:E40)=D$10,F40,D$10-SUM(E$17:E40))</f>
        <v>573006.16265474493</v>
      </c>
      <c r="E41" s="509">
        <f t="shared" si="10"/>
        <v>60149.193870967742</v>
      </c>
      <c r="F41" s="510">
        <f t="shared" si="11"/>
        <v>512856.96878377721</v>
      </c>
      <c r="G41" s="511">
        <f t="shared" si="12"/>
        <v>118886.28178553088</v>
      </c>
      <c r="H41" s="477">
        <f t="shared" si="13"/>
        <v>118886.28178553088</v>
      </c>
      <c r="I41" s="500">
        <f t="shared" si="6"/>
        <v>0</v>
      </c>
      <c r="J41" s="500"/>
      <c r="K41" s="512"/>
      <c r="L41" s="504">
        <f t="shared" si="14"/>
        <v>0</v>
      </c>
      <c r="M41" s="512"/>
      <c r="N41" s="504">
        <f t="shared" si="4"/>
        <v>0</v>
      </c>
      <c r="O41" s="504">
        <f t="shared" si="5"/>
        <v>0</v>
      </c>
      <c r="P41" s="278"/>
      <c r="R41" s="243"/>
      <c r="S41" s="243"/>
      <c r="T41" s="243"/>
      <c r="U41" s="243"/>
    </row>
    <row r="42" spans="2:21" ht="12.5">
      <c r="B42" s="145" t="str">
        <f t="shared" si="0"/>
        <v/>
      </c>
      <c r="C42" s="495">
        <f>IF(D13="","-",+C41+1)</f>
        <v>2039</v>
      </c>
      <c r="D42" s="508">
        <f>IF(F41+SUM(E$17:E41)=D$10,F41,D$10-SUM(E$17:E41))</f>
        <v>512856.96878377721</v>
      </c>
      <c r="E42" s="509">
        <f t="shared" si="10"/>
        <v>60149.193870967742</v>
      </c>
      <c r="F42" s="510">
        <f t="shared" si="11"/>
        <v>452707.77491280949</v>
      </c>
      <c r="G42" s="511">
        <f t="shared" si="12"/>
        <v>112379.03720543592</v>
      </c>
      <c r="H42" s="477">
        <f t="shared" si="13"/>
        <v>112379.03720543592</v>
      </c>
      <c r="I42" s="500">
        <f t="shared" si="6"/>
        <v>0</v>
      </c>
      <c r="J42" s="500"/>
      <c r="K42" s="512"/>
      <c r="L42" s="504">
        <f t="shared" si="14"/>
        <v>0</v>
      </c>
      <c r="M42" s="512"/>
      <c r="N42" s="504">
        <f t="shared" si="4"/>
        <v>0</v>
      </c>
      <c r="O42" s="504">
        <f t="shared" si="5"/>
        <v>0</v>
      </c>
      <c r="P42" s="278"/>
      <c r="R42" s="243"/>
      <c r="S42" s="243"/>
      <c r="T42" s="243"/>
      <c r="U42" s="243"/>
    </row>
    <row r="43" spans="2:21" ht="12.5">
      <c r="B43" s="145" t="str">
        <f t="shared" si="0"/>
        <v/>
      </c>
      <c r="C43" s="495">
        <f>IF(D14="","-",+C42+1)</f>
        <v>2040</v>
      </c>
      <c r="D43" s="508">
        <f>IF(F42+SUM(E$17:E42)=D$10,F42,D$10-SUM(E$17:E42))</f>
        <v>452707.77491280949</v>
      </c>
      <c r="E43" s="509">
        <f t="shared" si="10"/>
        <v>60149.193870967742</v>
      </c>
      <c r="F43" s="510">
        <f t="shared" si="11"/>
        <v>392558.58104184177</v>
      </c>
      <c r="G43" s="511">
        <f t="shared" si="12"/>
        <v>105871.79262534095</v>
      </c>
      <c r="H43" s="477">
        <f t="shared" si="13"/>
        <v>105871.79262534095</v>
      </c>
      <c r="I43" s="500">
        <f t="shared" si="6"/>
        <v>0</v>
      </c>
      <c r="J43" s="500"/>
      <c r="K43" s="512"/>
      <c r="L43" s="504">
        <f t="shared" si="14"/>
        <v>0</v>
      </c>
      <c r="M43" s="512"/>
      <c r="N43" s="504">
        <f t="shared" si="4"/>
        <v>0</v>
      </c>
      <c r="O43" s="504">
        <f t="shared" si="5"/>
        <v>0</v>
      </c>
      <c r="P43" s="278"/>
      <c r="R43" s="243"/>
      <c r="S43" s="243"/>
      <c r="T43" s="243"/>
      <c r="U43" s="243"/>
    </row>
    <row r="44" spans="2:21" ht="12.5">
      <c r="B44" s="145" t="str">
        <f t="shared" si="0"/>
        <v/>
      </c>
      <c r="C44" s="495">
        <f>IF(D15="","-",+C43+1)</f>
        <v>2041</v>
      </c>
      <c r="D44" s="508">
        <f>IF(F43+SUM(E$17:E43)=D$10,F43,D$10-SUM(E$17:E43))</f>
        <v>392558.58104184177</v>
      </c>
      <c r="E44" s="509">
        <f t="shared" si="10"/>
        <v>60149.193870967742</v>
      </c>
      <c r="F44" s="510">
        <f t="shared" si="11"/>
        <v>332409.38717087405</v>
      </c>
      <c r="G44" s="511">
        <f t="shared" si="12"/>
        <v>99364.548045246003</v>
      </c>
      <c r="H44" s="477">
        <f t="shared" si="13"/>
        <v>99364.548045246003</v>
      </c>
      <c r="I44" s="500">
        <f t="shared" si="6"/>
        <v>0</v>
      </c>
      <c r="J44" s="500"/>
      <c r="K44" s="512"/>
      <c r="L44" s="504">
        <f t="shared" si="14"/>
        <v>0</v>
      </c>
      <c r="M44" s="512"/>
      <c r="N44" s="504">
        <f t="shared" si="4"/>
        <v>0</v>
      </c>
      <c r="O44" s="504">
        <f t="shared" si="5"/>
        <v>0</v>
      </c>
      <c r="P44" s="278"/>
      <c r="R44" s="243"/>
      <c r="S44" s="243"/>
      <c r="T44" s="243"/>
      <c r="U44" s="243"/>
    </row>
    <row r="45" spans="2:21" ht="12.5">
      <c r="B45" s="145" t="str">
        <f t="shared" si="0"/>
        <v/>
      </c>
      <c r="C45" s="495">
        <f>IF(D11="","-",+C44+1)</f>
        <v>2042</v>
      </c>
      <c r="D45" s="508">
        <f>IF(F44+SUM(E$17:E44)=D$10,F44,D$10-SUM(E$17:E44))</f>
        <v>332409.38717087405</v>
      </c>
      <c r="E45" s="509">
        <f t="shared" si="10"/>
        <v>60149.193870967742</v>
      </c>
      <c r="F45" s="510">
        <f t="shared" si="11"/>
        <v>272260.19329990633</v>
      </c>
      <c r="G45" s="511">
        <f t="shared" si="12"/>
        <v>92857.303465151039</v>
      </c>
      <c r="H45" s="477">
        <f t="shared" si="13"/>
        <v>92857.303465151039</v>
      </c>
      <c r="I45" s="500">
        <f t="shared" si="6"/>
        <v>0</v>
      </c>
      <c r="J45" s="500"/>
      <c r="K45" s="512"/>
      <c r="L45" s="504">
        <f t="shared" si="14"/>
        <v>0</v>
      </c>
      <c r="M45" s="512"/>
      <c r="N45" s="504">
        <f t="shared" si="4"/>
        <v>0</v>
      </c>
      <c r="O45" s="504">
        <f t="shared" si="5"/>
        <v>0</v>
      </c>
      <c r="P45" s="278"/>
      <c r="R45" s="243"/>
      <c r="S45" s="243"/>
      <c r="T45" s="243"/>
      <c r="U45" s="243"/>
    </row>
    <row r="46" spans="2:21" ht="12.5">
      <c r="B46" s="145" t="str">
        <f t="shared" si="0"/>
        <v/>
      </c>
      <c r="C46" s="495">
        <f>IF(D11="","-",+C45+1)</f>
        <v>2043</v>
      </c>
      <c r="D46" s="508">
        <f>IF(F45+SUM(E$17:E45)=D$10,F45,D$10-SUM(E$17:E45))</f>
        <v>272260.19329990633</v>
      </c>
      <c r="E46" s="509">
        <f t="shared" si="10"/>
        <v>60149.193870967742</v>
      </c>
      <c r="F46" s="510">
        <f t="shared" si="11"/>
        <v>212110.99942893858</v>
      </c>
      <c r="G46" s="511">
        <f t="shared" si="12"/>
        <v>86350.058885056074</v>
      </c>
      <c r="H46" s="477">
        <f t="shared" si="13"/>
        <v>86350.058885056074</v>
      </c>
      <c r="I46" s="500">
        <f t="shared" si="6"/>
        <v>0</v>
      </c>
      <c r="J46" s="500"/>
      <c r="K46" s="512"/>
      <c r="L46" s="504">
        <f t="shared" si="14"/>
        <v>0</v>
      </c>
      <c r="M46" s="512"/>
      <c r="N46" s="504">
        <f t="shared" si="4"/>
        <v>0</v>
      </c>
      <c r="O46" s="504">
        <f t="shared" si="5"/>
        <v>0</v>
      </c>
      <c r="P46" s="278"/>
      <c r="R46" s="243"/>
      <c r="S46" s="243"/>
      <c r="T46" s="243"/>
      <c r="U46" s="243"/>
    </row>
    <row r="47" spans="2:21" ht="12.5">
      <c r="B47" s="145" t="str">
        <f t="shared" si="0"/>
        <v/>
      </c>
      <c r="C47" s="495">
        <f>IF(D11="","-",+C46+1)</f>
        <v>2044</v>
      </c>
      <c r="D47" s="508">
        <f>IF(F46+SUM(E$17:E46)=D$10,F46,D$10-SUM(E$17:E46))</f>
        <v>212110.99942893858</v>
      </c>
      <c r="E47" s="509">
        <f t="shared" si="10"/>
        <v>60149.193870967742</v>
      </c>
      <c r="F47" s="510">
        <f t="shared" si="11"/>
        <v>151961.80555797083</v>
      </c>
      <c r="G47" s="511">
        <f t="shared" si="12"/>
        <v>79842.81430496111</v>
      </c>
      <c r="H47" s="477">
        <f t="shared" si="13"/>
        <v>79842.81430496111</v>
      </c>
      <c r="I47" s="500">
        <f t="shared" si="6"/>
        <v>0</v>
      </c>
      <c r="J47" s="500"/>
      <c r="K47" s="512"/>
      <c r="L47" s="504">
        <f t="shared" si="14"/>
        <v>0</v>
      </c>
      <c r="M47" s="512"/>
      <c r="N47" s="504">
        <f t="shared" si="4"/>
        <v>0</v>
      </c>
      <c r="O47" s="504">
        <f t="shared" si="5"/>
        <v>0</v>
      </c>
      <c r="P47" s="278"/>
      <c r="R47" s="243"/>
      <c r="S47" s="243"/>
      <c r="T47" s="243"/>
      <c r="U47" s="243"/>
    </row>
    <row r="48" spans="2:21" ht="12.5">
      <c r="B48" s="145" t="str">
        <f t="shared" si="0"/>
        <v/>
      </c>
      <c r="C48" s="495">
        <f>IF(D11="","-",+C47+1)</f>
        <v>2045</v>
      </c>
      <c r="D48" s="508">
        <f>IF(F47+SUM(E$17:E47)=D$10,F47,D$10-SUM(E$17:E47))</f>
        <v>151961.80555797083</v>
      </c>
      <c r="E48" s="509">
        <f t="shared" si="10"/>
        <v>60149.193870967742</v>
      </c>
      <c r="F48" s="510">
        <f t="shared" si="11"/>
        <v>91812.611687003082</v>
      </c>
      <c r="G48" s="511">
        <f t="shared" si="12"/>
        <v>73335.569724866145</v>
      </c>
      <c r="H48" s="477">
        <f t="shared" si="13"/>
        <v>73335.569724866145</v>
      </c>
      <c r="I48" s="500">
        <f t="shared" si="6"/>
        <v>0</v>
      </c>
      <c r="J48" s="500"/>
      <c r="K48" s="512"/>
      <c r="L48" s="504">
        <f t="shared" si="14"/>
        <v>0</v>
      </c>
      <c r="M48" s="512"/>
      <c r="N48" s="504">
        <f t="shared" si="4"/>
        <v>0</v>
      </c>
      <c r="O48" s="504">
        <f t="shared" si="5"/>
        <v>0</v>
      </c>
      <c r="P48" s="278"/>
      <c r="R48" s="243"/>
      <c r="S48" s="243"/>
      <c r="T48" s="243"/>
      <c r="U48" s="243"/>
    </row>
    <row r="49" spans="2:21" ht="12.5">
      <c r="B49" s="145" t="str">
        <f t="shared" si="0"/>
        <v/>
      </c>
      <c r="C49" s="495">
        <f>IF(D11="","-",+C48+1)</f>
        <v>2046</v>
      </c>
      <c r="D49" s="508">
        <f>IF(F48+SUM(E$17:E48)=D$10,F48,D$10-SUM(E$17:E48))</f>
        <v>91812.611687003082</v>
      </c>
      <c r="E49" s="509">
        <f t="shared" si="10"/>
        <v>60149.193870967742</v>
      </c>
      <c r="F49" s="510">
        <f t="shared" si="11"/>
        <v>31663.41781603534</v>
      </c>
      <c r="G49" s="511">
        <f t="shared" si="12"/>
        <v>66828.325144771166</v>
      </c>
      <c r="H49" s="477">
        <f t="shared" si="13"/>
        <v>66828.325144771166</v>
      </c>
      <c r="I49" s="500">
        <f t="shared" si="6"/>
        <v>0</v>
      </c>
      <c r="J49" s="500"/>
      <c r="K49" s="512"/>
      <c r="L49" s="504">
        <f t="shared" si="14"/>
        <v>0</v>
      </c>
      <c r="M49" s="512"/>
      <c r="N49" s="504">
        <f t="shared" si="4"/>
        <v>0</v>
      </c>
      <c r="O49" s="504">
        <f t="shared" si="5"/>
        <v>0</v>
      </c>
      <c r="P49" s="278"/>
      <c r="R49" s="243"/>
      <c r="S49" s="243"/>
      <c r="T49" s="243"/>
      <c r="U49" s="243"/>
    </row>
    <row r="50" spans="2:21" ht="12.5">
      <c r="B50" s="145" t="str">
        <f t="shared" si="0"/>
        <v/>
      </c>
      <c r="C50" s="495">
        <f>IF(D11="","-",+C49+1)</f>
        <v>2047</v>
      </c>
      <c r="D50" s="508">
        <f>IF(F49+SUM(E$17:E49)=D$10,F49,D$10-SUM(E$17:E49))</f>
        <v>31663.41781603534</v>
      </c>
      <c r="E50" s="509">
        <f t="shared" si="10"/>
        <v>31663.41781603534</v>
      </c>
      <c r="F50" s="510">
        <f t="shared" si="11"/>
        <v>0</v>
      </c>
      <c r="G50" s="511">
        <f t="shared" si="12"/>
        <v>33376.172307913315</v>
      </c>
      <c r="H50" s="477">
        <f t="shared" si="13"/>
        <v>33376.172307913315</v>
      </c>
      <c r="I50" s="500">
        <f t="shared" si="6"/>
        <v>0</v>
      </c>
      <c r="J50" s="500"/>
      <c r="K50" s="512"/>
      <c r="L50" s="504">
        <f t="shared" si="14"/>
        <v>0</v>
      </c>
      <c r="M50" s="512"/>
      <c r="N50" s="504">
        <f t="shared" si="4"/>
        <v>0</v>
      </c>
      <c r="O50" s="504">
        <f t="shared" si="5"/>
        <v>0</v>
      </c>
      <c r="P50" s="278"/>
      <c r="R50" s="243"/>
      <c r="S50" s="243"/>
      <c r="T50" s="243"/>
      <c r="U50" s="243"/>
    </row>
    <row r="51" spans="2:21" ht="12.5">
      <c r="B51" s="145" t="str">
        <f t="shared" si="0"/>
        <v/>
      </c>
      <c r="C51" s="495">
        <f>IF(D11="","-",+C50+1)</f>
        <v>2048</v>
      </c>
      <c r="D51" s="508">
        <f>IF(F50+SUM(E$17:E50)=D$10,F50,D$10-SUM(E$17:E50))</f>
        <v>0</v>
      </c>
      <c r="E51" s="509">
        <f t="shared" si="10"/>
        <v>0</v>
      </c>
      <c r="F51" s="510">
        <f t="shared" si="11"/>
        <v>0</v>
      </c>
      <c r="G51" s="511">
        <f t="shared" si="12"/>
        <v>0</v>
      </c>
      <c r="H51" s="477">
        <f t="shared" si="13"/>
        <v>0</v>
      </c>
      <c r="I51" s="500">
        <f t="shared" si="6"/>
        <v>0</v>
      </c>
      <c r="J51" s="500"/>
      <c r="K51" s="512"/>
      <c r="L51" s="504">
        <f t="shared" si="14"/>
        <v>0</v>
      </c>
      <c r="M51" s="512"/>
      <c r="N51" s="504">
        <f t="shared" si="4"/>
        <v>0</v>
      </c>
      <c r="O51" s="504">
        <f t="shared" si="5"/>
        <v>0</v>
      </c>
      <c r="P51" s="278"/>
      <c r="R51" s="243"/>
      <c r="S51" s="243"/>
      <c r="T51" s="243"/>
      <c r="U51" s="243"/>
    </row>
    <row r="52" spans="2:21" ht="12.5">
      <c r="B52" s="145" t="str">
        <f t="shared" si="0"/>
        <v/>
      </c>
      <c r="C52" s="495">
        <f>IF(D11="","-",+C51+1)</f>
        <v>2049</v>
      </c>
      <c r="D52" s="508">
        <f>IF(F51+SUM(E$17:E51)=D$10,F51,D$10-SUM(E$17:E51))</f>
        <v>0</v>
      </c>
      <c r="E52" s="509">
        <f t="shared" si="10"/>
        <v>0</v>
      </c>
      <c r="F52" s="510">
        <f t="shared" si="11"/>
        <v>0</v>
      </c>
      <c r="G52" s="511">
        <f t="shared" si="12"/>
        <v>0</v>
      </c>
      <c r="H52" s="477">
        <f t="shared" si="13"/>
        <v>0</v>
      </c>
      <c r="I52" s="500">
        <f t="shared" si="6"/>
        <v>0</v>
      </c>
      <c r="J52" s="500"/>
      <c r="K52" s="512"/>
      <c r="L52" s="504">
        <f t="shared" si="14"/>
        <v>0</v>
      </c>
      <c r="M52" s="512"/>
      <c r="N52" s="504">
        <f t="shared" si="4"/>
        <v>0</v>
      </c>
      <c r="O52" s="504">
        <f t="shared" si="5"/>
        <v>0</v>
      </c>
      <c r="P52" s="278"/>
      <c r="R52" s="243"/>
      <c r="S52" s="243"/>
      <c r="T52" s="243"/>
      <c r="U52" s="243"/>
    </row>
    <row r="53" spans="2:21" ht="12.5">
      <c r="B53" s="145" t="str">
        <f t="shared" si="0"/>
        <v/>
      </c>
      <c r="C53" s="495">
        <f>IF(D11="","-",+C52+1)</f>
        <v>2050</v>
      </c>
      <c r="D53" s="508">
        <f>IF(F52+SUM(E$17:E52)=D$10,F52,D$10-SUM(E$17:E52))</f>
        <v>0</v>
      </c>
      <c r="E53" s="509">
        <f t="shared" si="10"/>
        <v>0</v>
      </c>
      <c r="F53" s="510">
        <f t="shared" si="11"/>
        <v>0</v>
      </c>
      <c r="G53" s="511">
        <f t="shared" si="12"/>
        <v>0</v>
      </c>
      <c r="H53" s="477">
        <f t="shared" si="13"/>
        <v>0</v>
      </c>
      <c r="I53" s="500">
        <f t="shared" si="6"/>
        <v>0</v>
      </c>
      <c r="J53" s="500"/>
      <c r="K53" s="512"/>
      <c r="L53" s="504">
        <f t="shared" si="14"/>
        <v>0</v>
      </c>
      <c r="M53" s="512"/>
      <c r="N53" s="504">
        <f t="shared" si="4"/>
        <v>0</v>
      </c>
      <c r="O53" s="504">
        <f t="shared" si="5"/>
        <v>0</v>
      </c>
      <c r="P53" s="278"/>
      <c r="R53" s="243"/>
      <c r="S53" s="243"/>
      <c r="T53" s="243"/>
      <c r="U53" s="243"/>
    </row>
    <row r="54" spans="2:21" ht="12.5">
      <c r="B54" s="145" t="str">
        <f t="shared" si="0"/>
        <v/>
      </c>
      <c r="C54" s="495">
        <f>IF(D11="","-",+C53+1)</f>
        <v>2051</v>
      </c>
      <c r="D54" s="508">
        <f>IF(F53+SUM(E$17:E53)=D$10,F53,D$10-SUM(E$17:E53))</f>
        <v>0</v>
      </c>
      <c r="E54" s="509">
        <f t="shared" si="10"/>
        <v>0</v>
      </c>
      <c r="F54" s="510">
        <f t="shared" si="11"/>
        <v>0</v>
      </c>
      <c r="G54" s="511">
        <f t="shared" si="12"/>
        <v>0</v>
      </c>
      <c r="H54" s="477">
        <f t="shared" si="13"/>
        <v>0</v>
      </c>
      <c r="I54" s="500">
        <f t="shared" si="6"/>
        <v>0</v>
      </c>
      <c r="J54" s="500"/>
      <c r="K54" s="512"/>
      <c r="L54" s="504">
        <f t="shared" si="14"/>
        <v>0</v>
      </c>
      <c r="M54" s="512"/>
      <c r="N54" s="504">
        <f t="shared" si="4"/>
        <v>0</v>
      </c>
      <c r="O54" s="504">
        <f t="shared" si="5"/>
        <v>0</v>
      </c>
      <c r="P54" s="278"/>
      <c r="R54" s="243"/>
      <c r="S54" s="243"/>
      <c r="T54" s="243"/>
      <c r="U54" s="243"/>
    </row>
    <row r="55" spans="2:21" ht="12.5">
      <c r="B55" s="145" t="str">
        <f t="shared" si="0"/>
        <v/>
      </c>
      <c r="C55" s="495">
        <f>IF(D11="","-",+C54+1)</f>
        <v>2052</v>
      </c>
      <c r="D55" s="508">
        <f>IF(F54+SUM(E$17:E54)=D$10,F54,D$10-SUM(E$17:E54))</f>
        <v>0</v>
      </c>
      <c r="E55" s="509">
        <f t="shared" si="10"/>
        <v>0</v>
      </c>
      <c r="F55" s="510">
        <f t="shared" si="11"/>
        <v>0</v>
      </c>
      <c r="G55" s="511">
        <f t="shared" si="12"/>
        <v>0</v>
      </c>
      <c r="H55" s="477">
        <f t="shared" si="13"/>
        <v>0</v>
      </c>
      <c r="I55" s="500">
        <f t="shared" si="6"/>
        <v>0</v>
      </c>
      <c r="J55" s="500"/>
      <c r="K55" s="512"/>
      <c r="L55" s="504">
        <f t="shared" si="14"/>
        <v>0</v>
      </c>
      <c r="M55" s="512"/>
      <c r="N55" s="504">
        <f t="shared" si="4"/>
        <v>0</v>
      </c>
      <c r="O55" s="504">
        <f t="shared" si="5"/>
        <v>0</v>
      </c>
      <c r="P55" s="278"/>
      <c r="R55" s="243"/>
      <c r="S55" s="243"/>
      <c r="T55" s="243"/>
      <c r="U55" s="243"/>
    </row>
    <row r="56" spans="2:21" ht="12.5">
      <c r="B56" s="145" t="str">
        <f t="shared" si="0"/>
        <v/>
      </c>
      <c r="C56" s="495">
        <f>IF(D11="","-",+C55+1)</f>
        <v>2053</v>
      </c>
      <c r="D56" s="508">
        <f>IF(F55+SUM(E$17:E55)=D$10,F55,D$10-SUM(E$17:E55))</f>
        <v>0</v>
      </c>
      <c r="E56" s="509">
        <f t="shared" si="10"/>
        <v>0</v>
      </c>
      <c r="F56" s="510">
        <f t="shared" si="11"/>
        <v>0</v>
      </c>
      <c r="G56" s="511">
        <f t="shared" si="12"/>
        <v>0</v>
      </c>
      <c r="H56" s="477">
        <f t="shared" si="13"/>
        <v>0</v>
      </c>
      <c r="I56" s="500">
        <f t="shared" si="6"/>
        <v>0</v>
      </c>
      <c r="J56" s="500"/>
      <c r="K56" s="512"/>
      <c r="L56" s="504">
        <f t="shared" si="14"/>
        <v>0</v>
      </c>
      <c r="M56" s="512"/>
      <c r="N56" s="504">
        <f t="shared" si="4"/>
        <v>0</v>
      </c>
      <c r="O56" s="504">
        <f t="shared" si="5"/>
        <v>0</v>
      </c>
      <c r="P56" s="278"/>
      <c r="R56" s="243"/>
      <c r="S56" s="243"/>
      <c r="T56" s="243"/>
      <c r="U56" s="243"/>
    </row>
    <row r="57" spans="2:21" ht="12.5">
      <c r="B57" s="145" t="str">
        <f t="shared" si="0"/>
        <v/>
      </c>
      <c r="C57" s="495">
        <f>IF(D11="","-",+C56+1)</f>
        <v>2054</v>
      </c>
      <c r="D57" s="508">
        <f>IF(F56+SUM(E$17:E56)=D$10,F56,D$10-SUM(E$17:E56))</f>
        <v>0</v>
      </c>
      <c r="E57" s="509">
        <f t="shared" si="10"/>
        <v>0</v>
      </c>
      <c r="F57" s="510">
        <f t="shared" si="11"/>
        <v>0</v>
      </c>
      <c r="G57" s="511">
        <f t="shared" si="12"/>
        <v>0</v>
      </c>
      <c r="H57" s="477">
        <f t="shared" si="13"/>
        <v>0</v>
      </c>
      <c r="I57" s="500">
        <f t="shared" si="6"/>
        <v>0</v>
      </c>
      <c r="J57" s="500"/>
      <c r="K57" s="512"/>
      <c r="L57" s="504">
        <f t="shared" si="14"/>
        <v>0</v>
      </c>
      <c r="M57" s="512"/>
      <c r="N57" s="504">
        <f t="shared" si="4"/>
        <v>0</v>
      </c>
      <c r="O57" s="504">
        <f t="shared" si="5"/>
        <v>0</v>
      </c>
      <c r="P57" s="278"/>
      <c r="R57" s="243"/>
      <c r="S57" s="243"/>
      <c r="T57" s="243"/>
      <c r="U57" s="243"/>
    </row>
    <row r="58" spans="2:21" ht="12.5">
      <c r="B58" s="145" t="str">
        <f t="shared" si="0"/>
        <v/>
      </c>
      <c r="C58" s="495">
        <f>IF(D11="","-",+C57+1)</f>
        <v>2055</v>
      </c>
      <c r="D58" s="508">
        <f>IF(F57+SUM(E$17:E57)=D$10,F57,D$10-SUM(E$17:E57))</f>
        <v>0</v>
      </c>
      <c r="E58" s="509">
        <f t="shared" si="10"/>
        <v>0</v>
      </c>
      <c r="F58" s="510">
        <f t="shared" si="11"/>
        <v>0</v>
      </c>
      <c r="G58" s="511">
        <f t="shared" si="12"/>
        <v>0</v>
      </c>
      <c r="H58" s="477">
        <f t="shared" si="13"/>
        <v>0</v>
      </c>
      <c r="I58" s="500">
        <f t="shared" si="6"/>
        <v>0</v>
      </c>
      <c r="J58" s="500"/>
      <c r="K58" s="512"/>
      <c r="L58" s="504">
        <f t="shared" si="14"/>
        <v>0</v>
      </c>
      <c r="M58" s="512"/>
      <c r="N58" s="504">
        <f t="shared" si="4"/>
        <v>0</v>
      </c>
      <c r="O58" s="504">
        <f t="shared" si="5"/>
        <v>0</v>
      </c>
      <c r="P58" s="278"/>
      <c r="R58" s="243"/>
      <c r="S58" s="243"/>
      <c r="T58" s="243"/>
      <c r="U58" s="243"/>
    </row>
    <row r="59" spans="2:21" ht="12.5">
      <c r="B59" s="145" t="str">
        <f t="shared" si="0"/>
        <v/>
      </c>
      <c r="C59" s="495">
        <f>IF(D11="","-",+C58+1)</f>
        <v>2056</v>
      </c>
      <c r="D59" s="508">
        <f>IF(F58+SUM(E$17:E58)=D$10,F58,D$10-SUM(E$17:E58))</f>
        <v>0</v>
      </c>
      <c r="E59" s="509">
        <f t="shared" si="10"/>
        <v>0</v>
      </c>
      <c r="F59" s="510">
        <f t="shared" si="11"/>
        <v>0</v>
      </c>
      <c r="G59" s="511">
        <f t="shared" si="12"/>
        <v>0</v>
      </c>
      <c r="H59" s="477">
        <f t="shared" si="13"/>
        <v>0</v>
      </c>
      <c r="I59" s="500">
        <f t="shared" si="6"/>
        <v>0</v>
      </c>
      <c r="J59" s="500"/>
      <c r="K59" s="512"/>
      <c r="L59" s="504">
        <f t="shared" si="14"/>
        <v>0</v>
      </c>
      <c r="M59" s="512"/>
      <c r="N59" s="504">
        <f t="shared" si="4"/>
        <v>0</v>
      </c>
      <c r="O59" s="504">
        <f t="shared" si="5"/>
        <v>0</v>
      </c>
      <c r="P59" s="278"/>
      <c r="R59" s="243"/>
      <c r="S59" s="243"/>
      <c r="T59" s="243"/>
      <c r="U59" s="243"/>
    </row>
    <row r="60" spans="2:21" ht="12.5">
      <c r="B60" s="145" t="str">
        <f t="shared" si="0"/>
        <v/>
      </c>
      <c r="C60" s="495">
        <f>IF(D11="","-",+C59+1)</f>
        <v>2057</v>
      </c>
      <c r="D60" s="508">
        <f>IF(F59+SUM(E$17:E59)=D$10,F59,D$10-SUM(E$17:E59))</f>
        <v>0</v>
      </c>
      <c r="E60" s="509">
        <f t="shared" si="10"/>
        <v>0</v>
      </c>
      <c r="F60" s="510">
        <f t="shared" si="11"/>
        <v>0</v>
      </c>
      <c r="G60" s="511">
        <f t="shared" si="12"/>
        <v>0</v>
      </c>
      <c r="H60" s="477">
        <f t="shared" si="13"/>
        <v>0</v>
      </c>
      <c r="I60" s="500">
        <f t="shared" si="6"/>
        <v>0</v>
      </c>
      <c r="J60" s="500"/>
      <c r="K60" s="512"/>
      <c r="L60" s="504">
        <f t="shared" si="14"/>
        <v>0</v>
      </c>
      <c r="M60" s="512"/>
      <c r="N60" s="504">
        <f t="shared" si="4"/>
        <v>0</v>
      </c>
      <c r="O60" s="504">
        <f t="shared" si="5"/>
        <v>0</v>
      </c>
      <c r="P60" s="278"/>
      <c r="R60" s="243"/>
      <c r="S60" s="243"/>
      <c r="T60" s="243"/>
      <c r="U60" s="243"/>
    </row>
    <row r="61" spans="2:21" ht="12.5">
      <c r="B61" s="145" t="str">
        <f t="shared" si="0"/>
        <v/>
      </c>
      <c r="C61" s="495">
        <f>IF(D11="","-",+C60+1)</f>
        <v>2058</v>
      </c>
      <c r="D61" s="508">
        <f>IF(F60+SUM(E$17:E60)=D$10,F60,D$10-SUM(E$17:E60))</f>
        <v>0</v>
      </c>
      <c r="E61" s="509">
        <f t="shared" si="10"/>
        <v>0</v>
      </c>
      <c r="F61" s="510">
        <f t="shared" si="11"/>
        <v>0</v>
      </c>
      <c r="G61" s="511">
        <f t="shared" si="12"/>
        <v>0</v>
      </c>
      <c r="H61" s="477">
        <f t="shared" si="13"/>
        <v>0</v>
      </c>
      <c r="I61" s="500">
        <f t="shared" si="6"/>
        <v>0</v>
      </c>
      <c r="J61" s="500"/>
      <c r="K61" s="512"/>
      <c r="L61" s="504">
        <f t="shared" si="14"/>
        <v>0</v>
      </c>
      <c r="M61" s="512"/>
      <c r="N61" s="504">
        <f t="shared" si="4"/>
        <v>0</v>
      </c>
      <c r="O61" s="504">
        <f t="shared" si="5"/>
        <v>0</v>
      </c>
      <c r="P61" s="278"/>
      <c r="R61" s="243"/>
      <c r="S61" s="243"/>
      <c r="T61" s="243"/>
      <c r="U61" s="243"/>
    </row>
    <row r="62" spans="2:21" ht="12.5">
      <c r="B62" s="145" t="str">
        <f t="shared" si="0"/>
        <v/>
      </c>
      <c r="C62" s="495">
        <f>IF(D11="","-",+C61+1)</f>
        <v>2059</v>
      </c>
      <c r="D62" s="508">
        <f>IF(F61+SUM(E$17:E61)=D$10,F61,D$10-SUM(E$17:E61))</f>
        <v>0</v>
      </c>
      <c r="E62" s="509">
        <f t="shared" si="10"/>
        <v>0</v>
      </c>
      <c r="F62" s="510">
        <f t="shared" si="11"/>
        <v>0</v>
      </c>
      <c r="G62" s="511">
        <f t="shared" si="12"/>
        <v>0</v>
      </c>
      <c r="H62" s="477">
        <f t="shared" si="13"/>
        <v>0</v>
      </c>
      <c r="I62" s="500">
        <f t="shared" si="6"/>
        <v>0</v>
      </c>
      <c r="J62" s="500"/>
      <c r="K62" s="512"/>
      <c r="L62" s="504">
        <f t="shared" si="14"/>
        <v>0</v>
      </c>
      <c r="M62" s="512"/>
      <c r="N62" s="504">
        <f t="shared" si="4"/>
        <v>0</v>
      </c>
      <c r="O62" s="504">
        <f t="shared" si="5"/>
        <v>0</v>
      </c>
      <c r="P62" s="278"/>
      <c r="R62" s="243"/>
      <c r="S62" s="243"/>
      <c r="T62" s="243"/>
      <c r="U62" s="243"/>
    </row>
    <row r="63" spans="2:21" ht="12.5">
      <c r="B63" s="145" t="str">
        <f t="shared" si="0"/>
        <v/>
      </c>
      <c r="C63" s="495">
        <f>IF(D11="","-",+C62+1)</f>
        <v>2060</v>
      </c>
      <c r="D63" s="508">
        <f>IF(F62+SUM(E$17:E62)=D$10,F62,D$10-SUM(E$17:E62))</f>
        <v>0</v>
      </c>
      <c r="E63" s="509">
        <f t="shared" si="10"/>
        <v>0</v>
      </c>
      <c r="F63" s="510">
        <f t="shared" si="11"/>
        <v>0</v>
      </c>
      <c r="G63" s="511">
        <f t="shared" si="12"/>
        <v>0</v>
      </c>
      <c r="H63" s="477">
        <f t="shared" si="13"/>
        <v>0</v>
      </c>
      <c r="I63" s="500">
        <f t="shared" si="6"/>
        <v>0</v>
      </c>
      <c r="J63" s="500"/>
      <c r="K63" s="512"/>
      <c r="L63" s="504">
        <f t="shared" si="14"/>
        <v>0</v>
      </c>
      <c r="M63" s="512"/>
      <c r="N63" s="504">
        <f t="shared" si="4"/>
        <v>0</v>
      </c>
      <c r="O63" s="504">
        <f t="shared" si="5"/>
        <v>0</v>
      </c>
      <c r="P63" s="278"/>
      <c r="R63" s="243"/>
      <c r="S63" s="243"/>
      <c r="T63" s="243"/>
      <c r="U63" s="243"/>
    </row>
    <row r="64" spans="2:21" ht="12.5">
      <c r="B64" s="145" t="str">
        <f t="shared" si="0"/>
        <v/>
      </c>
      <c r="C64" s="495">
        <f>IF(D11="","-",+C63+1)</f>
        <v>2061</v>
      </c>
      <c r="D64" s="508">
        <f>IF(F63+SUM(E$17:E63)=D$10,F63,D$10-SUM(E$17:E63))</f>
        <v>0</v>
      </c>
      <c r="E64" s="509">
        <f t="shared" si="10"/>
        <v>0</v>
      </c>
      <c r="F64" s="510">
        <f t="shared" si="11"/>
        <v>0</v>
      </c>
      <c r="G64" s="511">
        <f t="shared" si="12"/>
        <v>0</v>
      </c>
      <c r="H64" s="477">
        <f t="shared" si="13"/>
        <v>0</v>
      </c>
      <c r="I64" s="500">
        <f t="shared" si="6"/>
        <v>0</v>
      </c>
      <c r="J64" s="500"/>
      <c r="K64" s="512"/>
      <c r="L64" s="504">
        <f t="shared" si="14"/>
        <v>0</v>
      </c>
      <c r="M64" s="512"/>
      <c r="N64" s="504">
        <f t="shared" si="4"/>
        <v>0</v>
      </c>
      <c r="O64" s="504">
        <f t="shared" si="5"/>
        <v>0</v>
      </c>
      <c r="P64" s="278"/>
      <c r="R64" s="243"/>
      <c r="S64" s="243"/>
      <c r="T64" s="243"/>
      <c r="U64" s="243"/>
    </row>
    <row r="65" spans="2:21" ht="12.5">
      <c r="B65" s="145" t="str">
        <f t="shared" si="0"/>
        <v/>
      </c>
      <c r="C65" s="495">
        <f>IF(D11="","-",+C64+1)</f>
        <v>2062</v>
      </c>
      <c r="D65" s="508">
        <f>IF(F64+SUM(E$17:E64)=D$10,F64,D$10-SUM(E$17:E64))</f>
        <v>0</v>
      </c>
      <c r="E65" s="509">
        <f t="shared" si="10"/>
        <v>0</v>
      </c>
      <c r="F65" s="510">
        <f t="shared" si="11"/>
        <v>0</v>
      </c>
      <c r="G65" s="511">
        <f t="shared" si="12"/>
        <v>0</v>
      </c>
      <c r="H65" s="477">
        <f t="shared" si="13"/>
        <v>0</v>
      </c>
      <c r="I65" s="500">
        <f t="shared" si="6"/>
        <v>0</v>
      </c>
      <c r="J65" s="500"/>
      <c r="K65" s="512"/>
      <c r="L65" s="504">
        <f t="shared" si="14"/>
        <v>0</v>
      </c>
      <c r="M65" s="512"/>
      <c r="N65" s="504">
        <f t="shared" si="4"/>
        <v>0</v>
      </c>
      <c r="O65" s="504">
        <f t="shared" si="5"/>
        <v>0</v>
      </c>
      <c r="P65" s="278"/>
      <c r="R65" s="243"/>
      <c r="S65" s="243"/>
      <c r="T65" s="243"/>
      <c r="U65" s="243"/>
    </row>
    <row r="66" spans="2:21" ht="12.5">
      <c r="B66" s="145" t="str">
        <f t="shared" si="0"/>
        <v/>
      </c>
      <c r="C66" s="495">
        <f>IF(D11="","-",+C65+1)</f>
        <v>2063</v>
      </c>
      <c r="D66" s="508">
        <f>IF(F65+SUM(E$17:E65)=D$10,F65,D$10-SUM(E$17:E65))</f>
        <v>0</v>
      </c>
      <c r="E66" s="509">
        <f t="shared" si="10"/>
        <v>0</v>
      </c>
      <c r="F66" s="510">
        <f t="shared" si="11"/>
        <v>0</v>
      </c>
      <c r="G66" s="511">
        <f t="shared" si="12"/>
        <v>0</v>
      </c>
      <c r="H66" s="477">
        <f t="shared" si="13"/>
        <v>0</v>
      </c>
      <c r="I66" s="500">
        <f t="shared" si="6"/>
        <v>0</v>
      </c>
      <c r="J66" s="500"/>
      <c r="K66" s="512"/>
      <c r="L66" s="504">
        <f t="shared" si="14"/>
        <v>0</v>
      </c>
      <c r="M66" s="512"/>
      <c r="N66" s="504">
        <f t="shared" si="4"/>
        <v>0</v>
      </c>
      <c r="O66" s="504">
        <f t="shared" si="5"/>
        <v>0</v>
      </c>
      <c r="P66" s="278"/>
      <c r="R66" s="243"/>
      <c r="S66" s="243"/>
      <c r="T66" s="243"/>
      <c r="U66" s="243"/>
    </row>
    <row r="67" spans="2:21" ht="12.5">
      <c r="B67" s="145" t="str">
        <f t="shared" si="0"/>
        <v/>
      </c>
      <c r="C67" s="495">
        <f>IF(D11="","-",+C66+1)</f>
        <v>2064</v>
      </c>
      <c r="D67" s="508">
        <f>IF(F66+SUM(E$17:E66)=D$10,F66,D$10-SUM(E$17:E66))</f>
        <v>0</v>
      </c>
      <c r="E67" s="509">
        <f t="shared" si="10"/>
        <v>0</v>
      </c>
      <c r="F67" s="510">
        <f t="shared" si="11"/>
        <v>0</v>
      </c>
      <c r="G67" s="511">
        <f t="shared" si="12"/>
        <v>0</v>
      </c>
      <c r="H67" s="477">
        <f t="shared" si="13"/>
        <v>0</v>
      </c>
      <c r="I67" s="500">
        <f t="shared" si="6"/>
        <v>0</v>
      </c>
      <c r="J67" s="500"/>
      <c r="K67" s="512"/>
      <c r="L67" s="504">
        <f t="shared" si="14"/>
        <v>0</v>
      </c>
      <c r="M67" s="512"/>
      <c r="N67" s="504">
        <f t="shared" si="4"/>
        <v>0</v>
      </c>
      <c r="O67" s="504">
        <f t="shared" si="5"/>
        <v>0</v>
      </c>
      <c r="P67" s="278"/>
      <c r="R67" s="243"/>
      <c r="S67" s="243"/>
      <c r="T67" s="243"/>
      <c r="U67" s="243"/>
    </row>
    <row r="68" spans="2:21" ht="12.5">
      <c r="B68" s="145" t="str">
        <f t="shared" si="0"/>
        <v/>
      </c>
      <c r="C68" s="495">
        <f>IF(D11="","-",+C67+1)</f>
        <v>2065</v>
      </c>
      <c r="D68" s="508">
        <f>IF(F67+SUM(E$17:E67)=D$10,F67,D$10-SUM(E$17:E67))</f>
        <v>0</v>
      </c>
      <c r="E68" s="509">
        <f t="shared" si="10"/>
        <v>0</v>
      </c>
      <c r="F68" s="510">
        <f t="shared" si="11"/>
        <v>0</v>
      </c>
      <c r="G68" s="511">
        <f t="shared" si="12"/>
        <v>0</v>
      </c>
      <c r="H68" s="477">
        <f t="shared" si="13"/>
        <v>0</v>
      </c>
      <c r="I68" s="500">
        <f t="shared" si="6"/>
        <v>0</v>
      </c>
      <c r="J68" s="500"/>
      <c r="K68" s="512"/>
      <c r="L68" s="504">
        <f t="shared" si="14"/>
        <v>0</v>
      </c>
      <c r="M68" s="512"/>
      <c r="N68" s="504">
        <f t="shared" si="4"/>
        <v>0</v>
      </c>
      <c r="O68" s="504">
        <f t="shared" si="5"/>
        <v>0</v>
      </c>
      <c r="P68" s="278"/>
      <c r="R68" s="243"/>
      <c r="S68" s="243"/>
      <c r="T68" s="243"/>
      <c r="U68" s="243"/>
    </row>
    <row r="69" spans="2:21" ht="12.5">
      <c r="B69" s="145" t="str">
        <f t="shared" si="0"/>
        <v/>
      </c>
      <c r="C69" s="495">
        <f>IF(D11="","-",+C68+1)</f>
        <v>2066</v>
      </c>
      <c r="D69" s="508">
        <f>IF(F68+SUM(E$17:E68)=D$10,F68,D$10-SUM(E$17:E68))</f>
        <v>0</v>
      </c>
      <c r="E69" s="509">
        <f t="shared" si="10"/>
        <v>0</v>
      </c>
      <c r="F69" s="510">
        <f t="shared" si="11"/>
        <v>0</v>
      </c>
      <c r="G69" s="511">
        <f t="shared" si="12"/>
        <v>0</v>
      </c>
      <c r="H69" s="477">
        <f t="shared" si="13"/>
        <v>0</v>
      </c>
      <c r="I69" s="500">
        <f t="shared" si="6"/>
        <v>0</v>
      </c>
      <c r="J69" s="500"/>
      <c r="K69" s="512"/>
      <c r="L69" s="504">
        <f t="shared" si="14"/>
        <v>0</v>
      </c>
      <c r="M69" s="512"/>
      <c r="N69" s="504">
        <f t="shared" si="4"/>
        <v>0</v>
      </c>
      <c r="O69" s="504">
        <f t="shared" si="5"/>
        <v>0</v>
      </c>
      <c r="P69" s="278"/>
      <c r="R69" s="243"/>
      <c r="S69" s="243"/>
      <c r="T69" s="243"/>
      <c r="U69" s="243"/>
    </row>
    <row r="70" spans="2:21" ht="12.5">
      <c r="B70" s="145" t="str">
        <f t="shared" si="0"/>
        <v/>
      </c>
      <c r="C70" s="495">
        <f>IF(D11="","-",+C69+1)</f>
        <v>2067</v>
      </c>
      <c r="D70" s="508">
        <f>IF(F69+SUM(E$17:E69)=D$10,F69,D$10-SUM(E$17:E69))</f>
        <v>0</v>
      </c>
      <c r="E70" s="509">
        <f t="shared" si="10"/>
        <v>0</v>
      </c>
      <c r="F70" s="510">
        <f t="shared" si="11"/>
        <v>0</v>
      </c>
      <c r="G70" s="511">
        <f t="shared" si="12"/>
        <v>0</v>
      </c>
      <c r="H70" s="477">
        <f t="shared" si="13"/>
        <v>0</v>
      </c>
      <c r="I70" s="500">
        <f t="shared" si="6"/>
        <v>0</v>
      </c>
      <c r="J70" s="500"/>
      <c r="K70" s="512"/>
      <c r="L70" s="504">
        <f t="shared" si="14"/>
        <v>0</v>
      </c>
      <c r="M70" s="512"/>
      <c r="N70" s="504">
        <f t="shared" si="4"/>
        <v>0</v>
      </c>
      <c r="O70" s="504">
        <f t="shared" si="5"/>
        <v>0</v>
      </c>
      <c r="P70" s="278"/>
      <c r="R70" s="243"/>
      <c r="S70" s="243"/>
      <c r="T70" s="243"/>
      <c r="U70" s="243"/>
    </row>
    <row r="71" spans="2:21" ht="12.5">
      <c r="B71" s="145" t="str">
        <f t="shared" si="0"/>
        <v/>
      </c>
      <c r="C71" s="495">
        <f>IF(D11="","-",+C70+1)</f>
        <v>2068</v>
      </c>
      <c r="D71" s="508">
        <f>IF(F70+SUM(E$17:E70)=D$10,F70,D$10-SUM(E$17:E70))</f>
        <v>0</v>
      </c>
      <c r="E71" s="509">
        <f t="shared" si="10"/>
        <v>0</v>
      </c>
      <c r="F71" s="510">
        <f t="shared" si="11"/>
        <v>0</v>
      </c>
      <c r="G71" s="511">
        <f t="shared" si="12"/>
        <v>0</v>
      </c>
      <c r="H71" s="477">
        <f t="shared" si="13"/>
        <v>0</v>
      </c>
      <c r="I71" s="500">
        <f t="shared" si="6"/>
        <v>0</v>
      </c>
      <c r="J71" s="500"/>
      <c r="K71" s="512"/>
      <c r="L71" s="504">
        <f t="shared" si="14"/>
        <v>0</v>
      </c>
      <c r="M71" s="512"/>
      <c r="N71" s="504">
        <f t="shared" si="4"/>
        <v>0</v>
      </c>
      <c r="O71" s="504">
        <f t="shared" si="5"/>
        <v>0</v>
      </c>
      <c r="P71" s="278"/>
      <c r="R71" s="243"/>
      <c r="S71" s="243"/>
      <c r="T71" s="243"/>
      <c r="U71" s="243"/>
    </row>
    <row r="72" spans="2:21" ht="12.5">
      <c r="B72" s="145" t="str">
        <f t="shared" si="0"/>
        <v/>
      </c>
      <c r="C72" s="495">
        <f>IF(D11="","-",+C71+1)</f>
        <v>2069</v>
      </c>
      <c r="D72" s="508">
        <f>IF(F71+SUM(E$17:E71)=D$10,F71,D$10-SUM(E$17:E71))</f>
        <v>0</v>
      </c>
      <c r="E72" s="509">
        <f t="shared" si="10"/>
        <v>0</v>
      </c>
      <c r="F72" s="510">
        <f t="shared" si="11"/>
        <v>0</v>
      </c>
      <c r="G72" s="511">
        <f t="shared" si="12"/>
        <v>0</v>
      </c>
      <c r="H72" s="477">
        <f t="shared" si="13"/>
        <v>0</v>
      </c>
      <c r="I72" s="500">
        <f t="shared" si="6"/>
        <v>0</v>
      </c>
      <c r="J72" s="500"/>
      <c r="K72" s="512"/>
      <c r="L72" s="504">
        <f t="shared" si="14"/>
        <v>0</v>
      </c>
      <c r="M72" s="512"/>
      <c r="N72" s="504">
        <f t="shared" si="4"/>
        <v>0</v>
      </c>
      <c r="O72" s="504">
        <f t="shared" si="5"/>
        <v>0</v>
      </c>
      <c r="P72" s="278"/>
      <c r="R72" s="243"/>
      <c r="S72" s="243"/>
      <c r="T72" s="243"/>
      <c r="U72" s="243"/>
    </row>
    <row r="73" spans="2:21" ht="13" thickBot="1">
      <c r="B73" s="145" t="str">
        <f t="shared" si="0"/>
        <v/>
      </c>
      <c r="C73" s="524">
        <f>IF(D11="","-",+C72+1)</f>
        <v>2070</v>
      </c>
      <c r="D73" s="525">
        <f>IF(F72+SUM(E$17:E72)=D$10,F72,D$10-SUM(E$17:E72))</f>
        <v>0</v>
      </c>
      <c r="E73" s="526">
        <f t="shared" si="10"/>
        <v>0</v>
      </c>
      <c r="F73" s="527">
        <f t="shared" si="11"/>
        <v>0</v>
      </c>
      <c r="G73" s="611">
        <f t="shared" si="12"/>
        <v>0</v>
      </c>
      <c r="H73" s="458">
        <f t="shared" si="13"/>
        <v>0</v>
      </c>
      <c r="I73" s="529">
        <f t="shared" si="6"/>
        <v>0</v>
      </c>
      <c r="J73" s="500"/>
      <c r="K73" s="530"/>
      <c r="L73" s="531">
        <f t="shared" si="14"/>
        <v>0</v>
      </c>
      <c r="M73" s="530"/>
      <c r="N73" s="531">
        <f t="shared" si="4"/>
        <v>0</v>
      </c>
      <c r="O73" s="531">
        <f t="shared" si="5"/>
        <v>0</v>
      </c>
      <c r="P73" s="278"/>
      <c r="R73" s="243"/>
      <c r="S73" s="243"/>
      <c r="T73" s="243"/>
      <c r="U73" s="243"/>
    </row>
    <row r="74" spans="2:21" ht="12.5">
      <c r="C74" s="349" t="s">
        <v>75</v>
      </c>
      <c r="D74" s="294"/>
      <c r="E74" s="294">
        <f>SUM(E17:E73)</f>
        <v>1864625.01</v>
      </c>
      <c r="F74" s="294"/>
      <c r="G74" s="294">
        <f>SUM(G17:G73)</f>
        <v>5171171.5671472698</v>
      </c>
      <c r="H74" s="294">
        <f>SUM(H17:H73)</f>
        <v>5171171.5671472698</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8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229685.69393356299</v>
      </c>
      <c r="N88" s="544">
        <f>IF(J93&lt;D11,0,VLOOKUP(J93,C17:O73,11))</f>
        <v>229685.69393356299</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234338.85832624213</v>
      </c>
      <c r="N89" s="548">
        <f>IF(J93&lt;D11,0,VLOOKUP(J93,C100:P155,7))</f>
        <v>234338.85832624213</v>
      </c>
      <c r="O89" s="549">
        <f>+N89-M89</f>
        <v>0</v>
      </c>
      <c r="P89" s="243"/>
      <c r="Q89" s="243"/>
      <c r="R89" s="243"/>
      <c r="S89" s="243"/>
      <c r="T89" s="243"/>
      <c r="U89" s="243"/>
    </row>
    <row r="90" spans="1:21" ht="13.5" thickBot="1">
      <c r="C90" s="454" t="s">
        <v>82</v>
      </c>
      <c r="D90" s="550" t="str">
        <f>+D7</f>
        <v>Coweta 69 kV Capacitor</v>
      </c>
      <c r="E90" s="243"/>
      <c r="F90" s="243"/>
      <c r="G90" s="243"/>
      <c r="H90" s="243"/>
      <c r="I90" s="325"/>
      <c r="J90" s="325"/>
      <c r="K90" s="551"/>
      <c r="L90" s="552" t="s">
        <v>135</v>
      </c>
      <c r="M90" s="553">
        <f>+M89-M88</f>
        <v>4653.1643926791439</v>
      </c>
      <c r="N90" s="553">
        <f>+N89-N88</f>
        <v>4653.1643926791439</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f>+D9</f>
        <v>0</v>
      </c>
      <c r="E92" s="558"/>
      <c r="F92" s="558"/>
      <c r="G92" s="558"/>
      <c r="H92" s="558"/>
      <c r="I92" s="558"/>
      <c r="J92" s="558"/>
      <c r="K92" s="560"/>
      <c r="P92" s="468"/>
      <c r="Q92" s="243"/>
      <c r="R92" s="243"/>
      <c r="S92" s="243"/>
      <c r="T92" s="243"/>
      <c r="U92" s="243"/>
    </row>
    <row r="93" spans="1:21" ht="13">
      <c r="C93" s="472" t="s">
        <v>49</v>
      </c>
      <c r="D93" s="598">
        <f>IF(D11=I10,0,D10)</f>
        <v>1864625.01</v>
      </c>
      <c r="E93" s="248" t="s">
        <v>84</v>
      </c>
      <c r="H93" s="408"/>
      <c r="I93" s="408"/>
      <c r="J93" s="471">
        <f>+'OKT.WS.G.BPU.ATRR.True-up'!M16</f>
        <v>2019</v>
      </c>
      <c r="K93" s="467"/>
      <c r="L93" s="294" t="s">
        <v>85</v>
      </c>
      <c r="P93" s="278"/>
      <c r="Q93" s="243"/>
      <c r="R93" s="243"/>
      <c r="S93" s="243"/>
      <c r="T93" s="243"/>
      <c r="U93" s="243"/>
    </row>
    <row r="94" spans="1:21" ht="12.5">
      <c r="C94" s="472" t="s">
        <v>52</v>
      </c>
      <c r="D94" s="561">
        <f>IF(D11=I10,"",D11)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82">
        <f>IF(D11=I10,"",D12)</f>
        <v>6</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56503.788181818185</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2014</v>
      </c>
      <c r="D100" s="612">
        <v>0</v>
      </c>
      <c r="E100" s="613">
        <v>16074.353534482758</v>
      </c>
      <c r="F100" s="614">
        <v>1848550.6564655174</v>
      </c>
      <c r="G100" s="615">
        <v>924275.32823275868</v>
      </c>
      <c r="H100" s="615">
        <v>115474.09051785123</v>
      </c>
      <c r="I100" s="615">
        <v>115474.09051785123</v>
      </c>
      <c r="J100" s="504">
        <v>0</v>
      </c>
      <c r="K100" s="504"/>
      <c r="L100" s="506">
        <f>H100</f>
        <v>115474.09051785123</v>
      </c>
      <c r="M100" s="504">
        <f>IF(L100&lt;&gt;0,+H100-L100,0)</f>
        <v>0</v>
      </c>
      <c r="N100" s="506">
        <f>I100</f>
        <v>115474.09051785123</v>
      </c>
      <c r="O100" s="504">
        <f>IF(N100&lt;&gt;0,+I100-N100,0)</f>
        <v>0</v>
      </c>
      <c r="P100" s="504">
        <f>+O100-M100</f>
        <v>0</v>
      </c>
      <c r="Q100" s="243"/>
      <c r="R100" s="243"/>
      <c r="S100" s="243"/>
      <c r="T100" s="243"/>
      <c r="U100" s="243"/>
    </row>
    <row r="101" spans="1:21" ht="12.5">
      <c r="C101" s="495">
        <f>IF(D94="","-",+C100+1)</f>
        <v>2015</v>
      </c>
      <c r="D101" s="505">
        <v>1848550.6564655174</v>
      </c>
      <c r="E101" s="498">
        <v>38846.354375000003</v>
      </c>
      <c r="F101" s="505">
        <v>1809704.3020905172</v>
      </c>
      <c r="G101" s="498">
        <v>1829127.4792780173</v>
      </c>
      <c r="H101" s="499">
        <v>242482.07146648291</v>
      </c>
      <c r="I101" s="499">
        <v>242482.07146648291</v>
      </c>
      <c r="J101" s="499">
        <v>0</v>
      </c>
      <c r="K101" s="504"/>
      <c r="L101" s="506">
        <f>H101</f>
        <v>242482.07146648291</v>
      </c>
      <c r="M101" s="504">
        <f>IF(L101&lt;&gt;0,+H101-L101,0)</f>
        <v>0</v>
      </c>
      <c r="N101" s="506">
        <f>I101</f>
        <v>242482.07146648291</v>
      </c>
      <c r="O101" s="504">
        <f t="shared" ref="O101:O131" si="15">IF(N101&lt;&gt;0,+I101-N101,0)</f>
        <v>0</v>
      </c>
      <c r="P101" s="504">
        <f t="shared" ref="P101:P131" si="16">+O101-M101</f>
        <v>0</v>
      </c>
      <c r="Q101" s="243"/>
      <c r="R101" s="243"/>
      <c r="S101" s="243"/>
      <c r="T101" s="243"/>
      <c r="U101" s="243"/>
    </row>
    <row r="102" spans="1:21" ht="12.5">
      <c r="C102" s="495">
        <f>IF(D94="","-",+C101+1)</f>
        <v>2016</v>
      </c>
      <c r="D102" s="505">
        <v>1809704.3020905172</v>
      </c>
      <c r="E102" s="498">
        <v>36561.274705882352</v>
      </c>
      <c r="F102" s="505">
        <v>1773143.0273846348</v>
      </c>
      <c r="G102" s="498">
        <v>1791423.6647375762</v>
      </c>
      <c r="H102" s="499">
        <v>230696.88883644732</v>
      </c>
      <c r="I102" s="499">
        <v>230696.88883644732</v>
      </c>
      <c r="J102" s="504">
        <f t="shared" ref="J102:J155" si="17">+I102-H102</f>
        <v>0</v>
      </c>
      <c r="K102" s="504"/>
      <c r="L102" s="506">
        <f>H102</f>
        <v>230696.88883644732</v>
      </c>
      <c r="M102" s="504">
        <f>IF(L102&lt;&gt;0,+H102-L102,0)</f>
        <v>0</v>
      </c>
      <c r="N102" s="506">
        <f>I102</f>
        <v>230696.88883644732</v>
      </c>
      <c r="O102" s="504">
        <f>IF(N102&lt;&gt;0,+I102-N102,0)</f>
        <v>0</v>
      </c>
      <c r="P102" s="504">
        <f>+O102-M102</f>
        <v>0</v>
      </c>
      <c r="Q102" s="243"/>
      <c r="R102" s="243"/>
      <c r="S102" s="243"/>
      <c r="T102" s="243"/>
      <c r="U102" s="243"/>
    </row>
    <row r="103" spans="1:21" ht="12.5">
      <c r="C103" s="495">
        <f>IF(D94="","-",+C102+1)</f>
        <v>2017</v>
      </c>
      <c r="D103" s="505">
        <v>1773143.0273846348</v>
      </c>
      <c r="E103" s="498">
        <v>46615.625249999997</v>
      </c>
      <c r="F103" s="505">
        <v>1726527.4021346348</v>
      </c>
      <c r="G103" s="498">
        <v>1749835.2147596348</v>
      </c>
      <c r="H103" s="499">
        <v>251934.05240160052</v>
      </c>
      <c r="I103" s="499">
        <v>251934.05240160052</v>
      </c>
      <c r="J103" s="504">
        <v>0</v>
      </c>
      <c r="K103" s="504"/>
      <c r="L103" s="506">
        <f>H103</f>
        <v>251934.05240160052</v>
      </c>
      <c r="M103" s="504">
        <f>IF(L103&lt;&gt;0,+H103-L103,0)</f>
        <v>0</v>
      </c>
      <c r="N103" s="506">
        <f>I103</f>
        <v>251934.05240160052</v>
      </c>
      <c r="O103" s="504">
        <f>IF(N103&lt;&gt;0,+I103-N103,0)</f>
        <v>0</v>
      </c>
      <c r="P103" s="504">
        <f>+O103-M103</f>
        <v>0</v>
      </c>
      <c r="Q103" s="243"/>
      <c r="R103" s="243"/>
      <c r="S103" s="243"/>
      <c r="T103" s="243"/>
      <c r="U103" s="243"/>
    </row>
    <row r="104" spans="1:21" ht="12.5">
      <c r="C104" s="495">
        <f>IF(D94="","-",+C103+1)</f>
        <v>2018</v>
      </c>
      <c r="D104" s="505">
        <v>1726527.4021346348</v>
      </c>
      <c r="E104" s="498">
        <v>51795.139166666668</v>
      </c>
      <c r="F104" s="505">
        <v>1674732.2629679681</v>
      </c>
      <c r="G104" s="498">
        <v>1700629.8325513015</v>
      </c>
      <c r="H104" s="499">
        <v>231317.7893017451</v>
      </c>
      <c r="I104" s="499">
        <v>231317.7893017451</v>
      </c>
      <c r="J104" s="504">
        <f t="shared" si="17"/>
        <v>0</v>
      </c>
      <c r="K104" s="504"/>
      <c r="L104" s="506">
        <f>H104</f>
        <v>231317.7893017451</v>
      </c>
      <c r="M104" s="504">
        <f>IF(L104&lt;&gt;0,+H104-L104,0)</f>
        <v>0</v>
      </c>
      <c r="N104" s="506">
        <f>I104</f>
        <v>231317.7893017451</v>
      </c>
      <c r="O104" s="504">
        <f>IF(N104&lt;&gt;0,+I104-N104,0)</f>
        <v>0</v>
      </c>
      <c r="P104" s="504">
        <f>+O104-M104</f>
        <v>0</v>
      </c>
      <c r="Q104" s="243"/>
      <c r="R104" s="243"/>
      <c r="S104" s="243"/>
      <c r="T104" s="243"/>
      <c r="U104" s="243"/>
    </row>
    <row r="105" spans="1:21" ht="12.5">
      <c r="C105" s="495">
        <f>IF(D94="","-",+C104+1)</f>
        <v>2019</v>
      </c>
      <c r="D105" s="349">
        <f>IF(F104+SUM(E$100:E104)=D$93,F104,D$93-SUM(E$100:E104))</f>
        <v>1674732.2629679681</v>
      </c>
      <c r="E105" s="509">
        <f t="shared" ref="E105:E155" si="18">IF(+$J$97&lt;F104,$J$97,D105)</f>
        <v>56503.788181818185</v>
      </c>
      <c r="F105" s="510">
        <f t="shared" ref="F105:F155" si="19">+D105-E105</f>
        <v>1618228.47478615</v>
      </c>
      <c r="G105" s="510">
        <f t="shared" ref="G105:G155" si="20">+(F105+D105)/2</f>
        <v>1646480.3688770591</v>
      </c>
      <c r="H105" s="523">
        <f t="shared" ref="H105:H155" si="21">+J$95*G105+E105</f>
        <v>234338.85832624213</v>
      </c>
      <c r="I105" s="572">
        <f t="shared" ref="I105:I155" si="22">+J$96*G105+E105</f>
        <v>234338.85832624213</v>
      </c>
      <c r="J105" s="504">
        <f t="shared" si="17"/>
        <v>0</v>
      </c>
      <c r="K105" s="504"/>
      <c r="L105" s="512"/>
      <c r="M105" s="504">
        <f t="shared" ref="M105:M131" si="23">IF(L105&lt;&gt;0,+H105-L105,0)</f>
        <v>0</v>
      </c>
      <c r="N105" s="512"/>
      <c r="O105" s="504">
        <f t="shared" si="15"/>
        <v>0</v>
      </c>
      <c r="P105" s="504">
        <f t="shared" si="16"/>
        <v>0</v>
      </c>
      <c r="Q105" s="243"/>
      <c r="R105" s="243"/>
      <c r="S105" s="243"/>
      <c r="T105" s="243"/>
      <c r="U105" s="243"/>
    </row>
    <row r="106" spans="1:21" ht="12.5">
      <c r="C106" s="495">
        <f>IF(D94="","-",+C105+1)</f>
        <v>2020</v>
      </c>
      <c r="D106" s="349">
        <f>IF(F105+SUM(E$100:E105)=D$93,F105,D$93-SUM(E$100:E105))</f>
        <v>1618228.47478615</v>
      </c>
      <c r="E106" s="509">
        <f t="shared" si="18"/>
        <v>56503.788181818185</v>
      </c>
      <c r="F106" s="510">
        <f t="shared" si="19"/>
        <v>1561724.6866043319</v>
      </c>
      <c r="G106" s="510">
        <f t="shared" si="20"/>
        <v>1589976.580695241</v>
      </c>
      <c r="H106" s="523">
        <f t="shared" si="21"/>
        <v>228235.92790284904</v>
      </c>
      <c r="I106" s="572">
        <f t="shared" si="22"/>
        <v>228235.92790284904</v>
      </c>
      <c r="J106" s="504">
        <f t="shared" si="17"/>
        <v>0</v>
      </c>
      <c r="K106" s="504"/>
      <c r="L106" s="512"/>
      <c r="M106" s="504">
        <f t="shared" si="23"/>
        <v>0</v>
      </c>
      <c r="N106" s="512"/>
      <c r="O106" s="504">
        <f t="shared" si="15"/>
        <v>0</v>
      </c>
      <c r="P106" s="504">
        <f t="shared" si="16"/>
        <v>0</v>
      </c>
      <c r="Q106" s="243"/>
      <c r="R106" s="243"/>
      <c r="S106" s="243"/>
      <c r="T106" s="243"/>
      <c r="U106" s="243"/>
    </row>
    <row r="107" spans="1:21" ht="12.5">
      <c r="C107" s="495">
        <f>IF(D94="","-",+C106+1)</f>
        <v>2021</v>
      </c>
      <c r="D107" s="349">
        <f>IF(F106+SUM(E$100:E106)=D$93,F106,D$93-SUM(E$100:E106))</f>
        <v>1561724.6866043319</v>
      </c>
      <c r="E107" s="509">
        <f t="shared" si="18"/>
        <v>56503.788181818185</v>
      </c>
      <c r="F107" s="510">
        <f t="shared" si="19"/>
        <v>1505220.8984225139</v>
      </c>
      <c r="G107" s="510">
        <f t="shared" si="20"/>
        <v>1533472.7925134229</v>
      </c>
      <c r="H107" s="523">
        <f t="shared" si="21"/>
        <v>222132.99747945595</v>
      </c>
      <c r="I107" s="572">
        <f t="shared" si="22"/>
        <v>222132.99747945595</v>
      </c>
      <c r="J107" s="504">
        <f t="shared" si="17"/>
        <v>0</v>
      </c>
      <c r="K107" s="504"/>
      <c r="L107" s="512"/>
      <c r="M107" s="504">
        <f t="shared" si="23"/>
        <v>0</v>
      </c>
      <c r="N107" s="512"/>
      <c r="O107" s="504">
        <f t="shared" si="15"/>
        <v>0</v>
      </c>
      <c r="P107" s="504">
        <f t="shared" si="16"/>
        <v>0</v>
      </c>
      <c r="Q107" s="243"/>
      <c r="R107" s="243"/>
      <c r="S107" s="243"/>
      <c r="T107" s="243"/>
      <c r="U107" s="243"/>
    </row>
    <row r="108" spans="1:21" ht="12.5">
      <c r="C108" s="495">
        <f>IF(D94="","-",+C107+1)</f>
        <v>2022</v>
      </c>
      <c r="D108" s="349">
        <f>IF(F107+SUM(E$100:E107)=D$93,F107,D$93-SUM(E$100:E107))</f>
        <v>1505220.8984225139</v>
      </c>
      <c r="E108" s="509">
        <f t="shared" si="18"/>
        <v>56503.788181818185</v>
      </c>
      <c r="F108" s="510">
        <f t="shared" si="19"/>
        <v>1448717.1102406958</v>
      </c>
      <c r="G108" s="510">
        <f t="shared" si="20"/>
        <v>1476969.0043316048</v>
      </c>
      <c r="H108" s="523">
        <f t="shared" si="21"/>
        <v>216030.06705606286</v>
      </c>
      <c r="I108" s="572">
        <f t="shared" si="22"/>
        <v>216030.06705606286</v>
      </c>
      <c r="J108" s="504">
        <f t="shared" si="17"/>
        <v>0</v>
      </c>
      <c r="K108" s="504"/>
      <c r="L108" s="512"/>
      <c r="M108" s="504">
        <f t="shared" si="23"/>
        <v>0</v>
      </c>
      <c r="N108" s="512"/>
      <c r="O108" s="504">
        <f t="shared" si="15"/>
        <v>0</v>
      </c>
      <c r="P108" s="504">
        <f t="shared" si="16"/>
        <v>0</v>
      </c>
      <c r="Q108" s="243"/>
      <c r="R108" s="243"/>
      <c r="S108" s="243"/>
      <c r="T108" s="243"/>
      <c r="U108" s="243"/>
    </row>
    <row r="109" spans="1:21" ht="12.5">
      <c r="C109" s="495">
        <f>IF(D94="","-",+C108+1)</f>
        <v>2023</v>
      </c>
      <c r="D109" s="349">
        <f>IF(F108+SUM(E$100:E108)=D$93,F108,D$93-SUM(E$100:E108))</f>
        <v>1448717.1102406958</v>
      </c>
      <c r="E109" s="509">
        <f t="shared" si="18"/>
        <v>56503.788181818185</v>
      </c>
      <c r="F109" s="510">
        <f t="shared" si="19"/>
        <v>1392213.3220588777</v>
      </c>
      <c r="G109" s="510">
        <f t="shared" si="20"/>
        <v>1420465.2161497867</v>
      </c>
      <c r="H109" s="523">
        <f t="shared" si="21"/>
        <v>209927.13663266975</v>
      </c>
      <c r="I109" s="572">
        <f t="shared" si="22"/>
        <v>209927.13663266975</v>
      </c>
      <c r="J109" s="504">
        <f t="shared" si="17"/>
        <v>0</v>
      </c>
      <c r="K109" s="504"/>
      <c r="L109" s="512"/>
      <c r="M109" s="504">
        <f t="shared" si="23"/>
        <v>0</v>
      </c>
      <c r="N109" s="512"/>
      <c r="O109" s="504">
        <f t="shared" si="15"/>
        <v>0</v>
      </c>
      <c r="P109" s="504">
        <f t="shared" si="16"/>
        <v>0</v>
      </c>
      <c r="Q109" s="243"/>
      <c r="R109" s="243"/>
      <c r="S109" s="243"/>
      <c r="T109" s="243"/>
      <c r="U109" s="243"/>
    </row>
    <row r="110" spans="1:21" ht="12.5">
      <c r="C110" s="495">
        <f>IF(D94="","-",+C109+1)</f>
        <v>2024</v>
      </c>
      <c r="D110" s="349">
        <f>IF(F109+SUM(E$100:E109)=D$93,F109,D$93-SUM(E$100:E109))</f>
        <v>1392213.3220588777</v>
      </c>
      <c r="E110" s="509">
        <f t="shared" si="18"/>
        <v>56503.788181818185</v>
      </c>
      <c r="F110" s="510">
        <f t="shared" si="19"/>
        <v>1335709.5338770596</v>
      </c>
      <c r="G110" s="510">
        <f t="shared" si="20"/>
        <v>1363961.4279679686</v>
      </c>
      <c r="H110" s="523">
        <f t="shared" si="21"/>
        <v>203824.20620927666</v>
      </c>
      <c r="I110" s="572">
        <f t="shared" si="22"/>
        <v>203824.20620927666</v>
      </c>
      <c r="J110" s="504">
        <f t="shared" si="17"/>
        <v>0</v>
      </c>
      <c r="K110" s="504"/>
      <c r="L110" s="512"/>
      <c r="M110" s="504">
        <f t="shared" si="23"/>
        <v>0</v>
      </c>
      <c r="N110" s="512"/>
      <c r="O110" s="504">
        <f t="shared" si="15"/>
        <v>0</v>
      </c>
      <c r="P110" s="504">
        <f t="shared" si="16"/>
        <v>0</v>
      </c>
      <c r="Q110" s="243"/>
      <c r="R110" s="243"/>
      <c r="S110" s="243"/>
      <c r="T110" s="243"/>
      <c r="U110" s="243"/>
    </row>
    <row r="111" spans="1:21" ht="12.5">
      <c r="C111" s="495">
        <f>IF(D94="","-",+C110+1)</f>
        <v>2025</v>
      </c>
      <c r="D111" s="349">
        <f>IF(F110+SUM(E$100:E110)=D$93,F110,D$93-SUM(E$100:E110))</f>
        <v>1335709.5338770596</v>
      </c>
      <c r="E111" s="509">
        <f t="shared" si="18"/>
        <v>56503.788181818185</v>
      </c>
      <c r="F111" s="510">
        <f t="shared" si="19"/>
        <v>1279205.7456952415</v>
      </c>
      <c r="G111" s="510">
        <f t="shared" si="20"/>
        <v>1307457.6397861505</v>
      </c>
      <c r="H111" s="523">
        <f t="shared" si="21"/>
        <v>197721.27578588357</v>
      </c>
      <c r="I111" s="572">
        <f t="shared" si="22"/>
        <v>197721.27578588357</v>
      </c>
      <c r="J111" s="504">
        <f t="shared" si="17"/>
        <v>0</v>
      </c>
      <c r="K111" s="504"/>
      <c r="L111" s="512"/>
      <c r="M111" s="504">
        <f t="shared" si="23"/>
        <v>0</v>
      </c>
      <c r="N111" s="512"/>
      <c r="O111" s="504">
        <f t="shared" si="15"/>
        <v>0</v>
      </c>
      <c r="P111" s="504">
        <f t="shared" si="16"/>
        <v>0</v>
      </c>
      <c r="Q111" s="243"/>
      <c r="R111" s="243"/>
      <c r="S111" s="243"/>
      <c r="T111" s="243"/>
      <c r="U111" s="243"/>
    </row>
    <row r="112" spans="1:21" ht="12.5">
      <c r="C112" s="495">
        <f>IF(D94="","-",+C111+1)</f>
        <v>2026</v>
      </c>
      <c r="D112" s="349">
        <f>IF(F111+SUM(E$100:E111)=D$93,F111,D$93-SUM(E$100:E111))</f>
        <v>1279205.7456952415</v>
      </c>
      <c r="E112" s="509">
        <f t="shared" si="18"/>
        <v>56503.788181818185</v>
      </c>
      <c r="F112" s="510">
        <f t="shared" si="19"/>
        <v>1222701.9575134234</v>
      </c>
      <c r="G112" s="510">
        <f t="shared" si="20"/>
        <v>1250953.8516043324</v>
      </c>
      <c r="H112" s="523">
        <f t="shared" si="21"/>
        <v>191618.34536249045</v>
      </c>
      <c r="I112" s="572">
        <f t="shared" si="22"/>
        <v>191618.34536249045</v>
      </c>
      <c r="J112" s="504">
        <f t="shared" si="17"/>
        <v>0</v>
      </c>
      <c r="K112" s="504"/>
      <c r="L112" s="512"/>
      <c r="M112" s="504">
        <f t="shared" si="23"/>
        <v>0</v>
      </c>
      <c r="N112" s="512"/>
      <c r="O112" s="504">
        <f t="shared" si="15"/>
        <v>0</v>
      </c>
      <c r="P112" s="504">
        <f t="shared" si="16"/>
        <v>0</v>
      </c>
      <c r="Q112" s="243"/>
      <c r="R112" s="243"/>
      <c r="S112" s="243"/>
      <c r="T112" s="243"/>
      <c r="U112" s="243"/>
    </row>
    <row r="113" spans="3:21" ht="12.5">
      <c r="C113" s="495">
        <f>IF(D94="","-",+C112+1)</f>
        <v>2027</v>
      </c>
      <c r="D113" s="349">
        <f>IF(F112+SUM(E$100:E112)=D$93,F112,D$93-SUM(E$100:E112))</f>
        <v>1222701.9575134234</v>
      </c>
      <c r="E113" s="509">
        <f t="shared" si="18"/>
        <v>56503.788181818185</v>
      </c>
      <c r="F113" s="510">
        <f t="shared" si="19"/>
        <v>1166198.1693316053</v>
      </c>
      <c r="G113" s="510">
        <f t="shared" si="20"/>
        <v>1194450.0634225144</v>
      </c>
      <c r="H113" s="523">
        <f t="shared" si="21"/>
        <v>185515.41493909736</v>
      </c>
      <c r="I113" s="572">
        <f t="shared" si="22"/>
        <v>185515.41493909736</v>
      </c>
      <c r="J113" s="504">
        <f t="shared" si="17"/>
        <v>0</v>
      </c>
      <c r="K113" s="504"/>
      <c r="L113" s="512"/>
      <c r="M113" s="504">
        <f t="shared" si="23"/>
        <v>0</v>
      </c>
      <c r="N113" s="512"/>
      <c r="O113" s="504">
        <f t="shared" si="15"/>
        <v>0</v>
      </c>
      <c r="P113" s="504">
        <f t="shared" si="16"/>
        <v>0</v>
      </c>
      <c r="Q113" s="243"/>
      <c r="R113" s="243"/>
      <c r="S113" s="243"/>
      <c r="T113" s="243"/>
      <c r="U113" s="243"/>
    </row>
    <row r="114" spans="3:21" ht="12.5">
      <c r="C114" s="495">
        <f>IF(D94="","-",+C113+1)</f>
        <v>2028</v>
      </c>
      <c r="D114" s="349">
        <f>IF(F113+SUM(E$100:E113)=D$93,F113,D$93-SUM(E$100:E113))</f>
        <v>1166198.1693316053</v>
      </c>
      <c r="E114" s="509">
        <f t="shared" si="18"/>
        <v>56503.788181818185</v>
      </c>
      <c r="F114" s="510">
        <f t="shared" si="19"/>
        <v>1109694.3811497872</v>
      </c>
      <c r="G114" s="510">
        <f t="shared" si="20"/>
        <v>1137946.2752406963</v>
      </c>
      <c r="H114" s="523">
        <f t="shared" si="21"/>
        <v>179412.48451570427</v>
      </c>
      <c r="I114" s="572">
        <f t="shared" si="22"/>
        <v>179412.48451570427</v>
      </c>
      <c r="J114" s="504">
        <f t="shared" si="17"/>
        <v>0</v>
      </c>
      <c r="K114" s="504"/>
      <c r="L114" s="512"/>
      <c r="M114" s="504">
        <f t="shared" si="23"/>
        <v>0</v>
      </c>
      <c r="N114" s="512"/>
      <c r="O114" s="504">
        <f t="shared" si="15"/>
        <v>0</v>
      </c>
      <c r="P114" s="504">
        <f t="shared" si="16"/>
        <v>0</v>
      </c>
      <c r="Q114" s="243"/>
      <c r="R114" s="243"/>
      <c r="S114" s="243"/>
      <c r="T114" s="243"/>
      <c r="U114" s="243"/>
    </row>
    <row r="115" spans="3:21" ht="12.5">
      <c r="C115" s="495">
        <f>IF(D94="","-",+C114+1)</f>
        <v>2029</v>
      </c>
      <c r="D115" s="349">
        <f>IF(F114+SUM(E$100:E114)=D$93,F114,D$93-SUM(E$100:E114))</f>
        <v>1109694.3811497872</v>
      </c>
      <c r="E115" s="509">
        <f t="shared" si="18"/>
        <v>56503.788181818185</v>
      </c>
      <c r="F115" s="510">
        <f t="shared" si="19"/>
        <v>1053190.5929679691</v>
      </c>
      <c r="G115" s="510">
        <f t="shared" si="20"/>
        <v>1081442.4870588782</v>
      </c>
      <c r="H115" s="523">
        <f t="shared" si="21"/>
        <v>173309.55409231118</v>
      </c>
      <c r="I115" s="572">
        <f t="shared" si="22"/>
        <v>173309.55409231118</v>
      </c>
      <c r="J115" s="504">
        <f t="shared" si="17"/>
        <v>0</v>
      </c>
      <c r="K115" s="504"/>
      <c r="L115" s="512"/>
      <c r="M115" s="504">
        <f t="shared" si="23"/>
        <v>0</v>
      </c>
      <c r="N115" s="512"/>
      <c r="O115" s="504">
        <f t="shared" si="15"/>
        <v>0</v>
      </c>
      <c r="P115" s="504">
        <f t="shared" si="16"/>
        <v>0</v>
      </c>
      <c r="Q115" s="243"/>
      <c r="R115" s="243"/>
      <c r="S115" s="243"/>
      <c r="T115" s="243"/>
      <c r="U115" s="243"/>
    </row>
    <row r="116" spans="3:21" ht="12.5">
      <c r="C116" s="495">
        <f>IF(D94="","-",+C115+1)</f>
        <v>2030</v>
      </c>
      <c r="D116" s="349">
        <f>IF(F115+SUM(E$100:E115)=D$93,F115,D$93-SUM(E$100:E115))</f>
        <v>1053190.5929679691</v>
      </c>
      <c r="E116" s="509">
        <f t="shared" si="18"/>
        <v>56503.788181818185</v>
      </c>
      <c r="F116" s="510">
        <f t="shared" si="19"/>
        <v>996686.80478615093</v>
      </c>
      <c r="G116" s="510">
        <f t="shared" si="20"/>
        <v>1024938.6988770601</v>
      </c>
      <c r="H116" s="523">
        <f t="shared" si="21"/>
        <v>167206.62366891807</v>
      </c>
      <c r="I116" s="572">
        <f t="shared" si="22"/>
        <v>167206.62366891807</v>
      </c>
      <c r="J116" s="504">
        <f t="shared" si="17"/>
        <v>0</v>
      </c>
      <c r="K116" s="504"/>
      <c r="L116" s="512"/>
      <c r="M116" s="504">
        <f t="shared" si="23"/>
        <v>0</v>
      </c>
      <c r="N116" s="512"/>
      <c r="O116" s="504">
        <f t="shared" si="15"/>
        <v>0</v>
      </c>
      <c r="P116" s="504">
        <f t="shared" si="16"/>
        <v>0</v>
      </c>
      <c r="Q116" s="243"/>
      <c r="R116" s="243"/>
      <c r="S116" s="243"/>
      <c r="T116" s="243"/>
      <c r="U116" s="243"/>
    </row>
    <row r="117" spans="3:21" ht="12.5">
      <c r="C117" s="495">
        <f>IF(D94="","-",+C116+1)</f>
        <v>2031</v>
      </c>
      <c r="D117" s="349">
        <f>IF(F116+SUM(E$100:E116)=D$93,F116,D$93-SUM(E$100:E116))</f>
        <v>996686.80478615093</v>
      </c>
      <c r="E117" s="509">
        <f t="shared" si="18"/>
        <v>56503.788181818185</v>
      </c>
      <c r="F117" s="510">
        <f t="shared" si="19"/>
        <v>940183.01660433272</v>
      </c>
      <c r="G117" s="510">
        <f t="shared" si="20"/>
        <v>968434.91069524176</v>
      </c>
      <c r="H117" s="523">
        <f t="shared" si="21"/>
        <v>161103.69324552495</v>
      </c>
      <c r="I117" s="572">
        <f t="shared" si="22"/>
        <v>161103.69324552495</v>
      </c>
      <c r="J117" s="504">
        <f t="shared" si="17"/>
        <v>0</v>
      </c>
      <c r="K117" s="504"/>
      <c r="L117" s="512"/>
      <c r="M117" s="504">
        <f t="shared" si="23"/>
        <v>0</v>
      </c>
      <c r="N117" s="512"/>
      <c r="O117" s="504">
        <f t="shared" si="15"/>
        <v>0</v>
      </c>
      <c r="P117" s="504">
        <f t="shared" si="16"/>
        <v>0</v>
      </c>
      <c r="Q117" s="243"/>
      <c r="R117" s="243"/>
      <c r="S117" s="243"/>
      <c r="T117" s="243"/>
      <c r="U117" s="243"/>
    </row>
    <row r="118" spans="3:21" ht="12.5">
      <c r="C118" s="495">
        <f>IF(D94="","-",+C117+1)</f>
        <v>2032</v>
      </c>
      <c r="D118" s="349">
        <f>IF(F117+SUM(E$100:E117)=D$93,F117,D$93-SUM(E$100:E117))</f>
        <v>940183.01660433272</v>
      </c>
      <c r="E118" s="509">
        <f t="shared" si="18"/>
        <v>56503.788181818185</v>
      </c>
      <c r="F118" s="510">
        <f t="shared" si="19"/>
        <v>883679.22842251451</v>
      </c>
      <c r="G118" s="510">
        <f t="shared" si="20"/>
        <v>911931.12251342367</v>
      </c>
      <c r="H118" s="523">
        <f t="shared" si="21"/>
        <v>155000.76282213186</v>
      </c>
      <c r="I118" s="572">
        <f t="shared" si="22"/>
        <v>155000.76282213186</v>
      </c>
      <c r="J118" s="504">
        <f t="shared" si="17"/>
        <v>0</v>
      </c>
      <c r="K118" s="504"/>
      <c r="L118" s="512"/>
      <c r="M118" s="504">
        <f t="shared" si="23"/>
        <v>0</v>
      </c>
      <c r="N118" s="512"/>
      <c r="O118" s="504">
        <f t="shared" si="15"/>
        <v>0</v>
      </c>
      <c r="P118" s="504">
        <f t="shared" si="16"/>
        <v>0</v>
      </c>
      <c r="Q118" s="243"/>
      <c r="R118" s="243"/>
      <c r="S118" s="243"/>
      <c r="T118" s="243"/>
      <c r="U118" s="243"/>
    </row>
    <row r="119" spans="3:21" ht="12.5">
      <c r="C119" s="495">
        <f>IF(D94="","-",+C118+1)</f>
        <v>2033</v>
      </c>
      <c r="D119" s="349">
        <f>IF(F118+SUM(E$100:E118)=D$93,F118,D$93-SUM(E$100:E118))</f>
        <v>883679.22842251451</v>
      </c>
      <c r="E119" s="509">
        <f t="shared" si="18"/>
        <v>56503.788181818185</v>
      </c>
      <c r="F119" s="510">
        <f t="shared" si="19"/>
        <v>827175.44024069631</v>
      </c>
      <c r="G119" s="510">
        <f t="shared" si="20"/>
        <v>855427.33433160535</v>
      </c>
      <c r="H119" s="523">
        <f t="shared" si="21"/>
        <v>148897.83239873874</v>
      </c>
      <c r="I119" s="572">
        <f t="shared" si="22"/>
        <v>148897.83239873874</v>
      </c>
      <c r="J119" s="504">
        <f t="shared" si="17"/>
        <v>0</v>
      </c>
      <c r="K119" s="504"/>
      <c r="L119" s="512"/>
      <c r="M119" s="504">
        <f t="shared" si="23"/>
        <v>0</v>
      </c>
      <c r="N119" s="512"/>
      <c r="O119" s="504">
        <f t="shared" si="15"/>
        <v>0</v>
      </c>
      <c r="P119" s="504">
        <f t="shared" si="16"/>
        <v>0</v>
      </c>
      <c r="Q119" s="243"/>
      <c r="R119" s="243"/>
      <c r="S119" s="243"/>
      <c r="T119" s="243"/>
      <c r="U119" s="243"/>
    </row>
    <row r="120" spans="3:21" ht="12.5">
      <c r="C120" s="495">
        <f>IF(D94="","-",+C119+1)</f>
        <v>2034</v>
      </c>
      <c r="D120" s="349">
        <f>IF(F119+SUM(E$100:E119)=D$93,F119,D$93-SUM(E$100:E119))</f>
        <v>827175.44024069631</v>
      </c>
      <c r="E120" s="509">
        <f t="shared" si="18"/>
        <v>56503.788181818185</v>
      </c>
      <c r="F120" s="510">
        <f t="shared" si="19"/>
        <v>770671.6520588781</v>
      </c>
      <c r="G120" s="510">
        <f t="shared" si="20"/>
        <v>798923.54614978726</v>
      </c>
      <c r="H120" s="523">
        <f t="shared" si="21"/>
        <v>142794.90197534562</v>
      </c>
      <c r="I120" s="572">
        <f t="shared" si="22"/>
        <v>142794.90197534562</v>
      </c>
      <c r="J120" s="504">
        <f t="shared" si="17"/>
        <v>0</v>
      </c>
      <c r="K120" s="504"/>
      <c r="L120" s="512"/>
      <c r="M120" s="504">
        <f t="shared" si="23"/>
        <v>0</v>
      </c>
      <c r="N120" s="512"/>
      <c r="O120" s="504">
        <f t="shared" si="15"/>
        <v>0</v>
      </c>
      <c r="P120" s="504">
        <f t="shared" si="16"/>
        <v>0</v>
      </c>
      <c r="Q120" s="243"/>
      <c r="R120" s="243"/>
      <c r="S120" s="243"/>
      <c r="T120" s="243"/>
      <c r="U120" s="243"/>
    </row>
    <row r="121" spans="3:21" ht="12.5">
      <c r="C121" s="495">
        <f>IF(D94="","-",+C120+1)</f>
        <v>2035</v>
      </c>
      <c r="D121" s="349">
        <f>IF(F120+SUM(E$100:E120)=D$93,F120,D$93-SUM(E$100:E120))</f>
        <v>770671.6520588781</v>
      </c>
      <c r="E121" s="509">
        <f t="shared" si="18"/>
        <v>56503.788181818185</v>
      </c>
      <c r="F121" s="510">
        <f t="shared" si="19"/>
        <v>714167.86387705989</v>
      </c>
      <c r="G121" s="510">
        <f t="shared" si="20"/>
        <v>742419.75796796894</v>
      </c>
      <c r="H121" s="523">
        <f t="shared" si="21"/>
        <v>136691.97155195251</v>
      </c>
      <c r="I121" s="572">
        <f t="shared" si="22"/>
        <v>136691.97155195251</v>
      </c>
      <c r="J121" s="504">
        <f t="shared" si="17"/>
        <v>0</v>
      </c>
      <c r="K121" s="504"/>
      <c r="L121" s="512"/>
      <c r="M121" s="504">
        <f t="shared" si="23"/>
        <v>0</v>
      </c>
      <c r="N121" s="512"/>
      <c r="O121" s="504">
        <f t="shared" si="15"/>
        <v>0</v>
      </c>
      <c r="P121" s="504">
        <f t="shared" si="16"/>
        <v>0</v>
      </c>
      <c r="Q121" s="243"/>
      <c r="R121" s="243"/>
      <c r="S121" s="243"/>
      <c r="T121" s="243"/>
      <c r="U121" s="243"/>
    </row>
    <row r="122" spans="3:21" ht="12.5">
      <c r="C122" s="495">
        <f>IF(D94="","-",+C121+1)</f>
        <v>2036</v>
      </c>
      <c r="D122" s="349">
        <f>IF(F121+SUM(E$100:E121)=D$93,F121,D$93-SUM(E$100:E121))</f>
        <v>714167.86387705989</v>
      </c>
      <c r="E122" s="509">
        <f t="shared" si="18"/>
        <v>56503.788181818185</v>
      </c>
      <c r="F122" s="510">
        <f t="shared" si="19"/>
        <v>657664.07569524169</v>
      </c>
      <c r="G122" s="510">
        <f t="shared" si="20"/>
        <v>685915.96978615085</v>
      </c>
      <c r="H122" s="523">
        <f t="shared" si="21"/>
        <v>130589.04112855942</v>
      </c>
      <c r="I122" s="572">
        <f t="shared" si="22"/>
        <v>130589.04112855942</v>
      </c>
      <c r="J122" s="504">
        <f t="shared" si="17"/>
        <v>0</v>
      </c>
      <c r="K122" s="504"/>
      <c r="L122" s="512"/>
      <c r="M122" s="504">
        <f t="shared" si="23"/>
        <v>0</v>
      </c>
      <c r="N122" s="512"/>
      <c r="O122" s="504">
        <f t="shared" si="15"/>
        <v>0</v>
      </c>
      <c r="P122" s="504">
        <f t="shared" si="16"/>
        <v>0</v>
      </c>
      <c r="Q122" s="243"/>
      <c r="R122" s="243"/>
      <c r="S122" s="243"/>
      <c r="T122" s="243"/>
      <c r="U122" s="243"/>
    </row>
    <row r="123" spans="3:21" ht="12.5">
      <c r="C123" s="495">
        <f>IF(D94="","-",+C122+1)</f>
        <v>2037</v>
      </c>
      <c r="D123" s="349">
        <f>IF(F122+SUM(E$100:E122)=D$93,F122,D$93-SUM(E$100:E122))</f>
        <v>657664.07569524169</v>
      </c>
      <c r="E123" s="509">
        <f t="shared" si="18"/>
        <v>56503.788181818185</v>
      </c>
      <c r="F123" s="510">
        <f t="shared" si="19"/>
        <v>601160.28751342348</v>
      </c>
      <c r="G123" s="510">
        <f t="shared" si="20"/>
        <v>629412.18160433252</v>
      </c>
      <c r="H123" s="523">
        <f t="shared" si="21"/>
        <v>124486.1107051663</v>
      </c>
      <c r="I123" s="572">
        <f t="shared" si="22"/>
        <v>124486.1107051663</v>
      </c>
      <c r="J123" s="504">
        <f t="shared" si="17"/>
        <v>0</v>
      </c>
      <c r="K123" s="504"/>
      <c r="L123" s="512"/>
      <c r="M123" s="504">
        <f t="shared" si="23"/>
        <v>0</v>
      </c>
      <c r="N123" s="512"/>
      <c r="O123" s="504">
        <f t="shared" si="15"/>
        <v>0</v>
      </c>
      <c r="P123" s="504">
        <f t="shared" si="16"/>
        <v>0</v>
      </c>
      <c r="Q123" s="243"/>
      <c r="R123" s="243"/>
      <c r="S123" s="243"/>
      <c r="T123" s="243"/>
      <c r="U123" s="243"/>
    </row>
    <row r="124" spans="3:21" ht="12.5">
      <c r="C124" s="495">
        <f>IF(D94="","-",+C123+1)</f>
        <v>2038</v>
      </c>
      <c r="D124" s="349">
        <f>IF(F123+SUM(E$100:E123)=D$93,F123,D$93-SUM(E$100:E123))</f>
        <v>601160.28751342348</v>
      </c>
      <c r="E124" s="509">
        <f t="shared" si="18"/>
        <v>56503.788181818185</v>
      </c>
      <c r="F124" s="510">
        <f t="shared" si="19"/>
        <v>544656.49933160527</v>
      </c>
      <c r="G124" s="510">
        <f t="shared" si="20"/>
        <v>572908.39342251443</v>
      </c>
      <c r="H124" s="523">
        <f t="shared" si="21"/>
        <v>118383.1802817732</v>
      </c>
      <c r="I124" s="572">
        <f t="shared" si="22"/>
        <v>118383.1802817732</v>
      </c>
      <c r="J124" s="504">
        <f t="shared" si="17"/>
        <v>0</v>
      </c>
      <c r="K124" s="504"/>
      <c r="L124" s="512"/>
      <c r="M124" s="504">
        <f t="shared" si="23"/>
        <v>0</v>
      </c>
      <c r="N124" s="512"/>
      <c r="O124" s="504">
        <f t="shared" si="15"/>
        <v>0</v>
      </c>
      <c r="P124" s="504">
        <f t="shared" si="16"/>
        <v>0</v>
      </c>
      <c r="Q124" s="243"/>
      <c r="R124" s="243"/>
      <c r="S124" s="243"/>
      <c r="T124" s="243"/>
      <c r="U124" s="243"/>
    </row>
    <row r="125" spans="3:21" ht="12.5">
      <c r="C125" s="495">
        <f>IF(D94="","-",+C124+1)</f>
        <v>2039</v>
      </c>
      <c r="D125" s="349">
        <f>IF(F124+SUM(E$100:E124)=D$93,F124,D$93-SUM(E$100:E124))</f>
        <v>544656.49933160527</v>
      </c>
      <c r="E125" s="509">
        <f t="shared" si="18"/>
        <v>56503.788181818185</v>
      </c>
      <c r="F125" s="510">
        <f t="shared" si="19"/>
        <v>488152.71114978706</v>
      </c>
      <c r="G125" s="510">
        <f t="shared" si="20"/>
        <v>516404.60524069617</v>
      </c>
      <c r="H125" s="523">
        <f t="shared" si="21"/>
        <v>112280.24985838008</v>
      </c>
      <c r="I125" s="572">
        <f t="shared" si="22"/>
        <v>112280.24985838008</v>
      </c>
      <c r="J125" s="504">
        <f t="shared" si="17"/>
        <v>0</v>
      </c>
      <c r="K125" s="504"/>
      <c r="L125" s="512"/>
      <c r="M125" s="504">
        <f t="shared" si="23"/>
        <v>0</v>
      </c>
      <c r="N125" s="512"/>
      <c r="O125" s="504">
        <f t="shared" si="15"/>
        <v>0</v>
      </c>
      <c r="P125" s="504">
        <f t="shared" si="16"/>
        <v>0</v>
      </c>
      <c r="Q125" s="243"/>
      <c r="R125" s="243"/>
      <c r="S125" s="243"/>
      <c r="T125" s="243"/>
      <c r="U125" s="243"/>
    </row>
    <row r="126" spans="3:21" ht="12.5">
      <c r="C126" s="495">
        <f>IF(D94="","-",+C125+1)</f>
        <v>2040</v>
      </c>
      <c r="D126" s="349">
        <f>IF(F125+SUM(E$100:E125)=D$93,F125,D$93-SUM(E$100:E125))</f>
        <v>488152.71114978706</v>
      </c>
      <c r="E126" s="509">
        <f t="shared" si="18"/>
        <v>56503.788181818185</v>
      </c>
      <c r="F126" s="510">
        <f t="shared" si="19"/>
        <v>431648.92296796886</v>
      </c>
      <c r="G126" s="510">
        <f t="shared" si="20"/>
        <v>459900.81705887796</v>
      </c>
      <c r="H126" s="523">
        <f t="shared" si="21"/>
        <v>106177.31943498697</v>
      </c>
      <c r="I126" s="572">
        <f t="shared" si="22"/>
        <v>106177.31943498697</v>
      </c>
      <c r="J126" s="504">
        <f t="shared" si="17"/>
        <v>0</v>
      </c>
      <c r="K126" s="504"/>
      <c r="L126" s="512"/>
      <c r="M126" s="504">
        <f t="shared" si="23"/>
        <v>0</v>
      </c>
      <c r="N126" s="512"/>
      <c r="O126" s="504">
        <f t="shared" si="15"/>
        <v>0</v>
      </c>
      <c r="P126" s="504">
        <f t="shared" si="16"/>
        <v>0</v>
      </c>
      <c r="Q126" s="243"/>
      <c r="R126" s="243"/>
      <c r="S126" s="243"/>
      <c r="T126" s="243"/>
      <c r="U126" s="243"/>
    </row>
    <row r="127" spans="3:21" ht="12.5">
      <c r="C127" s="495">
        <f>IF(D94="","-",+C126+1)</f>
        <v>2041</v>
      </c>
      <c r="D127" s="349">
        <f>IF(F126+SUM(E$100:E126)=D$93,F126,D$93-SUM(E$100:E126))</f>
        <v>431648.92296796886</v>
      </c>
      <c r="E127" s="509">
        <f t="shared" si="18"/>
        <v>56503.788181818185</v>
      </c>
      <c r="F127" s="510">
        <f t="shared" si="19"/>
        <v>375145.13478615065</v>
      </c>
      <c r="G127" s="510">
        <f t="shared" si="20"/>
        <v>403397.02887705975</v>
      </c>
      <c r="H127" s="523">
        <f t="shared" si="21"/>
        <v>100074.38901159386</v>
      </c>
      <c r="I127" s="572">
        <f t="shared" si="22"/>
        <v>100074.38901159386</v>
      </c>
      <c r="J127" s="504">
        <f t="shared" si="17"/>
        <v>0</v>
      </c>
      <c r="K127" s="504"/>
      <c r="L127" s="512"/>
      <c r="M127" s="504">
        <f t="shared" si="23"/>
        <v>0</v>
      </c>
      <c r="N127" s="512"/>
      <c r="O127" s="504">
        <f t="shared" si="15"/>
        <v>0</v>
      </c>
      <c r="P127" s="504">
        <f t="shared" si="16"/>
        <v>0</v>
      </c>
      <c r="Q127" s="243"/>
      <c r="R127" s="243"/>
      <c r="S127" s="243"/>
      <c r="T127" s="243"/>
      <c r="U127" s="243"/>
    </row>
    <row r="128" spans="3:21" ht="12.5">
      <c r="C128" s="495">
        <f>IF(D94="","-",+C127+1)</f>
        <v>2042</v>
      </c>
      <c r="D128" s="349">
        <f>IF(F127+SUM(E$100:E127)=D$93,F127,D$93-SUM(E$100:E127))</f>
        <v>375145.13478615065</v>
      </c>
      <c r="E128" s="509">
        <f t="shared" si="18"/>
        <v>56503.788181818185</v>
      </c>
      <c r="F128" s="510">
        <f t="shared" si="19"/>
        <v>318641.34660433244</v>
      </c>
      <c r="G128" s="510">
        <f t="shared" si="20"/>
        <v>346893.24069524155</v>
      </c>
      <c r="H128" s="523">
        <f t="shared" si="21"/>
        <v>93971.458588200738</v>
      </c>
      <c r="I128" s="572">
        <f t="shared" si="22"/>
        <v>93971.458588200738</v>
      </c>
      <c r="J128" s="504">
        <f t="shared" si="17"/>
        <v>0</v>
      </c>
      <c r="K128" s="504"/>
      <c r="L128" s="512"/>
      <c r="M128" s="504">
        <f t="shared" si="23"/>
        <v>0</v>
      </c>
      <c r="N128" s="512"/>
      <c r="O128" s="504">
        <f t="shared" si="15"/>
        <v>0</v>
      </c>
      <c r="P128" s="504">
        <f t="shared" si="16"/>
        <v>0</v>
      </c>
      <c r="Q128" s="243"/>
      <c r="R128" s="243"/>
      <c r="S128" s="243"/>
      <c r="T128" s="243"/>
      <c r="U128" s="243"/>
    </row>
    <row r="129" spans="3:21" ht="12.5">
      <c r="C129" s="495">
        <f>IF(D94="","-",+C128+1)</f>
        <v>2043</v>
      </c>
      <c r="D129" s="349">
        <f>IF(F128+SUM(E$100:E128)=D$93,F128,D$93-SUM(E$100:E128))</f>
        <v>318641.34660433244</v>
      </c>
      <c r="E129" s="509">
        <f t="shared" si="18"/>
        <v>56503.788181818185</v>
      </c>
      <c r="F129" s="510">
        <f t="shared" si="19"/>
        <v>262137.55842251427</v>
      </c>
      <c r="G129" s="510">
        <f t="shared" si="20"/>
        <v>290389.45251342334</v>
      </c>
      <c r="H129" s="523">
        <f t="shared" si="21"/>
        <v>87868.528164807634</v>
      </c>
      <c r="I129" s="572">
        <f t="shared" si="22"/>
        <v>87868.528164807634</v>
      </c>
      <c r="J129" s="504">
        <f t="shared" si="17"/>
        <v>0</v>
      </c>
      <c r="K129" s="504"/>
      <c r="L129" s="512"/>
      <c r="M129" s="504">
        <f t="shared" si="23"/>
        <v>0</v>
      </c>
      <c r="N129" s="512"/>
      <c r="O129" s="504">
        <f t="shared" si="15"/>
        <v>0</v>
      </c>
      <c r="P129" s="504">
        <f t="shared" si="16"/>
        <v>0</v>
      </c>
      <c r="Q129" s="243"/>
      <c r="R129" s="243"/>
      <c r="S129" s="243"/>
      <c r="T129" s="243"/>
      <c r="U129" s="243"/>
    </row>
    <row r="130" spans="3:21" ht="12.5">
      <c r="C130" s="495">
        <f>IF(D94="","-",+C129+1)</f>
        <v>2044</v>
      </c>
      <c r="D130" s="349">
        <f>IF(F129+SUM(E$100:E129)=D$93,F129,D$93-SUM(E$100:E129))</f>
        <v>262137.55842251427</v>
      </c>
      <c r="E130" s="509">
        <f t="shared" si="18"/>
        <v>56503.788181818185</v>
      </c>
      <c r="F130" s="510">
        <f t="shared" si="19"/>
        <v>205633.77024069609</v>
      </c>
      <c r="G130" s="510">
        <f t="shared" si="20"/>
        <v>233885.66433160519</v>
      </c>
      <c r="H130" s="523">
        <f t="shared" si="21"/>
        <v>81765.597741414531</v>
      </c>
      <c r="I130" s="572">
        <f t="shared" si="22"/>
        <v>81765.597741414531</v>
      </c>
      <c r="J130" s="504">
        <f t="shared" si="17"/>
        <v>0</v>
      </c>
      <c r="K130" s="504"/>
      <c r="L130" s="512"/>
      <c r="M130" s="504">
        <f t="shared" si="23"/>
        <v>0</v>
      </c>
      <c r="N130" s="512"/>
      <c r="O130" s="504">
        <f t="shared" si="15"/>
        <v>0</v>
      </c>
      <c r="P130" s="504">
        <f t="shared" si="16"/>
        <v>0</v>
      </c>
      <c r="Q130" s="243"/>
      <c r="R130" s="243"/>
      <c r="S130" s="243"/>
      <c r="T130" s="243"/>
      <c r="U130" s="243"/>
    </row>
    <row r="131" spans="3:21" ht="12.5">
      <c r="C131" s="495">
        <f>IF(D94="","-",+C130+1)</f>
        <v>2045</v>
      </c>
      <c r="D131" s="349">
        <f>IF(F130+SUM(E$100:E130)=D$93,F130,D$93-SUM(E$100:E130))</f>
        <v>205633.77024069609</v>
      </c>
      <c r="E131" s="509">
        <f t="shared" si="18"/>
        <v>56503.788181818185</v>
      </c>
      <c r="F131" s="510">
        <f t="shared" si="19"/>
        <v>149129.98205887791</v>
      </c>
      <c r="G131" s="510">
        <f t="shared" si="20"/>
        <v>177381.87614978699</v>
      </c>
      <c r="H131" s="523">
        <f t="shared" si="21"/>
        <v>75662.667318021413</v>
      </c>
      <c r="I131" s="572">
        <f t="shared" si="22"/>
        <v>75662.667318021413</v>
      </c>
      <c r="J131" s="504">
        <f t="shared" si="17"/>
        <v>0</v>
      </c>
      <c r="K131" s="504"/>
      <c r="L131" s="512"/>
      <c r="M131" s="504">
        <f t="shared" si="23"/>
        <v>0</v>
      </c>
      <c r="N131" s="512"/>
      <c r="O131" s="504">
        <f t="shared" si="15"/>
        <v>0</v>
      </c>
      <c r="P131" s="504">
        <f t="shared" si="16"/>
        <v>0</v>
      </c>
      <c r="Q131" s="243"/>
      <c r="R131" s="243"/>
      <c r="S131" s="243"/>
      <c r="T131" s="243"/>
      <c r="U131" s="243"/>
    </row>
    <row r="132" spans="3:21" ht="12.5">
      <c r="C132" s="495">
        <f>IF(D94="","-",+C131+1)</f>
        <v>2046</v>
      </c>
      <c r="D132" s="349">
        <f>IF(F131+SUM(E$100:E131)=D$93,F131,D$93-SUM(E$100:E131))</f>
        <v>149129.98205887791</v>
      </c>
      <c r="E132" s="509">
        <f t="shared" si="18"/>
        <v>56503.788181818185</v>
      </c>
      <c r="F132" s="510">
        <f t="shared" si="19"/>
        <v>92626.193877059733</v>
      </c>
      <c r="G132" s="510">
        <f t="shared" si="20"/>
        <v>120878.08796796882</v>
      </c>
      <c r="H132" s="523">
        <f t="shared" si="21"/>
        <v>69559.73689462831</v>
      </c>
      <c r="I132" s="572">
        <f t="shared" si="22"/>
        <v>69559.73689462831</v>
      </c>
      <c r="J132" s="504">
        <f t="shared" si="17"/>
        <v>0</v>
      </c>
      <c r="K132" s="504"/>
      <c r="L132" s="512"/>
      <c r="M132" s="504">
        <f t="shared" ref="M132:M155" si="24">IF(L542&lt;&gt;0,+H542-L542,0)</f>
        <v>0</v>
      </c>
      <c r="N132" s="512"/>
      <c r="O132" s="504">
        <f t="shared" ref="O132:O155" si="25">IF(N542&lt;&gt;0,+I542-N542,0)</f>
        <v>0</v>
      </c>
      <c r="P132" s="504">
        <f t="shared" ref="P132:P155" si="26">+O542-M542</f>
        <v>0</v>
      </c>
      <c r="Q132" s="243"/>
      <c r="R132" s="243"/>
      <c r="S132" s="243"/>
      <c r="T132" s="243"/>
      <c r="U132" s="243"/>
    </row>
    <row r="133" spans="3:21" ht="12.5">
      <c r="C133" s="495">
        <f>IF(D94="","-",+C132+1)</f>
        <v>2047</v>
      </c>
      <c r="D133" s="349">
        <f>IF(F132+SUM(E$100:E132)=D$93,F132,D$93-SUM(E$100:E132))</f>
        <v>92626.193877059733</v>
      </c>
      <c r="E133" s="509">
        <f t="shared" si="18"/>
        <v>56503.788181818185</v>
      </c>
      <c r="F133" s="510">
        <f t="shared" si="19"/>
        <v>36122.405695241549</v>
      </c>
      <c r="G133" s="510">
        <f t="shared" si="20"/>
        <v>64374.299786150645</v>
      </c>
      <c r="H133" s="523">
        <f t="shared" si="21"/>
        <v>63456.806471235206</v>
      </c>
      <c r="I133" s="572">
        <f t="shared" si="22"/>
        <v>63456.806471235206</v>
      </c>
      <c r="J133" s="504">
        <f t="shared" si="17"/>
        <v>0</v>
      </c>
      <c r="K133" s="504"/>
      <c r="L133" s="512"/>
      <c r="M133" s="504">
        <f t="shared" si="24"/>
        <v>0</v>
      </c>
      <c r="N133" s="512"/>
      <c r="O133" s="504">
        <f t="shared" si="25"/>
        <v>0</v>
      </c>
      <c r="P133" s="504">
        <f t="shared" si="26"/>
        <v>0</v>
      </c>
      <c r="Q133" s="243"/>
      <c r="R133" s="243"/>
      <c r="S133" s="243"/>
      <c r="T133" s="243"/>
      <c r="U133" s="243"/>
    </row>
    <row r="134" spans="3:21" ht="12.5">
      <c r="C134" s="495">
        <f>IF(D94="","-",+C133+1)</f>
        <v>2048</v>
      </c>
      <c r="D134" s="349">
        <f>IF(F133+SUM(E$100:E133)=D$93,F133,D$93-SUM(E$100:E133))</f>
        <v>36122.405695241549</v>
      </c>
      <c r="E134" s="509">
        <f t="shared" si="18"/>
        <v>36122.405695241549</v>
      </c>
      <c r="F134" s="510">
        <f t="shared" si="19"/>
        <v>0</v>
      </c>
      <c r="G134" s="510">
        <f t="shared" si="20"/>
        <v>18061.202847620774</v>
      </c>
      <c r="H134" s="523">
        <f t="shared" si="21"/>
        <v>38073.182234101783</v>
      </c>
      <c r="I134" s="572">
        <f t="shared" si="22"/>
        <v>38073.182234101783</v>
      </c>
      <c r="J134" s="504">
        <f t="shared" si="17"/>
        <v>0</v>
      </c>
      <c r="K134" s="504"/>
      <c r="L134" s="512"/>
      <c r="M134" s="504">
        <f t="shared" si="24"/>
        <v>0</v>
      </c>
      <c r="N134" s="512"/>
      <c r="O134" s="504">
        <f t="shared" si="25"/>
        <v>0</v>
      </c>
      <c r="P134" s="504">
        <f t="shared" si="26"/>
        <v>0</v>
      </c>
      <c r="Q134" s="243"/>
      <c r="R134" s="243"/>
      <c r="S134" s="243"/>
      <c r="T134" s="243"/>
      <c r="U134" s="243"/>
    </row>
    <row r="135" spans="3:21" ht="12.5">
      <c r="C135" s="495">
        <f>IF(D94="","-",+C134+1)</f>
        <v>2049</v>
      </c>
      <c r="D135" s="349">
        <f>IF(F134+SUM(E$100:E134)=D$93,F134,D$93-SUM(E$100:E134))</f>
        <v>0</v>
      </c>
      <c r="E135" s="509">
        <f t="shared" si="18"/>
        <v>0</v>
      </c>
      <c r="F135" s="510">
        <f t="shared" si="19"/>
        <v>0</v>
      </c>
      <c r="G135" s="510">
        <f t="shared" si="20"/>
        <v>0</v>
      </c>
      <c r="H135" s="523">
        <f t="shared" si="21"/>
        <v>0</v>
      </c>
      <c r="I135" s="572">
        <f t="shared" si="22"/>
        <v>0</v>
      </c>
      <c r="J135" s="504">
        <f t="shared" si="17"/>
        <v>0</v>
      </c>
      <c r="K135" s="504"/>
      <c r="L135" s="512"/>
      <c r="M135" s="504">
        <f t="shared" si="24"/>
        <v>0</v>
      </c>
      <c r="N135" s="512"/>
      <c r="O135" s="504">
        <f t="shared" si="25"/>
        <v>0</v>
      </c>
      <c r="P135" s="504">
        <f t="shared" si="26"/>
        <v>0</v>
      </c>
      <c r="Q135" s="243"/>
      <c r="R135" s="243"/>
      <c r="S135" s="243"/>
      <c r="T135" s="243"/>
      <c r="U135" s="243"/>
    </row>
    <row r="136" spans="3:21" ht="12.5">
      <c r="C136" s="495">
        <f>IF(D94="","-",+C135+1)</f>
        <v>2050</v>
      </c>
      <c r="D136" s="349">
        <f>IF(F135+SUM(E$100:E135)=D$93,F135,D$93-SUM(E$100:E135))</f>
        <v>0</v>
      </c>
      <c r="E136" s="509">
        <f t="shared" si="18"/>
        <v>0</v>
      </c>
      <c r="F136" s="510">
        <f t="shared" si="19"/>
        <v>0</v>
      </c>
      <c r="G136" s="510">
        <f t="shared" si="20"/>
        <v>0</v>
      </c>
      <c r="H136" s="523">
        <f t="shared" si="21"/>
        <v>0</v>
      </c>
      <c r="I136" s="572">
        <f t="shared" si="22"/>
        <v>0</v>
      </c>
      <c r="J136" s="504">
        <f t="shared" si="17"/>
        <v>0</v>
      </c>
      <c r="K136" s="504"/>
      <c r="L136" s="512"/>
      <c r="M136" s="504">
        <f t="shared" si="24"/>
        <v>0</v>
      </c>
      <c r="N136" s="512"/>
      <c r="O136" s="504">
        <f t="shared" si="25"/>
        <v>0</v>
      </c>
      <c r="P136" s="504">
        <f t="shared" si="26"/>
        <v>0</v>
      </c>
      <c r="Q136" s="243"/>
      <c r="R136" s="243"/>
      <c r="S136" s="243"/>
      <c r="T136" s="243"/>
      <c r="U136" s="243"/>
    </row>
    <row r="137" spans="3:21" ht="12.5">
      <c r="C137" s="495">
        <f>IF(D94="","-",+C136+1)</f>
        <v>2051</v>
      </c>
      <c r="D137" s="349">
        <f>IF(F136+SUM(E$100:E136)=D$93,F136,D$93-SUM(E$100:E136))</f>
        <v>0</v>
      </c>
      <c r="E137" s="509">
        <f t="shared" si="18"/>
        <v>0</v>
      </c>
      <c r="F137" s="510">
        <f t="shared" si="19"/>
        <v>0</v>
      </c>
      <c r="G137" s="510">
        <f t="shared" si="20"/>
        <v>0</v>
      </c>
      <c r="H137" s="523">
        <f t="shared" si="21"/>
        <v>0</v>
      </c>
      <c r="I137" s="572">
        <f t="shared" si="22"/>
        <v>0</v>
      </c>
      <c r="J137" s="504">
        <f t="shared" si="17"/>
        <v>0</v>
      </c>
      <c r="K137" s="504"/>
      <c r="L137" s="512"/>
      <c r="M137" s="504">
        <f t="shared" si="24"/>
        <v>0</v>
      </c>
      <c r="N137" s="512"/>
      <c r="O137" s="504">
        <f t="shared" si="25"/>
        <v>0</v>
      </c>
      <c r="P137" s="504">
        <f t="shared" si="26"/>
        <v>0</v>
      </c>
      <c r="Q137" s="243"/>
      <c r="R137" s="243"/>
      <c r="S137" s="243"/>
      <c r="T137" s="243"/>
      <c r="U137" s="243"/>
    </row>
    <row r="138" spans="3:21" ht="12.5">
      <c r="C138" s="495">
        <f>IF(D94="","-",+C137+1)</f>
        <v>2052</v>
      </c>
      <c r="D138" s="349">
        <f>IF(F137+SUM(E$100:E137)=D$93,F137,D$93-SUM(E$100:E137))</f>
        <v>0</v>
      </c>
      <c r="E138" s="509">
        <f t="shared" si="18"/>
        <v>0</v>
      </c>
      <c r="F138" s="510">
        <f t="shared" si="19"/>
        <v>0</v>
      </c>
      <c r="G138" s="510">
        <f t="shared" si="20"/>
        <v>0</v>
      </c>
      <c r="H138" s="523">
        <f t="shared" si="21"/>
        <v>0</v>
      </c>
      <c r="I138" s="572">
        <f t="shared" si="22"/>
        <v>0</v>
      </c>
      <c r="J138" s="504">
        <f t="shared" si="17"/>
        <v>0</v>
      </c>
      <c r="K138" s="504"/>
      <c r="L138" s="512"/>
      <c r="M138" s="504">
        <f t="shared" si="24"/>
        <v>0</v>
      </c>
      <c r="N138" s="512"/>
      <c r="O138" s="504">
        <f t="shared" si="25"/>
        <v>0</v>
      </c>
      <c r="P138" s="504">
        <f t="shared" si="26"/>
        <v>0</v>
      </c>
      <c r="Q138" s="243"/>
      <c r="R138" s="243"/>
      <c r="S138" s="243"/>
      <c r="T138" s="243"/>
      <c r="U138" s="243"/>
    </row>
    <row r="139" spans="3:21" ht="12.5">
      <c r="C139" s="495">
        <f>IF(D94="","-",+C138+1)</f>
        <v>2053</v>
      </c>
      <c r="D139" s="349">
        <f>IF(F138+SUM(E$100:E138)=D$93,F138,D$93-SUM(E$100:E138))</f>
        <v>0</v>
      </c>
      <c r="E139" s="509">
        <f t="shared" si="18"/>
        <v>0</v>
      </c>
      <c r="F139" s="510">
        <f t="shared" si="19"/>
        <v>0</v>
      </c>
      <c r="G139" s="510">
        <f t="shared" si="20"/>
        <v>0</v>
      </c>
      <c r="H139" s="523">
        <f t="shared" si="21"/>
        <v>0</v>
      </c>
      <c r="I139" s="572">
        <f t="shared" si="22"/>
        <v>0</v>
      </c>
      <c r="J139" s="504">
        <f t="shared" si="17"/>
        <v>0</v>
      </c>
      <c r="K139" s="504"/>
      <c r="L139" s="512"/>
      <c r="M139" s="504">
        <f t="shared" si="24"/>
        <v>0</v>
      </c>
      <c r="N139" s="512"/>
      <c r="O139" s="504">
        <f t="shared" si="25"/>
        <v>0</v>
      </c>
      <c r="P139" s="504">
        <f t="shared" si="26"/>
        <v>0</v>
      </c>
      <c r="Q139" s="243"/>
      <c r="R139" s="243"/>
      <c r="S139" s="243"/>
      <c r="T139" s="243"/>
      <c r="U139" s="243"/>
    </row>
    <row r="140" spans="3:21" ht="12.5">
      <c r="C140" s="495">
        <f>IF(D94="","-",+C139+1)</f>
        <v>2054</v>
      </c>
      <c r="D140" s="349">
        <f>IF(F139+SUM(E$100:E139)=D$93,F139,D$93-SUM(E$100:E139))</f>
        <v>0</v>
      </c>
      <c r="E140" s="509">
        <f t="shared" si="18"/>
        <v>0</v>
      </c>
      <c r="F140" s="510">
        <f t="shared" si="19"/>
        <v>0</v>
      </c>
      <c r="G140" s="510">
        <f t="shared" si="20"/>
        <v>0</v>
      </c>
      <c r="H140" s="523">
        <f t="shared" si="21"/>
        <v>0</v>
      </c>
      <c r="I140" s="572">
        <f t="shared" si="22"/>
        <v>0</v>
      </c>
      <c r="J140" s="504">
        <f t="shared" si="17"/>
        <v>0</v>
      </c>
      <c r="K140" s="504"/>
      <c r="L140" s="512"/>
      <c r="M140" s="504">
        <f t="shared" si="24"/>
        <v>0</v>
      </c>
      <c r="N140" s="512"/>
      <c r="O140" s="504">
        <f t="shared" si="25"/>
        <v>0</v>
      </c>
      <c r="P140" s="504">
        <f t="shared" si="26"/>
        <v>0</v>
      </c>
      <c r="Q140" s="243"/>
      <c r="R140" s="243"/>
      <c r="S140" s="243"/>
      <c r="T140" s="243"/>
      <c r="U140" s="243"/>
    </row>
    <row r="141" spans="3:21" ht="12.5">
      <c r="C141" s="495">
        <f>IF(D94="","-",+C140+1)</f>
        <v>2055</v>
      </c>
      <c r="D141" s="349">
        <f>IF(F140+SUM(E$100:E140)=D$93,F140,D$93-SUM(E$100:E140))</f>
        <v>0</v>
      </c>
      <c r="E141" s="509">
        <f t="shared" si="18"/>
        <v>0</v>
      </c>
      <c r="F141" s="510">
        <f t="shared" si="19"/>
        <v>0</v>
      </c>
      <c r="G141" s="510">
        <f t="shared" si="20"/>
        <v>0</v>
      </c>
      <c r="H141" s="523">
        <f t="shared" si="21"/>
        <v>0</v>
      </c>
      <c r="I141" s="572">
        <f t="shared" si="22"/>
        <v>0</v>
      </c>
      <c r="J141" s="504">
        <f t="shared" si="17"/>
        <v>0</v>
      </c>
      <c r="K141" s="504"/>
      <c r="L141" s="512"/>
      <c r="M141" s="504">
        <f t="shared" si="24"/>
        <v>0</v>
      </c>
      <c r="N141" s="512"/>
      <c r="O141" s="504">
        <f t="shared" si="25"/>
        <v>0</v>
      </c>
      <c r="P141" s="504">
        <f t="shared" si="26"/>
        <v>0</v>
      </c>
      <c r="Q141" s="243"/>
      <c r="R141" s="243"/>
      <c r="S141" s="243"/>
      <c r="T141" s="243"/>
      <c r="U141" s="243"/>
    </row>
    <row r="142" spans="3:21" ht="12.5">
      <c r="C142" s="495">
        <f>IF(D94="","-",+C141+1)</f>
        <v>2056</v>
      </c>
      <c r="D142" s="349">
        <f>IF(F141+SUM(E$100:E141)=D$93,F141,D$93-SUM(E$100:E141))</f>
        <v>0</v>
      </c>
      <c r="E142" s="509">
        <f t="shared" si="18"/>
        <v>0</v>
      </c>
      <c r="F142" s="510">
        <f t="shared" si="19"/>
        <v>0</v>
      </c>
      <c r="G142" s="510">
        <f t="shared" si="20"/>
        <v>0</v>
      </c>
      <c r="H142" s="523">
        <f t="shared" si="21"/>
        <v>0</v>
      </c>
      <c r="I142" s="572">
        <f t="shared" si="22"/>
        <v>0</v>
      </c>
      <c r="J142" s="504">
        <f t="shared" si="17"/>
        <v>0</v>
      </c>
      <c r="K142" s="504"/>
      <c r="L142" s="512"/>
      <c r="M142" s="504">
        <f t="shared" si="24"/>
        <v>0</v>
      </c>
      <c r="N142" s="512"/>
      <c r="O142" s="504">
        <f t="shared" si="25"/>
        <v>0</v>
      </c>
      <c r="P142" s="504">
        <f t="shared" si="26"/>
        <v>0</v>
      </c>
      <c r="Q142" s="243"/>
      <c r="R142" s="243"/>
      <c r="S142" s="243"/>
      <c r="T142" s="243"/>
      <c r="U142" s="243"/>
    </row>
    <row r="143" spans="3:21" ht="12.5">
      <c r="C143" s="495">
        <f>IF(D94="","-",+C142+1)</f>
        <v>2057</v>
      </c>
      <c r="D143" s="349">
        <f>IF(F142+SUM(E$100:E142)=D$93,F142,D$93-SUM(E$100:E142))</f>
        <v>0</v>
      </c>
      <c r="E143" s="509">
        <f t="shared" si="18"/>
        <v>0</v>
      </c>
      <c r="F143" s="510">
        <f t="shared" si="19"/>
        <v>0</v>
      </c>
      <c r="G143" s="510">
        <f t="shared" si="20"/>
        <v>0</v>
      </c>
      <c r="H143" s="523">
        <f t="shared" si="21"/>
        <v>0</v>
      </c>
      <c r="I143" s="572">
        <f t="shared" si="22"/>
        <v>0</v>
      </c>
      <c r="J143" s="504">
        <f t="shared" si="17"/>
        <v>0</v>
      </c>
      <c r="K143" s="504"/>
      <c r="L143" s="512"/>
      <c r="M143" s="504">
        <f t="shared" si="24"/>
        <v>0</v>
      </c>
      <c r="N143" s="512"/>
      <c r="O143" s="504">
        <f t="shared" si="25"/>
        <v>0</v>
      </c>
      <c r="P143" s="504">
        <f t="shared" si="26"/>
        <v>0</v>
      </c>
      <c r="Q143" s="243"/>
      <c r="R143" s="243"/>
      <c r="S143" s="243"/>
      <c r="T143" s="243"/>
      <c r="U143" s="243"/>
    </row>
    <row r="144" spans="3:21" ht="12.5">
      <c r="C144" s="495">
        <f>IF(D94="","-",+C143+1)</f>
        <v>2058</v>
      </c>
      <c r="D144" s="349">
        <f>IF(F143+SUM(E$100:E143)=D$93,F143,D$93-SUM(E$100:E143))</f>
        <v>0</v>
      </c>
      <c r="E144" s="509">
        <f t="shared" si="18"/>
        <v>0</v>
      </c>
      <c r="F144" s="510">
        <f t="shared" si="19"/>
        <v>0</v>
      </c>
      <c r="G144" s="510">
        <f t="shared" si="20"/>
        <v>0</v>
      </c>
      <c r="H144" s="523">
        <f t="shared" si="21"/>
        <v>0</v>
      </c>
      <c r="I144" s="572">
        <f t="shared" si="22"/>
        <v>0</v>
      </c>
      <c r="J144" s="504">
        <f t="shared" si="17"/>
        <v>0</v>
      </c>
      <c r="K144" s="504"/>
      <c r="L144" s="512"/>
      <c r="M144" s="504">
        <f t="shared" si="24"/>
        <v>0</v>
      </c>
      <c r="N144" s="512"/>
      <c r="O144" s="504">
        <f t="shared" si="25"/>
        <v>0</v>
      </c>
      <c r="P144" s="504">
        <f t="shared" si="26"/>
        <v>0</v>
      </c>
      <c r="Q144" s="243"/>
      <c r="R144" s="243"/>
      <c r="S144" s="243"/>
      <c r="T144" s="243"/>
      <c r="U144" s="243"/>
    </row>
    <row r="145" spans="3:21" ht="12.5">
      <c r="C145" s="495">
        <f>IF(D94="","-",+C144+1)</f>
        <v>2059</v>
      </c>
      <c r="D145" s="349">
        <f>IF(F144+SUM(E$100:E144)=D$93,F144,D$93-SUM(E$100:E144))</f>
        <v>0</v>
      </c>
      <c r="E145" s="509">
        <f t="shared" si="18"/>
        <v>0</v>
      </c>
      <c r="F145" s="510">
        <f t="shared" si="19"/>
        <v>0</v>
      </c>
      <c r="G145" s="510">
        <f t="shared" si="20"/>
        <v>0</v>
      </c>
      <c r="H145" s="523">
        <f t="shared" si="21"/>
        <v>0</v>
      </c>
      <c r="I145" s="572">
        <f t="shared" si="22"/>
        <v>0</v>
      </c>
      <c r="J145" s="504">
        <f t="shared" si="17"/>
        <v>0</v>
      </c>
      <c r="K145" s="504"/>
      <c r="L145" s="512"/>
      <c r="M145" s="504">
        <f t="shared" si="24"/>
        <v>0</v>
      </c>
      <c r="N145" s="512"/>
      <c r="O145" s="504">
        <f t="shared" si="25"/>
        <v>0</v>
      </c>
      <c r="P145" s="504">
        <f t="shared" si="26"/>
        <v>0</v>
      </c>
      <c r="Q145" s="243"/>
      <c r="R145" s="243"/>
      <c r="S145" s="243"/>
      <c r="T145" s="243"/>
      <c r="U145" s="243"/>
    </row>
    <row r="146" spans="3:21" ht="12.5">
      <c r="C146" s="495">
        <f>IF(D94="","-",+C145+1)</f>
        <v>2060</v>
      </c>
      <c r="D146" s="349">
        <f>IF(F145+SUM(E$100:E145)=D$93,F145,D$93-SUM(E$100:E145))</f>
        <v>0</v>
      </c>
      <c r="E146" s="509">
        <f t="shared" si="18"/>
        <v>0</v>
      </c>
      <c r="F146" s="510">
        <f t="shared" si="19"/>
        <v>0</v>
      </c>
      <c r="G146" s="510">
        <f t="shared" si="20"/>
        <v>0</v>
      </c>
      <c r="H146" s="523">
        <f t="shared" si="21"/>
        <v>0</v>
      </c>
      <c r="I146" s="572">
        <f t="shared" si="22"/>
        <v>0</v>
      </c>
      <c r="J146" s="504">
        <f t="shared" si="17"/>
        <v>0</v>
      </c>
      <c r="K146" s="504"/>
      <c r="L146" s="512"/>
      <c r="M146" s="504">
        <f t="shared" si="24"/>
        <v>0</v>
      </c>
      <c r="N146" s="512"/>
      <c r="O146" s="504">
        <f t="shared" si="25"/>
        <v>0</v>
      </c>
      <c r="P146" s="504">
        <f t="shared" si="26"/>
        <v>0</v>
      </c>
      <c r="Q146" s="243"/>
      <c r="R146" s="243"/>
      <c r="S146" s="243"/>
      <c r="T146" s="243"/>
      <c r="U146" s="243"/>
    </row>
    <row r="147" spans="3:21" ht="12.5">
      <c r="C147" s="495">
        <f>IF(D94="","-",+C146+1)</f>
        <v>2061</v>
      </c>
      <c r="D147" s="349">
        <f>IF(F146+SUM(E$100:E146)=D$93,F146,D$93-SUM(E$100:E146))</f>
        <v>0</v>
      </c>
      <c r="E147" s="509">
        <f t="shared" si="18"/>
        <v>0</v>
      </c>
      <c r="F147" s="510">
        <f t="shared" si="19"/>
        <v>0</v>
      </c>
      <c r="G147" s="510">
        <f t="shared" si="20"/>
        <v>0</v>
      </c>
      <c r="H147" s="523">
        <f t="shared" si="21"/>
        <v>0</v>
      </c>
      <c r="I147" s="572">
        <f t="shared" si="22"/>
        <v>0</v>
      </c>
      <c r="J147" s="504">
        <f t="shared" si="17"/>
        <v>0</v>
      </c>
      <c r="K147" s="504"/>
      <c r="L147" s="512"/>
      <c r="M147" s="504">
        <f t="shared" si="24"/>
        <v>0</v>
      </c>
      <c r="N147" s="512"/>
      <c r="O147" s="504">
        <f t="shared" si="25"/>
        <v>0</v>
      </c>
      <c r="P147" s="504">
        <f t="shared" si="26"/>
        <v>0</v>
      </c>
      <c r="Q147" s="243"/>
      <c r="R147" s="243"/>
      <c r="S147" s="243"/>
      <c r="T147" s="243"/>
      <c r="U147" s="243"/>
    </row>
    <row r="148" spans="3:21" ht="12.5">
      <c r="C148" s="495">
        <f>IF(D94="","-",+C147+1)</f>
        <v>2062</v>
      </c>
      <c r="D148" s="349">
        <f>IF(F147+SUM(E$100:E147)=D$93,F147,D$93-SUM(E$100:E147))</f>
        <v>0</v>
      </c>
      <c r="E148" s="509">
        <f t="shared" si="18"/>
        <v>0</v>
      </c>
      <c r="F148" s="510">
        <f t="shared" si="19"/>
        <v>0</v>
      </c>
      <c r="G148" s="510">
        <f t="shared" si="20"/>
        <v>0</v>
      </c>
      <c r="H148" s="523">
        <f t="shared" si="21"/>
        <v>0</v>
      </c>
      <c r="I148" s="572">
        <f t="shared" si="22"/>
        <v>0</v>
      </c>
      <c r="J148" s="504">
        <f t="shared" si="17"/>
        <v>0</v>
      </c>
      <c r="K148" s="504"/>
      <c r="L148" s="512"/>
      <c r="M148" s="504">
        <f t="shared" si="24"/>
        <v>0</v>
      </c>
      <c r="N148" s="512"/>
      <c r="O148" s="504">
        <f t="shared" si="25"/>
        <v>0</v>
      </c>
      <c r="P148" s="504">
        <f t="shared" si="26"/>
        <v>0</v>
      </c>
      <c r="Q148" s="243"/>
      <c r="R148" s="243"/>
      <c r="S148" s="243"/>
      <c r="T148" s="243"/>
      <c r="U148" s="243"/>
    </row>
    <row r="149" spans="3:21" ht="12.5">
      <c r="C149" s="495">
        <f>IF(D94="","-",+C148+1)</f>
        <v>2063</v>
      </c>
      <c r="D149" s="349">
        <f>IF(F148+SUM(E$100:E148)=D$93,F148,D$93-SUM(E$100:E148))</f>
        <v>0</v>
      </c>
      <c r="E149" s="509">
        <f t="shared" si="18"/>
        <v>0</v>
      </c>
      <c r="F149" s="510">
        <f t="shared" si="19"/>
        <v>0</v>
      </c>
      <c r="G149" s="510">
        <f t="shared" si="20"/>
        <v>0</v>
      </c>
      <c r="H149" s="523">
        <f t="shared" si="21"/>
        <v>0</v>
      </c>
      <c r="I149" s="572">
        <f t="shared" si="22"/>
        <v>0</v>
      </c>
      <c r="J149" s="504">
        <f t="shared" si="17"/>
        <v>0</v>
      </c>
      <c r="K149" s="504"/>
      <c r="L149" s="512"/>
      <c r="M149" s="504">
        <f t="shared" si="24"/>
        <v>0</v>
      </c>
      <c r="N149" s="512"/>
      <c r="O149" s="504">
        <f t="shared" si="25"/>
        <v>0</v>
      </c>
      <c r="P149" s="504">
        <f t="shared" si="26"/>
        <v>0</v>
      </c>
      <c r="Q149" s="243"/>
      <c r="R149" s="243"/>
      <c r="S149" s="243"/>
      <c r="T149" s="243"/>
      <c r="U149" s="243"/>
    </row>
    <row r="150" spans="3:21" ht="12.5">
      <c r="C150" s="495">
        <f>IF(D94="","-",+C149+1)</f>
        <v>2064</v>
      </c>
      <c r="D150" s="349">
        <f>IF(F149+SUM(E$100:E149)=D$93,F149,D$93-SUM(E$100:E149))</f>
        <v>0</v>
      </c>
      <c r="E150" s="509">
        <f t="shared" si="18"/>
        <v>0</v>
      </c>
      <c r="F150" s="510">
        <f t="shared" si="19"/>
        <v>0</v>
      </c>
      <c r="G150" s="510">
        <f t="shared" si="20"/>
        <v>0</v>
      </c>
      <c r="H150" s="523">
        <f t="shared" si="21"/>
        <v>0</v>
      </c>
      <c r="I150" s="572">
        <f t="shared" si="22"/>
        <v>0</v>
      </c>
      <c r="J150" s="504">
        <f t="shared" si="17"/>
        <v>0</v>
      </c>
      <c r="K150" s="504"/>
      <c r="L150" s="512"/>
      <c r="M150" s="504">
        <f t="shared" si="24"/>
        <v>0</v>
      </c>
      <c r="N150" s="512"/>
      <c r="O150" s="504">
        <f t="shared" si="25"/>
        <v>0</v>
      </c>
      <c r="P150" s="504">
        <f t="shared" si="26"/>
        <v>0</v>
      </c>
      <c r="Q150" s="243"/>
      <c r="R150" s="243"/>
      <c r="S150" s="243"/>
      <c r="T150" s="243"/>
      <c r="U150" s="243"/>
    </row>
    <row r="151" spans="3:21" ht="12.5">
      <c r="C151" s="495">
        <f>IF(D94="","-",+C150+1)</f>
        <v>2065</v>
      </c>
      <c r="D151" s="349">
        <f>IF(F150+SUM(E$100:E150)=D$93,F150,D$93-SUM(E$100:E150))</f>
        <v>0</v>
      </c>
      <c r="E151" s="509">
        <f t="shared" si="18"/>
        <v>0</v>
      </c>
      <c r="F151" s="510">
        <f t="shared" si="19"/>
        <v>0</v>
      </c>
      <c r="G151" s="510">
        <f t="shared" si="20"/>
        <v>0</v>
      </c>
      <c r="H151" s="523">
        <f t="shared" si="21"/>
        <v>0</v>
      </c>
      <c r="I151" s="572">
        <f t="shared" si="22"/>
        <v>0</v>
      </c>
      <c r="J151" s="504">
        <f t="shared" si="17"/>
        <v>0</v>
      </c>
      <c r="K151" s="504"/>
      <c r="L151" s="512"/>
      <c r="M151" s="504">
        <f t="shared" si="24"/>
        <v>0</v>
      </c>
      <c r="N151" s="512"/>
      <c r="O151" s="504">
        <f t="shared" si="25"/>
        <v>0</v>
      </c>
      <c r="P151" s="504">
        <f t="shared" si="26"/>
        <v>0</v>
      </c>
      <c r="Q151" s="243"/>
      <c r="R151" s="243"/>
      <c r="S151" s="243"/>
      <c r="T151" s="243"/>
      <c r="U151" s="243"/>
    </row>
    <row r="152" spans="3:21" ht="12.5">
      <c r="C152" s="495">
        <f>IF(D94="","-",+C151+1)</f>
        <v>2066</v>
      </c>
      <c r="D152" s="349">
        <f>IF(F151+SUM(E$100:E151)=D$93,F151,D$93-SUM(E$100:E151))</f>
        <v>0</v>
      </c>
      <c r="E152" s="509">
        <f t="shared" si="18"/>
        <v>0</v>
      </c>
      <c r="F152" s="510">
        <f t="shared" si="19"/>
        <v>0</v>
      </c>
      <c r="G152" s="510">
        <f t="shared" si="20"/>
        <v>0</v>
      </c>
      <c r="H152" s="523">
        <f t="shared" si="21"/>
        <v>0</v>
      </c>
      <c r="I152" s="572">
        <f t="shared" si="22"/>
        <v>0</v>
      </c>
      <c r="J152" s="504">
        <f t="shared" si="17"/>
        <v>0</v>
      </c>
      <c r="K152" s="504"/>
      <c r="L152" s="512"/>
      <c r="M152" s="504">
        <f t="shared" si="24"/>
        <v>0</v>
      </c>
      <c r="N152" s="512"/>
      <c r="O152" s="504">
        <f t="shared" si="25"/>
        <v>0</v>
      </c>
      <c r="P152" s="504">
        <f t="shared" si="26"/>
        <v>0</v>
      </c>
      <c r="Q152" s="243"/>
      <c r="R152" s="243"/>
      <c r="S152" s="243"/>
      <c r="T152" s="243"/>
      <c r="U152" s="243"/>
    </row>
    <row r="153" spans="3:21" ht="12.5">
      <c r="C153" s="495">
        <f>IF(D94="","-",+C152+1)</f>
        <v>2067</v>
      </c>
      <c r="D153" s="349">
        <f>IF(F152+SUM(E$100:E152)=D$93,F152,D$93-SUM(E$100:E152))</f>
        <v>0</v>
      </c>
      <c r="E153" s="509">
        <f t="shared" si="18"/>
        <v>0</v>
      </c>
      <c r="F153" s="510">
        <f t="shared" si="19"/>
        <v>0</v>
      </c>
      <c r="G153" s="510">
        <f t="shared" si="20"/>
        <v>0</v>
      </c>
      <c r="H153" s="523">
        <f t="shared" si="21"/>
        <v>0</v>
      </c>
      <c r="I153" s="572">
        <f t="shared" si="22"/>
        <v>0</v>
      </c>
      <c r="J153" s="504">
        <f t="shared" si="17"/>
        <v>0</v>
      </c>
      <c r="K153" s="504"/>
      <c r="L153" s="512"/>
      <c r="M153" s="504">
        <f t="shared" si="24"/>
        <v>0</v>
      </c>
      <c r="N153" s="512"/>
      <c r="O153" s="504">
        <f t="shared" si="25"/>
        <v>0</v>
      </c>
      <c r="P153" s="504">
        <f t="shared" si="26"/>
        <v>0</v>
      </c>
      <c r="Q153" s="243"/>
      <c r="R153" s="243"/>
      <c r="S153" s="243"/>
      <c r="T153" s="243"/>
      <c r="U153" s="243"/>
    </row>
    <row r="154" spans="3:21" ht="12.5">
      <c r="C154" s="495">
        <f>IF(D94="","-",+C153+1)</f>
        <v>2068</v>
      </c>
      <c r="D154" s="349">
        <f>IF(F153+SUM(E$100:E153)=D$93,F153,D$93-SUM(E$100:E153))</f>
        <v>0</v>
      </c>
      <c r="E154" s="509">
        <f t="shared" si="18"/>
        <v>0</v>
      </c>
      <c r="F154" s="510">
        <f t="shared" si="19"/>
        <v>0</v>
      </c>
      <c r="G154" s="510">
        <f t="shared" si="20"/>
        <v>0</v>
      </c>
      <c r="H154" s="523">
        <f t="shared" si="21"/>
        <v>0</v>
      </c>
      <c r="I154" s="572">
        <f t="shared" si="22"/>
        <v>0</v>
      </c>
      <c r="J154" s="504">
        <f t="shared" si="17"/>
        <v>0</v>
      </c>
      <c r="K154" s="504"/>
      <c r="L154" s="512"/>
      <c r="M154" s="504">
        <f t="shared" si="24"/>
        <v>0</v>
      </c>
      <c r="N154" s="512"/>
      <c r="O154" s="504">
        <f t="shared" si="25"/>
        <v>0</v>
      </c>
      <c r="P154" s="504">
        <f t="shared" si="26"/>
        <v>0</v>
      </c>
      <c r="Q154" s="243"/>
      <c r="R154" s="243"/>
      <c r="S154" s="243"/>
      <c r="T154" s="243"/>
      <c r="U154" s="243"/>
    </row>
    <row r="155" spans="3:21" ht="13" thickBot="1">
      <c r="C155" s="524">
        <f>IF(D94="","-",+C154+1)</f>
        <v>2069</v>
      </c>
      <c r="D155" s="618">
        <f>IF(F154+SUM(E$100:E154)=D$93,F154,D$93-SUM(E$100:E154))</f>
        <v>0</v>
      </c>
      <c r="E155" s="526">
        <f t="shared" si="18"/>
        <v>0</v>
      </c>
      <c r="F155" s="527">
        <f t="shared" si="19"/>
        <v>0</v>
      </c>
      <c r="G155" s="527">
        <f t="shared" si="20"/>
        <v>0</v>
      </c>
      <c r="H155" s="528">
        <f t="shared" si="21"/>
        <v>0</v>
      </c>
      <c r="I155" s="573">
        <f t="shared" si="22"/>
        <v>0</v>
      </c>
      <c r="J155" s="531">
        <f t="shared" si="17"/>
        <v>0</v>
      </c>
      <c r="K155" s="504"/>
      <c r="L155" s="530"/>
      <c r="M155" s="531">
        <f t="shared" si="24"/>
        <v>0</v>
      </c>
      <c r="N155" s="530"/>
      <c r="O155" s="531">
        <f t="shared" si="25"/>
        <v>0</v>
      </c>
      <c r="P155" s="531">
        <f t="shared" si="26"/>
        <v>0</v>
      </c>
      <c r="Q155" s="243"/>
      <c r="R155" s="243"/>
      <c r="S155" s="243"/>
      <c r="T155" s="243"/>
      <c r="U155" s="243"/>
    </row>
    <row r="156" spans="3:21" ht="12.5">
      <c r="C156" s="349" t="s">
        <v>75</v>
      </c>
      <c r="D156" s="294"/>
      <c r="E156" s="294">
        <f>SUM(E100:E155)</f>
        <v>1864625.0099999998</v>
      </c>
      <c r="F156" s="294"/>
      <c r="G156" s="294"/>
      <c r="H156" s="294">
        <f>SUM(H100:H155)</f>
        <v>5428015.2143216524</v>
      </c>
      <c r="I156" s="294">
        <f>SUM(I100:I155)</f>
        <v>5428015.2143216524</v>
      </c>
      <c r="J156" s="294">
        <f>SUM(J100:J155)</f>
        <v>0</v>
      </c>
      <c r="K156" s="294"/>
      <c r="L156" s="294"/>
      <c r="M156" s="294"/>
      <c r="N156" s="294"/>
      <c r="O156" s="294"/>
      <c r="P156" s="243"/>
      <c r="Q156" s="243"/>
      <c r="R156" s="243"/>
      <c r="S156" s="243"/>
      <c r="T156" s="243"/>
      <c r="U156" s="243"/>
    </row>
    <row r="157" spans="3: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3:21" ht="12.5">
      <c r="C158" s="574"/>
      <c r="D158" s="292"/>
      <c r="E158" s="243"/>
      <c r="F158" s="243"/>
      <c r="G158" s="243"/>
      <c r="H158" s="243"/>
      <c r="I158" s="325"/>
      <c r="J158" s="325"/>
      <c r="K158" s="294"/>
      <c r="L158" s="325"/>
      <c r="M158" s="325"/>
      <c r="N158" s="325"/>
      <c r="O158" s="325"/>
      <c r="P158" s="243"/>
      <c r="Q158" s="243"/>
      <c r="R158" s="243"/>
      <c r="S158" s="243"/>
      <c r="T158" s="243"/>
      <c r="U158" s="243"/>
    </row>
    <row r="159" spans="3: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3: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6" priority="1" stopIfTrue="1" operator="equal">
      <formula>$I$10</formula>
    </cfRule>
  </conditionalFormatting>
  <conditionalFormatting sqref="C100:C155">
    <cfRule type="cellIs" dxfId="35"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U163"/>
  <sheetViews>
    <sheetView view="pageBreakPreview" zoomScale="78" zoomScaleNormal="100" zoomScaleSheetLayoutView="78"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9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1061489.8962062567</v>
      </c>
      <c r="P5" s="243"/>
      <c r="R5" s="243"/>
      <c r="S5" s="243"/>
      <c r="T5" s="243"/>
      <c r="U5" s="243"/>
    </row>
    <row r="6" spans="1:21" ht="15.5">
      <c r="C6" s="235"/>
      <c r="D6" s="292"/>
      <c r="E6" s="243"/>
      <c r="F6" s="243"/>
      <c r="G6" s="243"/>
      <c r="H6" s="449"/>
      <c r="I6" s="449"/>
      <c r="J6" s="450"/>
      <c r="K6" s="451" t="s">
        <v>243</v>
      </c>
      <c r="L6" s="452"/>
      <c r="M6" s="278"/>
      <c r="N6" s="453">
        <f>VLOOKUP(I10,C17:I73,6)</f>
        <v>1061489.8962062567</v>
      </c>
      <c r="O6" s="243"/>
      <c r="P6" s="243"/>
      <c r="R6" s="243"/>
      <c r="S6" s="243"/>
      <c r="T6" s="243"/>
      <c r="U6" s="243"/>
    </row>
    <row r="7" spans="1:21" ht="13.5" thickBot="1">
      <c r="C7" s="454" t="s">
        <v>46</v>
      </c>
      <c r="D7" s="455" t="s">
        <v>220</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219</v>
      </c>
      <c r="E9" s="647" t="s">
        <v>304</v>
      </c>
      <c r="F9" s="465"/>
      <c r="G9" s="465"/>
      <c r="H9" s="465"/>
      <c r="I9" s="466"/>
      <c r="J9" s="467"/>
      <c r="O9" s="468"/>
      <c r="P9" s="278"/>
      <c r="R9" s="243"/>
      <c r="S9" s="243"/>
      <c r="T9" s="243"/>
      <c r="U9" s="243"/>
    </row>
    <row r="10" spans="1:21" ht="13">
      <c r="C10" s="469" t="s">
        <v>49</v>
      </c>
      <c r="D10" s="470">
        <v>8535104</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2015</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6</v>
      </c>
      <c r="E12" s="472" t="s">
        <v>55</v>
      </c>
      <c r="F12" s="408"/>
      <c r="G12" s="220"/>
      <c r="H12" s="220"/>
      <c r="I12" s="476">
        <f>OKT.WS.F.BPU.ATRR.Projected!$F$79</f>
        <v>0.10818506718567715</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275325.93548387097</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2015</v>
      </c>
      <c r="D17" s="612">
        <v>7400000</v>
      </c>
      <c r="E17" s="620">
        <v>74674.92363561083</v>
      </c>
      <c r="F17" s="612">
        <v>7325325.0763643896</v>
      </c>
      <c r="G17" s="620">
        <v>578000.14938532724</v>
      </c>
      <c r="H17" s="617">
        <v>578000.14938532724</v>
      </c>
      <c r="I17" s="500">
        <v>0</v>
      </c>
      <c r="J17" s="500"/>
      <c r="K17" s="506">
        <f t="shared" ref="K17:K22" si="1">G17</f>
        <v>578000.14938532724</v>
      </c>
      <c r="L17" s="507">
        <f t="shared" ref="L17:L22" si="2">IF(K17&lt;&gt;0,+G17-K17,0)</f>
        <v>0</v>
      </c>
      <c r="M17" s="506">
        <f t="shared" ref="M17:M22" si="3">H17</f>
        <v>578000.14938532724</v>
      </c>
      <c r="N17" s="504">
        <f>IF(M17&lt;&gt;0,+H17-M17,0)</f>
        <v>0</v>
      </c>
      <c r="O17" s="504">
        <f>+N17-L17</f>
        <v>0</v>
      </c>
      <c r="P17" s="278"/>
      <c r="R17" s="243"/>
      <c r="S17" s="243"/>
      <c r="T17" s="243"/>
      <c r="U17" s="243"/>
    </row>
    <row r="18" spans="2:21" ht="12.5">
      <c r="B18" s="145" t="str">
        <f t="shared" si="0"/>
        <v>IU</v>
      </c>
      <c r="C18" s="495">
        <f>IF(D11="","-",+C17+1)</f>
        <v>2016</v>
      </c>
      <c r="D18" s="617">
        <v>8381815.0763643896</v>
      </c>
      <c r="E18" s="617">
        <v>175721.24624335562</v>
      </c>
      <c r="F18" s="617">
        <v>8206093.8301210338</v>
      </c>
      <c r="G18" s="617">
        <v>1060997.6854975934</v>
      </c>
      <c r="H18" s="617">
        <v>1060997.6854975934</v>
      </c>
      <c r="I18" s="500">
        <f>H18-G18</f>
        <v>0</v>
      </c>
      <c r="J18" s="500"/>
      <c r="K18" s="506">
        <f t="shared" si="1"/>
        <v>1060997.6854975934</v>
      </c>
      <c r="L18" s="507">
        <f t="shared" si="2"/>
        <v>0</v>
      </c>
      <c r="M18" s="506">
        <f t="shared" si="3"/>
        <v>1060997.6854975934</v>
      </c>
      <c r="N18" s="504">
        <f t="shared" ref="N18:N73" si="4">IF(M18&lt;&gt;0,+H18-M18,0)</f>
        <v>0</v>
      </c>
      <c r="O18" s="504">
        <f t="shared" ref="O18:O73" si="5">+N18-L18</f>
        <v>0</v>
      </c>
      <c r="P18" s="278"/>
      <c r="R18" s="243"/>
      <c r="S18" s="243"/>
      <c r="T18" s="243"/>
      <c r="U18" s="243"/>
    </row>
    <row r="19" spans="2:21" ht="12.5">
      <c r="B19" s="145" t="str">
        <f t="shared" si="0"/>
        <v>IU</v>
      </c>
      <c r="C19" s="495">
        <f>IF(D11="","-",+C18+1)</f>
        <v>2017</v>
      </c>
      <c r="D19" s="617">
        <v>8284707.8301210338</v>
      </c>
      <c r="E19" s="617">
        <v>167817.04229981007</v>
      </c>
      <c r="F19" s="617">
        <v>8116890.787821224</v>
      </c>
      <c r="G19" s="617">
        <v>1069412.6916216947</v>
      </c>
      <c r="H19" s="617">
        <v>1069412.6916216947</v>
      </c>
      <c r="I19" s="500">
        <f t="shared" ref="I19:I73" si="6">H19-G19</f>
        <v>0</v>
      </c>
      <c r="J19" s="500"/>
      <c r="K19" s="506">
        <f t="shared" si="1"/>
        <v>1069412.6916216947</v>
      </c>
      <c r="L19" s="507">
        <f t="shared" si="2"/>
        <v>0</v>
      </c>
      <c r="M19" s="506">
        <f t="shared" si="3"/>
        <v>1069412.6916216947</v>
      </c>
      <c r="N19" s="504">
        <f>IF(M19&lt;&gt;0,+H19-M19,0)</f>
        <v>0</v>
      </c>
      <c r="O19" s="504">
        <f>+N19-L19</f>
        <v>0</v>
      </c>
      <c r="P19" s="278"/>
      <c r="R19" s="243"/>
      <c r="S19" s="243"/>
      <c r="T19" s="243"/>
      <c r="U19" s="243"/>
    </row>
    <row r="20" spans="2:21" ht="12.5">
      <c r="B20" s="145" t="str">
        <f t="shared" si="0"/>
        <v/>
      </c>
      <c r="C20" s="495">
        <f>IF(D11="","-",+C19+1)</f>
        <v>2018</v>
      </c>
      <c r="D20" s="617">
        <v>8116890.787821224</v>
      </c>
      <c r="E20" s="617">
        <v>209319.85738284502</v>
      </c>
      <c r="F20" s="617">
        <v>7907570.9304383788</v>
      </c>
      <c r="G20" s="617">
        <v>1023551.998916439</v>
      </c>
      <c r="H20" s="617">
        <v>1023551.998916439</v>
      </c>
      <c r="I20" s="500">
        <v>0</v>
      </c>
      <c r="J20" s="500"/>
      <c r="K20" s="506">
        <f t="shared" si="1"/>
        <v>1023551.998916439</v>
      </c>
      <c r="L20" s="507">
        <f t="shared" si="2"/>
        <v>0</v>
      </c>
      <c r="M20" s="506">
        <f t="shared" si="3"/>
        <v>1023551.998916439</v>
      </c>
      <c r="N20" s="504">
        <f>IF(M20&lt;&gt;0,+H20-M20,0)</f>
        <v>0</v>
      </c>
      <c r="O20" s="504">
        <f>+N20-L20</f>
        <v>0</v>
      </c>
      <c r="P20" s="278"/>
      <c r="R20" s="243"/>
      <c r="S20" s="243"/>
      <c r="T20" s="243"/>
      <c r="U20" s="243"/>
    </row>
    <row r="21" spans="2:21" ht="12.5">
      <c r="B21" s="145" t="str">
        <f t="shared" si="0"/>
        <v/>
      </c>
      <c r="C21" s="495">
        <f>IF(D11="","-",+C20+1)</f>
        <v>2019</v>
      </c>
      <c r="D21" s="617">
        <v>7907570.9304383788</v>
      </c>
      <c r="E21" s="617">
        <v>253141.34300077427</v>
      </c>
      <c r="F21" s="617">
        <v>7654429.5874376046</v>
      </c>
      <c r="G21" s="617">
        <v>1061867.1098044377</v>
      </c>
      <c r="H21" s="617">
        <v>1061867.1098044377</v>
      </c>
      <c r="I21" s="500">
        <f t="shared" si="6"/>
        <v>0</v>
      </c>
      <c r="J21" s="500"/>
      <c r="K21" s="506">
        <f t="shared" si="1"/>
        <v>1061867.1098044377</v>
      </c>
      <c r="L21" s="507">
        <f t="shared" si="2"/>
        <v>0</v>
      </c>
      <c r="M21" s="506">
        <f t="shared" si="3"/>
        <v>1061867.1098044377</v>
      </c>
      <c r="N21" s="504">
        <f>IF(M21&lt;&gt;0,+H21-M21,0)</f>
        <v>0</v>
      </c>
      <c r="O21" s="504">
        <f>+N21-L21</f>
        <v>0</v>
      </c>
      <c r="P21" s="278"/>
      <c r="R21" s="243"/>
      <c r="S21" s="243"/>
      <c r="T21" s="243"/>
      <c r="U21" s="243"/>
    </row>
    <row r="22" spans="2:21" ht="12.5">
      <c r="B22" s="145" t="str">
        <f t="shared" si="0"/>
        <v>IU</v>
      </c>
      <c r="C22" s="495">
        <f>IF(D11="","-",+C21+1)</f>
        <v>2020</v>
      </c>
      <c r="D22" s="617">
        <v>7698251.0730555337</v>
      </c>
      <c r="E22" s="617">
        <v>249923.04161572127</v>
      </c>
      <c r="F22" s="617">
        <v>7448328.0314398129</v>
      </c>
      <c r="G22" s="617">
        <v>1044606.9924692181</v>
      </c>
      <c r="H22" s="617">
        <v>1044606.9924692181</v>
      </c>
      <c r="I22" s="500">
        <f t="shared" si="6"/>
        <v>0</v>
      </c>
      <c r="J22" s="500"/>
      <c r="K22" s="506">
        <f t="shared" si="1"/>
        <v>1044606.9924692181</v>
      </c>
      <c r="L22" s="507">
        <f t="shared" si="2"/>
        <v>0</v>
      </c>
      <c r="M22" s="506">
        <f t="shared" si="3"/>
        <v>1044606.9924692181</v>
      </c>
      <c r="N22" s="504">
        <f>IF(M22&lt;&gt;0,+H22-M22,0)</f>
        <v>0</v>
      </c>
      <c r="O22" s="504">
        <f>+N22-L22</f>
        <v>0</v>
      </c>
      <c r="P22" s="278"/>
      <c r="R22" s="243"/>
      <c r="S22" s="243"/>
      <c r="T22" s="243"/>
      <c r="U22" s="243"/>
    </row>
    <row r="23" spans="2:21" ht="12.5">
      <c r="B23" s="145" t="str">
        <f t="shared" si="0"/>
        <v>IU</v>
      </c>
      <c r="C23" s="495">
        <f>IF(D11="","-",+C22+1)</f>
        <v>2021</v>
      </c>
      <c r="D23" s="508">
        <f>IF(F22+SUM(E$17:E22)=D$10,F22,D$10-SUM(E$17:E22))</f>
        <v>7404506.5458218828</v>
      </c>
      <c r="E23" s="509">
        <f t="shared" ref="E23:E73" si="7">IF(+$I$14&lt;F22,$I$14,D23)</f>
        <v>275325.93548387097</v>
      </c>
      <c r="F23" s="510">
        <f t="shared" ref="F23:F73" si="8">+D23-E23</f>
        <v>7129180.6103380118</v>
      </c>
      <c r="G23" s="511">
        <f t="shared" ref="G23:G73" si="9">(D23+F23)/2*I$12+E23</f>
        <v>1061489.8962062567</v>
      </c>
      <c r="H23" s="477">
        <f t="shared" ref="H23:H73" si="10">+(D23+F23)/2*I$13+E23</f>
        <v>1061489.8962062567</v>
      </c>
      <c r="I23" s="500">
        <f t="shared" si="6"/>
        <v>0</v>
      </c>
      <c r="J23" s="500"/>
      <c r="K23" s="512"/>
      <c r="L23" s="504">
        <f t="shared" ref="L23:L73" si="11">IF(K23&lt;&gt;0,+G23-K23,0)</f>
        <v>0</v>
      </c>
      <c r="M23" s="512"/>
      <c r="N23" s="504">
        <f t="shared" si="4"/>
        <v>0</v>
      </c>
      <c r="O23" s="504">
        <f t="shared" si="5"/>
        <v>0</v>
      </c>
      <c r="P23" s="278"/>
      <c r="R23" s="243"/>
      <c r="S23" s="243"/>
      <c r="T23" s="243"/>
      <c r="U23" s="243"/>
    </row>
    <row r="24" spans="2:21" ht="12.5">
      <c r="B24" s="145" t="str">
        <f t="shared" si="0"/>
        <v/>
      </c>
      <c r="C24" s="495">
        <f>IF(D11="","-",+C23+1)</f>
        <v>2022</v>
      </c>
      <c r="D24" s="508">
        <f>IF(F23+SUM(E$17:E23)=D$10,F23,D$10-SUM(E$17:E23))</f>
        <v>7129180.6103380118</v>
      </c>
      <c r="E24" s="509">
        <f t="shared" si="7"/>
        <v>275325.93548387097</v>
      </c>
      <c r="F24" s="510">
        <f t="shared" si="8"/>
        <v>6853854.6748541407</v>
      </c>
      <c r="G24" s="511">
        <f t="shared" si="9"/>
        <v>1031703.7413779746</v>
      </c>
      <c r="H24" s="477">
        <f t="shared" si="10"/>
        <v>1031703.7413779746</v>
      </c>
      <c r="I24" s="500">
        <f t="shared" si="6"/>
        <v>0</v>
      </c>
      <c r="J24" s="500"/>
      <c r="K24" s="512"/>
      <c r="L24" s="504">
        <f t="shared" si="11"/>
        <v>0</v>
      </c>
      <c r="M24" s="512"/>
      <c r="N24" s="504">
        <f t="shared" si="4"/>
        <v>0</v>
      </c>
      <c r="O24" s="504">
        <f t="shared" si="5"/>
        <v>0</v>
      </c>
      <c r="P24" s="278"/>
      <c r="R24" s="243"/>
      <c r="S24" s="243"/>
      <c r="T24" s="243"/>
      <c r="U24" s="243"/>
    </row>
    <row r="25" spans="2:21" ht="12.5">
      <c r="B25" s="145" t="str">
        <f t="shared" si="0"/>
        <v/>
      </c>
      <c r="C25" s="495">
        <f>IF(D11="","-",+C24+1)</f>
        <v>2023</v>
      </c>
      <c r="D25" s="508">
        <f>IF(F24+SUM(E$17:E24)=D$10,F24,D$10-SUM(E$17:E24))</f>
        <v>6853854.6748541407</v>
      </c>
      <c r="E25" s="509">
        <f t="shared" si="7"/>
        <v>275325.93548387097</v>
      </c>
      <c r="F25" s="510">
        <f t="shared" si="8"/>
        <v>6578528.7393702697</v>
      </c>
      <c r="G25" s="511">
        <f t="shared" si="9"/>
        <v>1001917.5865496926</v>
      </c>
      <c r="H25" s="477">
        <f t="shared" si="10"/>
        <v>1001917.5865496926</v>
      </c>
      <c r="I25" s="500">
        <f t="shared" si="6"/>
        <v>0</v>
      </c>
      <c r="J25" s="500"/>
      <c r="K25" s="512"/>
      <c r="L25" s="504">
        <f t="shared" si="11"/>
        <v>0</v>
      </c>
      <c r="M25" s="512"/>
      <c r="N25" s="504">
        <f t="shared" si="4"/>
        <v>0</v>
      </c>
      <c r="O25" s="504">
        <f t="shared" si="5"/>
        <v>0</v>
      </c>
      <c r="P25" s="278"/>
      <c r="R25" s="243"/>
      <c r="S25" s="243"/>
      <c r="T25" s="243"/>
      <c r="U25" s="243"/>
    </row>
    <row r="26" spans="2:21" ht="12.5">
      <c r="B26" s="145" t="str">
        <f t="shared" si="0"/>
        <v/>
      </c>
      <c r="C26" s="495">
        <f>IF(D11="","-",+C25+1)</f>
        <v>2024</v>
      </c>
      <c r="D26" s="508">
        <f>IF(F25+SUM(E$17:E25)=D$10,F25,D$10-SUM(E$17:E25))</f>
        <v>6578528.7393702697</v>
      </c>
      <c r="E26" s="509">
        <f t="shared" si="7"/>
        <v>275325.93548387097</v>
      </c>
      <c r="F26" s="510">
        <f t="shared" si="8"/>
        <v>6303202.8038863987</v>
      </c>
      <c r="G26" s="511">
        <f t="shared" si="9"/>
        <v>972131.43172141071</v>
      </c>
      <c r="H26" s="477">
        <f t="shared" si="10"/>
        <v>972131.43172141071</v>
      </c>
      <c r="I26" s="500">
        <f t="shared" si="6"/>
        <v>0</v>
      </c>
      <c r="J26" s="500"/>
      <c r="K26" s="512"/>
      <c r="L26" s="504">
        <f t="shared" si="11"/>
        <v>0</v>
      </c>
      <c r="M26" s="512"/>
      <c r="N26" s="504">
        <f t="shared" si="4"/>
        <v>0</v>
      </c>
      <c r="O26" s="504">
        <f t="shared" si="5"/>
        <v>0</v>
      </c>
      <c r="P26" s="278"/>
      <c r="R26" s="243"/>
      <c r="S26" s="243"/>
      <c r="T26" s="243"/>
      <c r="U26" s="243"/>
    </row>
    <row r="27" spans="2:21" ht="12.5">
      <c r="B27" s="145" t="str">
        <f t="shared" si="0"/>
        <v/>
      </c>
      <c r="C27" s="495">
        <f>IF(D11="","-",+C26+1)</f>
        <v>2025</v>
      </c>
      <c r="D27" s="508">
        <f>IF(F26+SUM(E$17:E26)=D$10,F26,D$10-SUM(E$17:E26))</f>
        <v>6303202.8038863987</v>
      </c>
      <c r="E27" s="509">
        <f t="shared" si="7"/>
        <v>275325.93548387097</v>
      </c>
      <c r="F27" s="510">
        <f t="shared" si="8"/>
        <v>6027876.8684025276</v>
      </c>
      <c r="G27" s="511">
        <f t="shared" si="9"/>
        <v>942345.27689312864</v>
      </c>
      <c r="H27" s="477">
        <f t="shared" si="10"/>
        <v>942345.27689312864</v>
      </c>
      <c r="I27" s="500">
        <f t="shared" si="6"/>
        <v>0</v>
      </c>
      <c r="J27" s="500"/>
      <c r="K27" s="512"/>
      <c r="L27" s="504">
        <f t="shared" si="11"/>
        <v>0</v>
      </c>
      <c r="M27" s="512"/>
      <c r="N27" s="504">
        <f t="shared" si="4"/>
        <v>0</v>
      </c>
      <c r="O27" s="504">
        <f t="shared" si="5"/>
        <v>0</v>
      </c>
      <c r="P27" s="278"/>
      <c r="R27" s="243"/>
      <c r="S27" s="243"/>
      <c r="T27" s="243"/>
      <c r="U27" s="243"/>
    </row>
    <row r="28" spans="2:21" ht="12.5">
      <c r="B28" s="145" t="str">
        <f t="shared" si="0"/>
        <v/>
      </c>
      <c r="C28" s="495">
        <f>IF(D11="","-",+C27+1)</f>
        <v>2026</v>
      </c>
      <c r="D28" s="508">
        <f>IF(F27+SUM(E$17:E27)=D$10,F27,D$10-SUM(E$17:E27))</f>
        <v>6027876.8684025276</v>
      </c>
      <c r="E28" s="509">
        <f t="shared" si="7"/>
        <v>275325.93548387097</v>
      </c>
      <c r="F28" s="510">
        <f t="shared" si="8"/>
        <v>5752550.9329186566</v>
      </c>
      <c r="G28" s="511">
        <f t="shared" si="9"/>
        <v>912559.12206484657</v>
      </c>
      <c r="H28" s="477">
        <f t="shared" si="10"/>
        <v>912559.12206484657</v>
      </c>
      <c r="I28" s="500">
        <f t="shared" si="6"/>
        <v>0</v>
      </c>
      <c r="J28" s="500"/>
      <c r="K28" s="512"/>
      <c r="L28" s="504">
        <f t="shared" si="11"/>
        <v>0</v>
      </c>
      <c r="M28" s="512"/>
      <c r="N28" s="504">
        <f t="shared" si="4"/>
        <v>0</v>
      </c>
      <c r="O28" s="504">
        <f t="shared" si="5"/>
        <v>0</v>
      </c>
      <c r="P28" s="278"/>
      <c r="R28" s="243"/>
      <c r="S28" s="243"/>
      <c r="T28" s="243"/>
      <c r="U28" s="243"/>
    </row>
    <row r="29" spans="2:21" ht="12.5">
      <c r="B29" s="145" t="str">
        <f t="shared" si="0"/>
        <v/>
      </c>
      <c r="C29" s="495">
        <f>IF(D11="","-",+C28+1)</f>
        <v>2027</v>
      </c>
      <c r="D29" s="508">
        <f>IF(F28+SUM(E$17:E28)=D$10,F28,D$10-SUM(E$17:E28))</f>
        <v>5752550.9329186566</v>
      </c>
      <c r="E29" s="509">
        <f t="shared" si="7"/>
        <v>275325.93548387097</v>
      </c>
      <c r="F29" s="510">
        <f t="shared" si="8"/>
        <v>5477224.9974347856</v>
      </c>
      <c r="G29" s="511">
        <f t="shared" si="9"/>
        <v>882772.96723656449</v>
      </c>
      <c r="H29" s="477">
        <f t="shared" si="10"/>
        <v>882772.96723656449</v>
      </c>
      <c r="I29" s="500">
        <f t="shared" si="6"/>
        <v>0</v>
      </c>
      <c r="J29" s="500"/>
      <c r="K29" s="512"/>
      <c r="L29" s="504">
        <f t="shared" si="11"/>
        <v>0</v>
      </c>
      <c r="M29" s="512"/>
      <c r="N29" s="504">
        <f t="shared" si="4"/>
        <v>0</v>
      </c>
      <c r="O29" s="504">
        <f t="shared" si="5"/>
        <v>0</v>
      </c>
      <c r="P29" s="278"/>
      <c r="R29" s="243"/>
      <c r="S29" s="243"/>
      <c r="T29" s="243"/>
      <c r="U29" s="243"/>
    </row>
    <row r="30" spans="2:21" ht="12.5">
      <c r="B30" s="145" t="str">
        <f t="shared" si="0"/>
        <v/>
      </c>
      <c r="C30" s="495">
        <f>IF(D11="","-",+C29+1)</f>
        <v>2028</v>
      </c>
      <c r="D30" s="508">
        <f>IF(F29+SUM(E$17:E29)=D$10,F29,D$10-SUM(E$17:E29))</f>
        <v>5477224.9974347856</v>
      </c>
      <c r="E30" s="509">
        <f t="shared" si="7"/>
        <v>275325.93548387097</v>
      </c>
      <c r="F30" s="510">
        <f t="shared" si="8"/>
        <v>5201899.0619509146</v>
      </c>
      <c r="G30" s="511">
        <f t="shared" si="9"/>
        <v>852986.81240828265</v>
      </c>
      <c r="H30" s="477">
        <f t="shared" si="10"/>
        <v>852986.81240828265</v>
      </c>
      <c r="I30" s="500">
        <f t="shared" si="6"/>
        <v>0</v>
      </c>
      <c r="J30" s="500"/>
      <c r="K30" s="512"/>
      <c r="L30" s="504">
        <f t="shared" si="11"/>
        <v>0</v>
      </c>
      <c r="M30" s="512"/>
      <c r="N30" s="504">
        <f t="shared" si="4"/>
        <v>0</v>
      </c>
      <c r="O30" s="504">
        <f t="shared" si="5"/>
        <v>0</v>
      </c>
      <c r="P30" s="278"/>
      <c r="R30" s="243"/>
      <c r="S30" s="243"/>
      <c r="T30" s="243"/>
      <c r="U30" s="243"/>
    </row>
    <row r="31" spans="2:21" ht="12.5">
      <c r="B31" s="145" t="str">
        <f>IF(D31=F30,"","IU")</f>
        <v/>
      </c>
      <c r="C31" s="495">
        <f>IF(D11="","-",+C30+1)</f>
        <v>2029</v>
      </c>
      <c r="D31" s="508">
        <f>IF(F30+SUM(E$17:E30)=D$10,F30,D$10-SUM(E$17:E30))</f>
        <v>5201899.0619509146</v>
      </c>
      <c r="E31" s="509">
        <f t="shared" si="7"/>
        <v>275325.93548387097</v>
      </c>
      <c r="F31" s="510">
        <f t="shared" si="8"/>
        <v>4926573.1264670435</v>
      </c>
      <c r="G31" s="511">
        <f t="shared" si="9"/>
        <v>823200.65758000058</v>
      </c>
      <c r="H31" s="477">
        <f t="shared" si="10"/>
        <v>823200.65758000058</v>
      </c>
      <c r="I31" s="500">
        <f t="shared" si="6"/>
        <v>0</v>
      </c>
      <c r="J31" s="500"/>
      <c r="K31" s="512"/>
      <c r="L31" s="504">
        <f t="shared" si="11"/>
        <v>0</v>
      </c>
      <c r="M31" s="512"/>
      <c r="N31" s="504">
        <f t="shared" si="4"/>
        <v>0</v>
      </c>
      <c r="O31" s="504">
        <f t="shared" si="5"/>
        <v>0</v>
      </c>
      <c r="P31" s="278"/>
      <c r="Q31" s="220"/>
      <c r="R31" s="278"/>
      <c r="S31" s="278"/>
      <c r="T31" s="278"/>
      <c r="U31" s="243"/>
    </row>
    <row r="32" spans="2:21" ht="12.5">
      <c r="B32" s="145" t="str">
        <f t="shared" ref="B32:B46" si="12">IF(D32=F31,"","IU")</f>
        <v/>
      </c>
      <c r="C32" s="495">
        <f>IF(D12="","-",+C31+1)</f>
        <v>2030</v>
      </c>
      <c r="D32" s="508">
        <f>IF(F31+SUM(E$17:E31)=D$10,F31,D$10-SUM(E$17:E31))</f>
        <v>4926573.1264670435</v>
      </c>
      <c r="E32" s="509">
        <f>IF(+$I$14&lt;F31,$I$14,D32)</f>
        <v>275325.93548387097</v>
      </c>
      <c r="F32" s="510">
        <f>+D32-E32</f>
        <v>4651247.1909831725</v>
      </c>
      <c r="G32" s="511">
        <f t="shared" si="9"/>
        <v>793414.50275171862</v>
      </c>
      <c r="H32" s="477">
        <f t="shared" si="10"/>
        <v>793414.50275171862</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12"/>
        <v/>
      </c>
      <c r="C33" s="495">
        <f>IF(D13="","-",+C32+1)</f>
        <v>2031</v>
      </c>
      <c r="D33" s="508">
        <f>IF(F32+SUM(E$17:E32)=D$10,F32,D$10-SUM(E$17:E32))</f>
        <v>4651247.1909831725</v>
      </c>
      <c r="E33" s="509">
        <f>IF(+$I$14&lt;F32,$I$14,D33)</f>
        <v>275325.93548387097</v>
      </c>
      <c r="F33" s="510">
        <f>+D33-E33</f>
        <v>4375921.2554993015</v>
      </c>
      <c r="G33" s="511">
        <f t="shared" si="9"/>
        <v>763628.34792343667</v>
      </c>
      <c r="H33" s="477">
        <f t="shared" si="10"/>
        <v>763628.34792343667</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12"/>
        <v/>
      </c>
      <c r="C34" s="495">
        <f t="shared" ref="C34:C42" si="13">IF(D14="","-",+C33+1)</f>
        <v>2032</v>
      </c>
      <c r="D34" s="514">
        <f>IF(F33+SUM(E$17:E33)=D$10,F33,D$10-SUM(E$17:E33))</f>
        <v>4375921.2554993015</v>
      </c>
      <c r="E34" s="515">
        <f t="shared" si="7"/>
        <v>275325.93548387097</v>
      </c>
      <c r="F34" s="516">
        <f t="shared" si="8"/>
        <v>4100595.3200154305</v>
      </c>
      <c r="G34" s="511">
        <f t="shared" si="9"/>
        <v>733842.19309515459</v>
      </c>
      <c r="H34" s="477">
        <f t="shared" si="10"/>
        <v>733842.19309515459</v>
      </c>
      <c r="I34" s="519">
        <f t="shared" si="6"/>
        <v>0</v>
      </c>
      <c r="J34" s="519"/>
      <c r="K34" s="520"/>
      <c r="L34" s="521">
        <f t="shared" si="11"/>
        <v>0</v>
      </c>
      <c r="M34" s="520"/>
      <c r="N34" s="521">
        <f t="shared" si="4"/>
        <v>0</v>
      </c>
      <c r="O34" s="521">
        <f t="shared" si="5"/>
        <v>0</v>
      </c>
      <c r="P34" s="522"/>
      <c r="Q34" s="216"/>
      <c r="R34" s="522"/>
      <c r="S34" s="522"/>
      <c r="T34" s="522"/>
      <c r="U34" s="243"/>
    </row>
    <row r="35" spans="2:21" ht="12.5">
      <c r="B35" s="145" t="str">
        <f t="shared" si="12"/>
        <v/>
      </c>
      <c r="C35" s="495">
        <f t="shared" si="13"/>
        <v>2033</v>
      </c>
      <c r="D35" s="508">
        <f>IF(F34+SUM(E$17:E34)=D$10,F34,D$10-SUM(E$17:E34))</f>
        <v>4100595.3200154305</v>
      </c>
      <c r="E35" s="509">
        <f t="shared" si="7"/>
        <v>275325.93548387097</v>
      </c>
      <c r="F35" s="510">
        <f t="shared" si="8"/>
        <v>3825269.3845315594</v>
      </c>
      <c r="G35" s="511">
        <f t="shared" si="9"/>
        <v>704056.03826687252</v>
      </c>
      <c r="H35" s="477">
        <f t="shared" si="10"/>
        <v>704056.03826687252</v>
      </c>
      <c r="I35" s="500">
        <f t="shared" si="6"/>
        <v>0</v>
      </c>
      <c r="J35" s="500"/>
      <c r="K35" s="512"/>
      <c r="L35" s="504">
        <f t="shared" si="11"/>
        <v>0</v>
      </c>
      <c r="M35" s="512"/>
      <c r="N35" s="504">
        <f t="shared" si="4"/>
        <v>0</v>
      </c>
      <c r="O35" s="504">
        <f t="shared" si="5"/>
        <v>0</v>
      </c>
      <c r="P35" s="278"/>
      <c r="R35" s="243"/>
      <c r="S35" s="243"/>
      <c r="T35" s="243"/>
      <c r="U35" s="243"/>
    </row>
    <row r="36" spans="2:21" ht="12.5">
      <c r="B36" s="145" t="str">
        <f t="shared" si="12"/>
        <v/>
      </c>
      <c r="C36" s="495">
        <f t="shared" si="13"/>
        <v>2034</v>
      </c>
      <c r="D36" s="508">
        <f>IF(F35+SUM(E$17:E35)=D$10,F35,D$10-SUM(E$17:E35))</f>
        <v>3825269.3845315594</v>
      </c>
      <c r="E36" s="509">
        <f t="shared" si="7"/>
        <v>275325.93548387097</v>
      </c>
      <c r="F36" s="510">
        <f t="shared" si="8"/>
        <v>3549943.4490476884</v>
      </c>
      <c r="G36" s="511">
        <f t="shared" si="9"/>
        <v>674269.88343859068</v>
      </c>
      <c r="H36" s="477">
        <f t="shared" si="10"/>
        <v>674269.88343859068</v>
      </c>
      <c r="I36" s="500">
        <f t="shared" si="6"/>
        <v>0</v>
      </c>
      <c r="J36" s="500"/>
      <c r="K36" s="512"/>
      <c r="L36" s="504">
        <f t="shared" si="11"/>
        <v>0</v>
      </c>
      <c r="M36" s="512"/>
      <c r="N36" s="504">
        <f t="shared" si="4"/>
        <v>0</v>
      </c>
      <c r="O36" s="504">
        <f t="shared" si="5"/>
        <v>0</v>
      </c>
      <c r="P36" s="278"/>
      <c r="R36" s="243"/>
      <c r="S36" s="243"/>
      <c r="T36" s="243"/>
      <c r="U36" s="243"/>
    </row>
    <row r="37" spans="2:21" ht="12.5">
      <c r="B37" s="145" t="str">
        <f t="shared" si="12"/>
        <v/>
      </c>
      <c r="C37" s="495">
        <f t="shared" si="13"/>
        <v>2035</v>
      </c>
      <c r="D37" s="508">
        <f>IF(F36+SUM(E$17:E36)=D$10,F36,D$10-SUM(E$17:E36))</f>
        <v>3549943.4490476884</v>
      </c>
      <c r="E37" s="509">
        <f t="shared" si="7"/>
        <v>275325.93548387097</v>
      </c>
      <c r="F37" s="510">
        <f t="shared" si="8"/>
        <v>3274617.5135638174</v>
      </c>
      <c r="G37" s="511">
        <f t="shared" si="9"/>
        <v>644483.72861030861</v>
      </c>
      <c r="H37" s="477">
        <f t="shared" si="10"/>
        <v>644483.72861030861</v>
      </c>
      <c r="I37" s="500">
        <f t="shared" si="6"/>
        <v>0</v>
      </c>
      <c r="J37" s="500"/>
      <c r="K37" s="512"/>
      <c r="L37" s="504">
        <f t="shared" si="11"/>
        <v>0</v>
      </c>
      <c r="M37" s="512"/>
      <c r="N37" s="504">
        <f t="shared" si="4"/>
        <v>0</v>
      </c>
      <c r="O37" s="504">
        <f t="shared" si="5"/>
        <v>0</v>
      </c>
      <c r="P37" s="278"/>
      <c r="R37" s="243"/>
      <c r="S37" s="243"/>
      <c r="T37" s="243"/>
      <c r="U37" s="243"/>
    </row>
    <row r="38" spans="2:21" ht="12.5">
      <c r="B38" s="145" t="str">
        <f t="shared" si="12"/>
        <v/>
      </c>
      <c r="C38" s="495">
        <f t="shared" si="13"/>
        <v>2036</v>
      </c>
      <c r="D38" s="508">
        <f>IF(F37+SUM(E$17:E37)=D$10,F37,D$10-SUM(E$17:E37))</f>
        <v>3274617.5135638174</v>
      </c>
      <c r="E38" s="509">
        <f t="shared" si="7"/>
        <v>275325.93548387097</v>
      </c>
      <c r="F38" s="510">
        <f t="shared" si="8"/>
        <v>2999291.5780799463</v>
      </c>
      <c r="G38" s="511">
        <f t="shared" si="9"/>
        <v>614697.57378202653</v>
      </c>
      <c r="H38" s="477">
        <f t="shared" si="10"/>
        <v>614697.57378202653</v>
      </c>
      <c r="I38" s="500">
        <f t="shared" si="6"/>
        <v>0</v>
      </c>
      <c r="J38" s="500"/>
      <c r="K38" s="512"/>
      <c r="L38" s="504">
        <f t="shared" si="11"/>
        <v>0</v>
      </c>
      <c r="M38" s="512"/>
      <c r="N38" s="504">
        <f t="shared" si="4"/>
        <v>0</v>
      </c>
      <c r="O38" s="504">
        <f t="shared" si="5"/>
        <v>0</v>
      </c>
      <c r="P38" s="278"/>
      <c r="R38" s="243"/>
      <c r="S38" s="243"/>
      <c r="T38" s="243"/>
      <c r="U38" s="243"/>
    </row>
    <row r="39" spans="2:21" ht="12.5">
      <c r="B39" s="145" t="str">
        <f t="shared" si="12"/>
        <v/>
      </c>
      <c r="C39" s="495">
        <f t="shared" si="13"/>
        <v>2037</v>
      </c>
      <c r="D39" s="508">
        <f>IF(F38+SUM(E$17:E38)=D$10,F38,D$10-SUM(E$17:E38))</f>
        <v>2999291.5780799463</v>
      </c>
      <c r="E39" s="509">
        <f t="shared" si="7"/>
        <v>275325.93548387097</v>
      </c>
      <c r="F39" s="510">
        <f t="shared" si="8"/>
        <v>2723965.6425960753</v>
      </c>
      <c r="G39" s="511">
        <f t="shared" si="9"/>
        <v>584911.41895374469</v>
      </c>
      <c r="H39" s="477">
        <f t="shared" si="10"/>
        <v>584911.41895374469</v>
      </c>
      <c r="I39" s="500">
        <f t="shared" si="6"/>
        <v>0</v>
      </c>
      <c r="J39" s="500"/>
      <c r="K39" s="512"/>
      <c r="L39" s="504">
        <f t="shared" si="11"/>
        <v>0</v>
      </c>
      <c r="M39" s="512"/>
      <c r="N39" s="504">
        <f t="shared" si="4"/>
        <v>0</v>
      </c>
      <c r="O39" s="504">
        <f t="shared" si="5"/>
        <v>0</v>
      </c>
      <c r="P39" s="278"/>
      <c r="R39" s="243"/>
      <c r="S39" s="243"/>
      <c r="T39" s="243"/>
      <c r="U39" s="243"/>
    </row>
    <row r="40" spans="2:21" ht="12.5">
      <c r="B40" s="145" t="str">
        <f t="shared" si="12"/>
        <v/>
      </c>
      <c r="C40" s="495">
        <f t="shared" si="13"/>
        <v>2038</v>
      </c>
      <c r="D40" s="508">
        <f>IF(F39+SUM(E$17:E39)=D$10,F39,D$10-SUM(E$17:E39))</f>
        <v>2723965.6425960753</v>
      </c>
      <c r="E40" s="509">
        <f t="shared" si="7"/>
        <v>275325.93548387097</v>
      </c>
      <c r="F40" s="510">
        <f t="shared" si="8"/>
        <v>2448639.7071122043</v>
      </c>
      <c r="G40" s="511">
        <f t="shared" si="9"/>
        <v>555125.26412546262</v>
      </c>
      <c r="H40" s="477">
        <f t="shared" si="10"/>
        <v>555125.26412546262</v>
      </c>
      <c r="I40" s="500">
        <f t="shared" si="6"/>
        <v>0</v>
      </c>
      <c r="J40" s="500"/>
      <c r="K40" s="512"/>
      <c r="L40" s="504">
        <f t="shared" si="11"/>
        <v>0</v>
      </c>
      <c r="M40" s="512"/>
      <c r="N40" s="504">
        <f t="shared" si="4"/>
        <v>0</v>
      </c>
      <c r="O40" s="504">
        <f t="shared" si="5"/>
        <v>0</v>
      </c>
      <c r="P40" s="278"/>
      <c r="R40" s="243"/>
      <c r="S40" s="243"/>
      <c r="T40" s="243"/>
      <c r="U40" s="243"/>
    </row>
    <row r="41" spans="2:21" ht="12.5">
      <c r="B41" s="145" t="str">
        <f t="shared" si="12"/>
        <v/>
      </c>
      <c r="C41" s="495">
        <f t="shared" si="13"/>
        <v>2039</v>
      </c>
      <c r="D41" s="508">
        <f>IF(F40+SUM(E$17:E40)=D$10,F40,D$10-SUM(E$17:E40))</f>
        <v>2448639.7071122043</v>
      </c>
      <c r="E41" s="509">
        <f t="shared" si="7"/>
        <v>275325.93548387097</v>
      </c>
      <c r="F41" s="510">
        <f t="shared" si="8"/>
        <v>2173313.7716283333</v>
      </c>
      <c r="G41" s="511">
        <f t="shared" si="9"/>
        <v>525339.10929718055</v>
      </c>
      <c r="H41" s="477">
        <f t="shared" si="10"/>
        <v>525339.10929718055</v>
      </c>
      <c r="I41" s="500">
        <f t="shared" si="6"/>
        <v>0</v>
      </c>
      <c r="J41" s="500"/>
      <c r="K41" s="512"/>
      <c r="L41" s="504">
        <f t="shared" si="11"/>
        <v>0</v>
      </c>
      <c r="M41" s="512"/>
      <c r="N41" s="504">
        <f t="shared" si="4"/>
        <v>0</v>
      </c>
      <c r="O41" s="504">
        <f t="shared" si="5"/>
        <v>0</v>
      </c>
      <c r="P41" s="278"/>
      <c r="R41" s="243"/>
      <c r="S41" s="243"/>
      <c r="T41" s="243"/>
      <c r="U41" s="243"/>
    </row>
    <row r="42" spans="2:21" ht="12.5">
      <c r="B42" s="145" t="str">
        <f t="shared" si="12"/>
        <v/>
      </c>
      <c r="C42" s="495">
        <f t="shared" si="13"/>
        <v>2040</v>
      </c>
      <c r="D42" s="508">
        <f>IF(F41+SUM(E$17:E41)=D$10,F41,D$10-SUM(E$17:E41))</f>
        <v>2173313.7716283333</v>
      </c>
      <c r="E42" s="509">
        <f t="shared" si="7"/>
        <v>275325.93548387097</v>
      </c>
      <c r="F42" s="510">
        <f t="shared" si="8"/>
        <v>1897987.8361444622</v>
      </c>
      <c r="G42" s="511">
        <f t="shared" si="9"/>
        <v>495552.95446889859</v>
      </c>
      <c r="H42" s="477">
        <f t="shared" si="10"/>
        <v>495552.95446889859</v>
      </c>
      <c r="I42" s="500">
        <f t="shared" si="6"/>
        <v>0</v>
      </c>
      <c r="J42" s="500"/>
      <c r="K42" s="512"/>
      <c r="L42" s="504">
        <f t="shared" si="11"/>
        <v>0</v>
      </c>
      <c r="M42" s="512"/>
      <c r="N42" s="504">
        <f t="shared" si="4"/>
        <v>0</v>
      </c>
      <c r="O42" s="504">
        <f t="shared" si="5"/>
        <v>0</v>
      </c>
      <c r="P42" s="278"/>
      <c r="R42" s="243"/>
      <c r="S42" s="243"/>
      <c r="T42" s="243"/>
      <c r="U42" s="243"/>
    </row>
    <row r="43" spans="2:21" ht="12.5">
      <c r="B43" s="145" t="str">
        <f t="shared" si="12"/>
        <v/>
      </c>
      <c r="C43" s="495">
        <f>IF(D11="","-",+C42+1)</f>
        <v>2041</v>
      </c>
      <c r="D43" s="508">
        <f>IF(F42+SUM(E$17:E42)=D$10,F42,D$10-SUM(E$17:E42))</f>
        <v>1897987.8361444622</v>
      </c>
      <c r="E43" s="509">
        <f t="shared" si="7"/>
        <v>275325.93548387097</v>
      </c>
      <c r="F43" s="510">
        <f t="shared" si="8"/>
        <v>1622661.9006605912</v>
      </c>
      <c r="G43" s="511">
        <f t="shared" si="9"/>
        <v>465766.79964061663</v>
      </c>
      <c r="H43" s="477">
        <f t="shared" si="10"/>
        <v>465766.79964061663</v>
      </c>
      <c r="I43" s="500">
        <f t="shared" si="6"/>
        <v>0</v>
      </c>
      <c r="J43" s="500"/>
      <c r="K43" s="512"/>
      <c r="L43" s="504">
        <f t="shared" si="11"/>
        <v>0</v>
      </c>
      <c r="M43" s="512"/>
      <c r="N43" s="504">
        <f t="shared" si="4"/>
        <v>0</v>
      </c>
      <c r="O43" s="504">
        <f t="shared" si="5"/>
        <v>0</v>
      </c>
      <c r="P43" s="278"/>
      <c r="R43" s="243"/>
      <c r="S43" s="243"/>
      <c r="T43" s="243"/>
      <c r="U43" s="243"/>
    </row>
    <row r="44" spans="2:21" ht="12.5">
      <c r="B44" s="145" t="str">
        <f t="shared" si="12"/>
        <v/>
      </c>
      <c r="C44" s="495">
        <f>IF(D11="","-",+C43+1)</f>
        <v>2042</v>
      </c>
      <c r="D44" s="508">
        <f>IF(F43+SUM(E$17:E43)=D$10,F43,D$10-SUM(E$17:E43))</f>
        <v>1622661.9006605912</v>
      </c>
      <c r="E44" s="509">
        <f t="shared" si="7"/>
        <v>275325.93548387097</v>
      </c>
      <c r="F44" s="510">
        <f t="shared" si="8"/>
        <v>1347335.9651767202</v>
      </c>
      <c r="G44" s="511">
        <f t="shared" si="9"/>
        <v>435980.64481233462</v>
      </c>
      <c r="H44" s="477">
        <f t="shared" si="10"/>
        <v>435980.64481233462</v>
      </c>
      <c r="I44" s="500">
        <f t="shared" si="6"/>
        <v>0</v>
      </c>
      <c r="J44" s="500"/>
      <c r="K44" s="512"/>
      <c r="L44" s="504">
        <f t="shared" si="11"/>
        <v>0</v>
      </c>
      <c r="M44" s="512"/>
      <c r="N44" s="504">
        <f t="shared" si="4"/>
        <v>0</v>
      </c>
      <c r="O44" s="504">
        <f t="shared" si="5"/>
        <v>0</v>
      </c>
      <c r="P44" s="278"/>
      <c r="R44" s="243"/>
      <c r="S44" s="243"/>
      <c r="T44" s="243"/>
      <c r="U44" s="243"/>
    </row>
    <row r="45" spans="2:21" ht="12.5">
      <c r="B45" s="145" t="str">
        <f t="shared" si="12"/>
        <v/>
      </c>
      <c r="C45" s="495">
        <f>IF(D11="","-",+C44+1)</f>
        <v>2043</v>
      </c>
      <c r="D45" s="508">
        <f>IF(F44+SUM(E$17:E44)=D$10,F44,D$10-SUM(E$17:E44))</f>
        <v>1347335.9651767202</v>
      </c>
      <c r="E45" s="509">
        <f t="shared" si="7"/>
        <v>275325.93548387097</v>
      </c>
      <c r="F45" s="510">
        <f t="shared" si="8"/>
        <v>1072010.0296928491</v>
      </c>
      <c r="G45" s="511">
        <f t="shared" si="9"/>
        <v>406194.4899840526</v>
      </c>
      <c r="H45" s="477">
        <f t="shared" si="10"/>
        <v>406194.4899840526</v>
      </c>
      <c r="I45" s="500">
        <f t="shared" si="6"/>
        <v>0</v>
      </c>
      <c r="J45" s="500"/>
      <c r="K45" s="512"/>
      <c r="L45" s="504">
        <f t="shared" si="11"/>
        <v>0</v>
      </c>
      <c r="M45" s="512"/>
      <c r="N45" s="504">
        <f t="shared" si="4"/>
        <v>0</v>
      </c>
      <c r="O45" s="504">
        <f t="shared" si="5"/>
        <v>0</v>
      </c>
      <c r="P45" s="278"/>
      <c r="R45" s="243"/>
      <c r="S45" s="243"/>
      <c r="T45" s="243"/>
      <c r="U45" s="243"/>
    </row>
    <row r="46" spans="2:21" ht="12.5">
      <c r="B46" s="145" t="str">
        <f t="shared" si="12"/>
        <v/>
      </c>
      <c r="C46" s="495">
        <f>IF(D11="","-",+C45+1)</f>
        <v>2044</v>
      </c>
      <c r="D46" s="508">
        <f>IF(F45+SUM(E$17:E45)=D$10,F45,D$10-SUM(E$17:E45))</f>
        <v>1072010.0296928491</v>
      </c>
      <c r="E46" s="509">
        <f t="shared" si="7"/>
        <v>275325.93548387097</v>
      </c>
      <c r="F46" s="510">
        <f t="shared" si="8"/>
        <v>796684.09420897812</v>
      </c>
      <c r="G46" s="511">
        <f t="shared" si="9"/>
        <v>376408.33515577059</v>
      </c>
      <c r="H46" s="477">
        <f t="shared" si="10"/>
        <v>376408.33515577059</v>
      </c>
      <c r="I46" s="500">
        <f t="shared" si="6"/>
        <v>0</v>
      </c>
      <c r="J46" s="500"/>
      <c r="K46" s="512"/>
      <c r="L46" s="504">
        <f t="shared" si="11"/>
        <v>0</v>
      </c>
      <c r="M46" s="512"/>
      <c r="N46" s="504">
        <f t="shared" si="4"/>
        <v>0</v>
      </c>
      <c r="O46" s="504">
        <f t="shared" si="5"/>
        <v>0</v>
      </c>
      <c r="P46" s="278"/>
      <c r="R46" s="243"/>
      <c r="S46" s="243"/>
      <c r="T46" s="243"/>
      <c r="U46" s="243"/>
    </row>
    <row r="47" spans="2:21" ht="12.5">
      <c r="B47" s="145" t="str">
        <f t="shared" si="0"/>
        <v/>
      </c>
      <c r="C47" s="495">
        <f>IF(D11="","-",+C46+1)</f>
        <v>2045</v>
      </c>
      <c r="D47" s="508">
        <f>IF(F46+SUM(E$17:E46)=D$10,F46,D$10-SUM(E$17:E46))</f>
        <v>796684.09420897812</v>
      </c>
      <c r="E47" s="509">
        <f t="shared" si="7"/>
        <v>275325.93548387097</v>
      </c>
      <c r="F47" s="510">
        <f t="shared" si="8"/>
        <v>521358.15872510715</v>
      </c>
      <c r="G47" s="511">
        <f t="shared" si="9"/>
        <v>346622.18032748858</v>
      </c>
      <c r="H47" s="477">
        <f t="shared" si="10"/>
        <v>346622.18032748858</v>
      </c>
      <c r="I47" s="500">
        <f t="shared" si="6"/>
        <v>0</v>
      </c>
      <c r="J47" s="500"/>
      <c r="K47" s="512"/>
      <c r="L47" s="504">
        <f t="shared" si="11"/>
        <v>0</v>
      </c>
      <c r="M47" s="512"/>
      <c r="N47" s="504">
        <f t="shared" si="4"/>
        <v>0</v>
      </c>
      <c r="O47" s="504">
        <f t="shared" si="5"/>
        <v>0</v>
      </c>
      <c r="P47" s="278"/>
      <c r="R47" s="243"/>
      <c r="S47" s="243"/>
      <c r="T47" s="243"/>
      <c r="U47" s="243"/>
    </row>
    <row r="48" spans="2:21" ht="12.5">
      <c r="B48" s="145" t="str">
        <f t="shared" si="0"/>
        <v/>
      </c>
      <c r="C48" s="495">
        <f>IF(D11="","-",+C47+1)</f>
        <v>2046</v>
      </c>
      <c r="D48" s="508">
        <f>IF(F47+SUM(E$17:E47)=D$10,F47,D$10-SUM(E$17:E47))</f>
        <v>521358.15872510715</v>
      </c>
      <c r="E48" s="509">
        <f t="shared" si="7"/>
        <v>275325.93548387097</v>
      </c>
      <c r="F48" s="510">
        <f t="shared" si="8"/>
        <v>246032.22324123618</v>
      </c>
      <c r="G48" s="511">
        <f t="shared" si="9"/>
        <v>316836.02549920662</v>
      </c>
      <c r="H48" s="477">
        <f t="shared" si="10"/>
        <v>316836.02549920662</v>
      </c>
      <c r="I48" s="500">
        <f t="shared" si="6"/>
        <v>0</v>
      </c>
      <c r="J48" s="500"/>
      <c r="K48" s="512"/>
      <c r="L48" s="504">
        <f t="shared" si="11"/>
        <v>0</v>
      </c>
      <c r="M48" s="512"/>
      <c r="N48" s="504">
        <f t="shared" si="4"/>
        <v>0</v>
      </c>
      <c r="O48" s="504">
        <f t="shared" si="5"/>
        <v>0</v>
      </c>
      <c r="P48" s="278"/>
      <c r="R48" s="243"/>
      <c r="S48" s="243"/>
      <c r="T48" s="243"/>
      <c r="U48" s="243"/>
    </row>
    <row r="49" spans="2:21" ht="12.5">
      <c r="B49" s="145" t="str">
        <f t="shared" si="0"/>
        <v/>
      </c>
      <c r="C49" s="495">
        <f>IF(D11="","-",+C48+1)</f>
        <v>2047</v>
      </c>
      <c r="D49" s="508">
        <f>IF(F48+SUM(E$17:E48)=D$10,F48,D$10-SUM(E$17:E48))</f>
        <v>246032.22324123618</v>
      </c>
      <c r="E49" s="509">
        <f t="shared" si="7"/>
        <v>246032.22324123618</v>
      </c>
      <c r="F49" s="510">
        <f t="shared" si="8"/>
        <v>0</v>
      </c>
      <c r="G49" s="511">
        <f t="shared" si="9"/>
        <v>259340.72954183351</v>
      </c>
      <c r="H49" s="477">
        <f t="shared" si="10"/>
        <v>259340.72954183351</v>
      </c>
      <c r="I49" s="500">
        <f t="shared" si="6"/>
        <v>0</v>
      </c>
      <c r="J49" s="500"/>
      <c r="K49" s="512"/>
      <c r="L49" s="504">
        <f t="shared" si="11"/>
        <v>0</v>
      </c>
      <c r="M49" s="512"/>
      <c r="N49" s="504">
        <f t="shared" si="4"/>
        <v>0</v>
      </c>
      <c r="O49" s="504">
        <f t="shared" si="5"/>
        <v>0</v>
      </c>
      <c r="P49" s="278"/>
      <c r="R49" s="243"/>
      <c r="S49" s="243"/>
      <c r="T49" s="243"/>
      <c r="U49" s="243"/>
    </row>
    <row r="50" spans="2:21" ht="12.5">
      <c r="B50" s="145" t="str">
        <f t="shared" si="0"/>
        <v/>
      </c>
      <c r="C50" s="495">
        <f>IF(D11="","-",+C49+1)</f>
        <v>2048</v>
      </c>
      <c r="D50" s="508">
        <f>IF(F49+SUM(E$17:E49)=D$10,F49,D$10-SUM(E$17:E49))</f>
        <v>0</v>
      </c>
      <c r="E50" s="509">
        <f t="shared" si="7"/>
        <v>0</v>
      </c>
      <c r="F50" s="510">
        <f t="shared" si="8"/>
        <v>0</v>
      </c>
      <c r="G50" s="511">
        <f t="shared" si="9"/>
        <v>0</v>
      </c>
      <c r="H50" s="477">
        <f t="shared" si="10"/>
        <v>0</v>
      </c>
      <c r="I50" s="500">
        <f t="shared" si="6"/>
        <v>0</v>
      </c>
      <c r="J50" s="500"/>
      <c r="K50" s="512"/>
      <c r="L50" s="504">
        <f t="shared" si="11"/>
        <v>0</v>
      </c>
      <c r="M50" s="512"/>
      <c r="N50" s="504">
        <f t="shared" si="4"/>
        <v>0</v>
      </c>
      <c r="O50" s="504">
        <f t="shared" si="5"/>
        <v>0</v>
      </c>
      <c r="P50" s="278"/>
      <c r="R50" s="243"/>
      <c r="S50" s="243"/>
      <c r="T50" s="243"/>
      <c r="U50" s="243"/>
    </row>
    <row r="51" spans="2:21" ht="12.5">
      <c r="B51" s="145" t="str">
        <f t="shared" si="0"/>
        <v/>
      </c>
      <c r="C51" s="495">
        <f>IF(D11="","-",+C50+1)</f>
        <v>2049</v>
      </c>
      <c r="D51" s="508">
        <f>IF(F50+SUM(E$17:E50)=D$10,F50,D$10-SUM(E$17:E50))</f>
        <v>0</v>
      </c>
      <c r="E51" s="509">
        <f t="shared" si="7"/>
        <v>0</v>
      </c>
      <c r="F51" s="510">
        <f t="shared" si="8"/>
        <v>0</v>
      </c>
      <c r="G51" s="511">
        <f t="shared" si="9"/>
        <v>0</v>
      </c>
      <c r="H51" s="477">
        <f t="shared" si="10"/>
        <v>0</v>
      </c>
      <c r="I51" s="500">
        <f t="shared" si="6"/>
        <v>0</v>
      </c>
      <c r="J51" s="500"/>
      <c r="K51" s="512"/>
      <c r="L51" s="504">
        <f t="shared" si="11"/>
        <v>0</v>
      </c>
      <c r="M51" s="512"/>
      <c r="N51" s="504">
        <f t="shared" si="4"/>
        <v>0</v>
      </c>
      <c r="O51" s="504">
        <f t="shared" si="5"/>
        <v>0</v>
      </c>
      <c r="P51" s="278"/>
      <c r="R51" s="243"/>
      <c r="S51" s="243"/>
      <c r="T51" s="243"/>
      <c r="U51" s="243"/>
    </row>
    <row r="52" spans="2:21" ht="12.5">
      <c r="B52" s="145" t="str">
        <f t="shared" si="0"/>
        <v/>
      </c>
      <c r="C52" s="495">
        <f>IF(D11="","-",+C51+1)</f>
        <v>2050</v>
      </c>
      <c r="D52" s="508">
        <f>IF(F51+SUM(E$17:E51)=D$10,F51,D$10-SUM(E$17:E51))</f>
        <v>0</v>
      </c>
      <c r="E52" s="509">
        <f t="shared" si="7"/>
        <v>0</v>
      </c>
      <c r="F52" s="510">
        <f t="shared" si="8"/>
        <v>0</v>
      </c>
      <c r="G52" s="511">
        <f t="shared" si="9"/>
        <v>0</v>
      </c>
      <c r="H52" s="477">
        <f t="shared" si="10"/>
        <v>0</v>
      </c>
      <c r="I52" s="500">
        <f t="shared" si="6"/>
        <v>0</v>
      </c>
      <c r="J52" s="500"/>
      <c r="K52" s="512"/>
      <c r="L52" s="504">
        <f t="shared" si="11"/>
        <v>0</v>
      </c>
      <c r="M52" s="512"/>
      <c r="N52" s="504">
        <f t="shared" si="4"/>
        <v>0</v>
      </c>
      <c r="O52" s="504">
        <f t="shared" si="5"/>
        <v>0</v>
      </c>
      <c r="P52" s="278"/>
      <c r="R52" s="243"/>
      <c r="S52" s="243"/>
      <c r="T52" s="243"/>
      <c r="U52" s="243"/>
    </row>
    <row r="53" spans="2:21" ht="12.5">
      <c r="B53" s="145" t="str">
        <f t="shared" si="0"/>
        <v/>
      </c>
      <c r="C53" s="495">
        <f>IF(D11="","-",+C52+1)</f>
        <v>2051</v>
      </c>
      <c r="D53" s="508">
        <f>IF(F52+SUM(E$17:E52)=D$10,F52,D$10-SUM(E$17:E52))</f>
        <v>0</v>
      </c>
      <c r="E53" s="509">
        <f t="shared" si="7"/>
        <v>0</v>
      </c>
      <c r="F53" s="510">
        <f t="shared" si="8"/>
        <v>0</v>
      </c>
      <c r="G53" s="511">
        <f t="shared" si="9"/>
        <v>0</v>
      </c>
      <c r="H53" s="477">
        <f t="shared" si="10"/>
        <v>0</v>
      </c>
      <c r="I53" s="500">
        <f t="shared" si="6"/>
        <v>0</v>
      </c>
      <c r="J53" s="500"/>
      <c r="K53" s="512"/>
      <c r="L53" s="504">
        <f t="shared" si="11"/>
        <v>0</v>
      </c>
      <c r="M53" s="512"/>
      <c r="N53" s="504">
        <f t="shared" si="4"/>
        <v>0</v>
      </c>
      <c r="O53" s="504">
        <f t="shared" si="5"/>
        <v>0</v>
      </c>
      <c r="P53" s="278"/>
      <c r="R53" s="243"/>
      <c r="S53" s="243"/>
      <c r="T53" s="243"/>
      <c r="U53" s="243"/>
    </row>
    <row r="54" spans="2:21" ht="12.5">
      <c r="B54" s="145" t="str">
        <f t="shared" si="0"/>
        <v/>
      </c>
      <c r="C54" s="495">
        <f>IF(D11="","-",+C53+1)</f>
        <v>2052</v>
      </c>
      <c r="D54" s="508">
        <f>IF(F53+SUM(E$17:E53)=D$10,F53,D$10-SUM(E$17:E53))</f>
        <v>0</v>
      </c>
      <c r="E54" s="509">
        <f t="shared" si="7"/>
        <v>0</v>
      </c>
      <c r="F54" s="510">
        <f t="shared" si="8"/>
        <v>0</v>
      </c>
      <c r="G54" s="511">
        <f t="shared" si="9"/>
        <v>0</v>
      </c>
      <c r="H54" s="477">
        <f t="shared" si="10"/>
        <v>0</v>
      </c>
      <c r="I54" s="500">
        <f t="shared" si="6"/>
        <v>0</v>
      </c>
      <c r="J54" s="500"/>
      <c r="K54" s="512"/>
      <c r="L54" s="504">
        <f t="shared" si="11"/>
        <v>0</v>
      </c>
      <c r="M54" s="512"/>
      <c r="N54" s="504">
        <f t="shared" si="4"/>
        <v>0</v>
      </c>
      <c r="O54" s="504">
        <f t="shared" si="5"/>
        <v>0</v>
      </c>
      <c r="P54" s="278"/>
      <c r="R54" s="243"/>
      <c r="S54" s="243"/>
      <c r="T54" s="243"/>
      <c r="U54" s="243"/>
    </row>
    <row r="55" spans="2:21" ht="12.5">
      <c r="B55" s="145" t="str">
        <f t="shared" si="0"/>
        <v/>
      </c>
      <c r="C55" s="495">
        <f>IF(D11="","-",+C54+1)</f>
        <v>2053</v>
      </c>
      <c r="D55" s="508">
        <f>IF(F54+SUM(E$17:E54)=D$10,F54,D$10-SUM(E$17:E54))</f>
        <v>0</v>
      </c>
      <c r="E55" s="509">
        <f t="shared" si="7"/>
        <v>0</v>
      </c>
      <c r="F55" s="510">
        <f t="shared" si="8"/>
        <v>0</v>
      </c>
      <c r="G55" s="511">
        <f t="shared" si="9"/>
        <v>0</v>
      </c>
      <c r="H55" s="477">
        <f t="shared" si="10"/>
        <v>0</v>
      </c>
      <c r="I55" s="500">
        <f t="shared" si="6"/>
        <v>0</v>
      </c>
      <c r="J55" s="500"/>
      <c r="K55" s="512"/>
      <c r="L55" s="504">
        <f t="shared" si="11"/>
        <v>0</v>
      </c>
      <c r="M55" s="512"/>
      <c r="N55" s="504">
        <f t="shared" si="4"/>
        <v>0</v>
      </c>
      <c r="O55" s="504">
        <f t="shared" si="5"/>
        <v>0</v>
      </c>
      <c r="P55" s="278"/>
      <c r="R55" s="243"/>
      <c r="S55" s="243"/>
      <c r="T55" s="243"/>
      <c r="U55" s="243"/>
    </row>
    <row r="56" spans="2:21" ht="12.5">
      <c r="B56" s="145" t="str">
        <f t="shared" si="0"/>
        <v/>
      </c>
      <c r="C56" s="495">
        <f>IF(D11="","-",+C55+1)</f>
        <v>2054</v>
      </c>
      <c r="D56" s="508">
        <f>IF(F55+SUM(E$17:E55)=D$10,F55,D$10-SUM(E$17:E55))</f>
        <v>0</v>
      </c>
      <c r="E56" s="509">
        <f t="shared" si="7"/>
        <v>0</v>
      </c>
      <c r="F56" s="510">
        <f t="shared" si="8"/>
        <v>0</v>
      </c>
      <c r="G56" s="511">
        <f t="shared" si="9"/>
        <v>0</v>
      </c>
      <c r="H56" s="477">
        <f t="shared" si="10"/>
        <v>0</v>
      </c>
      <c r="I56" s="500">
        <f t="shared" si="6"/>
        <v>0</v>
      </c>
      <c r="J56" s="500"/>
      <c r="K56" s="512"/>
      <c r="L56" s="504">
        <f t="shared" si="11"/>
        <v>0</v>
      </c>
      <c r="M56" s="512"/>
      <c r="N56" s="504">
        <f t="shared" si="4"/>
        <v>0</v>
      </c>
      <c r="O56" s="504">
        <f t="shared" si="5"/>
        <v>0</v>
      </c>
      <c r="P56" s="278"/>
      <c r="R56" s="243"/>
      <c r="S56" s="243"/>
      <c r="T56" s="243"/>
      <c r="U56" s="243"/>
    </row>
    <row r="57" spans="2:21" ht="12.5">
      <c r="B57" s="145" t="str">
        <f t="shared" si="0"/>
        <v/>
      </c>
      <c r="C57" s="495">
        <f>IF(D11="","-",+C56+1)</f>
        <v>2055</v>
      </c>
      <c r="D57" s="508">
        <f>IF(F56+SUM(E$17:E56)=D$10,F56,D$10-SUM(E$17:E56))</f>
        <v>0</v>
      </c>
      <c r="E57" s="509">
        <f t="shared" si="7"/>
        <v>0</v>
      </c>
      <c r="F57" s="510">
        <f t="shared" si="8"/>
        <v>0</v>
      </c>
      <c r="G57" s="511">
        <f t="shared" si="9"/>
        <v>0</v>
      </c>
      <c r="H57" s="477">
        <f t="shared" si="10"/>
        <v>0</v>
      </c>
      <c r="I57" s="500">
        <f t="shared" si="6"/>
        <v>0</v>
      </c>
      <c r="J57" s="500"/>
      <c r="K57" s="512"/>
      <c r="L57" s="504">
        <f t="shared" si="11"/>
        <v>0</v>
      </c>
      <c r="M57" s="512"/>
      <c r="N57" s="504">
        <f t="shared" si="4"/>
        <v>0</v>
      </c>
      <c r="O57" s="504">
        <f t="shared" si="5"/>
        <v>0</v>
      </c>
      <c r="P57" s="278"/>
      <c r="R57" s="243"/>
      <c r="S57" s="243"/>
      <c r="T57" s="243"/>
      <c r="U57" s="243"/>
    </row>
    <row r="58" spans="2:21" ht="12.5">
      <c r="B58" s="145" t="str">
        <f t="shared" si="0"/>
        <v/>
      </c>
      <c r="C58" s="495">
        <f>IF(D11="","-",+C57+1)</f>
        <v>2056</v>
      </c>
      <c r="D58" s="508">
        <f>IF(F57+SUM(E$17:E57)=D$10,F57,D$10-SUM(E$17:E57))</f>
        <v>0</v>
      </c>
      <c r="E58" s="509">
        <f t="shared" si="7"/>
        <v>0</v>
      </c>
      <c r="F58" s="510">
        <f t="shared" si="8"/>
        <v>0</v>
      </c>
      <c r="G58" s="511">
        <f t="shared" si="9"/>
        <v>0</v>
      </c>
      <c r="H58" s="477">
        <f t="shared" si="10"/>
        <v>0</v>
      </c>
      <c r="I58" s="500">
        <f t="shared" si="6"/>
        <v>0</v>
      </c>
      <c r="J58" s="500"/>
      <c r="K58" s="512"/>
      <c r="L58" s="504">
        <f t="shared" si="11"/>
        <v>0</v>
      </c>
      <c r="M58" s="512"/>
      <c r="N58" s="504">
        <f t="shared" si="4"/>
        <v>0</v>
      </c>
      <c r="O58" s="504">
        <f t="shared" si="5"/>
        <v>0</v>
      </c>
      <c r="P58" s="278"/>
      <c r="R58" s="243"/>
      <c r="S58" s="243"/>
      <c r="T58" s="243"/>
      <c r="U58" s="243"/>
    </row>
    <row r="59" spans="2:21" ht="12.5">
      <c r="B59" s="145" t="str">
        <f t="shared" si="0"/>
        <v/>
      </c>
      <c r="C59" s="495">
        <f>IF(D11="","-",+C58+1)</f>
        <v>2057</v>
      </c>
      <c r="D59" s="508">
        <f>IF(F58+SUM(E$17:E58)=D$10,F58,D$10-SUM(E$17:E58))</f>
        <v>0</v>
      </c>
      <c r="E59" s="509">
        <f t="shared" si="7"/>
        <v>0</v>
      </c>
      <c r="F59" s="510">
        <f t="shared" si="8"/>
        <v>0</v>
      </c>
      <c r="G59" s="511">
        <f t="shared" si="9"/>
        <v>0</v>
      </c>
      <c r="H59" s="477">
        <f t="shared" si="10"/>
        <v>0</v>
      </c>
      <c r="I59" s="500">
        <f t="shared" si="6"/>
        <v>0</v>
      </c>
      <c r="J59" s="500"/>
      <c r="K59" s="512"/>
      <c r="L59" s="504">
        <f t="shared" si="11"/>
        <v>0</v>
      </c>
      <c r="M59" s="512"/>
      <c r="N59" s="504">
        <f t="shared" si="4"/>
        <v>0</v>
      </c>
      <c r="O59" s="504">
        <f t="shared" si="5"/>
        <v>0</v>
      </c>
      <c r="P59" s="278"/>
      <c r="R59" s="243"/>
      <c r="S59" s="243"/>
      <c r="T59" s="243"/>
      <c r="U59" s="243"/>
    </row>
    <row r="60" spans="2:21" ht="12.5">
      <c r="B60" s="145" t="str">
        <f t="shared" si="0"/>
        <v/>
      </c>
      <c r="C60" s="495">
        <f>IF(D11="","-",+C59+1)</f>
        <v>2058</v>
      </c>
      <c r="D60" s="508">
        <f>IF(F59+SUM(E$17:E59)=D$10,F59,D$10-SUM(E$17:E59))</f>
        <v>0</v>
      </c>
      <c r="E60" s="509">
        <f t="shared" si="7"/>
        <v>0</v>
      </c>
      <c r="F60" s="510">
        <f t="shared" si="8"/>
        <v>0</v>
      </c>
      <c r="G60" s="511">
        <f t="shared" si="9"/>
        <v>0</v>
      </c>
      <c r="H60" s="477">
        <f t="shared" si="10"/>
        <v>0</v>
      </c>
      <c r="I60" s="500">
        <f t="shared" si="6"/>
        <v>0</v>
      </c>
      <c r="J60" s="500"/>
      <c r="K60" s="512"/>
      <c r="L60" s="504">
        <f t="shared" si="11"/>
        <v>0</v>
      </c>
      <c r="M60" s="512"/>
      <c r="N60" s="504">
        <f t="shared" si="4"/>
        <v>0</v>
      </c>
      <c r="O60" s="504">
        <f t="shared" si="5"/>
        <v>0</v>
      </c>
      <c r="P60" s="278"/>
      <c r="R60" s="243"/>
      <c r="S60" s="243"/>
      <c r="T60" s="243"/>
      <c r="U60" s="243"/>
    </row>
    <row r="61" spans="2:21" ht="12.5">
      <c r="B61" s="145" t="str">
        <f>IF(D61=F60,"","IU")</f>
        <v/>
      </c>
      <c r="C61" s="495">
        <f>IF(D11="","-",+C60+1)</f>
        <v>2059</v>
      </c>
      <c r="D61" s="508">
        <f>IF(F60+SUM(E$17:E60)=D$10,F60,D$10-SUM(E$17:E60))</f>
        <v>0</v>
      </c>
      <c r="E61" s="509">
        <f t="shared" si="7"/>
        <v>0</v>
      </c>
      <c r="F61" s="510">
        <f t="shared" si="8"/>
        <v>0</v>
      </c>
      <c r="G61" s="511">
        <f t="shared" si="9"/>
        <v>0</v>
      </c>
      <c r="H61" s="477">
        <f t="shared" si="10"/>
        <v>0</v>
      </c>
      <c r="I61" s="500">
        <f t="shared" si="6"/>
        <v>0</v>
      </c>
      <c r="J61" s="500"/>
      <c r="K61" s="512"/>
      <c r="L61" s="504">
        <f t="shared" si="11"/>
        <v>0</v>
      </c>
      <c r="M61" s="512"/>
      <c r="N61" s="504">
        <f t="shared" si="4"/>
        <v>0</v>
      </c>
      <c r="O61" s="504">
        <f t="shared" si="5"/>
        <v>0</v>
      </c>
      <c r="P61" s="278"/>
      <c r="R61" s="243"/>
      <c r="S61" s="243"/>
      <c r="T61" s="243"/>
      <c r="U61" s="243"/>
    </row>
    <row r="62" spans="2:21" ht="12.5">
      <c r="B62" s="145" t="str">
        <f t="shared" si="0"/>
        <v/>
      </c>
      <c r="C62" s="495">
        <f>IF(D11="","-",+C61+1)</f>
        <v>2060</v>
      </c>
      <c r="D62" s="508">
        <f>IF(F61+SUM(E$17:E61)=D$10,F61,D$10-SUM(E$17:E61))</f>
        <v>0</v>
      </c>
      <c r="E62" s="509">
        <f t="shared" si="7"/>
        <v>0</v>
      </c>
      <c r="F62" s="510">
        <f t="shared" si="8"/>
        <v>0</v>
      </c>
      <c r="G62" s="511">
        <f t="shared" si="9"/>
        <v>0</v>
      </c>
      <c r="H62" s="477">
        <f t="shared" si="10"/>
        <v>0</v>
      </c>
      <c r="I62" s="500">
        <f t="shared" si="6"/>
        <v>0</v>
      </c>
      <c r="J62" s="500"/>
      <c r="K62" s="512"/>
      <c r="L62" s="504">
        <f t="shared" si="11"/>
        <v>0</v>
      </c>
      <c r="M62" s="512"/>
      <c r="N62" s="504">
        <f t="shared" si="4"/>
        <v>0</v>
      </c>
      <c r="O62" s="504">
        <f t="shared" si="5"/>
        <v>0</v>
      </c>
      <c r="P62" s="278"/>
      <c r="R62" s="243"/>
      <c r="S62" s="243"/>
      <c r="T62" s="243"/>
      <c r="U62" s="243"/>
    </row>
    <row r="63" spans="2:21" ht="12.5">
      <c r="B63" s="145" t="str">
        <f t="shared" si="0"/>
        <v/>
      </c>
      <c r="C63" s="495">
        <f>IF(D11="","-",+C62+1)</f>
        <v>2061</v>
      </c>
      <c r="D63" s="508">
        <f>IF(F62+SUM(E$17:E62)=D$10,F62,D$10-SUM(E$17:E62))</f>
        <v>0</v>
      </c>
      <c r="E63" s="509">
        <f t="shared" si="7"/>
        <v>0</v>
      </c>
      <c r="F63" s="510">
        <f t="shared" si="8"/>
        <v>0</v>
      </c>
      <c r="G63" s="511">
        <f t="shared" si="9"/>
        <v>0</v>
      </c>
      <c r="H63" s="477">
        <f t="shared" si="10"/>
        <v>0</v>
      </c>
      <c r="I63" s="500">
        <f t="shared" si="6"/>
        <v>0</v>
      </c>
      <c r="J63" s="500"/>
      <c r="K63" s="512"/>
      <c r="L63" s="504">
        <f t="shared" si="11"/>
        <v>0</v>
      </c>
      <c r="M63" s="512"/>
      <c r="N63" s="504">
        <f t="shared" si="4"/>
        <v>0</v>
      </c>
      <c r="O63" s="504">
        <f t="shared" si="5"/>
        <v>0</v>
      </c>
      <c r="P63" s="278"/>
      <c r="R63" s="243"/>
      <c r="S63" s="243"/>
      <c r="T63" s="243"/>
      <c r="U63" s="243"/>
    </row>
    <row r="64" spans="2:21" ht="12.5">
      <c r="B64" s="145" t="str">
        <f t="shared" si="0"/>
        <v/>
      </c>
      <c r="C64" s="495">
        <f>IF(D11="","-",+C63+1)</f>
        <v>2062</v>
      </c>
      <c r="D64" s="508">
        <f>IF(F63+SUM(E$17:E63)=D$10,F63,D$10-SUM(E$17:E63))</f>
        <v>0</v>
      </c>
      <c r="E64" s="509">
        <f t="shared" si="7"/>
        <v>0</v>
      </c>
      <c r="F64" s="510">
        <f t="shared" si="8"/>
        <v>0</v>
      </c>
      <c r="G64" s="511">
        <f t="shared" si="9"/>
        <v>0</v>
      </c>
      <c r="H64" s="477">
        <f t="shared" si="10"/>
        <v>0</v>
      </c>
      <c r="I64" s="500">
        <f t="shared" si="6"/>
        <v>0</v>
      </c>
      <c r="J64" s="500"/>
      <c r="K64" s="512"/>
      <c r="L64" s="504">
        <f t="shared" si="11"/>
        <v>0</v>
      </c>
      <c r="M64" s="512"/>
      <c r="N64" s="504">
        <f t="shared" si="4"/>
        <v>0</v>
      </c>
      <c r="O64" s="504">
        <f t="shared" si="5"/>
        <v>0</v>
      </c>
      <c r="P64" s="278"/>
      <c r="R64" s="243"/>
      <c r="S64" s="243"/>
      <c r="T64" s="243"/>
      <c r="U64" s="243"/>
    </row>
    <row r="65" spans="2:21" ht="12.5">
      <c r="B65" s="145" t="str">
        <f t="shared" si="0"/>
        <v/>
      </c>
      <c r="C65" s="495">
        <f>IF(D11="","-",+C64+1)</f>
        <v>2063</v>
      </c>
      <c r="D65" s="508">
        <f>IF(F64+SUM(E$17:E64)=D$10,F64,D$10-SUM(E$17:E64))</f>
        <v>0</v>
      </c>
      <c r="E65" s="509">
        <f t="shared" si="7"/>
        <v>0</v>
      </c>
      <c r="F65" s="510">
        <f t="shared" si="8"/>
        <v>0</v>
      </c>
      <c r="G65" s="511">
        <f t="shared" si="9"/>
        <v>0</v>
      </c>
      <c r="H65" s="477">
        <f t="shared" si="10"/>
        <v>0</v>
      </c>
      <c r="I65" s="500">
        <f t="shared" si="6"/>
        <v>0</v>
      </c>
      <c r="J65" s="500"/>
      <c r="K65" s="512"/>
      <c r="L65" s="504">
        <f t="shared" si="11"/>
        <v>0</v>
      </c>
      <c r="M65" s="512"/>
      <c r="N65" s="504">
        <f t="shared" si="4"/>
        <v>0</v>
      </c>
      <c r="O65" s="504">
        <f t="shared" si="5"/>
        <v>0</v>
      </c>
      <c r="P65" s="278"/>
      <c r="R65" s="243"/>
      <c r="S65" s="243"/>
      <c r="T65" s="243"/>
      <c r="U65" s="243"/>
    </row>
    <row r="66" spans="2:21" ht="12.5">
      <c r="B66" s="145" t="str">
        <f t="shared" si="0"/>
        <v/>
      </c>
      <c r="C66" s="495">
        <f>IF(D11="","-",+C65+1)</f>
        <v>2064</v>
      </c>
      <c r="D66" s="508">
        <f>IF(F65+SUM(E$17:E65)=D$10,F65,D$10-SUM(E$17:E65))</f>
        <v>0</v>
      </c>
      <c r="E66" s="509">
        <f t="shared" si="7"/>
        <v>0</v>
      </c>
      <c r="F66" s="510">
        <f t="shared" si="8"/>
        <v>0</v>
      </c>
      <c r="G66" s="511">
        <f t="shared" si="9"/>
        <v>0</v>
      </c>
      <c r="H66" s="477">
        <f t="shared" si="10"/>
        <v>0</v>
      </c>
      <c r="I66" s="500">
        <f t="shared" si="6"/>
        <v>0</v>
      </c>
      <c r="J66" s="500"/>
      <c r="K66" s="512"/>
      <c r="L66" s="504">
        <f t="shared" si="11"/>
        <v>0</v>
      </c>
      <c r="M66" s="512"/>
      <c r="N66" s="504">
        <f t="shared" si="4"/>
        <v>0</v>
      </c>
      <c r="O66" s="504">
        <f t="shared" si="5"/>
        <v>0</v>
      </c>
      <c r="P66" s="278"/>
      <c r="R66" s="243"/>
      <c r="S66" s="243"/>
      <c r="T66" s="243"/>
      <c r="U66" s="243"/>
    </row>
    <row r="67" spans="2:21" ht="12.5">
      <c r="B67" s="145" t="str">
        <f t="shared" si="0"/>
        <v/>
      </c>
      <c r="C67" s="495">
        <f>IF(D11="","-",+C66+1)</f>
        <v>2065</v>
      </c>
      <c r="D67" s="508">
        <f>IF(F66+SUM(E$17:E66)=D$10,F66,D$10-SUM(E$17:E66))</f>
        <v>0</v>
      </c>
      <c r="E67" s="509">
        <f t="shared" si="7"/>
        <v>0</v>
      </c>
      <c r="F67" s="510">
        <f t="shared" si="8"/>
        <v>0</v>
      </c>
      <c r="G67" s="511">
        <f t="shared" si="9"/>
        <v>0</v>
      </c>
      <c r="H67" s="477">
        <f t="shared" si="10"/>
        <v>0</v>
      </c>
      <c r="I67" s="500">
        <f t="shared" si="6"/>
        <v>0</v>
      </c>
      <c r="J67" s="500"/>
      <c r="K67" s="512"/>
      <c r="L67" s="504">
        <f t="shared" si="11"/>
        <v>0</v>
      </c>
      <c r="M67" s="512"/>
      <c r="N67" s="504">
        <f t="shared" si="4"/>
        <v>0</v>
      </c>
      <c r="O67" s="504">
        <f t="shared" si="5"/>
        <v>0</v>
      </c>
      <c r="P67" s="278"/>
      <c r="R67" s="243"/>
      <c r="S67" s="243"/>
      <c r="T67" s="243"/>
      <c r="U67" s="243"/>
    </row>
    <row r="68" spans="2:21" ht="12.5">
      <c r="B68" s="145" t="str">
        <f t="shared" si="0"/>
        <v/>
      </c>
      <c r="C68" s="495">
        <f>IF(D11="","-",+C67+1)</f>
        <v>2066</v>
      </c>
      <c r="D68" s="508">
        <f>IF(F67+SUM(E$17:E67)=D$10,F67,D$10-SUM(E$17:E67))</f>
        <v>0</v>
      </c>
      <c r="E68" s="509">
        <f t="shared" si="7"/>
        <v>0</v>
      </c>
      <c r="F68" s="510">
        <f t="shared" si="8"/>
        <v>0</v>
      </c>
      <c r="G68" s="511">
        <f t="shared" si="9"/>
        <v>0</v>
      </c>
      <c r="H68" s="477">
        <f t="shared" si="10"/>
        <v>0</v>
      </c>
      <c r="I68" s="500">
        <f t="shared" si="6"/>
        <v>0</v>
      </c>
      <c r="J68" s="500"/>
      <c r="K68" s="512"/>
      <c r="L68" s="504">
        <f t="shared" si="11"/>
        <v>0</v>
      </c>
      <c r="M68" s="512"/>
      <c r="N68" s="504">
        <f t="shared" si="4"/>
        <v>0</v>
      </c>
      <c r="O68" s="504">
        <f t="shared" si="5"/>
        <v>0</v>
      </c>
      <c r="P68" s="278"/>
      <c r="R68" s="243"/>
      <c r="S68" s="243"/>
      <c r="T68" s="243"/>
      <c r="U68" s="243"/>
    </row>
    <row r="69" spans="2:21" ht="12.5">
      <c r="B69" s="145" t="str">
        <f t="shared" si="0"/>
        <v/>
      </c>
      <c r="C69" s="495">
        <f>IF(D11="","-",+C68+1)</f>
        <v>2067</v>
      </c>
      <c r="D69" s="508">
        <f>IF(F68+SUM(E$17:E68)=D$10,F68,D$10-SUM(E$17:E68))</f>
        <v>0</v>
      </c>
      <c r="E69" s="509">
        <f t="shared" si="7"/>
        <v>0</v>
      </c>
      <c r="F69" s="510">
        <f t="shared" si="8"/>
        <v>0</v>
      </c>
      <c r="G69" s="511">
        <f t="shared" si="9"/>
        <v>0</v>
      </c>
      <c r="H69" s="477">
        <f t="shared" si="10"/>
        <v>0</v>
      </c>
      <c r="I69" s="500">
        <f t="shared" si="6"/>
        <v>0</v>
      </c>
      <c r="J69" s="500"/>
      <c r="K69" s="512"/>
      <c r="L69" s="504">
        <f t="shared" si="11"/>
        <v>0</v>
      </c>
      <c r="M69" s="512"/>
      <c r="N69" s="504">
        <f t="shared" si="4"/>
        <v>0</v>
      </c>
      <c r="O69" s="504">
        <f t="shared" si="5"/>
        <v>0</v>
      </c>
      <c r="P69" s="278"/>
      <c r="R69" s="243"/>
      <c r="S69" s="243"/>
      <c r="T69" s="243"/>
      <c r="U69" s="243"/>
    </row>
    <row r="70" spans="2:21" ht="12.5">
      <c r="B70" s="145" t="str">
        <f t="shared" si="0"/>
        <v/>
      </c>
      <c r="C70" s="495">
        <f>IF(D11="","-",+C69+1)</f>
        <v>2068</v>
      </c>
      <c r="D70" s="508">
        <f>IF(F69+SUM(E$17:E69)=D$10,F69,D$10-SUM(E$17:E69))</f>
        <v>0</v>
      </c>
      <c r="E70" s="509">
        <f t="shared" si="7"/>
        <v>0</v>
      </c>
      <c r="F70" s="510">
        <f t="shared" si="8"/>
        <v>0</v>
      </c>
      <c r="G70" s="511">
        <f t="shared" si="9"/>
        <v>0</v>
      </c>
      <c r="H70" s="477">
        <f t="shared" si="10"/>
        <v>0</v>
      </c>
      <c r="I70" s="500">
        <f t="shared" si="6"/>
        <v>0</v>
      </c>
      <c r="J70" s="500"/>
      <c r="K70" s="512"/>
      <c r="L70" s="504">
        <f t="shared" si="11"/>
        <v>0</v>
      </c>
      <c r="M70" s="512"/>
      <c r="N70" s="504">
        <f t="shared" si="4"/>
        <v>0</v>
      </c>
      <c r="O70" s="504">
        <f t="shared" si="5"/>
        <v>0</v>
      </c>
      <c r="P70" s="278"/>
      <c r="R70" s="243"/>
      <c r="S70" s="243"/>
      <c r="T70" s="243"/>
      <c r="U70" s="243"/>
    </row>
    <row r="71" spans="2:21" ht="12.5">
      <c r="B71" s="145" t="str">
        <f t="shared" si="0"/>
        <v/>
      </c>
      <c r="C71" s="495">
        <f>IF(D11="","-",+C70+1)</f>
        <v>2069</v>
      </c>
      <c r="D71" s="508">
        <f>IF(F70+SUM(E$17:E70)=D$10,F70,D$10-SUM(E$17:E70))</f>
        <v>0</v>
      </c>
      <c r="E71" s="509">
        <f t="shared" si="7"/>
        <v>0</v>
      </c>
      <c r="F71" s="510">
        <f t="shared" si="8"/>
        <v>0</v>
      </c>
      <c r="G71" s="511">
        <f t="shared" si="9"/>
        <v>0</v>
      </c>
      <c r="H71" s="477">
        <f t="shared" si="10"/>
        <v>0</v>
      </c>
      <c r="I71" s="500">
        <f t="shared" si="6"/>
        <v>0</v>
      </c>
      <c r="J71" s="500"/>
      <c r="K71" s="512"/>
      <c r="L71" s="504">
        <f t="shared" si="11"/>
        <v>0</v>
      </c>
      <c r="M71" s="512"/>
      <c r="N71" s="504">
        <f t="shared" si="4"/>
        <v>0</v>
      </c>
      <c r="O71" s="504">
        <f t="shared" si="5"/>
        <v>0</v>
      </c>
      <c r="P71" s="278"/>
      <c r="R71" s="243"/>
      <c r="S71" s="243"/>
      <c r="T71" s="243"/>
      <c r="U71" s="243"/>
    </row>
    <row r="72" spans="2:21" ht="12.5">
      <c r="B72" s="145" t="str">
        <f t="shared" si="0"/>
        <v/>
      </c>
      <c r="C72" s="495">
        <f>IF(D11="","-",+C71+1)</f>
        <v>2070</v>
      </c>
      <c r="D72" s="508">
        <f>IF(F71+SUM(E$17:E71)=D$10,F71,D$10-SUM(E$17:E71))</f>
        <v>0</v>
      </c>
      <c r="E72" s="509">
        <f t="shared" si="7"/>
        <v>0</v>
      </c>
      <c r="F72" s="510">
        <f t="shared" si="8"/>
        <v>0</v>
      </c>
      <c r="G72" s="511">
        <f t="shared" si="9"/>
        <v>0</v>
      </c>
      <c r="H72" s="477">
        <f t="shared" si="10"/>
        <v>0</v>
      </c>
      <c r="I72" s="500">
        <f t="shared" si="6"/>
        <v>0</v>
      </c>
      <c r="J72" s="500"/>
      <c r="K72" s="512"/>
      <c r="L72" s="504">
        <f t="shared" si="11"/>
        <v>0</v>
      </c>
      <c r="M72" s="512"/>
      <c r="N72" s="504">
        <f t="shared" si="4"/>
        <v>0</v>
      </c>
      <c r="O72" s="504">
        <f t="shared" si="5"/>
        <v>0</v>
      </c>
      <c r="P72" s="278"/>
      <c r="R72" s="243"/>
      <c r="S72" s="243"/>
      <c r="T72" s="243"/>
      <c r="U72" s="243"/>
    </row>
    <row r="73" spans="2:21" ht="13" thickBot="1">
      <c r="B73" s="145" t="str">
        <f t="shared" si="0"/>
        <v/>
      </c>
      <c r="C73" s="524">
        <f>IF(D11="","-",+C72+1)</f>
        <v>2071</v>
      </c>
      <c r="D73" s="508">
        <f>IF(F72+SUM(E$17:E72)=D$10,F72,D$10-SUM(E$17:E72))</f>
        <v>0</v>
      </c>
      <c r="E73" s="509">
        <f t="shared" si="7"/>
        <v>0</v>
      </c>
      <c r="F73" s="510">
        <f t="shared" si="8"/>
        <v>0</v>
      </c>
      <c r="G73" s="511">
        <f t="shared" si="9"/>
        <v>0</v>
      </c>
      <c r="H73" s="477">
        <f t="shared" si="10"/>
        <v>0</v>
      </c>
      <c r="I73" s="500">
        <f t="shared" si="6"/>
        <v>0</v>
      </c>
      <c r="J73" s="500"/>
      <c r="K73" s="530"/>
      <c r="L73" s="531">
        <f t="shared" si="11"/>
        <v>0</v>
      </c>
      <c r="M73" s="530"/>
      <c r="N73" s="531">
        <f t="shared" si="4"/>
        <v>0</v>
      </c>
      <c r="O73" s="531">
        <f t="shared" si="5"/>
        <v>0</v>
      </c>
      <c r="P73" s="278"/>
      <c r="R73" s="243"/>
      <c r="S73" s="243"/>
      <c r="T73" s="243"/>
      <c r="U73" s="243"/>
    </row>
    <row r="74" spans="2:21" ht="12.5">
      <c r="C74" s="349" t="s">
        <v>75</v>
      </c>
      <c r="D74" s="294"/>
      <c r="E74" s="294">
        <f>SUM(E17:E73)</f>
        <v>8535104</v>
      </c>
      <c r="F74" s="294"/>
      <c r="G74" s="294">
        <f>SUM(G17:G73)</f>
        <v>24016014.339407571</v>
      </c>
      <c r="H74" s="294">
        <f>SUM(H17:H73)</f>
        <v>24016014.339407571</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9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1061867.1098044377</v>
      </c>
      <c r="N88" s="544">
        <f>IF(J93&lt;D11,0,VLOOKUP(J93,C17:O73,11))</f>
        <v>1061867.1098044377</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1088746.3136653239</v>
      </c>
      <c r="N89" s="548">
        <f>IF(J93&lt;D11,0,VLOOKUP(J93,C100:P155,7))</f>
        <v>1088746.3136653239</v>
      </c>
      <c r="O89" s="549">
        <f>+N89-M89</f>
        <v>0</v>
      </c>
      <c r="P89" s="243"/>
      <c r="Q89" s="243"/>
      <c r="R89" s="243"/>
      <c r="S89" s="243"/>
      <c r="T89" s="243"/>
      <c r="U89" s="243"/>
    </row>
    <row r="90" spans="1:21" ht="13.5" thickBot="1">
      <c r="C90" s="454" t="s">
        <v>82</v>
      </c>
      <c r="D90" s="550" t="str">
        <f>+D7</f>
        <v>Prattville-Bluebell 138 kV</v>
      </c>
      <c r="E90" s="243"/>
      <c r="F90" s="243"/>
      <c r="G90" s="243"/>
      <c r="H90" s="243"/>
      <c r="I90" s="325"/>
      <c r="J90" s="325"/>
      <c r="K90" s="551"/>
      <c r="L90" s="552" t="s">
        <v>135</v>
      </c>
      <c r="M90" s="553">
        <f>+M89-M88</f>
        <v>26879.203860886162</v>
      </c>
      <c r="N90" s="553">
        <f>+N89-N88</f>
        <v>26879.203860886162</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621" t="str">
        <f>+D9</f>
        <v>TP2010094</v>
      </c>
      <c r="E92" s="558"/>
      <c r="F92" s="558"/>
      <c r="G92" s="558"/>
      <c r="H92" s="558"/>
      <c r="I92" s="558"/>
      <c r="J92" s="558"/>
      <c r="K92" s="560"/>
      <c r="P92" s="468"/>
      <c r="Q92" s="243"/>
      <c r="R92" s="243"/>
      <c r="S92" s="243"/>
      <c r="T92" s="243"/>
      <c r="U92" s="243"/>
    </row>
    <row r="93" spans="1:21" ht="13">
      <c r="C93" s="472" t="s">
        <v>49</v>
      </c>
      <c r="D93" s="622">
        <f>+D10</f>
        <v>8535104</v>
      </c>
      <c r="E93" s="248" t="s">
        <v>84</v>
      </c>
      <c r="H93" s="408"/>
      <c r="I93" s="408"/>
      <c r="J93" s="471">
        <f>+'OKT.WS.G.BPU.ATRR.True-up'!M16</f>
        <v>2019</v>
      </c>
      <c r="K93" s="467"/>
      <c r="L93" s="294" t="s">
        <v>85</v>
      </c>
      <c r="P93" s="278"/>
      <c r="Q93" s="243"/>
      <c r="R93" s="243"/>
      <c r="S93" s="243"/>
      <c r="T93" s="243"/>
      <c r="U93" s="243"/>
    </row>
    <row r="94" spans="1:21" ht="12.5">
      <c r="C94" s="472" t="s">
        <v>52</v>
      </c>
      <c r="D94" s="561">
        <f>IF(D11=I10,"",D11)</f>
        <v>2015</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82">
        <f>IF(D11=I10,"",D12)</f>
        <v>6</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258639.51515151514</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55" si="14">IF(D100=F99,"","IU")</f>
        <v>IU</v>
      </c>
      <c r="C100" s="495">
        <f>IF(D94= "","-",D94)</f>
        <v>2015</v>
      </c>
      <c r="D100" s="612">
        <v>0</v>
      </c>
      <c r="E100" s="613">
        <v>102447.91666666666</v>
      </c>
      <c r="F100" s="614">
        <v>8327552.083333333</v>
      </c>
      <c r="G100" s="615">
        <v>4163776.0416666665</v>
      </c>
      <c r="H100" s="615">
        <v>565998.7241739725</v>
      </c>
      <c r="I100" s="615">
        <v>565998.7241739725</v>
      </c>
      <c r="J100" s="504">
        <v>0</v>
      </c>
      <c r="K100" s="504"/>
      <c r="L100" s="506">
        <f>H100</f>
        <v>565998.7241739725</v>
      </c>
      <c r="M100" s="504">
        <f>IF(L100&lt;&gt;0,+H100-L100,0)</f>
        <v>0</v>
      </c>
      <c r="N100" s="506">
        <f>I100</f>
        <v>565998.7241739725</v>
      </c>
      <c r="O100" s="503">
        <f t="shared" ref="O100:O131" si="15">IF(N100&lt;&gt;0,+I100-N100,0)</f>
        <v>0</v>
      </c>
      <c r="P100" s="503">
        <f t="shared" ref="P100:P131" si="16">+O100-M100</f>
        <v>0</v>
      </c>
      <c r="Q100" s="243"/>
      <c r="R100" s="243"/>
      <c r="S100" s="243"/>
      <c r="T100" s="243"/>
      <c r="U100" s="243"/>
    </row>
    <row r="101" spans="1:21" ht="12.5">
      <c r="B101" s="145" t="str">
        <f t="shared" si="14"/>
        <v>IU</v>
      </c>
      <c r="C101" s="495">
        <f>IF(D94="","-",+C100+1)</f>
        <v>2016</v>
      </c>
      <c r="D101" s="505">
        <v>8432656.083333334</v>
      </c>
      <c r="E101" s="498">
        <v>167354.98039215687</v>
      </c>
      <c r="F101" s="505">
        <v>8265301.1029411769</v>
      </c>
      <c r="G101" s="498">
        <v>8348978.5931372549</v>
      </c>
      <c r="H101" s="499">
        <v>1072129.2771965233</v>
      </c>
      <c r="I101" s="499">
        <v>1072129.2771965233</v>
      </c>
      <c r="J101" s="504">
        <f t="shared" ref="J101:J131" si="17">+I101-H101</f>
        <v>0</v>
      </c>
      <c r="K101" s="504"/>
      <c r="L101" s="506">
        <f>H101</f>
        <v>1072129.2771965233</v>
      </c>
      <c r="M101" s="504">
        <f>IF(L101&lt;&gt;0,+H101-L101,0)</f>
        <v>0</v>
      </c>
      <c r="N101" s="589">
        <f>I101</f>
        <v>1072129.2771965233</v>
      </c>
      <c r="O101" s="589">
        <f>IF(N101&lt;&gt;0,+I101-N101,0)</f>
        <v>0</v>
      </c>
      <c r="P101" s="504">
        <f>+O101-M101</f>
        <v>0</v>
      </c>
      <c r="Q101" s="243"/>
      <c r="R101" s="243"/>
      <c r="S101" s="243"/>
      <c r="T101" s="243"/>
      <c r="U101" s="243"/>
    </row>
    <row r="102" spans="1:21" ht="12.5">
      <c r="B102" s="145" t="str">
        <f t="shared" si="14"/>
        <v/>
      </c>
      <c r="C102" s="495">
        <f>IF(D94="","-",+C101+1)</f>
        <v>2017</v>
      </c>
      <c r="D102" s="505">
        <v>8265301.1029411769</v>
      </c>
      <c r="E102" s="498">
        <v>213377.6</v>
      </c>
      <c r="F102" s="505">
        <v>8051923.5029411772</v>
      </c>
      <c r="G102" s="498">
        <v>8158612.302941177</v>
      </c>
      <c r="H102" s="499">
        <v>1170675.4253324734</v>
      </c>
      <c r="I102" s="499">
        <v>1170675.4253324734</v>
      </c>
      <c r="J102" s="504">
        <f t="shared" si="17"/>
        <v>0</v>
      </c>
      <c r="K102" s="504"/>
      <c r="L102" s="506">
        <f>H102</f>
        <v>1170675.4253324734</v>
      </c>
      <c r="M102" s="504">
        <f>IF(L102&lt;&gt;0,+H102-L102,0)</f>
        <v>0</v>
      </c>
      <c r="N102" s="589">
        <f>I102</f>
        <v>1170675.4253324734</v>
      </c>
      <c r="O102" s="589">
        <f>IF(N102&lt;&gt;0,+I102-N102,0)</f>
        <v>0</v>
      </c>
      <c r="P102" s="504">
        <f>+O102-M102</f>
        <v>0</v>
      </c>
      <c r="Q102" s="243"/>
      <c r="R102" s="243"/>
      <c r="S102" s="243"/>
      <c r="T102" s="243"/>
      <c r="U102" s="243"/>
    </row>
    <row r="103" spans="1:21" ht="12.5">
      <c r="B103" s="145" t="str">
        <f t="shared" si="14"/>
        <v/>
      </c>
      <c r="C103" s="495">
        <f>IF(D94="","-",+C102+1)</f>
        <v>2018</v>
      </c>
      <c r="D103" s="505">
        <v>8051923.5029411772</v>
      </c>
      <c r="E103" s="498">
        <v>237086.22222222222</v>
      </c>
      <c r="F103" s="505">
        <v>7814837.2807189552</v>
      </c>
      <c r="G103" s="498">
        <v>7933380.3918300662</v>
      </c>
      <c r="H103" s="499">
        <v>1074553.2860184449</v>
      </c>
      <c r="I103" s="499">
        <v>1074553.2860184449</v>
      </c>
      <c r="J103" s="504">
        <f t="shared" si="17"/>
        <v>0</v>
      </c>
      <c r="K103" s="504"/>
      <c r="L103" s="506">
        <f>H103</f>
        <v>1074553.2860184449</v>
      </c>
      <c r="M103" s="504">
        <f>IF(L103&lt;&gt;0,+H103-L103,0)</f>
        <v>0</v>
      </c>
      <c r="N103" s="589">
        <f>I103</f>
        <v>1074553.2860184449</v>
      </c>
      <c r="O103" s="589">
        <f>IF(N103&lt;&gt;0,+I103-N103,0)</f>
        <v>0</v>
      </c>
      <c r="P103" s="504">
        <f>+O103-M103</f>
        <v>0</v>
      </c>
      <c r="Q103" s="243"/>
      <c r="R103" s="243"/>
      <c r="S103" s="243"/>
      <c r="T103" s="243"/>
      <c r="U103" s="243"/>
    </row>
    <row r="104" spans="1:21" ht="12.5">
      <c r="B104" s="145" t="str">
        <f t="shared" si="14"/>
        <v/>
      </c>
      <c r="C104" s="495">
        <f>IF(D94="","-",+C103+1)</f>
        <v>2019</v>
      </c>
      <c r="D104" s="349">
        <f>IF(F103+SUM(E$100:E103)=D$93,F103,D$93-SUM(E$100:E103))</f>
        <v>7814837.2807189552</v>
      </c>
      <c r="E104" s="509">
        <f>IF(+J97&lt;F103,J97,D104)</f>
        <v>258639.51515151514</v>
      </c>
      <c r="F104" s="510">
        <f t="shared" ref="F104:F155" si="18">+D104-E104</f>
        <v>7556197.7655674405</v>
      </c>
      <c r="G104" s="510">
        <f t="shared" ref="G104:G155" si="19">+(F104+D104)/2</f>
        <v>7685517.5231431983</v>
      </c>
      <c r="H104" s="523">
        <f t="shared" ref="H104:H155" si="20">+J$95*G104+E104</f>
        <v>1088746.3136653239</v>
      </c>
      <c r="I104" s="572">
        <f t="shared" ref="I104:I155" si="21">+J$96*G104+E104</f>
        <v>1088746.3136653239</v>
      </c>
      <c r="J104" s="504">
        <f t="shared" si="17"/>
        <v>0</v>
      </c>
      <c r="K104" s="504"/>
      <c r="L104" s="512"/>
      <c r="M104" s="504">
        <f t="shared" ref="M104:M131" si="22">IF(L104&lt;&gt;0,+H104-L104,0)</f>
        <v>0</v>
      </c>
      <c r="N104" s="512"/>
      <c r="O104" s="504">
        <f t="shared" si="15"/>
        <v>0</v>
      </c>
      <c r="P104" s="504">
        <f t="shared" si="16"/>
        <v>0</v>
      </c>
      <c r="Q104" s="243"/>
      <c r="R104" s="243"/>
      <c r="S104" s="243"/>
      <c r="T104" s="243"/>
      <c r="U104" s="243"/>
    </row>
    <row r="105" spans="1:21" ht="12.5">
      <c r="B105" s="145" t="str">
        <f t="shared" si="14"/>
        <v/>
      </c>
      <c r="C105" s="495">
        <f>IF(D94="","-",+C104+1)</f>
        <v>2020</v>
      </c>
      <c r="D105" s="349">
        <f>IF(F104+SUM(E$100:E104)=D$93,F104,D$93-SUM(E$100:E104))</f>
        <v>7556197.7655674405</v>
      </c>
      <c r="E105" s="509">
        <f>IF(+J97&lt;F104,J97,D105)</f>
        <v>258639.51515151514</v>
      </c>
      <c r="F105" s="510">
        <f t="shared" si="18"/>
        <v>7297558.2504159249</v>
      </c>
      <c r="G105" s="510">
        <f t="shared" si="19"/>
        <v>7426878.0079916827</v>
      </c>
      <c r="H105" s="523">
        <f t="shared" si="20"/>
        <v>1060810.8598399865</v>
      </c>
      <c r="I105" s="572">
        <f t="shared" si="21"/>
        <v>1060810.8598399865</v>
      </c>
      <c r="J105" s="504">
        <f t="shared" si="17"/>
        <v>0</v>
      </c>
      <c r="K105" s="504"/>
      <c r="L105" s="512"/>
      <c r="M105" s="504">
        <f t="shared" si="22"/>
        <v>0</v>
      </c>
      <c r="N105" s="512"/>
      <c r="O105" s="504">
        <f t="shared" si="15"/>
        <v>0</v>
      </c>
      <c r="P105" s="504">
        <f t="shared" si="16"/>
        <v>0</v>
      </c>
      <c r="Q105" s="243"/>
      <c r="R105" s="243"/>
      <c r="S105" s="243"/>
      <c r="T105" s="243"/>
      <c r="U105" s="243"/>
    </row>
    <row r="106" spans="1:21" ht="12.5">
      <c r="B106" s="145" t="str">
        <f t="shared" si="14"/>
        <v/>
      </c>
      <c r="C106" s="495">
        <f>IF(D94="","-",+C105+1)</f>
        <v>2021</v>
      </c>
      <c r="D106" s="349">
        <f>IF(F105+SUM(E$100:E105)=D$93,F105,D$93-SUM(E$100:E105))</f>
        <v>7297558.2504159249</v>
      </c>
      <c r="E106" s="509">
        <f>IF(+J97&lt;F105,J97,D106)</f>
        <v>258639.51515151514</v>
      </c>
      <c r="F106" s="510">
        <f t="shared" si="18"/>
        <v>7038918.7352644093</v>
      </c>
      <c r="G106" s="510">
        <f t="shared" si="19"/>
        <v>7168238.4928401671</v>
      </c>
      <c r="H106" s="523">
        <f t="shared" si="20"/>
        <v>1032875.406014649</v>
      </c>
      <c r="I106" s="572">
        <f t="shared" si="21"/>
        <v>1032875.406014649</v>
      </c>
      <c r="J106" s="504">
        <f t="shared" si="17"/>
        <v>0</v>
      </c>
      <c r="K106" s="504"/>
      <c r="L106" s="512"/>
      <c r="M106" s="504">
        <f t="shared" si="22"/>
        <v>0</v>
      </c>
      <c r="N106" s="512"/>
      <c r="O106" s="504">
        <f t="shared" si="15"/>
        <v>0</v>
      </c>
      <c r="P106" s="504">
        <f t="shared" si="16"/>
        <v>0</v>
      </c>
      <c r="Q106" s="243"/>
      <c r="R106" s="243"/>
      <c r="S106" s="243"/>
      <c r="T106" s="243"/>
      <c r="U106" s="243"/>
    </row>
    <row r="107" spans="1:21" ht="12.5">
      <c r="B107" s="145" t="str">
        <f t="shared" si="14"/>
        <v/>
      </c>
      <c r="C107" s="495">
        <f>IF(D94="","-",+C106+1)</f>
        <v>2022</v>
      </c>
      <c r="D107" s="349">
        <f>IF(F106+SUM(E$100:E106)=D$93,F106,D$93-SUM(E$100:E106))</f>
        <v>7038918.7352644093</v>
      </c>
      <c r="E107" s="509">
        <f>IF(+J97&lt;F106,J97,D107)</f>
        <v>258639.51515151514</v>
      </c>
      <c r="F107" s="510">
        <f t="shared" si="18"/>
        <v>6780279.2201128937</v>
      </c>
      <c r="G107" s="510">
        <f t="shared" si="19"/>
        <v>6909598.9776886515</v>
      </c>
      <c r="H107" s="523">
        <f t="shared" si="20"/>
        <v>1004939.9521893116</v>
      </c>
      <c r="I107" s="572">
        <f t="shared" si="21"/>
        <v>1004939.9521893116</v>
      </c>
      <c r="J107" s="504">
        <f t="shared" si="17"/>
        <v>0</v>
      </c>
      <c r="K107" s="504"/>
      <c r="L107" s="512"/>
      <c r="M107" s="504">
        <f t="shared" si="22"/>
        <v>0</v>
      </c>
      <c r="N107" s="512"/>
      <c r="O107" s="504">
        <f t="shared" si="15"/>
        <v>0</v>
      </c>
      <c r="P107" s="504">
        <f t="shared" si="16"/>
        <v>0</v>
      </c>
      <c r="Q107" s="243"/>
      <c r="R107" s="243"/>
      <c r="S107" s="243"/>
      <c r="T107" s="243"/>
      <c r="U107" s="243"/>
    </row>
    <row r="108" spans="1:21" ht="12.5">
      <c r="B108" s="145" t="str">
        <f t="shared" si="14"/>
        <v/>
      </c>
      <c r="C108" s="495">
        <f>IF(D94="","-",+C107+1)</f>
        <v>2023</v>
      </c>
      <c r="D108" s="349">
        <f>IF(F107+SUM(E$100:E107)=D$93,F107,D$93-SUM(E$100:E107))</f>
        <v>6780279.2201128937</v>
      </c>
      <c r="E108" s="509">
        <f>IF(+J97&lt;F107,J97,D108)</f>
        <v>258639.51515151514</v>
      </c>
      <c r="F108" s="510">
        <f t="shared" si="18"/>
        <v>6521639.7049613781</v>
      </c>
      <c r="G108" s="510">
        <f t="shared" si="19"/>
        <v>6650959.4625371359</v>
      </c>
      <c r="H108" s="523">
        <f t="shared" si="20"/>
        <v>977004.49836397415</v>
      </c>
      <c r="I108" s="572">
        <f t="shared" si="21"/>
        <v>977004.49836397415</v>
      </c>
      <c r="J108" s="504">
        <f t="shared" si="17"/>
        <v>0</v>
      </c>
      <c r="K108" s="504"/>
      <c r="L108" s="512"/>
      <c r="M108" s="504">
        <f t="shared" si="22"/>
        <v>0</v>
      </c>
      <c r="N108" s="512"/>
      <c r="O108" s="504">
        <f t="shared" si="15"/>
        <v>0</v>
      </c>
      <c r="P108" s="504">
        <f t="shared" si="16"/>
        <v>0</v>
      </c>
      <c r="Q108" s="243"/>
      <c r="R108" s="243"/>
      <c r="S108" s="243"/>
      <c r="T108" s="243"/>
      <c r="U108" s="243"/>
    </row>
    <row r="109" spans="1:21" ht="12.5">
      <c r="B109" s="145" t="str">
        <f t="shared" si="14"/>
        <v/>
      </c>
      <c r="C109" s="495">
        <f>IF(D94="","-",+C108+1)</f>
        <v>2024</v>
      </c>
      <c r="D109" s="349">
        <f>IF(F108+SUM(E$100:E108)=D$93,F108,D$93-SUM(E$100:E108))</f>
        <v>6521639.7049613781</v>
      </c>
      <c r="E109" s="509">
        <f>IF(+J97&lt;F108,J97,D109)</f>
        <v>258639.51515151514</v>
      </c>
      <c r="F109" s="510">
        <f t="shared" si="18"/>
        <v>6263000.1898098625</v>
      </c>
      <c r="G109" s="510">
        <f t="shared" si="19"/>
        <v>6392319.9473856203</v>
      </c>
      <c r="H109" s="523">
        <f t="shared" si="20"/>
        <v>949069.04453863681</v>
      </c>
      <c r="I109" s="572">
        <f t="shared" si="21"/>
        <v>949069.04453863681</v>
      </c>
      <c r="J109" s="504">
        <f t="shared" si="17"/>
        <v>0</v>
      </c>
      <c r="K109" s="504"/>
      <c r="L109" s="512"/>
      <c r="M109" s="504">
        <f t="shared" si="22"/>
        <v>0</v>
      </c>
      <c r="N109" s="512"/>
      <c r="O109" s="504">
        <f t="shared" si="15"/>
        <v>0</v>
      </c>
      <c r="P109" s="504">
        <f t="shared" si="16"/>
        <v>0</v>
      </c>
      <c r="Q109" s="243"/>
      <c r="R109" s="243"/>
      <c r="S109" s="243"/>
      <c r="T109" s="243"/>
      <c r="U109" s="243"/>
    </row>
    <row r="110" spans="1:21" ht="12.5">
      <c r="B110" s="145" t="str">
        <f t="shared" si="14"/>
        <v/>
      </c>
      <c r="C110" s="495">
        <f>IF(D94="","-",+C109+1)</f>
        <v>2025</v>
      </c>
      <c r="D110" s="349">
        <f>IF(F109+SUM(E$100:E109)=D$93,F109,D$93-SUM(E$100:E109))</f>
        <v>6263000.1898098625</v>
      </c>
      <c r="E110" s="509">
        <f>IF(+J97&lt;F109,J97,D110)</f>
        <v>258639.51515151514</v>
      </c>
      <c r="F110" s="510">
        <f t="shared" si="18"/>
        <v>6004360.6746583469</v>
      </c>
      <c r="G110" s="510">
        <f t="shared" si="19"/>
        <v>6133680.4322341047</v>
      </c>
      <c r="H110" s="523">
        <f t="shared" si="20"/>
        <v>921133.59071329935</v>
      </c>
      <c r="I110" s="572">
        <f t="shared" si="21"/>
        <v>921133.59071329935</v>
      </c>
      <c r="J110" s="504">
        <f t="shared" si="17"/>
        <v>0</v>
      </c>
      <c r="K110" s="504"/>
      <c r="L110" s="512"/>
      <c r="M110" s="504">
        <f t="shared" si="22"/>
        <v>0</v>
      </c>
      <c r="N110" s="512"/>
      <c r="O110" s="504">
        <f t="shared" si="15"/>
        <v>0</v>
      </c>
      <c r="P110" s="504">
        <f t="shared" si="16"/>
        <v>0</v>
      </c>
      <c r="Q110" s="243"/>
      <c r="R110" s="243"/>
      <c r="S110" s="243"/>
      <c r="T110" s="243"/>
      <c r="U110" s="243"/>
    </row>
    <row r="111" spans="1:21" ht="12.5">
      <c r="B111" s="145" t="str">
        <f t="shared" si="14"/>
        <v/>
      </c>
      <c r="C111" s="495">
        <f>IF(D94="","-",+C110+1)</f>
        <v>2026</v>
      </c>
      <c r="D111" s="349">
        <f>IF(F110+SUM(E$100:E110)=D$93,F110,D$93-SUM(E$100:E110))</f>
        <v>6004360.6746583469</v>
      </c>
      <c r="E111" s="509">
        <f>IF(+J97&lt;F110,J97,D111)</f>
        <v>258639.51515151514</v>
      </c>
      <c r="F111" s="510">
        <f t="shared" si="18"/>
        <v>5745721.1595068313</v>
      </c>
      <c r="G111" s="510">
        <f t="shared" si="19"/>
        <v>5875040.9170825891</v>
      </c>
      <c r="H111" s="523">
        <f t="shared" si="20"/>
        <v>893198.136887962</v>
      </c>
      <c r="I111" s="572">
        <f t="shared" si="21"/>
        <v>893198.136887962</v>
      </c>
      <c r="J111" s="504">
        <f t="shared" si="17"/>
        <v>0</v>
      </c>
      <c r="K111" s="504"/>
      <c r="L111" s="512"/>
      <c r="M111" s="504">
        <f t="shared" si="22"/>
        <v>0</v>
      </c>
      <c r="N111" s="512"/>
      <c r="O111" s="504">
        <f t="shared" si="15"/>
        <v>0</v>
      </c>
      <c r="P111" s="504">
        <f t="shared" si="16"/>
        <v>0</v>
      </c>
      <c r="Q111" s="243"/>
      <c r="R111" s="243"/>
      <c r="S111" s="243"/>
      <c r="T111" s="243"/>
      <c r="U111" s="243"/>
    </row>
    <row r="112" spans="1:21" ht="12.5">
      <c r="B112" s="145" t="str">
        <f t="shared" si="14"/>
        <v/>
      </c>
      <c r="C112" s="495">
        <f>IF(D94="","-",+C111+1)</f>
        <v>2027</v>
      </c>
      <c r="D112" s="349">
        <f>IF(F111+SUM(E$100:E111)=D$93,F111,D$93-SUM(E$100:E111))</f>
        <v>5745721.1595068313</v>
      </c>
      <c r="E112" s="509">
        <f>IF(+J97&lt;F111,J97,D112)</f>
        <v>258639.51515151514</v>
      </c>
      <c r="F112" s="510">
        <f t="shared" si="18"/>
        <v>5487081.6443553157</v>
      </c>
      <c r="G112" s="510">
        <f t="shared" si="19"/>
        <v>5616401.4019310735</v>
      </c>
      <c r="H112" s="523">
        <f t="shared" si="20"/>
        <v>865262.68306262454</v>
      </c>
      <c r="I112" s="572">
        <f t="shared" si="21"/>
        <v>865262.68306262454</v>
      </c>
      <c r="J112" s="504">
        <f t="shared" si="17"/>
        <v>0</v>
      </c>
      <c r="K112" s="504"/>
      <c r="L112" s="512"/>
      <c r="M112" s="504">
        <f t="shared" si="22"/>
        <v>0</v>
      </c>
      <c r="N112" s="512"/>
      <c r="O112" s="504">
        <f t="shared" si="15"/>
        <v>0</v>
      </c>
      <c r="P112" s="504">
        <f t="shared" si="16"/>
        <v>0</v>
      </c>
      <c r="Q112" s="243"/>
      <c r="R112" s="243"/>
      <c r="S112" s="243"/>
      <c r="T112" s="243"/>
      <c r="U112" s="243"/>
    </row>
    <row r="113" spans="2:21" ht="12.5">
      <c r="B113" s="145" t="str">
        <f t="shared" si="14"/>
        <v/>
      </c>
      <c r="C113" s="495">
        <f>IF(D94="","-",+C112+1)</f>
        <v>2028</v>
      </c>
      <c r="D113" s="349">
        <f>IF(F112+SUM(E$100:E112)=D$93,F112,D$93-SUM(E$100:E112))</f>
        <v>5487081.6443553157</v>
      </c>
      <c r="E113" s="509">
        <f>IF(+J97&lt;F112,J97,D113)</f>
        <v>258639.51515151514</v>
      </c>
      <c r="F113" s="510">
        <f t="shared" si="18"/>
        <v>5228442.1292038001</v>
      </c>
      <c r="G113" s="510">
        <f t="shared" si="19"/>
        <v>5357761.8867795579</v>
      </c>
      <c r="H113" s="523">
        <f t="shared" si="20"/>
        <v>837327.22923728719</v>
      </c>
      <c r="I113" s="572">
        <f t="shared" si="21"/>
        <v>837327.22923728719</v>
      </c>
      <c r="J113" s="504">
        <f t="shared" si="17"/>
        <v>0</v>
      </c>
      <c r="K113" s="504"/>
      <c r="L113" s="512"/>
      <c r="M113" s="504">
        <f t="shared" si="22"/>
        <v>0</v>
      </c>
      <c r="N113" s="512"/>
      <c r="O113" s="504">
        <f t="shared" si="15"/>
        <v>0</v>
      </c>
      <c r="P113" s="504">
        <f t="shared" si="16"/>
        <v>0</v>
      </c>
      <c r="Q113" s="243"/>
      <c r="R113" s="243"/>
      <c r="S113" s="243"/>
      <c r="T113" s="243"/>
      <c r="U113" s="243"/>
    </row>
    <row r="114" spans="2:21" ht="12.5">
      <c r="B114" s="145" t="str">
        <f t="shared" si="14"/>
        <v/>
      </c>
      <c r="C114" s="495">
        <f>IF(D94="","-",+C113+1)</f>
        <v>2029</v>
      </c>
      <c r="D114" s="349">
        <f>IF(F113+SUM(E$100:E113)=D$93,F113,D$93-SUM(E$100:E113))</f>
        <v>5228442.1292038001</v>
      </c>
      <c r="E114" s="509">
        <f>IF(+J97&lt;F113,J97,D114)</f>
        <v>258639.51515151514</v>
      </c>
      <c r="F114" s="510">
        <f t="shared" si="18"/>
        <v>4969802.6140522845</v>
      </c>
      <c r="G114" s="510">
        <f t="shared" si="19"/>
        <v>5099122.3716280423</v>
      </c>
      <c r="H114" s="523">
        <f t="shared" si="20"/>
        <v>809391.77541194973</v>
      </c>
      <c r="I114" s="572">
        <f t="shared" si="21"/>
        <v>809391.77541194973</v>
      </c>
      <c r="J114" s="504">
        <f t="shared" si="17"/>
        <v>0</v>
      </c>
      <c r="K114" s="504"/>
      <c r="L114" s="512"/>
      <c r="M114" s="504">
        <f t="shared" si="22"/>
        <v>0</v>
      </c>
      <c r="N114" s="512"/>
      <c r="O114" s="504">
        <f t="shared" si="15"/>
        <v>0</v>
      </c>
      <c r="P114" s="504">
        <f t="shared" si="16"/>
        <v>0</v>
      </c>
      <c r="Q114" s="243"/>
      <c r="R114" s="243"/>
      <c r="S114" s="243"/>
      <c r="T114" s="243"/>
      <c r="U114" s="243"/>
    </row>
    <row r="115" spans="2:21" ht="12.5">
      <c r="B115" s="145" t="str">
        <f t="shared" si="14"/>
        <v/>
      </c>
      <c r="C115" s="495">
        <f>IF(D94="","-",+C114+1)</f>
        <v>2030</v>
      </c>
      <c r="D115" s="349">
        <f>IF(F114+SUM(E$100:E114)=D$93,F114,D$93-SUM(E$100:E114))</f>
        <v>4969802.6140522845</v>
      </c>
      <c r="E115" s="509">
        <f>IF(+J97&lt;F114,J97,D115)</f>
        <v>258639.51515151514</v>
      </c>
      <c r="F115" s="510">
        <f t="shared" si="18"/>
        <v>4711163.0989007689</v>
      </c>
      <c r="G115" s="510">
        <f t="shared" si="19"/>
        <v>4840482.8564765267</v>
      </c>
      <c r="H115" s="523">
        <f t="shared" si="20"/>
        <v>781456.32158661238</v>
      </c>
      <c r="I115" s="572">
        <f t="shared" si="21"/>
        <v>781456.32158661238</v>
      </c>
      <c r="J115" s="504">
        <f t="shared" si="17"/>
        <v>0</v>
      </c>
      <c r="K115" s="504"/>
      <c r="L115" s="512"/>
      <c r="M115" s="504">
        <f t="shared" si="22"/>
        <v>0</v>
      </c>
      <c r="N115" s="512"/>
      <c r="O115" s="504">
        <f t="shared" si="15"/>
        <v>0</v>
      </c>
      <c r="P115" s="504">
        <f t="shared" si="16"/>
        <v>0</v>
      </c>
      <c r="Q115" s="243"/>
      <c r="R115" s="243"/>
      <c r="S115" s="243"/>
      <c r="T115" s="243"/>
      <c r="U115" s="243"/>
    </row>
    <row r="116" spans="2:21" ht="12.5">
      <c r="B116" s="145" t="str">
        <f t="shared" si="14"/>
        <v/>
      </c>
      <c r="C116" s="495">
        <f>IF(D94="","-",+C115+1)</f>
        <v>2031</v>
      </c>
      <c r="D116" s="349">
        <f>IF(F115+SUM(E$100:E115)=D$93,F115,D$93-SUM(E$100:E115))</f>
        <v>4711163.0989007689</v>
      </c>
      <c r="E116" s="509">
        <f>IF(+J97&lt;F115,J97,D116)</f>
        <v>258639.51515151514</v>
      </c>
      <c r="F116" s="510">
        <f t="shared" si="18"/>
        <v>4452523.5837492533</v>
      </c>
      <c r="G116" s="510">
        <f t="shared" si="19"/>
        <v>4581843.3413250111</v>
      </c>
      <c r="H116" s="523">
        <f t="shared" si="20"/>
        <v>753520.86776127492</v>
      </c>
      <c r="I116" s="572">
        <f t="shared" si="21"/>
        <v>753520.86776127492</v>
      </c>
      <c r="J116" s="504">
        <f t="shared" si="17"/>
        <v>0</v>
      </c>
      <c r="K116" s="504"/>
      <c r="L116" s="512"/>
      <c r="M116" s="504">
        <f t="shared" si="22"/>
        <v>0</v>
      </c>
      <c r="N116" s="512"/>
      <c r="O116" s="504">
        <f t="shared" si="15"/>
        <v>0</v>
      </c>
      <c r="P116" s="504">
        <f t="shared" si="16"/>
        <v>0</v>
      </c>
      <c r="Q116" s="243"/>
      <c r="R116" s="243"/>
      <c r="S116" s="243"/>
      <c r="T116" s="243"/>
      <c r="U116" s="243"/>
    </row>
    <row r="117" spans="2:21" ht="12.5">
      <c r="B117" s="145" t="str">
        <f t="shared" si="14"/>
        <v/>
      </c>
      <c r="C117" s="495">
        <f>IF(D94="","-",+C116+1)</f>
        <v>2032</v>
      </c>
      <c r="D117" s="349">
        <f>IF(F116+SUM(E$100:E116)=D$93,F116,D$93-SUM(E$100:E116))</f>
        <v>4452523.5837492533</v>
      </c>
      <c r="E117" s="509">
        <f>IF(+J97&lt;F116,J97,D117)</f>
        <v>258639.51515151514</v>
      </c>
      <c r="F117" s="510">
        <f t="shared" si="18"/>
        <v>4193884.0685977382</v>
      </c>
      <c r="G117" s="510">
        <f t="shared" si="19"/>
        <v>4323203.8261734955</v>
      </c>
      <c r="H117" s="523">
        <f t="shared" si="20"/>
        <v>725585.41393593745</v>
      </c>
      <c r="I117" s="572">
        <f t="shared" si="21"/>
        <v>725585.41393593745</v>
      </c>
      <c r="J117" s="504">
        <f t="shared" si="17"/>
        <v>0</v>
      </c>
      <c r="K117" s="504"/>
      <c r="L117" s="512"/>
      <c r="M117" s="504">
        <f t="shared" si="22"/>
        <v>0</v>
      </c>
      <c r="N117" s="512"/>
      <c r="O117" s="504">
        <f t="shared" si="15"/>
        <v>0</v>
      </c>
      <c r="P117" s="504">
        <f t="shared" si="16"/>
        <v>0</v>
      </c>
      <c r="Q117" s="243"/>
      <c r="R117" s="243"/>
      <c r="S117" s="243"/>
      <c r="T117" s="243"/>
      <c r="U117" s="243"/>
    </row>
    <row r="118" spans="2:21" ht="12.5">
      <c r="B118" s="145" t="str">
        <f t="shared" si="14"/>
        <v/>
      </c>
      <c r="C118" s="495">
        <f>IF(D94="","-",+C117+1)</f>
        <v>2033</v>
      </c>
      <c r="D118" s="349">
        <f>IF(F117+SUM(E$100:E117)=D$93,F117,D$93-SUM(E$100:E117))</f>
        <v>4193884.0685977382</v>
      </c>
      <c r="E118" s="509">
        <f>IF(+J97&lt;F117,J97,D118)</f>
        <v>258639.51515151514</v>
      </c>
      <c r="F118" s="510">
        <f t="shared" si="18"/>
        <v>3935244.553446223</v>
      </c>
      <c r="G118" s="510">
        <f t="shared" si="19"/>
        <v>4064564.3110219808</v>
      </c>
      <c r="H118" s="523">
        <f t="shared" si="20"/>
        <v>697649.96011060022</v>
      </c>
      <c r="I118" s="572">
        <f t="shared" si="21"/>
        <v>697649.96011060022</v>
      </c>
      <c r="J118" s="504">
        <f t="shared" si="17"/>
        <v>0</v>
      </c>
      <c r="K118" s="504"/>
      <c r="L118" s="512"/>
      <c r="M118" s="504">
        <f t="shared" si="22"/>
        <v>0</v>
      </c>
      <c r="N118" s="512"/>
      <c r="O118" s="504">
        <f t="shared" si="15"/>
        <v>0</v>
      </c>
      <c r="P118" s="504">
        <f t="shared" si="16"/>
        <v>0</v>
      </c>
      <c r="Q118" s="243"/>
      <c r="R118" s="243"/>
      <c r="S118" s="243"/>
      <c r="T118" s="243"/>
      <c r="U118" s="243"/>
    </row>
    <row r="119" spans="2:21" ht="12.5">
      <c r="B119" s="145" t="str">
        <f t="shared" si="14"/>
        <v/>
      </c>
      <c r="C119" s="495">
        <f>IF(D94="","-",+C118+1)</f>
        <v>2034</v>
      </c>
      <c r="D119" s="349">
        <f>IF(F118+SUM(E$100:E118)=D$93,F118,D$93-SUM(E$100:E118))</f>
        <v>3935244.553446223</v>
      </c>
      <c r="E119" s="509">
        <f>IF(+J97&lt;F118,J97,D119)</f>
        <v>258639.51515151514</v>
      </c>
      <c r="F119" s="510">
        <f t="shared" si="18"/>
        <v>3676605.0382947079</v>
      </c>
      <c r="G119" s="510">
        <f t="shared" si="19"/>
        <v>3805924.7958704652</v>
      </c>
      <c r="H119" s="523">
        <f t="shared" si="20"/>
        <v>669714.50628526276</v>
      </c>
      <c r="I119" s="572">
        <f t="shared" si="21"/>
        <v>669714.50628526276</v>
      </c>
      <c r="J119" s="504">
        <f t="shared" si="17"/>
        <v>0</v>
      </c>
      <c r="K119" s="504"/>
      <c r="L119" s="512"/>
      <c r="M119" s="504">
        <f t="shared" si="22"/>
        <v>0</v>
      </c>
      <c r="N119" s="512"/>
      <c r="O119" s="504">
        <f t="shared" si="15"/>
        <v>0</v>
      </c>
      <c r="P119" s="504">
        <f t="shared" si="16"/>
        <v>0</v>
      </c>
      <c r="Q119" s="243"/>
      <c r="R119" s="243"/>
      <c r="S119" s="243"/>
      <c r="T119" s="243"/>
      <c r="U119" s="243"/>
    </row>
    <row r="120" spans="2:21" ht="12.5">
      <c r="B120" s="145" t="str">
        <f t="shared" si="14"/>
        <v/>
      </c>
      <c r="C120" s="495">
        <f>IF(D94="","-",+C119+1)</f>
        <v>2035</v>
      </c>
      <c r="D120" s="349">
        <f>IF(F119+SUM(E$100:E119)=D$93,F119,D$93-SUM(E$100:E119))</f>
        <v>3676605.0382947079</v>
      </c>
      <c r="E120" s="509">
        <f>IF(+J97&lt;F119,J97,D120)</f>
        <v>258639.51515151514</v>
      </c>
      <c r="F120" s="510">
        <f t="shared" si="18"/>
        <v>3417965.5231431928</v>
      </c>
      <c r="G120" s="510">
        <f t="shared" si="19"/>
        <v>3547285.2807189506</v>
      </c>
      <c r="H120" s="523">
        <f t="shared" si="20"/>
        <v>641779.05245992541</v>
      </c>
      <c r="I120" s="572">
        <f t="shared" si="21"/>
        <v>641779.05245992541</v>
      </c>
      <c r="J120" s="504">
        <f t="shared" si="17"/>
        <v>0</v>
      </c>
      <c r="K120" s="504"/>
      <c r="L120" s="512"/>
      <c r="M120" s="504">
        <f t="shared" si="22"/>
        <v>0</v>
      </c>
      <c r="N120" s="512"/>
      <c r="O120" s="504">
        <f t="shared" si="15"/>
        <v>0</v>
      </c>
      <c r="P120" s="504">
        <f t="shared" si="16"/>
        <v>0</v>
      </c>
      <c r="Q120" s="243"/>
      <c r="R120" s="243"/>
      <c r="S120" s="243"/>
      <c r="T120" s="243"/>
      <c r="U120" s="243"/>
    </row>
    <row r="121" spans="2:21" ht="12.5">
      <c r="B121" s="145" t="str">
        <f t="shared" si="14"/>
        <v/>
      </c>
      <c r="C121" s="495">
        <f>IF(D94="","-",+C120+1)</f>
        <v>2036</v>
      </c>
      <c r="D121" s="349">
        <f>IF(F120+SUM(E$100:E120)=D$93,F120,D$93-SUM(E$100:E120))</f>
        <v>3417965.5231431928</v>
      </c>
      <c r="E121" s="509">
        <f>IF(+J97&lt;F120,J97,D121)</f>
        <v>258639.51515151514</v>
      </c>
      <c r="F121" s="510">
        <f t="shared" si="18"/>
        <v>3159326.0079916776</v>
      </c>
      <c r="G121" s="510">
        <f t="shared" si="19"/>
        <v>3288645.765567435</v>
      </c>
      <c r="H121" s="523">
        <f t="shared" si="20"/>
        <v>613843.59863458807</v>
      </c>
      <c r="I121" s="572">
        <f t="shared" si="21"/>
        <v>613843.59863458807</v>
      </c>
      <c r="J121" s="504">
        <f t="shared" si="17"/>
        <v>0</v>
      </c>
      <c r="K121" s="504"/>
      <c r="L121" s="512"/>
      <c r="M121" s="504">
        <f t="shared" si="22"/>
        <v>0</v>
      </c>
      <c r="N121" s="512"/>
      <c r="O121" s="504">
        <f t="shared" si="15"/>
        <v>0</v>
      </c>
      <c r="P121" s="504">
        <f t="shared" si="16"/>
        <v>0</v>
      </c>
      <c r="Q121" s="243"/>
      <c r="R121" s="243"/>
      <c r="S121" s="243"/>
      <c r="T121" s="243"/>
      <c r="U121" s="243"/>
    </row>
    <row r="122" spans="2:21" ht="12.5">
      <c r="B122" s="145" t="str">
        <f t="shared" si="14"/>
        <v/>
      </c>
      <c r="C122" s="495">
        <f>IF(D94="","-",+C121+1)</f>
        <v>2037</v>
      </c>
      <c r="D122" s="349">
        <f>IF(F121+SUM(E$100:E121)=D$93,F121,D$93-SUM(E$100:E121))</f>
        <v>3159326.0079916776</v>
      </c>
      <c r="E122" s="509">
        <f>IF(+J97&lt;F121,J97,D122)</f>
        <v>258639.51515151514</v>
      </c>
      <c r="F122" s="510">
        <f t="shared" si="18"/>
        <v>2900686.4928401625</v>
      </c>
      <c r="G122" s="510">
        <f t="shared" si="19"/>
        <v>3030006.2504159203</v>
      </c>
      <c r="H122" s="523">
        <f t="shared" si="20"/>
        <v>585908.14480925072</v>
      </c>
      <c r="I122" s="572">
        <f t="shared" si="21"/>
        <v>585908.14480925072</v>
      </c>
      <c r="J122" s="504">
        <f t="shared" si="17"/>
        <v>0</v>
      </c>
      <c r="K122" s="504"/>
      <c r="L122" s="512"/>
      <c r="M122" s="504">
        <f t="shared" si="22"/>
        <v>0</v>
      </c>
      <c r="N122" s="512"/>
      <c r="O122" s="504">
        <f t="shared" si="15"/>
        <v>0</v>
      </c>
      <c r="P122" s="504">
        <f t="shared" si="16"/>
        <v>0</v>
      </c>
      <c r="Q122" s="243"/>
      <c r="R122" s="243"/>
      <c r="S122" s="243"/>
      <c r="T122" s="243"/>
      <c r="U122" s="243"/>
    </row>
    <row r="123" spans="2:21" ht="12.5">
      <c r="B123" s="145" t="str">
        <f t="shared" si="14"/>
        <v/>
      </c>
      <c r="C123" s="495">
        <f>IF(D94="","-",+C122+1)</f>
        <v>2038</v>
      </c>
      <c r="D123" s="349">
        <f>IF(F122+SUM(E$100:E122)=D$93,F122,D$93-SUM(E$100:E122))</f>
        <v>2900686.4928401625</v>
      </c>
      <c r="E123" s="509">
        <f>IF(+J97&lt;F122,J97,D123)</f>
        <v>258639.51515151514</v>
      </c>
      <c r="F123" s="510">
        <f t="shared" si="18"/>
        <v>2642046.9776886473</v>
      </c>
      <c r="G123" s="510">
        <f t="shared" si="19"/>
        <v>2771366.7352644047</v>
      </c>
      <c r="H123" s="523">
        <f t="shared" si="20"/>
        <v>557972.69098391337</v>
      </c>
      <c r="I123" s="572">
        <f t="shared" si="21"/>
        <v>557972.69098391337</v>
      </c>
      <c r="J123" s="504">
        <f t="shared" si="17"/>
        <v>0</v>
      </c>
      <c r="K123" s="504"/>
      <c r="L123" s="512"/>
      <c r="M123" s="504">
        <f t="shared" si="22"/>
        <v>0</v>
      </c>
      <c r="N123" s="512"/>
      <c r="O123" s="504">
        <f t="shared" si="15"/>
        <v>0</v>
      </c>
      <c r="P123" s="504">
        <f t="shared" si="16"/>
        <v>0</v>
      </c>
      <c r="Q123" s="243"/>
      <c r="R123" s="243"/>
      <c r="S123" s="243"/>
      <c r="T123" s="243"/>
      <c r="U123" s="243"/>
    </row>
    <row r="124" spans="2:21" ht="12.5">
      <c r="B124" s="145" t="str">
        <f t="shared" si="14"/>
        <v/>
      </c>
      <c r="C124" s="495">
        <f>IF(D94="","-",+C123+1)</f>
        <v>2039</v>
      </c>
      <c r="D124" s="349">
        <f>IF(F123+SUM(E$100:E123)=D$93,F123,D$93-SUM(E$100:E123))</f>
        <v>2642046.9776886473</v>
      </c>
      <c r="E124" s="509">
        <f>IF(+J97&lt;F123,J97,D124)</f>
        <v>258639.51515151514</v>
      </c>
      <c r="F124" s="510">
        <f t="shared" si="18"/>
        <v>2383407.4625371322</v>
      </c>
      <c r="G124" s="510">
        <f t="shared" si="19"/>
        <v>2512727.22011289</v>
      </c>
      <c r="H124" s="523">
        <f t="shared" si="20"/>
        <v>530037.23715857603</v>
      </c>
      <c r="I124" s="572">
        <f t="shared" si="21"/>
        <v>530037.23715857603</v>
      </c>
      <c r="J124" s="504">
        <f t="shared" si="17"/>
        <v>0</v>
      </c>
      <c r="K124" s="504"/>
      <c r="L124" s="512"/>
      <c r="M124" s="504">
        <f t="shared" si="22"/>
        <v>0</v>
      </c>
      <c r="N124" s="512"/>
      <c r="O124" s="504">
        <f t="shared" si="15"/>
        <v>0</v>
      </c>
      <c r="P124" s="504">
        <f t="shared" si="16"/>
        <v>0</v>
      </c>
      <c r="Q124" s="243"/>
      <c r="R124" s="243"/>
      <c r="S124" s="243"/>
      <c r="T124" s="243"/>
      <c r="U124" s="243"/>
    </row>
    <row r="125" spans="2:21" ht="12.5">
      <c r="B125" s="145" t="str">
        <f t="shared" si="14"/>
        <v/>
      </c>
      <c r="C125" s="495">
        <f>IF(D94="","-",+C124+1)</f>
        <v>2040</v>
      </c>
      <c r="D125" s="349">
        <f>IF(F124+SUM(E$100:E124)=D$93,F124,D$93-SUM(E$100:E124))</f>
        <v>2383407.4625371322</v>
      </c>
      <c r="E125" s="509">
        <f>IF(+J97&lt;F124,J97,D125)</f>
        <v>258639.51515151514</v>
      </c>
      <c r="F125" s="510">
        <f t="shared" si="18"/>
        <v>2124767.9473856171</v>
      </c>
      <c r="G125" s="510">
        <f t="shared" si="19"/>
        <v>2254087.7049613744</v>
      </c>
      <c r="H125" s="523">
        <f t="shared" si="20"/>
        <v>502101.78333323868</v>
      </c>
      <c r="I125" s="572">
        <f t="shared" si="21"/>
        <v>502101.78333323868</v>
      </c>
      <c r="J125" s="504">
        <f t="shared" si="17"/>
        <v>0</v>
      </c>
      <c r="K125" s="504"/>
      <c r="L125" s="512"/>
      <c r="M125" s="504">
        <f t="shared" si="22"/>
        <v>0</v>
      </c>
      <c r="N125" s="512"/>
      <c r="O125" s="504">
        <f t="shared" si="15"/>
        <v>0</v>
      </c>
      <c r="P125" s="504">
        <f t="shared" si="16"/>
        <v>0</v>
      </c>
      <c r="Q125" s="243"/>
      <c r="R125" s="243"/>
      <c r="S125" s="243"/>
      <c r="T125" s="243"/>
      <c r="U125" s="243"/>
    </row>
    <row r="126" spans="2:21" ht="12.5">
      <c r="B126" s="145" t="str">
        <f t="shared" si="14"/>
        <v/>
      </c>
      <c r="C126" s="495">
        <f>IF(D94="","-",+C125+1)</f>
        <v>2041</v>
      </c>
      <c r="D126" s="349">
        <f>IF(F125+SUM(E$100:E125)=D$93,F125,D$93-SUM(E$100:E125))</f>
        <v>2124767.9473856171</v>
      </c>
      <c r="E126" s="509">
        <f>IF(+J97&lt;F125,J97,D126)</f>
        <v>258639.51515151514</v>
      </c>
      <c r="F126" s="510">
        <f t="shared" si="18"/>
        <v>1866128.4322341019</v>
      </c>
      <c r="G126" s="510">
        <f t="shared" si="19"/>
        <v>1995448.1898098595</v>
      </c>
      <c r="H126" s="523">
        <f t="shared" si="20"/>
        <v>474166.32950790133</v>
      </c>
      <c r="I126" s="572">
        <f t="shared" si="21"/>
        <v>474166.32950790133</v>
      </c>
      <c r="J126" s="504">
        <f t="shared" si="17"/>
        <v>0</v>
      </c>
      <c r="K126" s="504"/>
      <c r="L126" s="512"/>
      <c r="M126" s="504">
        <f t="shared" si="22"/>
        <v>0</v>
      </c>
      <c r="N126" s="512"/>
      <c r="O126" s="504">
        <f t="shared" si="15"/>
        <v>0</v>
      </c>
      <c r="P126" s="504">
        <f t="shared" si="16"/>
        <v>0</v>
      </c>
      <c r="Q126" s="243"/>
      <c r="R126" s="243"/>
      <c r="S126" s="243"/>
      <c r="T126" s="243"/>
      <c r="U126" s="243"/>
    </row>
    <row r="127" spans="2:21" ht="12.5">
      <c r="B127" s="145" t="str">
        <f t="shared" si="14"/>
        <v/>
      </c>
      <c r="C127" s="495">
        <f>IF(D94="","-",+C126+1)</f>
        <v>2042</v>
      </c>
      <c r="D127" s="349">
        <f>IF(F126+SUM(E$100:E126)=D$93,F126,D$93-SUM(E$100:E126))</f>
        <v>1866128.4322341019</v>
      </c>
      <c r="E127" s="509">
        <f>IF(+J97&lt;F126,J97,D127)</f>
        <v>258639.51515151514</v>
      </c>
      <c r="F127" s="510">
        <f t="shared" si="18"/>
        <v>1607488.9170825868</v>
      </c>
      <c r="G127" s="510">
        <f t="shared" si="19"/>
        <v>1736808.6746583444</v>
      </c>
      <c r="H127" s="523">
        <f t="shared" si="20"/>
        <v>446230.87568256399</v>
      </c>
      <c r="I127" s="572">
        <f t="shared" si="21"/>
        <v>446230.87568256399</v>
      </c>
      <c r="J127" s="504">
        <f t="shared" si="17"/>
        <v>0</v>
      </c>
      <c r="K127" s="504"/>
      <c r="L127" s="512"/>
      <c r="M127" s="504">
        <f t="shared" si="22"/>
        <v>0</v>
      </c>
      <c r="N127" s="512"/>
      <c r="O127" s="504">
        <f t="shared" si="15"/>
        <v>0</v>
      </c>
      <c r="P127" s="504">
        <f t="shared" si="16"/>
        <v>0</v>
      </c>
      <c r="Q127" s="243"/>
      <c r="R127" s="243"/>
      <c r="S127" s="243"/>
      <c r="T127" s="243"/>
      <c r="U127" s="243"/>
    </row>
    <row r="128" spans="2:21" ht="12.5">
      <c r="B128" s="145" t="str">
        <f t="shared" si="14"/>
        <v/>
      </c>
      <c r="C128" s="495">
        <f>IF(D94="","-",+C127+1)</f>
        <v>2043</v>
      </c>
      <c r="D128" s="349">
        <f>IF(F127+SUM(E$100:E127)=D$93,F127,D$93-SUM(E$100:E127))</f>
        <v>1607488.9170825868</v>
      </c>
      <c r="E128" s="509">
        <f>IF(+J97&lt;F127,J97,D128)</f>
        <v>258639.51515151514</v>
      </c>
      <c r="F128" s="510">
        <f t="shared" si="18"/>
        <v>1348849.4019310717</v>
      </c>
      <c r="G128" s="510">
        <f t="shared" si="19"/>
        <v>1478169.1595068292</v>
      </c>
      <c r="H128" s="523">
        <f t="shared" si="20"/>
        <v>418295.42185722664</v>
      </c>
      <c r="I128" s="572">
        <f t="shared" si="21"/>
        <v>418295.42185722664</v>
      </c>
      <c r="J128" s="504">
        <f t="shared" si="17"/>
        <v>0</v>
      </c>
      <c r="K128" s="504"/>
      <c r="L128" s="512"/>
      <c r="M128" s="504">
        <f t="shared" si="22"/>
        <v>0</v>
      </c>
      <c r="N128" s="512"/>
      <c r="O128" s="504">
        <f t="shared" si="15"/>
        <v>0</v>
      </c>
      <c r="P128" s="504">
        <f t="shared" si="16"/>
        <v>0</v>
      </c>
      <c r="Q128" s="243"/>
      <c r="R128" s="243"/>
      <c r="S128" s="243"/>
      <c r="T128" s="243"/>
      <c r="U128" s="243"/>
    </row>
    <row r="129" spans="2:21" ht="12.5">
      <c r="B129" s="145" t="str">
        <f t="shared" si="14"/>
        <v/>
      </c>
      <c r="C129" s="495">
        <f>IF(D94="","-",+C128+1)</f>
        <v>2044</v>
      </c>
      <c r="D129" s="349">
        <f>IF(F128+SUM(E$100:E128)=D$93,F128,D$93-SUM(E$100:E128))</f>
        <v>1348849.4019310717</v>
      </c>
      <c r="E129" s="509">
        <f>IF(+J97&lt;F128,J97,D129)</f>
        <v>258639.51515151514</v>
      </c>
      <c r="F129" s="510">
        <f t="shared" si="18"/>
        <v>1090209.8867795565</v>
      </c>
      <c r="G129" s="510">
        <f t="shared" si="19"/>
        <v>1219529.6443553141</v>
      </c>
      <c r="H129" s="523">
        <f t="shared" si="20"/>
        <v>390359.96803188929</v>
      </c>
      <c r="I129" s="572">
        <f t="shared" si="21"/>
        <v>390359.96803188929</v>
      </c>
      <c r="J129" s="504">
        <f t="shared" si="17"/>
        <v>0</v>
      </c>
      <c r="K129" s="504"/>
      <c r="L129" s="512"/>
      <c r="M129" s="504">
        <f t="shared" si="22"/>
        <v>0</v>
      </c>
      <c r="N129" s="512"/>
      <c r="O129" s="504">
        <f t="shared" si="15"/>
        <v>0</v>
      </c>
      <c r="P129" s="504">
        <f t="shared" si="16"/>
        <v>0</v>
      </c>
      <c r="Q129" s="243"/>
      <c r="R129" s="243"/>
      <c r="S129" s="243"/>
      <c r="T129" s="243"/>
      <c r="U129" s="243"/>
    </row>
    <row r="130" spans="2:21" ht="12.5">
      <c r="B130" s="145" t="str">
        <f t="shared" si="14"/>
        <v/>
      </c>
      <c r="C130" s="495">
        <f>IF(D94="","-",+C129+1)</f>
        <v>2045</v>
      </c>
      <c r="D130" s="349">
        <f>IF(F129+SUM(E$100:E129)=D$93,F129,D$93-SUM(E$100:E129))</f>
        <v>1090209.8867795565</v>
      </c>
      <c r="E130" s="509">
        <f>IF(+J97&lt;F129,J97,D130)</f>
        <v>258639.51515151514</v>
      </c>
      <c r="F130" s="510">
        <f t="shared" si="18"/>
        <v>831570.37162804138</v>
      </c>
      <c r="G130" s="510">
        <f t="shared" si="19"/>
        <v>960890.12920379895</v>
      </c>
      <c r="H130" s="523">
        <f t="shared" si="20"/>
        <v>362424.51420655195</v>
      </c>
      <c r="I130" s="572">
        <f t="shared" si="21"/>
        <v>362424.51420655195</v>
      </c>
      <c r="J130" s="504">
        <f t="shared" si="17"/>
        <v>0</v>
      </c>
      <c r="K130" s="504"/>
      <c r="L130" s="512"/>
      <c r="M130" s="504">
        <f t="shared" si="22"/>
        <v>0</v>
      </c>
      <c r="N130" s="512"/>
      <c r="O130" s="504">
        <f t="shared" si="15"/>
        <v>0</v>
      </c>
      <c r="P130" s="504">
        <f t="shared" si="16"/>
        <v>0</v>
      </c>
      <c r="Q130" s="243"/>
      <c r="R130" s="243"/>
      <c r="S130" s="243"/>
      <c r="T130" s="243"/>
      <c r="U130" s="243"/>
    </row>
    <row r="131" spans="2:21" ht="12.5">
      <c r="B131" s="145" t="str">
        <f t="shared" si="14"/>
        <v/>
      </c>
      <c r="C131" s="495">
        <f>IF(D94="","-",+C130+1)</f>
        <v>2046</v>
      </c>
      <c r="D131" s="349">
        <f>IF(F130+SUM(E$100:E130)=D$93,F130,D$93-SUM(E$100:E130))</f>
        <v>831570.37162804138</v>
      </c>
      <c r="E131" s="509">
        <f>IF(+J97&lt;F130,J97,D131)</f>
        <v>258639.51515151514</v>
      </c>
      <c r="F131" s="510">
        <f t="shared" si="18"/>
        <v>572930.85647652624</v>
      </c>
      <c r="G131" s="510">
        <f t="shared" si="19"/>
        <v>702250.61405228381</v>
      </c>
      <c r="H131" s="523">
        <f t="shared" si="20"/>
        <v>334489.0603812146</v>
      </c>
      <c r="I131" s="572">
        <f t="shared" si="21"/>
        <v>334489.0603812146</v>
      </c>
      <c r="J131" s="504">
        <f t="shared" si="17"/>
        <v>0</v>
      </c>
      <c r="K131" s="504"/>
      <c r="L131" s="512"/>
      <c r="M131" s="504">
        <f t="shared" si="22"/>
        <v>0</v>
      </c>
      <c r="N131" s="512"/>
      <c r="O131" s="504">
        <f t="shared" si="15"/>
        <v>0</v>
      </c>
      <c r="P131" s="504">
        <f t="shared" si="16"/>
        <v>0</v>
      </c>
      <c r="Q131" s="243"/>
      <c r="R131" s="243"/>
      <c r="S131" s="243"/>
      <c r="T131" s="243"/>
      <c r="U131" s="243"/>
    </row>
    <row r="132" spans="2:21" ht="12.5">
      <c r="B132" s="145" t="str">
        <f t="shared" si="14"/>
        <v/>
      </c>
      <c r="C132" s="495">
        <f>IF(D94="","-",+C131+1)</f>
        <v>2047</v>
      </c>
      <c r="D132" s="349">
        <f>IF(F131+SUM(E$100:E131)=D$93,F131,D$93-SUM(E$100:E131))</f>
        <v>572930.85647652624</v>
      </c>
      <c r="E132" s="509">
        <f>IF(+J97&lt;F131,J97,D132)</f>
        <v>258639.51515151514</v>
      </c>
      <c r="F132" s="510">
        <f t="shared" si="18"/>
        <v>314291.3413250111</v>
      </c>
      <c r="G132" s="510">
        <f t="shared" si="19"/>
        <v>443611.09890076867</v>
      </c>
      <c r="H132" s="523">
        <f t="shared" si="20"/>
        <v>306553.6065558772</v>
      </c>
      <c r="I132" s="572">
        <f t="shared" si="21"/>
        <v>306553.6065558772</v>
      </c>
      <c r="J132" s="504">
        <f t="shared" ref="J132:J155" si="23">+I542-H542</f>
        <v>0</v>
      </c>
      <c r="K132" s="504"/>
      <c r="L132" s="512"/>
      <c r="M132" s="504">
        <f t="shared" ref="M132:M155" si="24">IF(L542&lt;&gt;0,+H542-L542,0)</f>
        <v>0</v>
      </c>
      <c r="N132" s="512"/>
      <c r="O132" s="504">
        <f t="shared" ref="O132:O155" si="25">IF(N542&lt;&gt;0,+I542-N542,0)</f>
        <v>0</v>
      </c>
      <c r="P132" s="504">
        <f t="shared" ref="P132:P155" si="26">+O542-M542</f>
        <v>0</v>
      </c>
      <c r="Q132" s="243"/>
      <c r="R132" s="243"/>
      <c r="S132" s="243"/>
      <c r="T132" s="243"/>
      <c r="U132" s="243"/>
    </row>
    <row r="133" spans="2:21" ht="12.5">
      <c r="B133" s="145" t="str">
        <f t="shared" si="14"/>
        <v/>
      </c>
      <c r="C133" s="495">
        <f>IF(D94="","-",+C132+1)</f>
        <v>2048</v>
      </c>
      <c r="D133" s="349">
        <f>IF(F132+SUM(E$100:E132)=D$93,F132,D$93-SUM(E$100:E132))</f>
        <v>314291.3413250111</v>
      </c>
      <c r="E133" s="509">
        <f>IF(+J97&lt;F132,J97,D133)</f>
        <v>258639.51515151514</v>
      </c>
      <c r="F133" s="510">
        <f t="shared" si="18"/>
        <v>55651.826173495967</v>
      </c>
      <c r="G133" s="510">
        <f t="shared" si="19"/>
        <v>184971.58374925354</v>
      </c>
      <c r="H133" s="523">
        <f t="shared" si="20"/>
        <v>278618.15273053985</v>
      </c>
      <c r="I133" s="572">
        <f t="shared" si="21"/>
        <v>278618.15273053985</v>
      </c>
      <c r="J133" s="504">
        <f t="shared" si="23"/>
        <v>0</v>
      </c>
      <c r="K133" s="504"/>
      <c r="L133" s="512"/>
      <c r="M133" s="504">
        <f t="shared" si="24"/>
        <v>0</v>
      </c>
      <c r="N133" s="512"/>
      <c r="O133" s="504">
        <f t="shared" si="25"/>
        <v>0</v>
      </c>
      <c r="P133" s="504">
        <f t="shared" si="26"/>
        <v>0</v>
      </c>
      <c r="Q133" s="243"/>
      <c r="R133" s="243"/>
      <c r="S133" s="243"/>
      <c r="T133" s="243"/>
      <c r="U133" s="243"/>
    </row>
    <row r="134" spans="2:21" ht="12.5">
      <c r="B134" s="145" t="str">
        <f t="shared" si="14"/>
        <v/>
      </c>
      <c r="C134" s="495">
        <f>IF(D94="","-",+C133+1)</f>
        <v>2049</v>
      </c>
      <c r="D134" s="349">
        <f>IF(F133+SUM(E$100:E133)=D$93,F133,D$93-SUM(E$100:E133))</f>
        <v>55651.826173495967</v>
      </c>
      <c r="E134" s="509">
        <f>IF(+J97&lt;F133,J97,D134)</f>
        <v>55651.826173495967</v>
      </c>
      <c r="F134" s="510">
        <f t="shared" si="18"/>
        <v>0</v>
      </c>
      <c r="G134" s="510">
        <f t="shared" si="19"/>
        <v>27825.913086747983</v>
      </c>
      <c r="H134" s="523">
        <f t="shared" si="20"/>
        <v>58657.281506673986</v>
      </c>
      <c r="I134" s="572">
        <f t="shared" si="21"/>
        <v>58657.281506673986</v>
      </c>
      <c r="J134" s="504">
        <f t="shared" si="23"/>
        <v>0</v>
      </c>
      <c r="K134" s="504"/>
      <c r="L134" s="512"/>
      <c r="M134" s="504">
        <f t="shared" si="24"/>
        <v>0</v>
      </c>
      <c r="N134" s="512"/>
      <c r="O134" s="504">
        <f t="shared" si="25"/>
        <v>0</v>
      </c>
      <c r="P134" s="504">
        <f t="shared" si="26"/>
        <v>0</v>
      </c>
      <c r="Q134" s="243"/>
      <c r="R134" s="243"/>
      <c r="S134" s="243"/>
      <c r="T134" s="243"/>
      <c r="U134" s="243"/>
    </row>
    <row r="135" spans="2:21" ht="12.5">
      <c r="B135" s="145" t="str">
        <f t="shared" si="14"/>
        <v/>
      </c>
      <c r="C135" s="495">
        <f>IF(D94="","-",+C134+1)</f>
        <v>2050</v>
      </c>
      <c r="D135" s="349">
        <f>IF(F134+SUM(E$100:E134)=D$93,F134,D$93-SUM(E$100:E134))</f>
        <v>0</v>
      </c>
      <c r="E135" s="509">
        <f>IF(+J97&lt;F134,J97,D135)</f>
        <v>0</v>
      </c>
      <c r="F135" s="510">
        <f t="shared" si="18"/>
        <v>0</v>
      </c>
      <c r="G135" s="510">
        <f t="shared" si="19"/>
        <v>0</v>
      </c>
      <c r="H135" s="523">
        <f t="shared" si="20"/>
        <v>0</v>
      </c>
      <c r="I135" s="572">
        <f t="shared" si="21"/>
        <v>0</v>
      </c>
      <c r="J135" s="504">
        <f t="shared" si="23"/>
        <v>0</v>
      </c>
      <c r="K135" s="504"/>
      <c r="L135" s="512"/>
      <c r="M135" s="504">
        <f t="shared" si="24"/>
        <v>0</v>
      </c>
      <c r="N135" s="512"/>
      <c r="O135" s="504">
        <f t="shared" si="25"/>
        <v>0</v>
      </c>
      <c r="P135" s="504">
        <f t="shared" si="26"/>
        <v>0</v>
      </c>
      <c r="Q135" s="243"/>
      <c r="R135" s="243"/>
      <c r="S135" s="243"/>
      <c r="T135" s="243"/>
      <c r="U135" s="243"/>
    </row>
    <row r="136" spans="2:21" ht="12.5">
      <c r="B136" s="145" t="str">
        <f t="shared" si="14"/>
        <v/>
      </c>
      <c r="C136" s="495">
        <f>IF(D94="","-",+C135+1)</f>
        <v>2051</v>
      </c>
      <c r="D136" s="349">
        <f>IF(F135+SUM(E$100:E135)=D$93,F135,D$93-SUM(E$100:E135))</f>
        <v>0</v>
      </c>
      <c r="E136" s="509">
        <f>IF(+J97&lt;F135,J97,D136)</f>
        <v>0</v>
      </c>
      <c r="F136" s="510">
        <f t="shared" si="18"/>
        <v>0</v>
      </c>
      <c r="G136" s="510">
        <f t="shared" si="19"/>
        <v>0</v>
      </c>
      <c r="H136" s="523">
        <f t="shared" si="20"/>
        <v>0</v>
      </c>
      <c r="I136" s="572">
        <f t="shared" si="21"/>
        <v>0</v>
      </c>
      <c r="J136" s="504">
        <f t="shared" si="23"/>
        <v>0</v>
      </c>
      <c r="K136" s="504"/>
      <c r="L136" s="512"/>
      <c r="M136" s="504">
        <f t="shared" si="24"/>
        <v>0</v>
      </c>
      <c r="N136" s="512"/>
      <c r="O136" s="504">
        <f t="shared" si="25"/>
        <v>0</v>
      </c>
      <c r="P136" s="504">
        <f t="shared" si="26"/>
        <v>0</v>
      </c>
      <c r="Q136" s="243"/>
      <c r="R136" s="243"/>
      <c r="S136" s="243"/>
      <c r="T136" s="243"/>
      <c r="U136" s="243"/>
    </row>
    <row r="137" spans="2:21" ht="12.5">
      <c r="B137" s="145" t="str">
        <f t="shared" si="14"/>
        <v/>
      </c>
      <c r="C137" s="495">
        <f>IF(D94="","-",+C136+1)</f>
        <v>2052</v>
      </c>
      <c r="D137" s="349">
        <f>IF(F136+SUM(E$100:E136)=D$93,F136,D$93-SUM(E$100:E136))</f>
        <v>0</v>
      </c>
      <c r="E137" s="509">
        <f>IF(+J97&lt;F136,J97,D137)</f>
        <v>0</v>
      </c>
      <c r="F137" s="510">
        <f t="shared" si="18"/>
        <v>0</v>
      </c>
      <c r="G137" s="510">
        <f t="shared" si="19"/>
        <v>0</v>
      </c>
      <c r="H137" s="523">
        <f t="shared" si="20"/>
        <v>0</v>
      </c>
      <c r="I137" s="572">
        <f t="shared" si="21"/>
        <v>0</v>
      </c>
      <c r="J137" s="504">
        <f t="shared" si="23"/>
        <v>0</v>
      </c>
      <c r="K137" s="504"/>
      <c r="L137" s="512"/>
      <c r="M137" s="504">
        <f t="shared" si="24"/>
        <v>0</v>
      </c>
      <c r="N137" s="512"/>
      <c r="O137" s="504">
        <f t="shared" si="25"/>
        <v>0</v>
      </c>
      <c r="P137" s="504">
        <f t="shared" si="26"/>
        <v>0</v>
      </c>
      <c r="Q137" s="243"/>
      <c r="R137" s="243"/>
      <c r="S137" s="243"/>
      <c r="T137" s="243"/>
      <c r="U137" s="243"/>
    </row>
    <row r="138" spans="2:21" ht="12.5">
      <c r="B138" s="145" t="str">
        <f t="shared" si="14"/>
        <v/>
      </c>
      <c r="C138" s="495">
        <f>IF(D94="","-",+C137+1)</f>
        <v>2053</v>
      </c>
      <c r="D138" s="349">
        <f>IF(F137+SUM(E$100:E137)=D$93,F137,D$93-SUM(E$100:E137))</f>
        <v>0</v>
      </c>
      <c r="E138" s="509">
        <f>IF(+J97&lt;F137,J97,D138)</f>
        <v>0</v>
      </c>
      <c r="F138" s="510">
        <f t="shared" si="18"/>
        <v>0</v>
      </c>
      <c r="G138" s="510">
        <f t="shared" si="19"/>
        <v>0</v>
      </c>
      <c r="H138" s="523">
        <f t="shared" si="20"/>
        <v>0</v>
      </c>
      <c r="I138" s="572">
        <f t="shared" si="21"/>
        <v>0</v>
      </c>
      <c r="J138" s="504">
        <f t="shared" si="23"/>
        <v>0</v>
      </c>
      <c r="K138" s="504"/>
      <c r="L138" s="512"/>
      <c r="M138" s="504">
        <f t="shared" si="24"/>
        <v>0</v>
      </c>
      <c r="N138" s="512"/>
      <c r="O138" s="504">
        <f t="shared" si="25"/>
        <v>0</v>
      </c>
      <c r="P138" s="504">
        <f t="shared" si="26"/>
        <v>0</v>
      </c>
      <c r="Q138" s="243"/>
      <c r="R138" s="243"/>
      <c r="S138" s="243"/>
      <c r="T138" s="243"/>
      <c r="U138" s="243"/>
    </row>
    <row r="139" spans="2:21" ht="12.5">
      <c r="B139" s="145" t="str">
        <f t="shared" si="14"/>
        <v/>
      </c>
      <c r="C139" s="495">
        <f>IF(D94="","-",+C138+1)</f>
        <v>2054</v>
      </c>
      <c r="D139" s="349">
        <f>IF(F138+SUM(E$100:E138)=D$93,F138,D$93-SUM(E$100:E138))</f>
        <v>0</v>
      </c>
      <c r="E139" s="509">
        <f>IF(+J97&lt;F138,J97,D139)</f>
        <v>0</v>
      </c>
      <c r="F139" s="510">
        <f t="shared" si="18"/>
        <v>0</v>
      </c>
      <c r="G139" s="510">
        <f t="shared" si="19"/>
        <v>0</v>
      </c>
      <c r="H139" s="523">
        <f t="shared" si="20"/>
        <v>0</v>
      </c>
      <c r="I139" s="572">
        <f t="shared" si="21"/>
        <v>0</v>
      </c>
      <c r="J139" s="504">
        <f t="shared" si="23"/>
        <v>0</v>
      </c>
      <c r="K139" s="504"/>
      <c r="L139" s="512"/>
      <c r="M139" s="504">
        <f t="shared" si="24"/>
        <v>0</v>
      </c>
      <c r="N139" s="512"/>
      <c r="O139" s="504">
        <f t="shared" si="25"/>
        <v>0</v>
      </c>
      <c r="P139" s="504">
        <f t="shared" si="26"/>
        <v>0</v>
      </c>
      <c r="Q139" s="243"/>
      <c r="R139" s="243"/>
      <c r="S139" s="243"/>
      <c r="T139" s="243"/>
      <c r="U139" s="243"/>
    </row>
    <row r="140" spans="2:21" ht="12.5">
      <c r="B140" s="145" t="str">
        <f t="shared" si="14"/>
        <v/>
      </c>
      <c r="C140" s="495">
        <f>IF(D94="","-",+C139+1)</f>
        <v>2055</v>
      </c>
      <c r="D140" s="349">
        <f>IF(F139+SUM(E$100:E139)=D$93,F139,D$93-SUM(E$100:E139))</f>
        <v>0</v>
      </c>
      <c r="E140" s="509">
        <f>IF(+J97&lt;F139,J97,D140)</f>
        <v>0</v>
      </c>
      <c r="F140" s="510">
        <f t="shared" si="18"/>
        <v>0</v>
      </c>
      <c r="G140" s="510">
        <f t="shared" si="19"/>
        <v>0</v>
      </c>
      <c r="H140" s="523">
        <f t="shared" si="20"/>
        <v>0</v>
      </c>
      <c r="I140" s="572">
        <f t="shared" si="21"/>
        <v>0</v>
      </c>
      <c r="J140" s="504">
        <f t="shared" si="23"/>
        <v>0</v>
      </c>
      <c r="K140" s="504"/>
      <c r="L140" s="512"/>
      <c r="M140" s="504">
        <f t="shared" si="24"/>
        <v>0</v>
      </c>
      <c r="N140" s="512"/>
      <c r="O140" s="504">
        <f t="shared" si="25"/>
        <v>0</v>
      </c>
      <c r="P140" s="504">
        <f t="shared" si="26"/>
        <v>0</v>
      </c>
      <c r="Q140" s="243"/>
      <c r="R140" s="243"/>
      <c r="S140" s="243"/>
      <c r="T140" s="243"/>
      <c r="U140" s="243"/>
    </row>
    <row r="141" spans="2:21" ht="12.5">
      <c r="B141" s="145" t="str">
        <f t="shared" si="14"/>
        <v/>
      </c>
      <c r="C141" s="495">
        <f>IF(D94="","-",+C140+1)</f>
        <v>2056</v>
      </c>
      <c r="D141" s="349">
        <f>IF(F140+SUM(E$100:E140)=D$93,F140,D$93-SUM(E$100:E140))</f>
        <v>0</v>
      </c>
      <c r="E141" s="509">
        <f>IF(+J97&lt;F140,J97,D141)</f>
        <v>0</v>
      </c>
      <c r="F141" s="510">
        <f t="shared" si="18"/>
        <v>0</v>
      </c>
      <c r="G141" s="510">
        <f t="shared" si="19"/>
        <v>0</v>
      </c>
      <c r="H141" s="523">
        <f t="shared" si="20"/>
        <v>0</v>
      </c>
      <c r="I141" s="572">
        <f t="shared" si="21"/>
        <v>0</v>
      </c>
      <c r="J141" s="504">
        <f t="shared" si="23"/>
        <v>0</v>
      </c>
      <c r="K141" s="504"/>
      <c r="L141" s="512"/>
      <c r="M141" s="504">
        <f t="shared" si="24"/>
        <v>0</v>
      </c>
      <c r="N141" s="512"/>
      <c r="O141" s="504">
        <f t="shared" si="25"/>
        <v>0</v>
      </c>
      <c r="P141" s="504">
        <f t="shared" si="26"/>
        <v>0</v>
      </c>
      <c r="Q141" s="243"/>
      <c r="R141" s="243"/>
      <c r="S141" s="243"/>
      <c r="T141" s="243"/>
      <c r="U141" s="243"/>
    </row>
    <row r="142" spans="2:21" ht="12.5">
      <c r="B142" s="145" t="str">
        <f t="shared" si="14"/>
        <v/>
      </c>
      <c r="C142" s="495">
        <f>IF(D94="","-",+C141+1)</f>
        <v>2057</v>
      </c>
      <c r="D142" s="349">
        <f>IF(F141+SUM(E$100:E141)=D$93,F141,D$93-SUM(E$100:E141))</f>
        <v>0</v>
      </c>
      <c r="E142" s="509">
        <f>IF(+J97&lt;F141,J97,D142)</f>
        <v>0</v>
      </c>
      <c r="F142" s="510">
        <f t="shared" si="18"/>
        <v>0</v>
      </c>
      <c r="G142" s="510">
        <f t="shared" si="19"/>
        <v>0</v>
      </c>
      <c r="H142" s="523">
        <f t="shared" si="20"/>
        <v>0</v>
      </c>
      <c r="I142" s="572">
        <f t="shared" si="21"/>
        <v>0</v>
      </c>
      <c r="J142" s="504">
        <f t="shared" si="23"/>
        <v>0</v>
      </c>
      <c r="K142" s="504"/>
      <c r="L142" s="512"/>
      <c r="M142" s="504">
        <f t="shared" si="24"/>
        <v>0</v>
      </c>
      <c r="N142" s="512"/>
      <c r="O142" s="504">
        <f t="shared" si="25"/>
        <v>0</v>
      </c>
      <c r="P142" s="504">
        <f t="shared" si="26"/>
        <v>0</v>
      </c>
      <c r="Q142" s="243"/>
      <c r="R142" s="243"/>
      <c r="S142" s="243"/>
      <c r="T142" s="243"/>
      <c r="U142" s="243"/>
    </row>
    <row r="143" spans="2:21" ht="12.5">
      <c r="B143" s="145" t="str">
        <f t="shared" si="14"/>
        <v/>
      </c>
      <c r="C143" s="495">
        <f>IF(D94="","-",+C142+1)</f>
        <v>2058</v>
      </c>
      <c r="D143" s="349">
        <f>IF(F142+SUM(E$100:E142)=D$93,F142,D$93-SUM(E$100:E142))</f>
        <v>0</v>
      </c>
      <c r="E143" s="509">
        <f>IF(+J97&lt;F142,J97,D143)</f>
        <v>0</v>
      </c>
      <c r="F143" s="510">
        <f t="shared" si="18"/>
        <v>0</v>
      </c>
      <c r="G143" s="510">
        <f t="shared" si="19"/>
        <v>0</v>
      </c>
      <c r="H143" s="523">
        <f t="shared" si="20"/>
        <v>0</v>
      </c>
      <c r="I143" s="572">
        <f t="shared" si="21"/>
        <v>0</v>
      </c>
      <c r="J143" s="504">
        <f t="shared" si="23"/>
        <v>0</v>
      </c>
      <c r="K143" s="504"/>
      <c r="L143" s="512"/>
      <c r="M143" s="504">
        <f t="shared" si="24"/>
        <v>0</v>
      </c>
      <c r="N143" s="512"/>
      <c r="O143" s="504">
        <f t="shared" si="25"/>
        <v>0</v>
      </c>
      <c r="P143" s="504">
        <f t="shared" si="26"/>
        <v>0</v>
      </c>
      <c r="Q143" s="243"/>
      <c r="R143" s="243"/>
      <c r="S143" s="243"/>
      <c r="T143" s="243"/>
      <c r="U143" s="243"/>
    </row>
    <row r="144" spans="2:21" ht="12.5">
      <c r="B144" s="145" t="str">
        <f t="shared" si="14"/>
        <v/>
      </c>
      <c r="C144" s="495">
        <f>IF(D94="","-",+C143+1)</f>
        <v>2059</v>
      </c>
      <c r="D144" s="349">
        <f>IF(F143+SUM(E$100:E143)=D$93,F143,D$93-SUM(E$100:E143))</f>
        <v>0</v>
      </c>
      <c r="E144" s="509">
        <f>IF(+J97&lt;F143,J97,D144)</f>
        <v>0</v>
      </c>
      <c r="F144" s="510">
        <f t="shared" si="18"/>
        <v>0</v>
      </c>
      <c r="G144" s="510">
        <f t="shared" si="19"/>
        <v>0</v>
      </c>
      <c r="H144" s="523">
        <f t="shared" si="20"/>
        <v>0</v>
      </c>
      <c r="I144" s="572">
        <f t="shared" si="21"/>
        <v>0</v>
      </c>
      <c r="J144" s="504">
        <f t="shared" si="23"/>
        <v>0</v>
      </c>
      <c r="K144" s="504"/>
      <c r="L144" s="512"/>
      <c r="M144" s="504">
        <f t="shared" si="24"/>
        <v>0</v>
      </c>
      <c r="N144" s="512"/>
      <c r="O144" s="504">
        <f t="shared" si="25"/>
        <v>0</v>
      </c>
      <c r="P144" s="504">
        <f t="shared" si="26"/>
        <v>0</v>
      </c>
      <c r="Q144" s="243"/>
      <c r="R144" s="243"/>
      <c r="S144" s="243"/>
      <c r="T144" s="243"/>
      <c r="U144" s="243"/>
    </row>
    <row r="145" spans="2:21" ht="12.5">
      <c r="B145" s="145" t="str">
        <f t="shared" si="14"/>
        <v/>
      </c>
      <c r="C145" s="495">
        <f>IF(D94="","-",+C144+1)</f>
        <v>2060</v>
      </c>
      <c r="D145" s="349">
        <f>IF(F144+SUM(E$100:E144)=D$93,F144,D$93-SUM(E$100:E144))</f>
        <v>0</v>
      </c>
      <c r="E145" s="509">
        <f>IF(+J97&lt;F144,J97,D145)</f>
        <v>0</v>
      </c>
      <c r="F145" s="510">
        <f t="shared" si="18"/>
        <v>0</v>
      </c>
      <c r="G145" s="510">
        <f t="shared" si="19"/>
        <v>0</v>
      </c>
      <c r="H145" s="523">
        <f t="shared" si="20"/>
        <v>0</v>
      </c>
      <c r="I145" s="572">
        <f t="shared" si="21"/>
        <v>0</v>
      </c>
      <c r="J145" s="504">
        <f t="shared" si="23"/>
        <v>0</v>
      </c>
      <c r="K145" s="504"/>
      <c r="L145" s="512"/>
      <c r="M145" s="504">
        <f t="shared" si="24"/>
        <v>0</v>
      </c>
      <c r="N145" s="512"/>
      <c r="O145" s="504">
        <f t="shared" si="25"/>
        <v>0</v>
      </c>
      <c r="P145" s="504">
        <f t="shared" si="26"/>
        <v>0</v>
      </c>
      <c r="Q145" s="243"/>
      <c r="R145" s="243"/>
      <c r="S145" s="243"/>
      <c r="T145" s="243"/>
      <c r="U145" s="243"/>
    </row>
    <row r="146" spans="2:21" ht="12.5">
      <c r="B146" s="145" t="str">
        <f t="shared" si="14"/>
        <v/>
      </c>
      <c r="C146" s="495">
        <f>IF(D94="","-",+C145+1)</f>
        <v>2061</v>
      </c>
      <c r="D146" s="349">
        <f>IF(F145+SUM(E$100:E145)=D$93,F145,D$93-SUM(E$100:E145))</f>
        <v>0</v>
      </c>
      <c r="E146" s="509">
        <f>IF(+J97&lt;F145,J97,D146)</f>
        <v>0</v>
      </c>
      <c r="F146" s="510">
        <f t="shared" si="18"/>
        <v>0</v>
      </c>
      <c r="G146" s="510">
        <f t="shared" si="19"/>
        <v>0</v>
      </c>
      <c r="H146" s="523">
        <f t="shared" si="20"/>
        <v>0</v>
      </c>
      <c r="I146" s="572">
        <f t="shared" si="21"/>
        <v>0</v>
      </c>
      <c r="J146" s="504">
        <f t="shared" si="23"/>
        <v>0</v>
      </c>
      <c r="K146" s="504"/>
      <c r="L146" s="512"/>
      <c r="M146" s="504">
        <f t="shared" si="24"/>
        <v>0</v>
      </c>
      <c r="N146" s="512"/>
      <c r="O146" s="504">
        <f t="shared" si="25"/>
        <v>0</v>
      </c>
      <c r="P146" s="504">
        <f t="shared" si="26"/>
        <v>0</v>
      </c>
      <c r="Q146" s="243"/>
      <c r="R146" s="243"/>
      <c r="S146" s="243"/>
      <c r="T146" s="243"/>
      <c r="U146" s="243"/>
    </row>
    <row r="147" spans="2:21" ht="12.5">
      <c r="B147" s="145" t="str">
        <f t="shared" si="14"/>
        <v/>
      </c>
      <c r="C147" s="495">
        <f>IF(D94="","-",+C146+1)</f>
        <v>2062</v>
      </c>
      <c r="D147" s="349">
        <f>IF(F146+SUM(E$100:E146)=D$93,F146,D$93-SUM(E$100:E146))</f>
        <v>0</v>
      </c>
      <c r="E147" s="509">
        <f>IF(+J97&lt;F146,J97,D147)</f>
        <v>0</v>
      </c>
      <c r="F147" s="510">
        <f t="shared" si="18"/>
        <v>0</v>
      </c>
      <c r="G147" s="510">
        <f t="shared" si="19"/>
        <v>0</v>
      </c>
      <c r="H147" s="523">
        <f t="shared" si="20"/>
        <v>0</v>
      </c>
      <c r="I147" s="572">
        <f t="shared" si="21"/>
        <v>0</v>
      </c>
      <c r="J147" s="504">
        <f t="shared" si="23"/>
        <v>0</v>
      </c>
      <c r="K147" s="504"/>
      <c r="L147" s="512"/>
      <c r="M147" s="504">
        <f t="shared" si="24"/>
        <v>0</v>
      </c>
      <c r="N147" s="512"/>
      <c r="O147" s="504">
        <f t="shared" si="25"/>
        <v>0</v>
      </c>
      <c r="P147" s="504">
        <f t="shared" si="26"/>
        <v>0</v>
      </c>
      <c r="Q147" s="243"/>
      <c r="R147" s="243"/>
      <c r="S147" s="243"/>
      <c r="T147" s="243"/>
      <c r="U147" s="243"/>
    </row>
    <row r="148" spans="2:21" ht="12.5">
      <c r="B148" s="145" t="str">
        <f t="shared" si="14"/>
        <v/>
      </c>
      <c r="C148" s="495">
        <f>IF(D94="","-",+C147+1)</f>
        <v>2063</v>
      </c>
      <c r="D148" s="349">
        <f>IF(F147+SUM(E$100:E147)=D$93,F147,D$93-SUM(E$100:E147))</f>
        <v>0</v>
      </c>
      <c r="E148" s="509">
        <f>IF(+J97&lt;F147,J97,D148)</f>
        <v>0</v>
      </c>
      <c r="F148" s="510">
        <f t="shared" si="18"/>
        <v>0</v>
      </c>
      <c r="G148" s="510">
        <f t="shared" si="19"/>
        <v>0</v>
      </c>
      <c r="H148" s="523">
        <f t="shared" si="20"/>
        <v>0</v>
      </c>
      <c r="I148" s="572">
        <f t="shared" si="21"/>
        <v>0</v>
      </c>
      <c r="J148" s="504">
        <f t="shared" si="23"/>
        <v>0</v>
      </c>
      <c r="K148" s="504"/>
      <c r="L148" s="512"/>
      <c r="M148" s="504">
        <f t="shared" si="24"/>
        <v>0</v>
      </c>
      <c r="N148" s="512"/>
      <c r="O148" s="504">
        <f t="shared" si="25"/>
        <v>0</v>
      </c>
      <c r="P148" s="504">
        <f t="shared" si="26"/>
        <v>0</v>
      </c>
      <c r="Q148" s="243"/>
      <c r="R148" s="243"/>
      <c r="S148" s="243"/>
      <c r="T148" s="243"/>
      <c r="U148" s="243"/>
    </row>
    <row r="149" spans="2:21" ht="12.5">
      <c r="B149" s="145" t="str">
        <f t="shared" si="14"/>
        <v/>
      </c>
      <c r="C149" s="495">
        <f>IF(D94="","-",+C148+1)</f>
        <v>2064</v>
      </c>
      <c r="D149" s="349">
        <f>IF(F148+SUM(E$100:E148)=D$93,F148,D$93-SUM(E$100:E148))</f>
        <v>0</v>
      </c>
      <c r="E149" s="509">
        <f>IF(+J97&lt;F148,J97,D149)</f>
        <v>0</v>
      </c>
      <c r="F149" s="510">
        <f t="shared" si="18"/>
        <v>0</v>
      </c>
      <c r="G149" s="510">
        <f t="shared" si="19"/>
        <v>0</v>
      </c>
      <c r="H149" s="523">
        <f t="shared" si="20"/>
        <v>0</v>
      </c>
      <c r="I149" s="572">
        <f t="shared" si="21"/>
        <v>0</v>
      </c>
      <c r="J149" s="504">
        <f t="shared" si="23"/>
        <v>0</v>
      </c>
      <c r="K149" s="504"/>
      <c r="L149" s="512"/>
      <c r="M149" s="504">
        <f t="shared" si="24"/>
        <v>0</v>
      </c>
      <c r="N149" s="512"/>
      <c r="O149" s="504">
        <f t="shared" si="25"/>
        <v>0</v>
      </c>
      <c r="P149" s="504">
        <f t="shared" si="26"/>
        <v>0</v>
      </c>
      <c r="Q149" s="243"/>
      <c r="R149" s="243"/>
      <c r="S149" s="243"/>
      <c r="T149" s="243"/>
      <c r="U149" s="243"/>
    </row>
    <row r="150" spans="2:21" ht="12.5">
      <c r="B150" s="145" t="str">
        <f t="shared" si="14"/>
        <v/>
      </c>
      <c r="C150" s="495">
        <f>IF(D94="","-",+C149+1)</f>
        <v>2065</v>
      </c>
      <c r="D150" s="349">
        <f>IF(F149+SUM(E$100:E149)=D$93,F149,D$93-SUM(E$100:E149))</f>
        <v>0</v>
      </c>
      <c r="E150" s="509">
        <f>IF(+J97&lt;F149,J97,D150)</f>
        <v>0</v>
      </c>
      <c r="F150" s="510">
        <f t="shared" si="18"/>
        <v>0</v>
      </c>
      <c r="G150" s="510">
        <f t="shared" si="19"/>
        <v>0</v>
      </c>
      <c r="H150" s="523">
        <f t="shared" si="20"/>
        <v>0</v>
      </c>
      <c r="I150" s="572">
        <f t="shared" si="21"/>
        <v>0</v>
      </c>
      <c r="J150" s="504">
        <f t="shared" si="23"/>
        <v>0</v>
      </c>
      <c r="K150" s="504"/>
      <c r="L150" s="512"/>
      <c r="M150" s="504">
        <f t="shared" si="24"/>
        <v>0</v>
      </c>
      <c r="N150" s="512"/>
      <c r="O150" s="504">
        <f t="shared" si="25"/>
        <v>0</v>
      </c>
      <c r="P150" s="504">
        <f t="shared" si="26"/>
        <v>0</v>
      </c>
      <c r="Q150" s="243"/>
      <c r="R150" s="243"/>
      <c r="S150" s="243"/>
      <c r="T150" s="243"/>
      <c r="U150" s="243"/>
    </row>
    <row r="151" spans="2:21" ht="12.5">
      <c r="B151" s="145" t="str">
        <f t="shared" si="14"/>
        <v/>
      </c>
      <c r="C151" s="495">
        <f>IF(D94="","-",+C150+1)</f>
        <v>2066</v>
      </c>
      <c r="D151" s="349">
        <f>IF(F150+SUM(E$100:E150)=D$93,F150,D$93-SUM(E$100:E150))</f>
        <v>0</v>
      </c>
      <c r="E151" s="509">
        <f>IF(+J97&lt;F150,J97,D151)</f>
        <v>0</v>
      </c>
      <c r="F151" s="510">
        <f t="shared" si="18"/>
        <v>0</v>
      </c>
      <c r="G151" s="510">
        <f t="shared" si="19"/>
        <v>0</v>
      </c>
      <c r="H151" s="523">
        <f t="shared" si="20"/>
        <v>0</v>
      </c>
      <c r="I151" s="572">
        <f t="shared" si="21"/>
        <v>0</v>
      </c>
      <c r="J151" s="504">
        <f t="shared" si="23"/>
        <v>0</v>
      </c>
      <c r="K151" s="504"/>
      <c r="L151" s="512"/>
      <c r="M151" s="504">
        <f t="shared" si="24"/>
        <v>0</v>
      </c>
      <c r="N151" s="512"/>
      <c r="O151" s="504">
        <f t="shared" si="25"/>
        <v>0</v>
      </c>
      <c r="P151" s="504">
        <f t="shared" si="26"/>
        <v>0</v>
      </c>
      <c r="Q151" s="243"/>
      <c r="R151" s="243"/>
      <c r="S151" s="243"/>
      <c r="T151" s="243"/>
      <c r="U151" s="243"/>
    </row>
    <row r="152" spans="2:21" ht="12.5">
      <c r="B152" s="145" t="str">
        <f t="shared" si="14"/>
        <v/>
      </c>
      <c r="C152" s="495">
        <f>IF(D94="","-",+C151+1)</f>
        <v>2067</v>
      </c>
      <c r="D152" s="349">
        <f>IF(F151+SUM(E$100:E151)=D$93,F151,D$93-SUM(E$100:E151))</f>
        <v>0</v>
      </c>
      <c r="E152" s="509">
        <f>IF(+J97&lt;F151,J97,D152)</f>
        <v>0</v>
      </c>
      <c r="F152" s="510">
        <f t="shared" si="18"/>
        <v>0</v>
      </c>
      <c r="G152" s="510">
        <f t="shared" si="19"/>
        <v>0</v>
      </c>
      <c r="H152" s="523">
        <f t="shared" si="20"/>
        <v>0</v>
      </c>
      <c r="I152" s="572">
        <f t="shared" si="21"/>
        <v>0</v>
      </c>
      <c r="J152" s="504">
        <f t="shared" si="23"/>
        <v>0</v>
      </c>
      <c r="K152" s="504"/>
      <c r="L152" s="512"/>
      <c r="M152" s="504">
        <f t="shared" si="24"/>
        <v>0</v>
      </c>
      <c r="N152" s="512"/>
      <c r="O152" s="504">
        <f t="shared" si="25"/>
        <v>0</v>
      </c>
      <c r="P152" s="504">
        <f t="shared" si="26"/>
        <v>0</v>
      </c>
      <c r="Q152" s="243"/>
      <c r="R152" s="243"/>
      <c r="S152" s="243"/>
      <c r="T152" s="243"/>
      <c r="U152" s="243"/>
    </row>
    <row r="153" spans="2:21" ht="12.5">
      <c r="B153" s="145" t="str">
        <f t="shared" si="14"/>
        <v/>
      </c>
      <c r="C153" s="495">
        <f>IF(D94="","-",+C152+1)</f>
        <v>2068</v>
      </c>
      <c r="D153" s="349">
        <f>IF(F152+SUM(E$100:E152)=D$93,F152,D$93-SUM(E$100:E152))</f>
        <v>0</v>
      </c>
      <c r="E153" s="509">
        <f>IF(+J97&lt;F152,J97,D153)</f>
        <v>0</v>
      </c>
      <c r="F153" s="510">
        <f t="shared" si="18"/>
        <v>0</v>
      </c>
      <c r="G153" s="510">
        <f t="shared" si="19"/>
        <v>0</v>
      </c>
      <c r="H153" s="523">
        <f t="shared" si="20"/>
        <v>0</v>
      </c>
      <c r="I153" s="572">
        <f t="shared" si="21"/>
        <v>0</v>
      </c>
      <c r="J153" s="504">
        <f t="shared" si="23"/>
        <v>0</v>
      </c>
      <c r="K153" s="504"/>
      <c r="L153" s="512"/>
      <c r="M153" s="504">
        <f t="shared" si="24"/>
        <v>0</v>
      </c>
      <c r="N153" s="512"/>
      <c r="O153" s="504">
        <f t="shared" si="25"/>
        <v>0</v>
      </c>
      <c r="P153" s="504">
        <f t="shared" si="26"/>
        <v>0</v>
      </c>
      <c r="Q153" s="243"/>
      <c r="R153" s="243"/>
      <c r="S153" s="243"/>
      <c r="T153" s="243"/>
      <c r="U153" s="243"/>
    </row>
    <row r="154" spans="2:21" ht="12.5">
      <c r="B154" s="145" t="str">
        <f t="shared" si="14"/>
        <v/>
      </c>
      <c r="C154" s="495">
        <f>IF(D94="","-",+C153+1)</f>
        <v>2069</v>
      </c>
      <c r="D154" s="349">
        <f>IF(F153+SUM(E$100:E153)=D$93,F153,D$93-SUM(E$100:E153))</f>
        <v>0</v>
      </c>
      <c r="E154" s="509">
        <f>IF(+J97&lt;F153,J97,D154)</f>
        <v>0</v>
      </c>
      <c r="F154" s="510">
        <f t="shared" si="18"/>
        <v>0</v>
      </c>
      <c r="G154" s="510">
        <f t="shared" si="19"/>
        <v>0</v>
      </c>
      <c r="H154" s="523">
        <f t="shared" si="20"/>
        <v>0</v>
      </c>
      <c r="I154" s="572">
        <f t="shared" si="21"/>
        <v>0</v>
      </c>
      <c r="J154" s="504">
        <f t="shared" si="23"/>
        <v>0</v>
      </c>
      <c r="K154" s="504"/>
      <c r="L154" s="512"/>
      <c r="M154" s="504">
        <f t="shared" si="24"/>
        <v>0</v>
      </c>
      <c r="N154" s="512"/>
      <c r="O154" s="504">
        <f t="shared" si="25"/>
        <v>0</v>
      </c>
      <c r="P154" s="504">
        <f t="shared" si="26"/>
        <v>0</v>
      </c>
      <c r="Q154" s="243"/>
      <c r="R154" s="243"/>
      <c r="S154" s="243"/>
      <c r="T154" s="243"/>
      <c r="U154" s="243"/>
    </row>
    <row r="155" spans="2:21" ht="13" thickBot="1">
      <c r="B155" s="145" t="str">
        <f t="shared" si="14"/>
        <v/>
      </c>
      <c r="C155" s="524">
        <f>IF(D94="","-",+C154+1)</f>
        <v>2070</v>
      </c>
      <c r="D155" s="349">
        <f>IF(F154+SUM(E$100:E154)=D$93,F154,D$93-SUM(E$100:E154))</f>
        <v>0</v>
      </c>
      <c r="E155" s="526">
        <f>IF(+J97&lt;F154,J97,D155)</f>
        <v>0</v>
      </c>
      <c r="F155" s="527">
        <f t="shared" si="18"/>
        <v>0</v>
      </c>
      <c r="G155" s="527">
        <f t="shared" si="19"/>
        <v>0</v>
      </c>
      <c r="H155" s="623">
        <f t="shared" si="20"/>
        <v>0</v>
      </c>
      <c r="I155" s="624">
        <f t="shared" si="21"/>
        <v>0</v>
      </c>
      <c r="J155" s="531">
        <f t="shared" si="23"/>
        <v>0</v>
      </c>
      <c r="K155" s="504"/>
      <c r="L155" s="530"/>
      <c r="M155" s="531">
        <f t="shared" si="24"/>
        <v>0</v>
      </c>
      <c r="N155" s="530"/>
      <c r="O155" s="531">
        <f t="shared" si="25"/>
        <v>0</v>
      </c>
      <c r="P155" s="531">
        <f t="shared" si="26"/>
        <v>0</v>
      </c>
      <c r="Q155" s="243"/>
      <c r="R155" s="243"/>
      <c r="S155" s="243"/>
      <c r="T155" s="243"/>
      <c r="U155" s="243"/>
    </row>
    <row r="156" spans="2:21" ht="12.5">
      <c r="C156" s="349" t="s">
        <v>75</v>
      </c>
      <c r="D156" s="294"/>
      <c r="E156" s="294">
        <f>SUM(E100:E155)</f>
        <v>8535104.0000000019</v>
      </c>
      <c r="F156" s="294"/>
      <c r="G156" s="294"/>
      <c r="H156" s="294">
        <f>SUM(H100:H155)</f>
        <v>24452480.990166031</v>
      </c>
      <c r="I156" s="294">
        <f>SUM(I100:I155)</f>
        <v>24452480.990166031</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4" priority="1" stopIfTrue="1" operator="equal">
      <formula>$I$10</formula>
    </cfRule>
  </conditionalFormatting>
  <conditionalFormatting sqref="C100:C155">
    <cfRule type="cellIs" dxfId="33"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39997558519241921"/>
  </sheetPr>
  <dimension ref="A1:U163"/>
  <sheetViews>
    <sheetView view="pageBreakPreview" zoomScale="78" zoomScaleNormal="100" zoomScaleSheetLayoutView="78"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10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876471.96738932701</v>
      </c>
      <c r="P5" s="243"/>
      <c r="R5" s="243"/>
      <c r="S5" s="243"/>
      <c r="T5" s="243"/>
      <c r="U5" s="243"/>
    </row>
    <row r="6" spans="1:21" ht="15.5">
      <c r="C6" s="235"/>
      <c r="D6" s="292"/>
      <c r="E6" s="243"/>
      <c r="F6" s="243"/>
      <c r="G6" s="243"/>
      <c r="H6" s="449"/>
      <c r="I6" s="449"/>
      <c r="J6" s="450"/>
      <c r="K6" s="451" t="s">
        <v>243</v>
      </c>
      <c r="L6" s="452"/>
      <c r="M6" s="278"/>
      <c r="N6" s="453">
        <f>VLOOKUP(I10,C17:I73,6)</f>
        <v>876471.96738932701</v>
      </c>
      <c r="O6" s="243"/>
      <c r="P6" s="243"/>
      <c r="R6" s="243"/>
      <c r="S6" s="243"/>
      <c r="T6" s="243"/>
      <c r="U6" s="243"/>
    </row>
    <row r="7" spans="1:21" ht="13.5" thickBot="1">
      <c r="C7" s="454" t="s">
        <v>46</v>
      </c>
      <c r="D7" s="455" t="s">
        <v>229</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218</v>
      </c>
      <c r="E9" s="647" t="s">
        <v>303</v>
      </c>
      <c r="F9" s="465"/>
      <c r="G9" s="465"/>
      <c r="H9" s="465"/>
      <c r="I9" s="466"/>
      <c r="J9" s="467"/>
      <c r="O9" s="468"/>
      <c r="P9" s="278"/>
      <c r="R9" s="243"/>
      <c r="S9" s="243"/>
      <c r="T9" s="243"/>
      <c r="U9" s="243"/>
    </row>
    <row r="10" spans="1:21" ht="13">
      <c r="C10" s="469" t="s">
        <v>49</v>
      </c>
      <c r="D10" s="470">
        <v>7210309</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2013</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12</v>
      </c>
      <c r="E12" s="472" t="s">
        <v>55</v>
      </c>
      <c r="F12" s="408"/>
      <c r="G12" s="220"/>
      <c r="H12" s="220"/>
      <c r="I12" s="476">
        <f>OKT.WS.F.BPU.ATRR.Projected!$F$79</f>
        <v>0.10818506718567715</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232590.61290322582</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2013</v>
      </c>
      <c r="D17" s="496">
        <v>7200873.8200000003</v>
      </c>
      <c r="E17" s="497">
        <v>0</v>
      </c>
      <c r="F17" s="496">
        <v>7200873.8200000003</v>
      </c>
      <c r="G17" s="497">
        <v>66024.408436961749</v>
      </c>
      <c r="H17" s="499">
        <v>66024.408436961749</v>
      </c>
      <c r="I17" s="584">
        <v>0</v>
      </c>
      <c r="J17" s="500"/>
      <c r="K17" s="501">
        <f t="shared" ref="K17:K22" si="1">G17</f>
        <v>66024.408436961749</v>
      </c>
      <c r="L17" s="502">
        <f t="shared" ref="L17:L22" si="2">IF(K17&lt;&gt;0,+G17-K17,0)</f>
        <v>0</v>
      </c>
      <c r="M17" s="501">
        <f t="shared" ref="M17:M22" si="3">H17</f>
        <v>66024.408436961749</v>
      </c>
      <c r="N17" s="503">
        <f>IF(M17&lt;&gt;0,+H17-M17,0)</f>
        <v>0</v>
      </c>
      <c r="O17" s="504">
        <f>+N17-L17</f>
        <v>0</v>
      </c>
      <c r="P17" s="278"/>
      <c r="R17" s="243"/>
      <c r="S17" s="243"/>
      <c r="T17" s="243"/>
      <c r="U17" s="243"/>
    </row>
    <row r="18" spans="2:21" ht="12.5">
      <c r="B18" s="145" t="str">
        <f t="shared" si="0"/>
        <v/>
      </c>
      <c r="C18" s="495">
        <f>IF(D11="","-",+C17+1)</f>
        <v>2014</v>
      </c>
      <c r="D18" s="505">
        <v>7200873.8200000003</v>
      </c>
      <c r="E18" s="498">
        <v>124569.42917795427</v>
      </c>
      <c r="F18" s="505">
        <v>7076304.3908220464</v>
      </c>
      <c r="G18" s="498">
        <v>903156.28905530274</v>
      </c>
      <c r="H18" s="499">
        <v>903156.28905530274</v>
      </c>
      <c r="I18" s="584">
        <v>0</v>
      </c>
      <c r="J18" s="500"/>
      <c r="K18" s="592">
        <f t="shared" si="1"/>
        <v>903156.28905530274</v>
      </c>
      <c r="L18" s="596">
        <f t="shared" si="2"/>
        <v>0</v>
      </c>
      <c r="M18" s="592">
        <f t="shared" si="3"/>
        <v>903156.28905530274</v>
      </c>
      <c r="N18" s="594">
        <f>IF(M18&lt;&gt;0,+H18-M18,0)</f>
        <v>0</v>
      </c>
      <c r="O18" s="596">
        <f>+N18-L18</f>
        <v>0</v>
      </c>
      <c r="P18" s="278"/>
      <c r="R18" s="243"/>
      <c r="S18" s="243"/>
      <c r="T18" s="243"/>
      <c r="U18" s="243"/>
    </row>
    <row r="19" spans="2:21" ht="12.5">
      <c r="B19" s="145" t="str">
        <f t="shared" si="0"/>
        <v/>
      </c>
      <c r="C19" s="495">
        <f>IF(D11="","-",+C18+1)</f>
        <v>2015</v>
      </c>
      <c r="D19" s="614">
        <v>7076304.3908220464</v>
      </c>
      <c r="E19" s="613">
        <v>124569.42917795427</v>
      </c>
      <c r="F19" s="614">
        <v>6951734.9616440926</v>
      </c>
      <c r="G19" s="613">
        <v>841053.03893843992</v>
      </c>
      <c r="H19" s="617">
        <v>841053.03893843992</v>
      </c>
      <c r="I19" s="584">
        <v>0</v>
      </c>
      <c r="J19" s="500"/>
      <c r="K19" s="592">
        <f t="shared" si="1"/>
        <v>841053.03893843992</v>
      </c>
      <c r="L19" s="596">
        <f t="shared" si="2"/>
        <v>0</v>
      </c>
      <c r="M19" s="592">
        <f t="shared" si="3"/>
        <v>841053.03893843992</v>
      </c>
      <c r="N19" s="594">
        <f>IF(M19&lt;&gt;0,+H19-M19,0)</f>
        <v>0</v>
      </c>
      <c r="O19" s="596">
        <f>+N19-L19</f>
        <v>0</v>
      </c>
      <c r="P19" s="278"/>
      <c r="R19" s="243"/>
      <c r="S19" s="243"/>
      <c r="T19" s="243"/>
      <c r="U19" s="243"/>
    </row>
    <row r="20" spans="2:21" ht="12.5">
      <c r="B20" s="145" t="str">
        <f t="shared" si="0"/>
        <v/>
      </c>
      <c r="C20" s="495">
        <f>IF(D11="","-",+C19+1)</f>
        <v>2016</v>
      </c>
      <c r="D20" s="614">
        <v>6951734.9616440926</v>
      </c>
      <c r="E20" s="613">
        <v>149630.22739831218</v>
      </c>
      <c r="F20" s="614">
        <v>6802104.7342457809</v>
      </c>
      <c r="G20" s="613">
        <v>883443.80340987013</v>
      </c>
      <c r="H20" s="617">
        <v>883443.80340987013</v>
      </c>
      <c r="I20" s="500">
        <f>H20-G20</f>
        <v>0</v>
      </c>
      <c r="J20" s="500"/>
      <c r="K20" s="592">
        <f t="shared" si="1"/>
        <v>883443.80340987013</v>
      </c>
      <c r="L20" s="596">
        <f t="shared" si="2"/>
        <v>0</v>
      </c>
      <c r="M20" s="592">
        <f t="shared" si="3"/>
        <v>883443.80340987013</v>
      </c>
      <c r="N20" s="504">
        <f t="shared" ref="N20:N73" si="4">IF(M20&lt;&gt;0,+H20-M20,0)</f>
        <v>0</v>
      </c>
      <c r="O20" s="504">
        <f t="shared" ref="O20:O73" si="5">+N20-L20</f>
        <v>0</v>
      </c>
      <c r="P20" s="278"/>
      <c r="R20" s="243"/>
      <c r="S20" s="243"/>
      <c r="T20" s="243"/>
      <c r="U20" s="243"/>
    </row>
    <row r="21" spans="2:21" ht="12.5">
      <c r="B21" s="145" t="str">
        <f t="shared" si="0"/>
        <v>IU</v>
      </c>
      <c r="C21" s="495">
        <f>IF(D11="","-",+C20+1)</f>
        <v>2017</v>
      </c>
      <c r="D21" s="614">
        <v>6811539.9142457796</v>
      </c>
      <c r="E21" s="613">
        <v>141768.94979225809</v>
      </c>
      <c r="F21" s="614">
        <v>6669770.9644535212</v>
      </c>
      <c r="G21" s="613">
        <v>882836.42245279858</v>
      </c>
      <c r="H21" s="617">
        <v>882836.42245279858</v>
      </c>
      <c r="I21" s="500">
        <f t="shared" ref="I21:I73" si="6">H21-G21</f>
        <v>0</v>
      </c>
      <c r="J21" s="500"/>
      <c r="K21" s="592">
        <f t="shared" si="1"/>
        <v>882836.42245279858</v>
      </c>
      <c r="L21" s="596">
        <f t="shared" si="2"/>
        <v>0</v>
      </c>
      <c r="M21" s="592">
        <f t="shared" si="3"/>
        <v>882836.42245279858</v>
      </c>
      <c r="N21" s="504">
        <f>IF(M21&lt;&gt;0,+H21-M21,0)</f>
        <v>0</v>
      </c>
      <c r="O21" s="504">
        <f>+N21-L21</f>
        <v>0</v>
      </c>
      <c r="P21" s="278"/>
      <c r="R21" s="243"/>
      <c r="S21" s="243"/>
      <c r="T21" s="243"/>
      <c r="U21" s="243"/>
    </row>
    <row r="22" spans="2:21" ht="12.5">
      <c r="B22" s="145" t="str">
        <f t="shared" si="0"/>
        <v/>
      </c>
      <c r="C22" s="495">
        <f>IF(D11="","-",+C21+1)</f>
        <v>2018</v>
      </c>
      <c r="D22" s="614">
        <v>6669770.9644535212</v>
      </c>
      <c r="E22" s="613">
        <v>176829.81385654397</v>
      </c>
      <c r="F22" s="614">
        <v>6492941.1505969772</v>
      </c>
      <c r="G22" s="613">
        <v>845651.23589628318</v>
      </c>
      <c r="H22" s="617">
        <v>845651.23589628318</v>
      </c>
      <c r="I22" s="500">
        <v>0</v>
      </c>
      <c r="J22" s="500"/>
      <c r="K22" s="592">
        <f t="shared" si="1"/>
        <v>845651.23589628318</v>
      </c>
      <c r="L22" s="596">
        <f t="shared" si="2"/>
        <v>0</v>
      </c>
      <c r="M22" s="592">
        <f t="shared" si="3"/>
        <v>845651.23589628318</v>
      </c>
      <c r="N22" s="504">
        <f>IF(M22&lt;&gt;0,+H22-M22,0)</f>
        <v>0</v>
      </c>
      <c r="O22" s="504">
        <f>+N22-L22</f>
        <v>0</v>
      </c>
      <c r="P22" s="278"/>
      <c r="R22" s="243"/>
      <c r="S22" s="243"/>
      <c r="T22" s="243"/>
      <c r="U22" s="243"/>
    </row>
    <row r="23" spans="2:21" ht="12.5">
      <c r="B23" s="145" t="str">
        <f t="shared" si="0"/>
        <v/>
      </c>
      <c r="C23" s="495">
        <f>IF(D11="","-",+C22+1)</f>
        <v>2019</v>
      </c>
      <c r="D23" s="614">
        <v>6492941.1505969772</v>
      </c>
      <c r="E23" s="613">
        <v>213849.4508925222</v>
      </c>
      <c r="F23" s="614">
        <v>6279091.6997044552</v>
      </c>
      <c r="G23" s="613">
        <v>877586.22744876624</v>
      </c>
      <c r="H23" s="617">
        <v>877586.22744876624</v>
      </c>
      <c r="I23" s="500">
        <f t="shared" si="6"/>
        <v>0</v>
      </c>
      <c r="J23" s="500"/>
      <c r="K23" s="592">
        <f t="shared" ref="K23" si="7">G23</f>
        <v>877586.22744876624</v>
      </c>
      <c r="L23" s="596">
        <f t="shared" ref="L23" si="8">IF(K23&lt;&gt;0,+G23-K23,0)</f>
        <v>0</v>
      </c>
      <c r="M23" s="592">
        <f t="shared" ref="M23" si="9">H23</f>
        <v>877586.22744876624</v>
      </c>
      <c r="N23" s="504">
        <f>IF(M23&lt;&gt;0,+H23-M23,0)</f>
        <v>0</v>
      </c>
      <c r="O23" s="504">
        <f>+N23-L23</f>
        <v>0</v>
      </c>
      <c r="P23" s="278"/>
      <c r="R23" s="243"/>
      <c r="S23" s="243"/>
      <c r="T23" s="243"/>
      <c r="U23" s="243"/>
    </row>
    <row r="24" spans="2:21" ht="12.5">
      <c r="B24" s="145" t="str">
        <f t="shared" si="0"/>
        <v>IU</v>
      </c>
      <c r="C24" s="495">
        <f>IF(D11="","-",+C23+1)</f>
        <v>2020</v>
      </c>
      <c r="D24" s="614">
        <v>6316111.3367404332</v>
      </c>
      <c r="E24" s="613">
        <v>211130.68525810694</v>
      </c>
      <c r="F24" s="614">
        <v>6104980.651482326</v>
      </c>
      <c r="G24" s="613">
        <v>862818.59359815018</v>
      </c>
      <c r="H24" s="617">
        <v>862818.59359815018</v>
      </c>
      <c r="I24" s="500">
        <f t="shared" si="6"/>
        <v>0</v>
      </c>
      <c r="J24" s="500"/>
      <c r="K24" s="592">
        <f t="shared" ref="K24" si="10">G24</f>
        <v>862818.59359815018</v>
      </c>
      <c r="L24" s="596">
        <f t="shared" ref="L24" si="11">IF(K24&lt;&gt;0,+G24-K24,0)</f>
        <v>0</v>
      </c>
      <c r="M24" s="592">
        <f t="shared" ref="M24" si="12">H24</f>
        <v>862818.59359815018</v>
      </c>
      <c r="N24" s="504">
        <f>IF(M24&lt;&gt;0,+H24-M24,0)</f>
        <v>0</v>
      </c>
      <c r="O24" s="504">
        <f t="shared" si="5"/>
        <v>0</v>
      </c>
      <c r="P24" s="278"/>
      <c r="R24" s="243"/>
      <c r="S24" s="243"/>
      <c r="T24" s="243"/>
      <c r="U24" s="243"/>
    </row>
    <row r="25" spans="2:21" ht="12.5">
      <c r="B25" s="145" t="str">
        <f t="shared" si="0"/>
        <v>IU</v>
      </c>
      <c r="C25" s="495">
        <f>IF(D11="","-",+C24+1)</f>
        <v>2021</v>
      </c>
      <c r="D25" s="508">
        <f>IF(F24+SUM(E$17:E24)=D$10,F24,D$10-SUM(E$17:E24))</f>
        <v>6067961.014446348</v>
      </c>
      <c r="E25" s="509">
        <f t="shared" ref="E25:E73" si="13">IF(+$I$14&lt;F24,$I$14,D25)</f>
        <v>232590.61290322582</v>
      </c>
      <c r="F25" s="510">
        <f t="shared" ref="F25:F73" si="14">+D25-E25</f>
        <v>5835370.4015431218</v>
      </c>
      <c r="G25" s="511">
        <f t="shared" ref="G25:G73" si="15">(D25+F25)/2*I$12+E25</f>
        <v>876471.96738932701</v>
      </c>
      <c r="H25" s="477">
        <f t="shared" ref="H25:H73" si="16">+(D25+F25)/2*I$13+E25</f>
        <v>876471.96738932701</v>
      </c>
      <c r="I25" s="500">
        <f t="shared" si="6"/>
        <v>0</v>
      </c>
      <c r="J25" s="500"/>
      <c r="K25" s="512"/>
      <c r="L25" s="504">
        <f t="shared" ref="L25:L73" si="17">IF(K25&lt;&gt;0,+G25-K25,0)</f>
        <v>0</v>
      </c>
      <c r="M25" s="512"/>
      <c r="N25" s="504">
        <f t="shared" si="4"/>
        <v>0</v>
      </c>
      <c r="O25" s="504">
        <f t="shared" si="5"/>
        <v>0</v>
      </c>
      <c r="P25" s="278"/>
      <c r="R25" s="243"/>
      <c r="S25" s="243"/>
      <c r="T25" s="243"/>
      <c r="U25" s="243"/>
    </row>
    <row r="26" spans="2:21" ht="12.5">
      <c r="B26" s="145" t="str">
        <f t="shared" si="0"/>
        <v/>
      </c>
      <c r="C26" s="495">
        <f>IF(D11="","-",+C25+1)</f>
        <v>2022</v>
      </c>
      <c r="D26" s="508">
        <f>IF(F25+SUM(E$17:E25)=D$10,F25,D$10-SUM(E$17:E25))</f>
        <v>5835370.4015431218</v>
      </c>
      <c r="E26" s="509">
        <f t="shared" si="13"/>
        <v>232590.61290322582</v>
      </c>
      <c r="F26" s="510">
        <f t="shared" si="14"/>
        <v>5602779.7886398956</v>
      </c>
      <c r="G26" s="511">
        <f t="shared" si="15"/>
        <v>851309.13630563358</v>
      </c>
      <c r="H26" s="477">
        <f t="shared" si="16"/>
        <v>851309.13630563358</v>
      </c>
      <c r="I26" s="500">
        <f t="shared" si="6"/>
        <v>0</v>
      </c>
      <c r="J26" s="500"/>
      <c r="K26" s="512"/>
      <c r="L26" s="504">
        <f t="shared" si="17"/>
        <v>0</v>
      </c>
      <c r="M26" s="512"/>
      <c r="N26" s="504">
        <f t="shared" si="4"/>
        <v>0</v>
      </c>
      <c r="O26" s="504">
        <f t="shared" si="5"/>
        <v>0</v>
      </c>
      <c r="P26" s="278"/>
      <c r="R26" s="243"/>
      <c r="S26" s="243"/>
      <c r="T26" s="243"/>
      <c r="U26" s="243"/>
    </row>
    <row r="27" spans="2:21" ht="12.5">
      <c r="B27" s="145" t="str">
        <f t="shared" si="0"/>
        <v/>
      </c>
      <c r="C27" s="495">
        <f>IF(D11="","-",+C26+1)</f>
        <v>2023</v>
      </c>
      <c r="D27" s="508">
        <f>IF(F26+SUM(E$17:E26)=D$10,F26,D$10-SUM(E$17:E26))</f>
        <v>5602779.7886398956</v>
      </c>
      <c r="E27" s="509">
        <f t="shared" si="13"/>
        <v>232590.61290322582</v>
      </c>
      <c r="F27" s="510">
        <f t="shared" si="14"/>
        <v>5370189.1757366695</v>
      </c>
      <c r="G27" s="511">
        <f t="shared" si="15"/>
        <v>826146.30522194027</v>
      </c>
      <c r="H27" s="477">
        <f t="shared" si="16"/>
        <v>826146.30522194027</v>
      </c>
      <c r="I27" s="500">
        <f t="shared" si="6"/>
        <v>0</v>
      </c>
      <c r="J27" s="500"/>
      <c r="K27" s="512"/>
      <c r="L27" s="504">
        <f t="shared" si="17"/>
        <v>0</v>
      </c>
      <c r="M27" s="512"/>
      <c r="N27" s="504">
        <f t="shared" si="4"/>
        <v>0</v>
      </c>
      <c r="O27" s="504">
        <f t="shared" si="5"/>
        <v>0</v>
      </c>
      <c r="P27" s="278"/>
      <c r="R27" s="243"/>
      <c r="S27" s="243"/>
      <c r="T27" s="243"/>
      <c r="U27" s="243"/>
    </row>
    <row r="28" spans="2:21" ht="12.5">
      <c r="B28" s="145" t="str">
        <f t="shared" si="0"/>
        <v/>
      </c>
      <c r="C28" s="495">
        <f>IF(D11="","-",+C27+1)</f>
        <v>2024</v>
      </c>
      <c r="D28" s="508">
        <f>IF(F27+SUM(E$17:E27)=D$10,F27,D$10-SUM(E$17:E27))</f>
        <v>5370189.1757366695</v>
      </c>
      <c r="E28" s="509">
        <f t="shared" si="13"/>
        <v>232590.61290322582</v>
      </c>
      <c r="F28" s="510">
        <f t="shared" si="14"/>
        <v>5137598.5628334433</v>
      </c>
      <c r="G28" s="511">
        <f t="shared" si="15"/>
        <v>800983.47413824697</v>
      </c>
      <c r="H28" s="477">
        <f t="shared" si="16"/>
        <v>800983.47413824697</v>
      </c>
      <c r="I28" s="500">
        <f t="shared" si="6"/>
        <v>0</v>
      </c>
      <c r="J28" s="500"/>
      <c r="K28" s="512"/>
      <c r="L28" s="504">
        <f t="shared" si="17"/>
        <v>0</v>
      </c>
      <c r="M28" s="512"/>
      <c r="N28" s="504">
        <f t="shared" si="4"/>
        <v>0</v>
      </c>
      <c r="O28" s="504">
        <f t="shared" si="5"/>
        <v>0</v>
      </c>
      <c r="P28" s="278"/>
      <c r="R28" s="243"/>
      <c r="S28" s="243"/>
      <c r="T28" s="243"/>
      <c r="U28" s="243"/>
    </row>
    <row r="29" spans="2:21" ht="12.5">
      <c r="B29" s="145" t="str">
        <f t="shared" si="0"/>
        <v/>
      </c>
      <c r="C29" s="495">
        <f>IF(D11="","-",+C28+1)</f>
        <v>2025</v>
      </c>
      <c r="D29" s="508">
        <f>IF(F28+SUM(E$17:E28)=D$10,F28,D$10-SUM(E$17:E28))</f>
        <v>5137598.5628334433</v>
      </c>
      <c r="E29" s="509">
        <f t="shared" si="13"/>
        <v>232590.61290322582</v>
      </c>
      <c r="F29" s="510">
        <f t="shared" si="14"/>
        <v>4905007.9499302171</v>
      </c>
      <c r="G29" s="511">
        <f t="shared" si="15"/>
        <v>775820.64305455354</v>
      </c>
      <c r="H29" s="477">
        <f t="shared" si="16"/>
        <v>775820.64305455354</v>
      </c>
      <c r="I29" s="500">
        <f t="shared" si="6"/>
        <v>0</v>
      </c>
      <c r="J29" s="500"/>
      <c r="K29" s="512"/>
      <c r="L29" s="504">
        <f t="shared" si="17"/>
        <v>0</v>
      </c>
      <c r="M29" s="512"/>
      <c r="N29" s="504">
        <f t="shared" si="4"/>
        <v>0</v>
      </c>
      <c r="O29" s="504">
        <f t="shared" si="5"/>
        <v>0</v>
      </c>
      <c r="P29" s="278"/>
      <c r="R29" s="243"/>
      <c r="S29" s="243"/>
      <c r="T29" s="243"/>
      <c r="U29" s="243"/>
    </row>
    <row r="30" spans="2:21" ht="12.5">
      <c r="B30" s="145" t="str">
        <f t="shared" si="0"/>
        <v/>
      </c>
      <c r="C30" s="495">
        <f>IF(D11="","-",+C29+1)</f>
        <v>2026</v>
      </c>
      <c r="D30" s="508">
        <f>IF(F29+SUM(E$17:E29)=D$10,F29,D$10-SUM(E$17:E29))</f>
        <v>4905007.9499302171</v>
      </c>
      <c r="E30" s="509">
        <f t="shared" si="13"/>
        <v>232590.61290322582</v>
      </c>
      <c r="F30" s="510">
        <f t="shared" si="14"/>
        <v>4672417.337026991</v>
      </c>
      <c r="G30" s="511">
        <f t="shared" si="15"/>
        <v>750657.81197086023</v>
      </c>
      <c r="H30" s="477">
        <f t="shared" si="16"/>
        <v>750657.81197086023</v>
      </c>
      <c r="I30" s="500">
        <f t="shared" si="6"/>
        <v>0</v>
      </c>
      <c r="J30" s="500"/>
      <c r="K30" s="512"/>
      <c r="L30" s="504">
        <f t="shared" si="17"/>
        <v>0</v>
      </c>
      <c r="M30" s="512"/>
      <c r="N30" s="504">
        <f t="shared" si="4"/>
        <v>0</v>
      </c>
      <c r="O30" s="504">
        <f t="shared" si="5"/>
        <v>0</v>
      </c>
      <c r="P30" s="278"/>
      <c r="R30" s="243"/>
      <c r="S30" s="243"/>
      <c r="T30" s="243"/>
      <c r="U30" s="243"/>
    </row>
    <row r="31" spans="2:21" ht="12.5">
      <c r="B31" s="145" t="str">
        <f t="shared" si="0"/>
        <v/>
      </c>
      <c r="C31" s="495">
        <f>IF(D11="","-",+C30+1)</f>
        <v>2027</v>
      </c>
      <c r="D31" s="508">
        <f>IF(F30+SUM(E$17:E30)=D$10,F30,D$10-SUM(E$17:E30))</f>
        <v>4672417.337026991</v>
      </c>
      <c r="E31" s="509">
        <f t="shared" si="13"/>
        <v>232590.61290322582</v>
      </c>
      <c r="F31" s="510">
        <f t="shared" si="14"/>
        <v>4439826.7241237648</v>
      </c>
      <c r="G31" s="511">
        <f t="shared" si="15"/>
        <v>725494.98088716692</v>
      </c>
      <c r="H31" s="477">
        <f t="shared" si="16"/>
        <v>725494.98088716692</v>
      </c>
      <c r="I31" s="500">
        <f t="shared" si="6"/>
        <v>0</v>
      </c>
      <c r="J31" s="500"/>
      <c r="K31" s="512"/>
      <c r="L31" s="504">
        <f t="shared" si="17"/>
        <v>0</v>
      </c>
      <c r="M31" s="512"/>
      <c r="N31" s="504">
        <f t="shared" si="4"/>
        <v>0</v>
      </c>
      <c r="O31" s="504">
        <f t="shared" si="5"/>
        <v>0</v>
      </c>
      <c r="P31" s="278"/>
      <c r="Q31" s="220"/>
      <c r="R31" s="278"/>
      <c r="S31" s="278"/>
      <c r="T31" s="278"/>
      <c r="U31" s="243"/>
    </row>
    <row r="32" spans="2:21" ht="12.5">
      <c r="B32" s="145" t="str">
        <f t="shared" si="0"/>
        <v/>
      </c>
      <c r="C32" s="495">
        <f>IF(D12="","-",+C31+1)</f>
        <v>2028</v>
      </c>
      <c r="D32" s="508">
        <f>IF(F31+SUM(E$17:E31)=D$10,F31,D$10-SUM(E$17:E31))</f>
        <v>4439826.7241237648</v>
      </c>
      <c r="E32" s="509">
        <f>IF(+$I$14&lt;F31,$I$14,D32)</f>
        <v>232590.61290322582</v>
      </c>
      <c r="F32" s="510">
        <f>+D32-E32</f>
        <v>4207236.1112205386</v>
      </c>
      <c r="G32" s="511">
        <f t="shared" si="15"/>
        <v>700332.1498034735</v>
      </c>
      <c r="H32" s="477">
        <f t="shared" si="16"/>
        <v>700332.1498034735</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2029</v>
      </c>
      <c r="D33" s="508">
        <f>IF(F32+SUM(E$17:E32)=D$10,F32,D$10-SUM(E$17:E32))</f>
        <v>4207236.1112205386</v>
      </c>
      <c r="E33" s="509">
        <f>IF(+$I$14&lt;F32,$I$14,D33)</f>
        <v>232590.61290322582</v>
      </c>
      <c r="F33" s="510">
        <f>+D33-E33</f>
        <v>3974645.4983173129</v>
      </c>
      <c r="G33" s="511">
        <f t="shared" si="15"/>
        <v>675169.31871978019</v>
      </c>
      <c r="H33" s="477">
        <f t="shared" si="16"/>
        <v>675169.31871978019</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495">
        <f>IF(D14="","-",+C33+1)</f>
        <v>2030</v>
      </c>
      <c r="D34" s="514">
        <f>IF(F33+SUM(E$17:E33)=D$10,F33,D$10-SUM(E$17:E33))</f>
        <v>3974645.4983173129</v>
      </c>
      <c r="E34" s="515">
        <f t="shared" si="13"/>
        <v>232590.61290322582</v>
      </c>
      <c r="F34" s="516">
        <f t="shared" si="14"/>
        <v>3742054.8854140872</v>
      </c>
      <c r="G34" s="511">
        <f t="shared" si="15"/>
        <v>650006.487636087</v>
      </c>
      <c r="H34" s="477">
        <f t="shared" si="16"/>
        <v>650006.487636087</v>
      </c>
      <c r="I34" s="519">
        <f t="shared" si="6"/>
        <v>0</v>
      </c>
      <c r="J34" s="519"/>
      <c r="K34" s="520"/>
      <c r="L34" s="521">
        <f t="shared" si="17"/>
        <v>0</v>
      </c>
      <c r="M34" s="520"/>
      <c r="N34" s="521">
        <f t="shared" si="4"/>
        <v>0</v>
      </c>
      <c r="O34" s="521">
        <f t="shared" si="5"/>
        <v>0</v>
      </c>
      <c r="P34" s="522"/>
      <c r="Q34" s="216"/>
      <c r="R34" s="522"/>
      <c r="S34" s="522"/>
      <c r="T34" s="522"/>
      <c r="U34" s="243"/>
    </row>
    <row r="35" spans="2:21" ht="12.5">
      <c r="B35" s="145" t="str">
        <f t="shared" si="0"/>
        <v/>
      </c>
      <c r="C35" s="495">
        <f>IF(D11="","-",+C34+1)</f>
        <v>2031</v>
      </c>
      <c r="D35" s="508">
        <f>IF(F34+SUM(E$17:E34)=D$10,F34,D$10-SUM(E$17:E34))</f>
        <v>3742054.8854140872</v>
      </c>
      <c r="E35" s="509">
        <f t="shared" si="13"/>
        <v>232590.61290322582</v>
      </c>
      <c r="F35" s="510">
        <f t="shared" si="14"/>
        <v>3509464.2725108615</v>
      </c>
      <c r="G35" s="511">
        <f t="shared" si="15"/>
        <v>624843.65655239357</v>
      </c>
      <c r="H35" s="477">
        <f t="shared" si="16"/>
        <v>624843.65655239357</v>
      </c>
      <c r="I35" s="500">
        <f t="shared" si="6"/>
        <v>0</v>
      </c>
      <c r="J35" s="500"/>
      <c r="K35" s="512"/>
      <c r="L35" s="504">
        <f t="shared" si="17"/>
        <v>0</v>
      </c>
      <c r="M35" s="512"/>
      <c r="N35" s="504">
        <f t="shared" si="4"/>
        <v>0</v>
      </c>
      <c r="O35" s="504">
        <f t="shared" si="5"/>
        <v>0</v>
      </c>
      <c r="P35" s="278"/>
      <c r="R35" s="243"/>
      <c r="S35" s="243"/>
      <c r="T35" s="243"/>
      <c r="U35" s="243"/>
    </row>
    <row r="36" spans="2:21" ht="12.5">
      <c r="B36" s="145" t="str">
        <f t="shared" si="0"/>
        <v/>
      </c>
      <c r="C36" s="495">
        <f>IF(D11="","-",+C35+1)</f>
        <v>2032</v>
      </c>
      <c r="D36" s="508">
        <f>IF(F35+SUM(E$17:E35)=D$10,F35,D$10-SUM(E$17:E35))</f>
        <v>3509464.2725108615</v>
      </c>
      <c r="E36" s="509">
        <f t="shared" si="13"/>
        <v>232590.61290322582</v>
      </c>
      <c r="F36" s="510">
        <f t="shared" si="14"/>
        <v>3276873.6596076358</v>
      </c>
      <c r="G36" s="511">
        <f t="shared" si="15"/>
        <v>599680.82546870038</v>
      </c>
      <c r="H36" s="477">
        <f t="shared" si="16"/>
        <v>599680.82546870038</v>
      </c>
      <c r="I36" s="500">
        <f t="shared" si="6"/>
        <v>0</v>
      </c>
      <c r="J36" s="500"/>
      <c r="K36" s="512"/>
      <c r="L36" s="504">
        <f t="shared" si="17"/>
        <v>0</v>
      </c>
      <c r="M36" s="512"/>
      <c r="N36" s="504">
        <f t="shared" si="4"/>
        <v>0</v>
      </c>
      <c r="O36" s="504">
        <f t="shared" si="5"/>
        <v>0</v>
      </c>
      <c r="P36" s="278"/>
      <c r="R36" s="243"/>
      <c r="S36" s="243"/>
      <c r="T36" s="243"/>
      <c r="U36" s="243"/>
    </row>
    <row r="37" spans="2:21" ht="12.5">
      <c r="B37" s="145" t="str">
        <f t="shared" si="0"/>
        <v/>
      </c>
      <c r="C37" s="495">
        <f>IF(D11="","-",+C36+1)</f>
        <v>2033</v>
      </c>
      <c r="D37" s="508">
        <f>IF(F36+SUM(E$17:E36)=D$10,F36,D$10-SUM(E$17:E36))</f>
        <v>3276873.6596076358</v>
      </c>
      <c r="E37" s="509">
        <f t="shared" si="13"/>
        <v>232590.61290322582</v>
      </c>
      <c r="F37" s="510">
        <f t="shared" si="14"/>
        <v>3044283.0467044101</v>
      </c>
      <c r="G37" s="511">
        <f t="shared" si="15"/>
        <v>574517.99438500695</v>
      </c>
      <c r="H37" s="477">
        <f t="shared" si="16"/>
        <v>574517.99438500695</v>
      </c>
      <c r="I37" s="500">
        <f t="shared" si="6"/>
        <v>0</v>
      </c>
      <c r="J37" s="500"/>
      <c r="K37" s="512"/>
      <c r="L37" s="504">
        <f t="shared" si="17"/>
        <v>0</v>
      </c>
      <c r="M37" s="512"/>
      <c r="N37" s="504">
        <f t="shared" si="4"/>
        <v>0</v>
      </c>
      <c r="O37" s="504">
        <f t="shared" si="5"/>
        <v>0</v>
      </c>
      <c r="P37" s="278"/>
      <c r="R37" s="243"/>
      <c r="S37" s="243"/>
      <c r="T37" s="243"/>
      <c r="U37" s="243"/>
    </row>
    <row r="38" spans="2:21" ht="12.5">
      <c r="B38" s="145" t="str">
        <f t="shared" si="0"/>
        <v/>
      </c>
      <c r="C38" s="495">
        <f>IF(D11="","-",+C37+1)</f>
        <v>2034</v>
      </c>
      <c r="D38" s="508">
        <f>IF(F37+SUM(E$17:E37)=D$10,F37,D$10-SUM(E$17:E37))</f>
        <v>3044283.0467044101</v>
      </c>
      <c r="E38" s="509">
        <f t="shared" si="13"/>
        <v>232590.61290322582</v>
      </c>
      <c r="F38" s="510">
        <f t="shared" si="14"/>
        <v>2811692.4338011844</v>
      </c>
      <c r="G38" s="511">
        <f t="shared" si="15"/>
        <v>549355.16330131376</v>
      </c>
      <c r="H38" s="477">
        <f t="shared" si="16"/>
        <v>549355.16330131376</v>
      </c>
      <c r="I38" s="500">
        <f t="shared" si="6"/>
        <v>0</v>
      </c>
      <c r="J38" s="500"/>
      <c r="K38" s="512"/>
      <c r="L38" s="504">
        <f t="shared" si="17"/>
        <v>0</v>
      </c>
      <c r="M38" s="512"/>
      <c r="N38" s="504">
        <f t="shared" si="4"/>
        <v>0</v>
      </c>
      <c r="O38" s="504">
        <f t="shared" si="5"/>
        <v>0</v>
      </c>
      <c r="P38" s="278"/>
      <c r="R38" s="243"/>
      <c r="S38" s="243"/>
      <c r="T38" s="243"/>
      <c r="U38" s="243"/>
    </row>
    <row r="39" spans="2:21" ht="12.5">
      <c r="B39" s="145" t="str">
        <f t="shared" si="0"/>
        <v/>
      </c>
      <c r="C39" s="495">
        <f>IF(D11="","-",+C38+1)</f>
        <v>2035</v>
      </c>
      <c r="D39" s="508">
        <f>IF(F38+SUM(E$17:E38)=D$10,F38,D$10-SUM(E$17:E38))</f>
        <v>2811692.4338011844</v>
      </c>
      <c r="E39" s="509">
        <f t="shared" si="13"/>
        <v>232590.61290322582</v>
      </c>
      <c r="F39" s="510">
        <f t="shared" si="14"/>
        <v>2579101.8208979587</v>
      </c>
      <c r="G39" s="511">
        <f t="shared" si="15"/>
        <v>524192.33221762039</v>
      </c>
      <c r="H39" s="477">
        <f t="shared" si="16"/>
        <v>524192.33221762039</v>
      </c>
      <c r="I39" s="500">
        <f t="shared" si="6"/>
        <v>0</v>
      </c>
      <c r="J39" s="500"/>
      <c r="K39" s="512"/>
      <c r="L39" s="504">
        <f t="shared" si="17"/>
        <v>0</v>
      </c>
      <c r="M39" s="512"/>
      <c r="N39" s="504">
        <f t="shared" si="4"/>
        <v>0</v>
      </c>
      <c r="O39" s="504">
        <f t="shared" si="5"/>
        <v>0</v>
      </c>
      <c r="P39" s="278"/>
      <c r="R39" s="243"/>
      <c r="S39" s="243"/>
      <c r="T39" s="243"/>
      <c r="U39" s="243"/>
    </row>
    <row r="40" spans="2:21" ht="12.5">
      <c r="B40" s="145" t="str">
        <f t="shared" si="0"/>
        <v/>
      </c>
      <c r="C40" s="495">
        <f>IF(D11="","-",+C39+1)</f>
        <v>2036</v>
      </c>
      <c r="D40" s="508">
        <f>IF(F39+SUM(E$17:E39)=D$10,F39,D$10-SUM(E$17:E39))</f>
        <v>2579101.8208979587</v>
      </c>
      <c r="E40" s="509">
        <f t="shared" si="13"/>
        <v>232590.61290322582</v>
      </c>
      <c r="F40" s="510">
        <f t="shared" si="14"/>
        <v>2346511.207994733</v>
      </c>
      <c r="G40" s="511">
        <f t="shared" si="15"/>
        <v>499029.50113392714</v>
      </c>
      <c r="H40" s="477">
        <f t="shared" si="16"/>
        <v>499029.50113392714</v>
      </c>
      <c r="I40" s="500">
        <f t="shared" si="6"/>
        <v>0</v>
      </c>
      <c r="J40" s="500"/>
      <c r="K40" s="512"/>
      <c r="L40" s="504">
        <f t="shared" si="17"/>
        <v>0</v>
      </c>
      <c r="M40" s="512"/>
      <c r="N40" s="504">
        <f t="shared" si="4"/>
        <v>0</v>
      </c>
      <c r="O40" s="504">
        <f t="shared" si="5"/>
        <v>0</v>
      </c>
      <c r="P40" s="278"/>
      <c r="R40" s="243"/>
      <c r="S40" s="243"/>
      <c r="T40" s="243"/>
      <c r="U40" s="243"/>
    </row>
    <row r="41" spans="2:21" ht="12.5">
      <c r="B41" s="145" t="str">
        <f t="shared" si="0"/>
        <v/>
      </c>
      <c r="C41" s="495">
        <f>IF(D12="","-",+C40+1)</f>
        <v>2037</v>
      </c>
      <c r="D41" s="508">
        <f>IF(F40+SUM(E$17:E40)=D$10,F40,D$10-SUM(E$17:E40))</f>
        <v>2346511.207994733</v>
      </c>
      <c r="E41" s="509">
        <f t="shared" si="13"/>
        <v>232590.61290322582</v>
      </c>
      <c r="F41" s="510">
        <f t="shared" si="14"/>
        <v>2113920.5950915073</v>
      </c>
      <c r="G41" s="511">
        <f t="shared" si="15"/>
        <v>473866.67005023378</v>
      </c>
      <c r="H41" s="477">
        <f t="shared" si="16"/>
        <v>473866.67005023378</v>
      </c>
      <c r="I41" s="500">
        <f t="shared" si="6"/>
        <v>0</v>
      </c>
      <c r="J41" s="500"/>
      <c r="K41" s="512"/>
      <c r="L41" s="504">
        <f t="shared" si="17"/>
        <v>0</v>
      </c>
      <c r="M41" s="512"/>
      <c r="N41" s="504">
        <f t="shared" si="4"/>
        <v>0</v>
      </c>
      <c r="O41" s="504">
        <f t="shared" si="5"/>
        <v>0</v>
      </c>
      <c r="P41" s="278"/>
      <c r="R41" s="243"/>
      <c r="S41" s="243"/>
      <c r="T41" s="243"/>
      <c r="U41" s="243"/>
    </row>
    <row r="42" spans="2:21" ht="12.5">
      <c r="B42" s="145" t="str">
        <f t="shared" si="0"/>
        <v/>
      </c>
      <c r="C42" s="495">
        <f>IF(D13="","-",+C41+1)</f>
        <v>2038</v>
      </c>
      <c r="D42" s="508">
        <f>IF(F41+SUM(E$17:E41)=D$10,F41,D$10-SUM(E$17:E41))</f>
        <v>2113920.5950915073</v>
      </c>
      <c r="E42" s="509">
        <f t="shared" si="13"/>
        <v>232590.61290322582</v>
      </c>
      <c r="F42" s="510">
        <f t="shared" si="14"/>
        <v>1881329.9821882816</v>
      </c>
      <c r="G42" s="511">
        <f t="shared" si="15"/>
        <v>448703.83896654053</v>
      </c>
      <c r="H42" s="477">
        <f t="shared" si="16"/>
        <v>448703.83896654053</v>
      </c>
      <c r="I42" s="500">
        <f t="shared" si="6"/>
        <v>0</v>
      </c>
      <c r="J42" s="500"/>
      <c r="K42" s="512"/>
      <c r="L42" s="504">
        <f t="shared" si="17"/>
        <v>0</v>
      </c>
      <c r="M42" s="512"/>
      <c r="N42" s="504">
        <f t="shared" si="4"/>
        <v>0</v>
      </c>
      <c r="O42" s="504">
        <f t="shared" si="5"/>
        <v>0</v>
      </c>
      <c r="P42" s="278"/>
      <c r="R42" s="243"/>
      <c r="S42" s="243"/>
      <c r="T42" s="243"/>
      <c r="U42" s="243"/>
    </row>
    <row r="43" spans="2:21" ht="12.5">
      <c r="B43" s="145" t="str">
        <f t="shared" si="0"/>
        <v/>
      </c>
      <c r="C43" s="495">
        <f>IF(D11="","-",+C42+1)</f>
        <v>2039</v>
      </c>
      <c r="D43" s="508">
        <f>IF(F42+SUM(E$17:E42)=D$10,F42,D$10-SUM(E$17:E42))</f>
        <v>1881329.9821882816</v>
      </c>
      <c r="E43" s="509">
        <f t="shared" si="13"/>
        <v>232590.61290322582</v>
      </c>
      <c r="F43" s="510">
        <f t="shared" si="14"/>
        <v>1648739.3692850559</v>
      </c>
      <c r="G43" s="511">
        <f t="shared" si="15"/>
        <v>423541.00788284722</v>
      </c>
      <c r="H43" s="477">
        <f t="shared" si="16"/>
        <v>423541.00788284722</v>
      </c>
      <c r="I43" s="500">
        <f t="shared" si="6"/>
        <v>0</v>
      </c>
      <c r="J43" s="500"/>
      <c r="K43" s="512"/>
      <c r="L43" s="504">
        <f t="shared" si="17"/>
        <v>0</v>
      </c>
      <c r="M43" s="512"/>
      <c r="N43" s="504">
        <f t="shared" si="4"/>
        <v>0</v>
      </c>
      <c r="O43" s="504">
        <f t="shared" si="5"/>
        <v>0</v>
      </c>
      <c r="P43" s="278"/>
      <c r="R43" s="243"/>
      <c r="S43" s="243"/>
      <c r="T43" s="243"/>
      <c r="U43" s="243"/>
    </row>
    <row r="44" spans="2:21" ht="12.5">
      <c r="B44" s="145" t="str">
        <f t="shared" si="0"/>
        <v/>
      </c>
      <c r="C44" s="495">
        <f>IF(D11="","-",+C43+1)</f>
        <v>2040</v>
      </c>
      <c r="D44" s="508">
        <f>IF(F43+SUM(E$17:E43)=D$10,F43,D$10-SUM(E$17:E43))</f>
        <v>1648739.3692850559</v>
      </c>
      <c r="E44" s="509">
        <f t="shared" si="13"/>
        <v>232590.61290322582</v>
      </c>
      <c r="F44" s="510">
        <f t="shared" si="14"/>
        <v>1416148.7563818302</v>
      </c>
      <c r="G44" s="511">
        <f t="shared" si="15"/>
        <v>398378.17679915391</v>
      </c>
      <c r="H44" s="477">
        <f t="shared" si="16"/>
        <v>398378.17679915391</v>
      </c>
      <c r="I44" s="500">
        <f t="shared" si="6"/>
        <v>0</v>
      </c>
      <c r="J44" s="500"/>
      <c r="K44" s="512"/>
      <c r="L44" s="504">
        <f t="shared" si="17"/>
        <v>0</v>
      </c>
      <c r="M44" s="512"/>
      <c r="N44" s="504">
        <f t="shared" si="4"/>
        <v>0</v>
      </c>
      <c r="O44" s="504">
        <f t="shared" si="5"/>
        <v>0</v>
      </c>
      <c r="P44" s="278"/>
      <c r="R44" s="243"/>
      <c r="S44" s="243"/>
      <c r="T44" s="243"/>
      <c r="U44" s="243"/>
    </row>
    <row r="45" spans="2:21" ht="12.5">
      <c r="B45" s="145" t="str">
        <f t="shared" si="0"/>
        <v/>
      </c>
      <c r="C45" s="495">
        <f>IF(D11="","-",+C44+1)</f>
        <v>2041</v>
      </c>
      <c r="D45" s="508">
        <f>IF(F44+SUM(E$17:E44)=D$10,F44,D$10-SUM(E$17:E44))</f>
        <v>1416148.7563818302</v>
      </c>
      <c r="E45" s="509">
        <f t="shared" si="13"/>
        <v>232590.61290322582</v>
      </c>
      <c r="F45" s="510">
        <f t="shared" si="14"/>
        <v>1183558.1434786045</v>
      </c>
      <c r="G45" s="511">
        <f t="shared" si="15"/>
        <v>373215.3457154606</v>
      </c>
      <c r="H45" s="477">
        <f t="shared" si="16"/>
        <v>373215.3457154606</v>
      </c>
      <c r="I45" s="500">
        <f t="shared" si="6"/>
        <v>0</v>
      </c>
      <c r="J45" s="500"/>
      <c r="K45" s="512"/>
      <c r="L45" s="504">
        <f t="shared" si="17"/>
        <v>0</v>
      </c>
      <c r="M45" s="512"/>
      <c r="N45" s="504">
        <f t="shared" si="4"/>
        <v>0</v>
      </c>
      <c r="O45" s="504">
        <f t="shared" si="5"/>
        <v>0</v>
      </c>
      <c r="P45" s="278"/>
      <c r="R45" s="243"/>
      <c r="S45" s="243"/>
      <c r="T45" s="243"/>
      <c r="U45" s="243"/>
    </row>
    <row r="46" spans="2:21" ht="12.5">
      <c r="B46" s="145" t="str">
        <f t="shared" si="0"/>
        <v/>
      </c>
      <c r="C46" s="495">
        <f>IF(D11="","-",+C45+1)</f>
        <v>2042</v>
      </c>
      <c r="D46" s="508">
        <f>IF(F45+SUM(E$17:E45)=D$10,F45,D$10-SUM(E$17:E45))</f>
        <v>1183558.1434786045</v>
      </c>
      <c r="E46" s="509">
        <f t="shared" si="13"/>
        <v>232590.61290322582</v>
      </c>
      <c r="F46" s="510">
        <f t="shared" si="14"/>
        <v>950967.53057537868</v>
      </c>
      <c r="G46" s="511">
        <f t="shared" si="15"/>
        <v>348052.51463176729</v>
      </c>
      <c r="H46" s="477">
        <f t="shared" si="16"/>
        <v>348052.51463176729</v>
      </c>
      <c r="I46" s="500">
        <f t="shared" si="6"/>
        <v>0</v>
      </c>
      <c r="J46" s="500"/>
      <c r="K46" s="512"/>
      <c r="L46" s="504">
        <f t="shared" si="17"/>
        <v>0</v>
      </c>
      <c r="M46" s="512"/>
      <c r="N46" s="504">
        <f t="shared" si="4"/>
        <v>0</v>
      </c>
      <c r="O46" s="504">
        <f t="shared" si="5"/>
        <v>0</v>
      </c>
      <c r="P46" s="278"/>
      <c r="R46" s="243"/>
      <c r="S46" s="243"/>
      <c r="T46" s="243"/>
      <c r="U46" s="243"/>
    </row>
    <row r="47" spans="2:21" ht="12.5">
      <c r="B47" s="145" t="str">
        <f t="shared" si="0"/>
        <v/>
      </c>
      <c r="C47" s="495">
        <f>IF(D11="","-",+C46+1)</f>
        <v>2043</v>
      </c>
      <c r="D47" s="508">
        <f>IF(F46+SUM(E$17:E46)=D$10,F46,D$10-SUM(E$17:E46))</f>
        <v>950967.53057537868</v>
      </c>
      <c r="E47" s="509">
        <f t="shared" si="13"/>
        <v>232590.61290322582</v>
      </c>
      <c r="F47" s="510">
        <f t="shared" si="14"/>
        <v>718376.91767215286</v>
      </c>
      <c r="G47" s="511">
        <f t="shared" si="15"/>
        <v>322889.68354807398</v>
      </c>
      <c r="H47" s="477">
        <f t="shared" si="16"/>
        <v>322889.68354807398</v>
      </c>
      <c r="I47" s="500">
        <f t="shared" si="6"/>
        <v>0</v>
      </c>
      <c r="J47" s="500"/>
      <c r="K47" s="512"/>
      <c r="L47" s="504">
        <f t="shared" si="17"/>
        <v>0</v>
      </c>
      <c r="M47" s="512"/>
      <c r="N47" s="504">
        <f t="shared" si="4"/>
        <v>0</v>
      </c>
      <c r="O47" s="504">
        <f t="shared" si="5"/>
        <v>0</v>
      </c>
      <c r="P47" s="278"/>
      <c r="R47" s="243"/>
      <c r="S47" s="243"/>
      <c r="T47" s="243"/>
      <c r="U47" s="243"/>
    </row>
    <row r="48" spans="2:21" ht="12.5">
      <c r="B48" s="145" t="str">
        <f t="shared" si="0"/>
        <v/>
      </c>
      <c r="C48" s="495">
        <f>IF(D11="","-",+C47+1)</f>
        <v>2044</v>
      </c>
      <c r="D48" s="508">
        <f>IF(F47+SUM(E$17:E47)=D$10,F47,D$10-SUM(E$17:E47))</f>
        <v>718376.91767215286</v>
      </c>
      <c r="E48" s="509">
        <f t="shared" si="13"/>
        <v>232590.61290322582</v>
      </c>
      <c r="F48" s="510">
        <f t="shared" si="14"/>
        <v>485786.30476892705</v>
      </c>
      <c r="G48" s="511">
        <f t="shared" si="15"/>
        <v>297726.85246438067</v>
      </c>
      <c r="H48" s="477">
        <f t="shared" si="16"/>
        <v>297726.85246438067</v>
      </c>
      <c r="I48" s="500">
        <f t="shared" si="6"/>
        <v>0</v>
      </c>
      <c r="J48" s="500"/>
      <c r="K48" s="512"/>
      <c r="L48" s="504">
        <f t="shared" si="17"/>
        <v>0</v>
      </c>
      <c r="M48" s="512"/>
      <c r="N48" s="504">
        <f t="shared" si="4"/>
        <v>0</v>
      </c>
      <c r="O48" s="504">
        <f t="shared" si="5"/>
        <v>0</v>
      </c>
      <c r="P48" s="278"/>
      <c r="R48" s="243"/>
      <c r="S48" s="243"/>
      <c r="T48" s="243"/>
      <c r="U48" s="243"/>
    </row>
    <row r="49" spans="2:21" ht="12.5">
      <c r="B49" s="145" t="str">
        <f t="shared" si="0"/>
        <v/>
      </c>
      <c r="C49" s="495">
        <f>IF(D11="","-",+C48+1)</f>
        <v>2045</v>
      </c>
      <c r="D49" s="508">
        <f>IF(F48+SUM(E$17:E48)=D$10,F48,D$10-SUM(E$17:E48))</f>
        <v>485786.30476892705</v>
      </c>
      <c r="E49" s="509">
        <f t="shared" si="13"/>
        <v>232590.61290322582</v>
      </c>
      <c r="F49" s="510">
        <f t="shared" si="14"/>
        <v>253195.69186570123</v>
      </c>
      <c r="G49" s="511">
        <f t="shared" si="15"/>
        <v>272564.02138068737</v>
      </c>
      <c r="H49" s="477">
        <f t="shared" si="16"/>
        <v>272564.02138068737</v>
      </c>
      <c r="I49" s="500">
        <f t="shared" si="6"/>
        <v>0</v>
      </c>
      <c r="J49" s="500"/>
      <c r="K49" s="512"/>
      <c r="L49" s="504">
        <f t="shared" si="17"/>
        <v>0</v>
      </c>
      <c r="M49" s="512"/>
      <c r="N49" s="504">
        <f t="shared" si="4"/>
        <v>0</v>
      </c>
      <c r="O49" s="504">
        <f t="shared" si="5"/>
        <v>0</v>
      </c>
      <c r="P49" s="278"/>
      <c r="R49" s="243"/>
      <c r="S49" s="243"/>
      <c r="T49" s="243"/>
      <c r="U49" s="243"/>
    </row>
    <row r="50" spans="2:21" ht="12.5">
      <c r="B50" s="145" t="str">
        <f t="shared" si="0"/>
        <v/>
      </c>
      <c r="C50" s="495">
        <f>IF(D11="","-",+C49+1)</f>
        <v>2046</v>
      </c>
      <c r="D50" s="508">
        <f>IF(F49+SUM(E$17:E49)=D$10,F49,D$10-SUM(E$17:E49))</f>
        <v>253195.69186570123</v>
      </c>
      <c r="E50" s="509">
        <f t="shared" si="13"/>
        <v>232590.61290322582</v>
      </c>
      <c r="F50" s="510">
        <f t="shared" si="14"/>
        <v>20605.078962475411</v>
      </c>
      <c r="G50" s="511">
        <f t="shared" si="15"/>
        <v>247401.19029699406</v>
      </c>
      <c r="H50" s="477">
        <f t="shared" si="16"/>
        <v>247401.19029699406</v>
      </c>
      <c r="I50" s="500">
        <f t="shared" si="6"/>
        <v>0</v>
      </c>
      <c r="J50" s="500"/>
      <c r="K50" s="512"/>
      <c r="L50" s="504">
        <f t="shared" si="17"/>
        <v>0</v>
      </c>
      <c r="M50" s="512"/>
      <c r="N50" s="504">
        <f t="shared" si="4"/>
        <v>0</v>
      </c>
      <c r="O50" s="504">
        <f t="shared" si="5"/>
        <v>0</v>
      </c>
      <c r="P50" s="278"/>
      <c r="R50" s="243"/>
      <c r="S50" s="243"/>
      <c r="T50" s="243"/>
      <c r="U50" s="243"/>
    </row>
    <row r="51" spans="2:21" ht="12.5">
      <c r="B51" s="145" t="str">
        <f t="shared" si="0"/>
        <v/>
      </c>
      <c r="C51" s="495">
        <f>IF(D11="","-",+C50+1)</f>
        <v>2047</v>
      </c>
      <c r="D51" s="508">
        <f>IF(F50+SUM(E$17:E50)=D$10,F50,D$10-SUM(E$17:E50))</f>
        <v>20605.078962475411</v>
      </c>
      <c r="E51" s="509">
        <f t="shared" si="13"/>
        <v>20605.078962475411</v>
      </c>
      <c r="F51" s="510">
        <f t="shared" si="14"/>
        <v>0</v>
      </c>
      <c r="G51" s="511">
        <f t="shared" si="15"/>
        <v>21719.659888436203</v>
      </c>
      <c r="H51" s="477">
        <f t="shared" si="16"/>
        <v>21719.659888436203</v>
      </c>
      <c r="I51" s="500">
        <f t="shared" si="6"/>
        <v>0</v>
      </c>
      <c r="J51" s="500"/>
      <c r="K51" s="512"/>
      <c r="L51" s="504">
        <f t="shared" si="17"/>
        <v>0</v>
      </c>
      <c r="M51" s="512"/>
      <c r="N51" s="504">
        <f t="shared" si="4"/>
        <v>0</v>
      </c>
      <c r="O51" s="504">
        <f t="shared" si="5"/>
        <v>0</v>
      </c>
      <c r="P51" s="278"/>
      <c r="R51" s="243"/>
      <c r="S51" s="243"/>
      <c r="T51" s="243"/>
      <c r="U51" s="243"/>
    </row>
    <row r="52" spans="2:21" ht="12.5">
      <c r="B52" s="145" t="str">
        <f t="shared" si="0"/>
        <v/>
      </c>
      <c r="C52" s="495">
        <f>IF(D11="","-",+C51+1)</f>
        <v>2048</v>
      </c>
      <c r="D52" s="508">
        <f>IF(F51+SUM(E$17:E51)=D$10,F51,D$10-SUM(E$17:E51))</f>
        <v>0</v>
      </c>
      <c r="E52" s="509">
        <f t="shared" si="13"/>
        <v>0</v>
      </c>
      <c r="F52" s="510">
        <f t="shared" si="14"/>
        <v>0</v>
      </c>
      <c r="G52" s="511">
        <f t="shared" si="15"/>
        <v>0</v>
      </c>
      <c r="H52" s="477">
        <f t="shared" si="16"/>
        <v>0</v>
      </c>
      <c r="I52" s="500">
        <f t="shared" si="6"/>
        <v>0</v>
      </c>
      <c r="J52" s="500"/>
      <c r="K52" s="512"/>
      <c r="L52" s="504">
        <f t="shared" si="17"/>
        <v>0</v>
      </c>
      <c r="M52" s="512"/>
      <c r="N52" s="504">
        <f t="shared" si="4"/>
        <v>0</v>
      </c>
      <c r="O52" s="504">
        <f t="shared" si="5"/>
        <v>0</v>
      </c>
      <c r="P52" s="278"/>
      <c r="R52" s="243"/>
      <c r="S52" s="243"/>
      <c r="T52" s="243"/>
      <c r="U52" s="243"/>
    </row>
    <row r="53" spans="2:21" ht="12.5">
      <c r="B53" s="145" t="str">
        <f t="shared" si="0"/>
        <v/>
      </c>
      <c r="C53" s="495">
        <f>IF(D11="","-",+C52+1)</f>
        <v>2049</v>
      </c>
      <c r="D53" s="508">
        <f>IF(F52+SUM(E$17:E52)=D$10,F52,D$10-SUM(E$17:E52))</f>
        <v>0</v>
      </c>
      <c r="E53" s="509">
        <f t="shared" si="13"/>
        <v>0</v>
      </c>
      <c r="F53" s="510">
        <f t="shared" si="14"/>
        <v>0</v>
      </c>
      <c r="G53" s="511">
        <f t="shared" si="15"/>
        <v>0</v>
      </c>
      <c r="H53" s="477">
        <f t="shared" si="16"/>
        <v>0</v>
      </c>
      <c r="I53" s="500">
        <f t="shared" si="6"/>
        <v>0</v>
      </c>
      <c r="J53" s="500"/>
      <c r="K53" s="512"/>
      <c r="L53" s="504">
        <f t="shared" si="17"/>
        <v>0</v>
      </c>
      <c r="M53" s="512"/>
      <c r="N53" s="504">
        <f t="shared" si="4"/>
        <v>0</v>
      </c>
      <c r="O53" s="504">
        <f t="shared" si="5"/>
        <v>0</v>
      </c>
      <c r="P53" s="278"/>
      <c r="R53" s="243"/>
      <c r="S53" s="243"/>
      <c r="T53" s="243"/>
      <c r="U53" s="243"/>
    </row>
    <row r="54" spans="2:21" ht="12.5">
      <c r="B54" s="145" t="str">
        <f t="shared" si="0"/>
        <v/>
      </c>
      <c r="C54" s="495">
        <f>IF(D11="","-",+C53+1)</f>
        <v>2050</v>
      </c>
      <c r="D54" s="508">
        <f>IF(F53+SUM(E$17:E53)=D$10,F53,D$10-SUM(E$17:E53))</f>
        <v>0</v>
      </c>
      <c r="E54" s="509">
        <f t="shared" si="13"/>
        <v>0</v>
      </c>
      <c r="F54" s="510">
        <f t="shared" si="14"/>
        <v>0</v>
      </c>
      <c r="G54" s="511">
        <f t="shared" si="15"/>
        <v>0</v>
      </c>
      <c r="H54" s="477">
        <f t="shared" si="16"/>
        <v>0</v>
      </c>
      <c r="I54" s="500">
        <f t="shared" si="6"/>
        <v>0</v>
      </c>
      <c r="J54" s="500"/>
      <c r="K54" s="512"/>
      <c r="L54" s="504">
        <f t="shared" si="17"/>
        <v>0</v>
      </c>
      <c r="M54" s="512"/>
      <c r="N54" s="504">
        <f t="shared" si="4"/>
        <v>0</v>
      </c>
      <c r="O54" s="504">
        <f t="shared" si="5"/>
        <v>0</v>
      </c>
      <c r="P54" s="278"/>
      <c r="R54" s="243"/>
      <c r="S54" s="243"/>
      <c r="T54" s="243"/>
      <c r="U54" s="243"/>
    </row>
    <row r="55" spans="2:21" ht="12.5">
      <c r="B55" s="145" t="str">
        <f t="shared" si="0"/>
        <v/>
      </c>
      <c r="C55" s="495">
        <f>IF(D11="","-",+C54+1)</f>
        <v>2051</v>
      </c>
      <c r="D55" s="508">
        <f>IF(F54+SUM(E$17:E54)=D$10,F54,D$10-SUM(E$17:E54))</f>
        <v>0</v>
      </c>
      <c r="E55" s="509">
        <f t="shared" si="13"/>
        <v>0</v>
      </c>
      <c r="F55" s="510">
        <f t="shared" si="14"/>
        <v>0</v>
      </c>
      <c r="G55" s="511">
        <f t="shared" si="15"/>
        <v>0</v>
      </c>
      <c r="H55" s="477">
        <f t="shared" si="16"/>
        <v>0</v>
      </c>
      <c r="I55" s="500">
        <f t="shared" si="6"/>
        <v>0</v>
      </c>
      <c r="J55" s="500"/>
      <c r="K55" s="512"/>
      <c r="L55" s="504">
        <f t="shared" si="17"/>
        <v>0</v>
      </c>
      <c r="M55" s="512"/>
      <c r="N55" s="504">
        <f t="shared" si="4"/>
        <v>0</v>
      </c>
      <c r="O55" s="504">
        <f t="shared" si="5"/>
        <v>0</v>
      </c>
      <c r="P55" s="278"/>
      <c r="R55" s="243"/>
      <c r="S55" s="243"/>
      <c r="T55" s="243"/>
      <c r="U55" s="243"/>
    </row>
    <row r="56" spans="2:21" ht="12.5">
      <c r="B56" s="145" t="str">
        <f t="shared" si="0"/>
        <v/>
      </c>
      <c r="C56" s="495">
        <f>IF(D11="","-",+C55+1)</f>
        <v>2052</v>
      </c>
      <c r="D56" s="508">
        <f>IF(F55+SUM(E$17:E55)=D$10,F55,D$10-SUM(E$17:E55))</f>
        <v>0</v>
      </c>
      <c r="E56" s="509">
        <f t="shared" si="13"/>
        <v>0</v>
      </c>
      <c r="F56" s="510">
        <f t="shared" si="14"/>
        <v>0</v>
      </c>
      <c r="G56" s="511">
        <f t="shared" si="15"/>
        <v>0</v>
      </c>
      <c r="H56" s="477">
        <f t="shared" si="16"/>
        <v>0</v>
      </c>
      <c r="I56" s="500">
        <f t="shared" si="6"/>
        <v>0</v>
      </c>
      <c r="J56" s="500"/>
      <c r="K56" s="512"/>
      <c r="L56" s="504">
        <f t="shared" si="17"/>
        <v>0</v>
      </c>
      <c r="M56" s="512"/>
      <c r="N56" s="504">
        <f t="shared" si="4"/>
        <v>0</v>
      </c>
      <c r="O56" s="504">
        <f t="shared" si="5"/>
        <v>0</v>
      </c>
      <c r="P56" s="278"/>
      <c r="R56" s="243"/>
      <c r="S56" s="243"/>
      <c r="T56" s="243"/>
      <c r="U56" s="243"/>
    </row>
    <row r="57" spans="2:21" ht="12.5">
      <c r="B57" s="145" t="str">
        <f t="shared" si="0"/>
        <v/>
      </c>
      <c r="C57" s="495">
        <f>IF(D11="","-",+C56+1)</f>
        <v>2053</v>
      </c>
      <c r="D57" s="508">
        <f>IF(F56+SUM(E$17:E56)=D$10,F56,D$10-SUM(E$17:E56))</f>
        <v>0</v>
      </c>
      <c r="E57" s="509">
        <f t="shared" si="13"/>
        <v>0</v>
      </c>
      <c r="F57" s="510">
        <f t="shared" si="14"/>
        <v>0</v>
      </c>
      <c r="G57" s="511">
        <f t="shared" si="15"/>
        <v>0</v>
      </c>
      <c r="H57" s="477">
        <f t="shared" si="16"/>
        <v>0</v>
      </c>
      <c r="I57" s="500">
        <f t="shared" si="6"/>
        <v>0</v>
      </c>
      <c r="J57" s="500"/>
      <c r="K57" s="512"/>
      <c r="L57" s="504">
        <f t="shared" si="17"/>
        <v>0</v>
      </c>
      <c r="M57" s="512"/>
      <c r="N57" s="504">
        <f t="shared" si="4"/>
        <v>0</v>
      </c>
      <c r="O57" s="504">
        <f t="shared" si="5"/>
        <v>0</v>
      </c>
      <c r="P57" s="278"/>
      <c r="R57" s="243"/>
      <c r="S57" s="243"/>
      <c r="T57" s="243"/>
      <c r="U57" s="243"/>
    </row>
    <row r="58" spans="2:21" ht="12.5">
      <c r="B58" s="145" t="str">
        <f t="shared" si="0"/>
        <v/>
      </c>
      <c r="C58" s="495">
        <f>IF(D11="","-",+C57+1)</f>
        <v>2054</v>
      </c>
      <c r="D58" s="508">
        <f>IF(F57+SUM(E$17:E57)=D$10,F57,D$10-SUM(E$17:E57))</f>
        <v>0</v>
      </c>
      <c r="E58" s="509">
        <f t="shared" si="13"/>
        <v>0</v>
      </c>
      <c r="F58" s="510">
        <f t="shared" si="14"/>
        <v>0</v>
      </c>
      <c r="G58" s="511">
        <f t="shared" si="15"/>
        <v>0</v>
      </c>
      <c r="H58" s="477">
        <f t="shared" si="16"/>
        <v>0</v>
      </c>
      <c r="I58" s="500">
        <f t="shared" si="6"/>
        <v>0</v>
      </c>
      <c r="J58" s="500"/>
      <c r="K58" s="512"/>
      <c r="L58" s="504">
        <f t="shared" si="17"/>
        <v>0</v>
      </c>
      <c r="M58" s="512"/>
      <c r="N58" s="504">
        <f t="shared" si="4"/>
        <v>0</v>
      </c>
      <c r="O58" s="504">
        <f t="shared" si="5"/>
        <v>0</v>
      </c>
      <c r="P58" s="278"/>
      <c r="R58" s="243"/>
      <c r="S58" s="243"/>
      <c r="T58" s="243"/>
      <c r="U58" s="243"/>
    </row>
    <row r="59" spans="2:21" ht="12.5">
      <c r="B59" s="145" t="str">
        <f t="shared" si="0"/>
        <v/>
      </c>
      <c r="C59" s="495">
        <f>IF(D11="","-",+C58+1)</f>
        <v>2055</v>
      </c>
      <c r="D59" s="508">
        <f>IF(F58+SUM(E$17:E58)=D$10,F58,D$10-SUM(E$17:E58))</f>
        <v>0</v>
      </c>
      <c r="E59" s="509">
        <f t="shared" si="13"/>
        <v>0</v>
      </c>
      <c r="F59" s="510">
        <f t="shared" si="14"/>
        <v>0</v>
      </c>
      <c r="G59" s="511">
        <f t="shared" si="15"/>
        <v>0</v>
      </c>
      <c r="H59" s="477">
        <f t="shared" si="16"/>
        <v>0</v>
      </c>
      <c r="I59" s="500">
        <f t="shared" si="6"/>
        <v>0</v>
      </c>
      <c r="J59" s="500"/>
      <c r="K59" s="512"/>
      <c r="L59" s="504">
        <f t="shared" si="17"/>
        <v>0</v>
      </c>
      <c r="M59" s="512"/>
      <c r="N59" s="504">
        <f t="shared" si="4"/>
        <v>0</v>
      </c>
      <c r="O59" s="504">
        <f t="shared" si="5"/>
        <v>0</v>
      </c>
      <c r="P59" s="278"/>
      <c r="R59" s="243"/>
      <c r="S59" s="243"/>
      <c r="T59" s="243"/>
      <c r="U59" s="243"/>
    </row>
    <row r="60" spans="2:21" ht="12.5">
      <c r="B60" s="145" t="str">
        <f t="shared" si="0"/>
        <v/>
      </c>
      <c r="C60" s="495">
        <f>IF(D11="","-",+C59+1)</f>
        <v>2056</v>
      </c>
      <c r="D60" s="508">
        <f>IF(F59+SUM(E$17:E59)=D$10,F59,D$10-SUM(E$17:E59))</f>
        <v>0</v>
      </c>
      <c r="E60" s="509">
        <f t="shared" si="13"/>
        <v>0</v>
      </c>
      <c r="F60" s="510">
        <f t="shared" si="14"/>
        <v>0</v>
      </c>
      <c r="G60" s="511">
        <f t="shared" si="15"/>
        <v>0</v>
      </c>
      <c r="H60" s="477">
        <f t="shared" si="16"/>
        <v>0</v>
      </c>
      <c r="I60" s="500">
        <f t="shared" si="6"/>
        <v>0</v>
      </c>
      <c r="J60" s="500"/>
      <c r="K60" s="512"/>
      <c r="L60" s="504">
        <f t="shared" si="17"/>
        <v>0</v>
      </c>
      <c r="M60" s="512"/>
      <c r="N60" s="504">
        <f t="shared" si="4"/>
        <v>0</v>
      </c>
      <c r="O60" s="504">
        <f t="shared" si="5"/>
        <v>0</v>
      </c>
      <c r="P60" s="278"/>
      <c r="R60" s="243"/>
      <c r="S60" s="243"/>
      <c r="T60" s="243"/>
      <c r="U60" s="243"/>
    </row>
    <row r="61" spans="2:21" ht="12.5">
      <c r="B61" s="145" t="str">
        <f t="shared" si="0"/>
        <v/>
      </c>
      <c r="C61" s="495">
        <f>IF(D11="","-",+C60+1)</f>
        <v>2057</v>
      </c>
      <c r="D61" s="508">
        <f>IF(F60+SUM(E$17:E60)=D$10,F60,D$10-SUM(E$17:E60))</f>
        <v>0</v>
      </c>
      <c r="E61" s="509">
        <f t="shared" si="13"/>
        <v>0</v>
      </c>
      <c r="F61" s="510">
        <f t="shared" si="14"/>
        <v>0</v>
      </c>
      <c r="G61" s="511">
        <f t="shared" si="15"/>
        <v>0</v>
      </c>
      <c r="H61" s="477">
        <f t="shared" si="16"/>
        <v>0</v>
      </c>
      <c r="I61" s="500">
        <f t="shared" si="6"/>
        <v>0</v>
      </c>
      <c r="J61" s="500"/>
      <c r="K61" s="512"/>
      <c r="L61" s="504">
        <f t="shared" si="17"/>
        <v>0</v>
      </c>
      <c r="M61" s="512"/>
      <c r="N61" s="504">
        <f t="shared" si="4"/>
        <v>0</v>
      </c>
      <c r="O61" s="504">
        <f t="shared" si="5"/>
        <v>0</v>
      </c>
      <c r="P61" s="278"/>
      <c r="R61" s="243"/>
      <c r="S61" s="243"/>
      <c r="T61" s="243"/>
      <c r="U61" s="243"/>
    </row>
    <row r="62" spans="2:21" ht="12.5">
      <c r="B62" s="145" t="str">
        <f t="shared" si="0"/>
        <v/>
      </c>
      <c r="C62" s="495">
        <f>IF(D11="","-",+C61+1)</f>
        <v>2058</v>
      </c>
      <c r="D62" s="508">
        <f>IF(F61+SUM(E$17:E61)=D$10,F61,D$10-SUM(E$17:E61))</f>
        <v>0</v>
      </c>
      <c r="E62" s="509">
        <f t="shared" si="13"/>
        <v>0</v>
      </c>
      <c r="F62" s="510">
        <f t="shared" si="14"/>
        <v>0</v>
      </c>
      <c r="G62" s="511">
        <f t="shared" si="15"/>
        <v>0</v>
      </c>
      <c r="H62" s="477">
        <f t="shared" si="16"/>
        <v>0</v>
      </c>
      <c r="I62" s="500">
        <f t="shared" si="6"/>
        <v>0</v>
      </c>
      <c r="J62" s="500"/>
      <c r="K62" s="512"/>
      <c r="L62" s="504">
        <f t="shared" si="17"/>
        <v>0</v>
      </c>
      <c r="M62" s="512"/>
      <c r="N62" s="504">
        <f t="shared" si="4"/>
        <v>0</v>
      </c>
      <c r="O62" s="504">
        <f t="shared" si="5"/>
        <v>0</v>
      </c>
      <c r="P62" s="278"/>
      <c r="R62" s="243"/>
      <c r="S62" s="243"/>
      <c r="T62" s="243"/>
      <c r="U62" s="243"/>
    </row>
    <row r="63" spans="2:21" ht="12.5">
      <c r="B63" s="145" t="str">
        <f t="shared" si="0"/>
        <v/>
      </c>
      <c r="C63" s="495">
        <f>IF(D11="","-",+C62+1)</f>
        <v>2059</v>
      </c>
      <c r="D63" s="508">
        <f>IF(F62+SUM(E$17:E62)=D$10,F62,D$10-SUM(E$17:E62))</f>
        <v>0</v>
      </c>
      <c r="E63" s="509">
        <f t="shared" si="13"/>
        <v>0</v>
      </c>
      <c r="F63" s="510">
        <f t="shared" si="14"/>
        <v>0</v>
      </c>
      <c r="G63" s="511">
        <f t="shared" si="15"/>
        <v>0</v>
      </c>
      <c r="H63" s="477">
        <f t="shared" si="16"/>
        <v>0</v>
      </c>
      <c r="I63" s="500">
        <f t="shared" si="6"/>
        <v>0</v>
      </c>
      <c r="J63" s="500"/>
      <c r="K63" s="512"/>
      <c r="L63" s="504">
        <f t="shared" si="17"/>
        <v>0</v>
      </c>
      <c r="M63" s="512"/>
      <c r="N63" s="504">
        <f t="shared" si="4"/>
        <v>0</v>
      </c>
      <c r="O63" s="504">
        <f t="shared" si="5"/>
        <v>0</v>
      </c>
      <c r="P63" s="278"/>
      <c r="R63" s="243"/>
      <c r="S63" s="243"/>
      <c r="T63" s="243"/>
      <c r="U63" s="243"/>
    </row>
    <row r="64" spans="2:21" ht="12.5">
      <c r="B64" s="145" t="str">
        <f>IF(D64=F63,"","IU")</f>
        <v/>
      </c>
      <c r="C64" s="495">
        <f>IF(D11="","-",+C63+1)</f>
        <v>2060</v>
      </c>
      <c r="D64" s="508">
        <f>IF(F63+SUM(E$17:E63)=D$10,F63,D$10-SUM(E$17:E63))</f>
        <v>0</v>
      </c>
      <c r="E64" s="509">
        <f t="shared" si="13"/>
        <v>0</v>
      </c>
      <c r="F64" s="510">
        <f t="shared" si="14"/>
        <v>0</v>
      </c>
      <c r="G64" s="511">
        <f t="shared" si="15"/>
        <v>0</v>
      </c>
      <c r="H64" s="477">
        <f t="shared" si="16"/>
        <v>0</v>
      </c>
      <c r="I64" s="500">
        <f t="shared" si="6"/>
        <v>0</v>
      </c>
      <c r="J64" s="500"/>
      <c r="K64" s="512"/>
      <c r="L64" s="504">
        <f t="shared" si="17"/>
        <v>0</v>
      </c>
      <c r="M64" s="512"/>
      <c r="N64" s="504">
        <f t="shared" si="4"/>
        <v>0</v>
      </c>
      <c r="O64" s="504">
        <f t="shared" si="5"/>
        <v>0</v>
      </c>
      <c r="P64" s="278"/>
      <c r="R64" s="243"/>
      <c r="S64" s="243"/>
      <c r="T64" s="243"/>
      <c r="U64" s="243"/>
    </row>
    <row r="65" spans="2:21" ht="12.5">
      <c r="B65" s="145" t="str">
        <f t="shared" si="0"/>
        <v/>
      </c>
      <c r="C65" s="495">
        <f>IF(D11="","-",+C64+1)</f>
        <v>2061</v>
      </c>
      <c r="D65" s="508">
        <f>IF(F64+SUM(E$17:E64)=D$10,F64,D$10-SUM(E$17:E64))</f>
        <v>0</v>
      </c>
      <c r="E65" s="509">
        <f t="shared" si="13"/>
        <v>0</v>
      </c>
      <c r="F65" s="510">
        <f t="shared" si="14"/>
        <v>0</v>
      </c>
      <c r="G65" s="511">
        <f t="shared" si="15"/>
        <v>0</v>
      </c>
      <c r="H65" s="477">
        <f t="shared" si="16"/>
        <v>0</v>
      </c>
      <c r="I65" s="500">
        <f t="shared" si="6"/>
        <v>0</v>
      </c>
      <c r="J65" s="500"/>
      <c r="K65" s="512"/>
      <c r="L65" s="504">
        <f t="shared" si="17"/>
        <v>0</v>
      </c>
      <c r="M65" s="512"/>
      <c r="N65" s="504">
        <f t="shared" si="4"/>
        <v>0</v>
      </c>
      <c r="O65" s="504">
        <f t="shared" si="5"/>
        <v>0</v>
      </c>
      <c r="P65" s="278"/>
      <c r="R65" s="243"/>
      <c r="S65" s="243"/>
      <c r="T65" s="243"/>
      <c r="U65" s="243"/>
    </row>
    <row r="66" spans="2:21" ht="12.5">
      <c r="B66" s="145" t="str">
        <f t="shared" si="0"/>
        <v/>
      </c>
      <c r="C66" s="495">
        <f>IF(D11="","-",+C65+1)</f>
        <v>2062</v>
      </c>
      <c r="D66" s="508">
        <f>IF(F65+SUM(E$17:E65)=D$10,F65,D$10-SUM(E$17:E65))</f>
        <v>0</v>
      </c>
      <c r="E66" s="509">
        <f t="shared" si="13"/>
        <v>0</v>
      </c>
      <c r="F66" s="510">
        <f t="shared" si="14"/>
        <v>0</v>
      </c>
      <c r="G66" s="511">
        <f t="shared" si="15"/>
        <v>0</v>
      </c>
      <c r="H66" s="477">
        <f t="shared" si="16"/>
        <v>0</v>
      </c>
      <c r="I66" s="500">
        <f t="shared" si="6"/>
        <v>0</v>
      </c>
      <c r="J66" s="500"/>
      <c r="K66" s="512"/>
      <c r="L66" s="504">
        <f t="shared" si="17"/>
        <v>0</v>
      </c>
      <c r="M66" s="512"/>
      <c r="N66" s="504">
        <f t="shared" si="4"/>
        <v>0</v>
      </c>
      <c r="O66" s="504">
        <f t="shared" si="5"/>
        <v>0</v>
      </c>
      <c r="P66" s="278"/>
      <c r="R66" s="243"/>
      <c r="S66" s="243"/>
      <c r="T66" s="243"/>
      <c r="U66" s="243"/>
    </row>
    <row r="67" spans="2:21" ht="12.5">
      <c r="B67" s="145" t="str">
        <f t="shared" si="0"/>
        <v/>
      </c>
      <c r="C67" s="495">
        <f>IF(D11="","-",+C66+1)</f>
        <v>2063</v>
      </c>
      <c r="D67" s="508">
        <f>IF(F66+SUM(E$17:E66)=D$10,F66,D$10-SUM(E$17:E66))</f>
        <v>0</v>
      </c>
      <c r="E67" s="509">
        <f t="shared" si="13"/>
        <v>0</v>
      </c>
      <c r="F67" s="510">
        <f t="shared" si="14"/>
        <v>0</v>
      </c>
      <c r="G67" s="511">
        <f t="shared" si="15"/>
        <v>0</v>
      </c>
      <c r="H67" s="477">
        <f t="shared" si="16"/>
        <v>0</v>
      </c>
      <c r="I67" s="500">
        <f t="shared" si="6"/>
        <v>0</v>
      </c>
      <c r="J67" s="500"/>
      <c r="K67" s="512"/>
      <c r="L67" s="504">
        <f t="shared" si="17"/>
        <v>0</v>
      </c>
      <c r="M67" s="512"/>
      <c r="N67" s="504">
        <f t="shared" si="4"/>
        <v>0</v>
      </c>
      <c r="O67" s="504">
        <f t="shared" si="5"/>
        <v>0</v>
      </c>
      <c r="P67" s="278"/>
      <c r="R67" s="243"/>
      <c r="S67" s="243"/>
      <c r="T67" s="243"/>
      <c r="U67" s="243"/>
    </row>
    <row r="68" spans="2:21" ht="12.5">
      <c r="B68" s="145" t="str">
        <f t="shared" si="0"/>
        <v/>
      </c>
      <c r="C68" s="495">
        <f>IF(D11="","-",+C67+1)</f>
        <v>2064</v>
      </c>
      <c r="D68" s="508">
        <f>IF(F67+SUM(E$17:E67)=D$10,F67,D$10-SUM(E$17:E67))</f>
        <v>0</v>
      </c>
      <c r="E68" s="509">
        <f t="shared" si="13"/>
        <v>0</v>
      </c>
      <c r="F68" s="510">
        <f t="shared" si="14"/>
        <v>0</v>
      </c>
      <c r="G68" s="511">
        <f t="shared" si="15"/>
        <v>0</v>
      </c>
      <c r="H68" s="477">
        <f t="shared" si="16"/>
        <v>0</v>
      </c>
      <c r="I68" s="500">
        <f t="shared" si="6"/>
        <v>0</v>
      </c>
      <c r="J68" s="500"/>
      <c r="K68" s="512"/>
      <c r="L68" s="504">
        <f t="shared" si="17"/>
        <v>0</v>
      </c>
      <c r="M68" s="512"/>
      <c r="N68" s="504">
        <f t="shared" si="4"/>
        <v>0</v>
      </c>
      <c r="O68" s="504">
        <f t="shared" si="5"/>
        <v>0</v>
      </c>
      <c r="P68" s="278"/>
      <c r="R68" s="243"/>
      <c r="S68" s="243"/>
      <c r="T68" s="243"/>
      <c r="U68" s="243"/>
    </row>
    <row r="69" spans="2:21" ht="12.5">
      <c r="B69" s="145" t="str">
        <f t="shared" si="0"/>
        <v/>
      </c>
      <c r="C69" s="495">
        <f>IF(D11="","-",+C68+1)</f>
        <v>2065</v>
      </c>
      <c r="D69" s="508">
        <f>IF(F68+SUM(E$17:E68)=D$10,F68,D$10-SUM(E$17:E68))</f>
        <v>0</v>
      </c>
      <c r="E69" s="509">
        <f t="shared" si="13"/>
        <v>0</v>
      </c>
      <c r="F69" s="510">
        <f t="shared" si="14"/>
        <v>0</v>
      </c>
      <c r="G69" s="511">
        <f t="shared" si="15"/>
        <v>0</v>
      </c>
      <c r="H69" s="477">
        <f t="shared" si="16"/>
        <v>0</v>
      </c>
      <c r="I69" s="500">
        <f t="shared" si="6"/>
        <v>0</v>
      </c>
      <c r="J69" s="500"/>
      <c r="K69" s="512"/>
      <c r="L69" s="504">
        <f t="shared" si="17"/>
        <v>0</v>
      </c>
      <c r="M69" s="512"/>
      <c r="N69" s="504">
        <f t="shared" si="4"/>
        <v>0</v>
      </c>
      <c r="O69" s="504">
        <f t="shared" si="5"/>
        <v>0</v>
      </c>
      <c r="P69" s="278"/>
      <c r="R69" s="243"/>
      <c r="S69" s="243"/>
      <c r="T69" s="243"/>
      <c r="U69" s="243"/>
    </row>
    <row r="70" spans="2:21" ht="12.5">
      <c r="B70" s="145" t="str">
        <f t="shared" si="0"/>
        <v/>
      </c>
      <c r="C70" s="495">
        <f>IF(D11="","-",+C69+1)</f>
        <v>2066</v>
      </c>
      <c r="D70" s="508">
        <f>IF(F69+SUM(E$17:E69)=D$10,F69,D$10-SUM(E$17:E69))</f>
        <v>0</v>
      </c>
      <c r="E70" s="509">
        <f t="shared" si="13"/>
        <v>0</v>
      </c>
      <c r="F70" s="510">
        <f t="shared" si="14"/>
        <v>0</v>
      </c>
      <c r="G70" s="511">
        <f t="shared" si="15"/>
        <v>0</v>
      </c>
      <c r="H70" s="477">
        <f t="shared" si="16"/>
        <v>0</v>
      </c>
      <c r="I70" s="500">
        <f t="shared" si="6"/>
        <v>0</v>
      </c>
      <c r="J70" s="500"/>
      <c r="K70" s="512"/>
      <c r="L70" s="504">
        <f t="shared" si="17"/>
        <v>0</v>
      </c>
      <c r="M70" s="512"/>
      <c r="N70" s="504">
        <f t="shared" si="4"/>
        <v>0</v>
      </c>
      <c r="O70" s="504">
        <f t="shared" si="5"/>
        <v>0</v>
      </c>
      <c r="P70" s="278"/>
      <c r="R70" s="243"/>
      <c r="S70" s="243"/>
      <c r="T70" s="243"/>
      <c r="U70" s="243"/>
    </row>
    <row r="71" spans="2:21" ht="12.5">
      <c r="B71" s="145" t="str">
        <f t="shared" si="0"/>
        <v/>
      </c>
      <c r="C71" s="495">
        <f>IF(D11="","-",+C70+1)</f>
        <v>2067</v>
      </c>
      <c r="D71" s="508">
        <f>IF(F70+SUM(E$17:E70)=D$10,F70,D$10-SUM(E$17:E70))</f>
        <v>0</v>
      </c>
      <c r="E71" s="509">
        <f t="shared" si="13"/>
        <v>0</v>
      </c>
      <c r="F71" s="510">
        <f t="shared" si="14"/>
        <v>0</v>
      </c>
      <c r="G71" s="511">
        <f t="shared" si="15"/>
        <v>0</v>
      </c>
      <c r="H71" s="477">
        <f t="shared" si="16"/>
        <v>0</v>
      </c>
      <c r="I71" s="500">
        <f t="shared" si="6"/>
        <v>0</v>
      </c>
      <c r="J71" s="500"/>
      <c r="K71" s="512"/>
      <c r="L71" s="504">
        <f t="shared" si="17"/>
        <v>0</v>
      </c>
      <c r="M71" s="512"/>
      <c r="N71" s="504">
        <f t="shared" si="4"/>
        <v>0</v>
      </c>
      <c r="O71" s="504">
        <f t="shared" si="5"/>
        <v>0</v>
      </c>
      <c r="P71" s="278"/>
      <c r="R71" s="243"/>
      <c r="S71" s="243"/>
      <c r="T71" s="243"/>
      <c r="U71" s="243"/>
    </row>
    <row r="72" spans="2:21" ht="12.5">
      <c r="B72" s="145" t="str">
        <f t="shared" si="0"/>
        <v/>
      </c>
      <c r="C72" s="495">
        <f>IF(D11="","-",+C71+1)</f>
        <v>2068</v>
      </c>
      <c r="D72" s="508">
        <f>IF(F71+SUM(E$17:E71)=D$10,F71,D$10-SUM(E$17:E71))</f>
        <v>0</v>
      </c>
      <c r="E72" s="509">
        <f t="shared" si="13"/>
        <v>0</v>
      </c>
      <c r="F72" s="510">
        <f t="shared" si="14"/>
        <v>0</v>
      </c>
      <c r="G72" s="511">
        <f t="shared" si="15"/>
        <v>0</v>
      </c>
      <c r="H72" s="477">
        <f t="shared" si="16"/>
        <v>0</v>
      </c>
      <c r="I72" s="500">
        <f t="shared" si="6"/>
        <v>0</v>
      </c>
      <c r="J72" s="500"/>
      <c r="K72" s="512"/>
      <c r="L72" s="504">
        <f t="shared" si="17"/>
        <v>0</v>
      </c>
      <c r="M72" s="512"/>
      <c r="N72" s="504">
        <f t="shared" si="4"/>
        <v>0</v>
      </c>
      <c r="O72" s="504">
        <f t="shared" si="5"/>
        <v>0</v>
      </c>
      <c r="P72" s="278"/>
      <c r="R72" s="243"/>
      <c r="S72" s="243"/>
      <c r="T72" s="243"/>
      <c r="U72" s="243"/>
    </row>
    <row r="73" spans="2:21" ht="13" thickBot="1">
      <c r="B73" s="145" t="str">
        <f t="shared" si="0"/>
        <v/>
      </c>
      <c r="C73" s="524">
        <f>IF(D11="","-",+C72+1)</f>
        <v>2069</v>
      </c>
      <c r="D73" s="525">
        <f>IF(F72+SUM(E$17:E72)=D$10,F72,D$10-SUM(E$17:E72))</f>
        <v>0</v>
      </c>
      <c r="E73" s="526">
        <f t="shared" si="13"/>
        <v>0</v>
      </c>
      <c r="F73" s="527">
        <f t="shared" si="14"/>
        <v>0</v>
      </c>
      <c r="G73" s="527">
        <f t="shared" si="15"/>
        <v>0</v>
      </c>
      <c r="H73" s="527">
        <f t="shared" si="16"/>
        <v>0</v>
      </c>
      <c r="I73" s="529">
        <f t="shared" si="6"/>
        <v>0</v>
      </c>
      <c r="J73" s="500"/>
      <c r="K73" s="530"/>
      <c r="L73" s="531">
        <f t="shared" si="17"/>
        <v>0</v>
      </c>
      <c r="M73" s="530"/>
      <c r="N73" s="531">
        <f t="shared" si="4"/>
        <v>0</v>
      </c>
      <c r="O73" s="531">
        <f t="shared" si="5"/>
        <v>0</v>
      </c>
      <c r="P73" s="278"/>
      <c r="R73" s="243"/>
      <c r="S73" s="243"/>
      <c r="T73" s="243"/>
      <c r="U73" s="243"/>
    </row>
    <row r="74" spans="2:21" ht="12.5">
      <c r="C74" s="349" t="s">
        <v>75</v>
      </c>
      <c r="D74" s="294"/>
      <c r="E74" s="294">
        <f>SUM(E17:E73)</f>
        <v>7210309.0000000009</v>
      </c>
      <c r="F74" s="294"/>
      <c r="G74" s="294">
        <f>SUM(G17:G73)</f>
        <v>20794640.729047179</v>
      </c>
      <c r="H74" s="294">
        <f>SUM(H17:H73)</f>
        <v>20794640.729047179</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10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877586.22744876624</v>
      </c>
      <c r="N88" s="544">
        <f>IF(J93&lt;D11,0,VLOOKUP(J93,C17:O73,11))</f>
        <v>877586.22744876624</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912898.59381278604</v>
      </c>
      <c r="N89" s="548">
        <f>IF(J93&lt;D11,0,VLOOKUP(J93,C100:P155,7))</f>
        <v>912898.59381278604</v>
      </c>
      <c r="O89" s="549">
        <f>+N89-M89</f>
        <v>0</v>
      </c>
      <c r="P89" s="243"/>
      <c r="Q89" s="243"/>
      <c r="R89" s="243"/>
      <c r="S89" s="243"/>
      <c r="T89" s="243"/>
      <c r="U89" s="243"/>
    </row>
    <row r="90" spans="1:21" ht="13.5" thickBot="1">
      <c r="C90" s="454" t="s">
        <v>82</v>
      </c>
      <c r="D90" s="550" t="str">
        <f>+D7</f>
        <v>Wapanucka Customer Connection</v>
      </c>
      <c r="E90" s="243"/>
      <c r="F90" s="243"/>
      <c r="G90" s="243"/>
      <c r="H90" s="243"/>
      <c r="I90" s="325"/>
      <c r="J90" s="325"/>
      <c r="K90" s="551"/>
      <c r="L90" s="552" t="s">
        <v>135</v>
      </c>
      <c r="M90" s="553">
        <f>+M89-M88</f>
        <v>35312.366364019806</v>
      </c>
      <c r="N90" s="553">
        <f>+N89-N88</f>
        <v>35312.366364019806</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TP2012141</v>
      </c>
      <c r="E92" s="558"/>
      <c r="F92" s="558"/>
      <c r="G92" s="558"/>
      <c r="H92" s="558"/>
      <c r="I92" s="558"/>
      <c r="J92" s="558"/>
      <c r="K92" s="560"/>
      <c r="P92" s="468"/>
      <c r="Q92" s="243"/>
      <c r="R92" s="243"/>
      <c r="S92" s="243"/>
      <c r="T92" s="243"/>
      <c r="U92" s="243"/>
    </row>
    <row r="93" spans="1:21" ht="13">
      <c r="C93" s="472" t="s">
        <v>49</v>
      </c>
      <c r="D93" s="622">
        <v>7210309</v>
      </c>
      <c r="E93" s="248" t="s">
        <v>84</v>
      </c>
      <c r="H93" s="408"/>
      <c r="I93" s="408"/>
      <c r="J93" s="471">
        <f>+'OKT.WS.G.BPU.ATRR.True-up'!M16</f>
        <v>2019</v>
      </c>
      <c r="K93" s="467"/>
      <c r="L93" s="294" t="s">
        <v>85</v>
      </c>
      <c r="P93" s="278"/>
      <c r="Q93" s="243"/>
      <c r="R93" s="243"/>
      <c r="S93" s="243"/>
      <c r="T93" s="243"/>
      <c r="U93" s="243"/>
    </row>
    <row r="94" spans="1:21" ht="12.5">
      <c r="C94" s="472" t="s">
        <v>52</v>
      </c>
      <c r="D94" s="561">
        <f>D11</f>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D12</f>
        <v>12</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218494.21212121213</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2013</v>
      </c>
      <c r="D100" s="349"/>
      <c r="E100" s="511"/>
      <c r="F100" s="510"/>
      <c r="G100" s="605"/>
      <c r="H100" s="605"/>
      <c r="I100" s="605"/>
      <c r="J100" s="504"/>
      <c r="K100" s="504"/>
      <c r="L100" s="501"/>
      <c r="M100" s="502">
        <f t="shared" ref="M100:M131" si="18">IF(L100&lt;&gt;0,+H100-L100,0)</f>
        <v>0</v>
      </c>
      <c r="N100" s="501"/>
      <c r="O100" s="503">
        <f t="shared" ref="O100:O131" si="19">IF(N100&lt;&gt;0,+I100-N100,0)</f>
        <v>0</v>
      </c>
      <c r="P100" s="503">
        <f t="shared" ref="P100:P131" si="20">+O100-M100</f>
        <v>0</v>
      </c>
      <c r="Q100" s="243"/>
      <c r="R100" s="243"/>
      <c r="S100" s="243"/>
      <c r="T100" s="243"/>
      <c r="U100" s="243"/>
    </row>
    <row r="101" spans="1:21" ht="12.5">
      <c r="C101" s="495">
        <f>IF(D94="","-",+C100+1)</f>
        <v>2014</v>
      </c>
      <c r="D101" s="349"/>
      <c r="E101" s="509"/>
      <c r="F101" s="510"/>
      <c r="G101" s="510"/>
      <c r="H101" s="627"/>
      <c r="I101" s="628"/>
      <c r="J101" s="504"/>
      <c r="K101" s="504"/>
      <c r="L101" s="506"/>
      <c r="M101" s="507">
        <f t="shared" si="18"/>
        <v>0</v>
      </c>
      <c r="N101" s="506"/>
      <c r="O101" s="504">
        <f t="shared" si="19"/>
        <v>0</v>
      </c>
      <c r="P101" s="504">
        <f t="shared" si="20"/>
        <v>0</v>
      </c>
      <c r="Q101" s="243"/>
      <c r="R101" s="243"/>
      <c r="S101" s="243"/>
      <c r="T101" s="243"/>
      <c r="U101" s="243"/>
    </row>
    <row r="102" spans="1:21" ht="12.5">
      <c r="B102" s="145" t="str">
        <f t="shared" ref="B102:B155" si="21">IF(D102=F101,"","IU")</f>
        <v>IU</v>
      </c>
      <c r="C102" s="495">
        <f>IF(D94="","-",+C101+1)</f>
        <v>2015</v>
      </c>
      <c r="D102" s="496">
        <v>7076304.3908220464</v>
      </c>
      <c r="E102" s="498">
        <v>150018.20833333334</v>
      </c>
      <c r="F102" s="505">
        <v>6926286.1824887134</v>
      </c>
      <c r="G102" s="505">
        <v>7001295.2866553795</v>
      </c>
      <c r="H102" s="498">
        <v>929468.41200641857</v>
      </c>
      <c r="I102" s="499">
        <v>929468.41200641857</v>
      </c>
      <c r="J102" s="504">
        <v>0</v>
      </c>
      <c r="K102" s="504"/>
      <c r="L102" s="506">
        <f>H102</f>
        <v>929468.41200641857</v>
      </c>
      <c r="M102" s="504">
        <f>IF(L102&lt;&gt;0,+H102-L102,0)</f>
        <v>0</v>
      </c>
      <c r="N102" s="506">
        <f>I102</f>
        <v>929468.41200641857</v>
      </c>
      <c r="O102" s="504">
        <f t="shared" si="19"/>
        <v>0</v>
      </c>
      <c r="P102" s="504">
        <f t="shared" si="20"/>
        <v>0</v>
      </c>
      <c r="Q102" s="243"/>
      <c r="R102" s="243"/>
      <c r="S102" s="243"/>
      <c r="T102" s="243"/>
      <c r="U102" s="243"/>
    </row>
    <row r="103" spans="1:21" ht="12.5">
      <c r="B103" s="145" t="str">
        <f t="shared" si="21"/>
        <v>IU</v>
      </c>
      <c r="C103" s="495">
        <f>IF(D94="","-",+C102+1)</f>
        <v>2016</v>
      </c>
      <c r="D103" s="496">
        <v>7060290.791666667</v>
      </c>
      <c r="E103" s="498">
        <v>141378.60784313726</v>
      </c>
      <c r="F103" s="505">
        <v>6918912.1838235296</v>
      </c>
      <c r="G103" s="505">
        <v>6989601.4877450988</v>
      </c>
      <c r="H103" s="498">
        <v>898837.94259524392</v>
      </c>
      <c r="I103" s="499">
        <v>898837.94259524392</v>
      </c>
      <c r="J103" s="504">
        <f>+I103-H103</f>
        <v>0</v>
      </c>
      <c r="K103" s="504"/>
      <c r="L103" s="506">
        <f>H103</f>
        <v>898837.94259524392</v>
      </c>
      <c r="M103" s="504">
        <f>IF(L103&lt;&gt;0,+H103-L103,0)</f>
        <v>0</v>
      </c>
      <c r="N103" s="506">
        <f>I103</f>
        <v>898837.94259524392</v>
      </c>
      <c r="O103" s="504">
        <f>IF(N103&lt;&gt;0,+I103-N103,0)</f>
        <v>0</v>
      </c>
      <c r="P103" s="504">
        <f>+O103-M103</f>
        <v>0</v>
      </c>
      <c r="Q103" s="243"/>
      <c r="R103" s="243"/>
      <c r="S103" s="243"/>
      <c r="T103" s="243"/>
      <c r="U103" s="243"/>
    </row>
    <row r="104" spans="1:21" ht="12.5">
      <c r="B104" s="145" t="str">
        <f t="shared" si="21"/>
        <v/>
      </c>
      <c r="C104" s="495">
        <f>IF(D94="","-",+C103+1)</f>
        <v>2017</v>
      </c>
      <c r="D104" s="496">
        <v>6918912.1838235296</v>
      </c>
      <c r="E104" s="498">
        <v>180257.72500000001</v>
      </c>
      <c r="F104" s="505">
        <v>6738654.45882353</v>
      </c>
      <c r="G104" s="505">
        <v>6828783.3213235298</v>
      </c>
      <c r="H104" s="498">
        <v>981518.91752081981</v>
      </c>
      <c r="I104" s="499">
        <v>981518.91752081981</v>
      </c>
      <c r="J104" s="504">
        <f t="shared" ref="J104:J155" si="22">+I104-H104</f>
        <v>0</v>
      </c>
      <c r="K104" s="504"/>
      <c r="L104" s="506">
        <f>H104</f>
        <v>981518.91752081981</v>
      </c>
      <c r="M104" s="504">
        <f>IF(L104&lt;&gt;0,+H104-L104,0)</f>
        <v>0</v>
      </c>
      <c r="N104" s="506">
        <f>I104</f>
        <v>981518.91752081981</v>
      </c>
      <c r="O104" s="504">
        <f>IF(N104&lt;&gt;0,+I104-N104,0)</f>
        <v>0</v>
      </c>
      <c r="P104" s="504">
        <f>+O104-M104</f>
        <v>0</v>
      </c>
      <c r="Q104" s="243"/>
      <c r="R104" s="243"/>
      <c r="S104" s="243"/>
      <c r="T104" s="243"/>
      <c r="U104" s="243"/>
    </row>
    <row r="105" spans="1:21" ht="12.5">
      <c r="B105" s="145" t="str">
        <f t="shared" si="21"/>
        <v/>
      </c>
      <c r="C105" s="495">
        <f>IF(D94="","-",+C104+1)</f>
        <v>2018</v>
      </c>
      <c r="D105" s="496">
        <v>6738654.45882353</v>
      </c>
      <c r="E105" s="498">
        <v>200286.36111111112</v>
      </c>
      <c r="F105" s="505">
        <v>6538368.097712419</v>
      </c>
      <c r="G105" s="505">
        <v>6638511.278267974</v>
      </c>
      <c r="H105" s="498">
        <v>901063.87001696113</v>
      </c>
      <c r="I105" s="499">
        <v>901063.87001696113</v>
      </c>
      <c r="J105" s="504">
        <f t="shared" si="22"/>
        <v>0</v>
      </c>
      <c r="K105" s="504"/>
      <c r="L105" s="506">
        <f>H105</f>
        <v>901063.87001696113</v>
      </c>
      <c r="M105" s="504">
        <f>IF(L105&lt;&gt;0,+H105-L105,0)</f>
        <v>0</v>
      </c>
      <c r="N105" s="506">
        <f>I105</f>
        <v>901063.87001696113</v>
      </c>
      <c r="O105" s="504">
        <f>IF(N105&lt;&gt;0,+I105-N105,0)</f>
        <v>0</v>
      </c>
      <c r="P105" s="504">
        <f>+O105-M105</f>
        <v>0</v>
      </c>
      <c r="Q105" s="243"/>
      <c r="R105" s="243"/>
      <c r="S105" s="243"/>
      <c r="T105" s="243"/>
      <c r="U105" s="243"/>
    </row>
    <row r="106" spans="1:21" ht="12.5">
      <c r="B106" s="145" t="str">
        <f t="shared" si="21"/>
        <v/>
      </c>
      <c r="C106" s="495">
        <f>IF(D94="","-",+C105+1)</f>
        <v>2019</v>
      </c>
      <c r="D106" s="349">
        <f>IF(F105+SUM(E$100:E105)=D$93,F105,D$93-SUM(E$100:E105))</f>
        <v>6538368.097712419</v>
      </c>
      <c r="E106" s="629">
        <f t="shared" ref="E106:E155" si="23">IF(+$J$97&lt;F105,$J$97,D106)</f>
        <v>218494.21212121213</v>
      </c>
      <c r="F106" s="510">
        <f t="shared" ref="F106:F155" si="24">+D106-E106</f>
        <v>6319873.8855912071</v>
      </c>
      <c r="G106" s="510">
        <f t="shared" ref="G106:G155" si="25">+(F106+D106)/2</f>
        <v>6429120.9916518126</v>
      </c>
      <c r="H106" s="630">
        <f t="shared" ref="H106:H155" si="26">+J$95*G106+E106</f>
        <v>912898.59381278604</v>
      </c>
      <c r="I106" s="631">
        <f t="shared" ref="I106:I155" si="27">+J$96*G106+E106</f>
        <v>912898.59381278604</v>
      </c>
      <c r="J106" s="504">
        <f t="shared" si="22"/>
        <v>0</v>
      </c>
      <c r="K106" s="504"/>
      <c r="L106" s="512"/>
      <c r="M106" s="504">
        <f t="shared" si="18"/>
        <v>0</v>
      </c>
      <c r="N106" s="512"/>
      <c r="O106" s="504">
        <f t="shared" si="19"/>
        <v>0</v>
      </c>
      <c r="P106" s="504">
        <f t="shared" si="20"/>
        <v>0</v>
      </c>
      <c r="Q106" s="243"/>
      <c r="R106" s="243"/>
      <c r="S106" s="243"/>
      <c r="T106" s="243"/>
      <c r="U106" s="243"/>
    </row>
    <row r="107" spans="1:21" ht="12.5">
      <c r="B107" s="145" t="str">
        <f t="shared" si="21"/>
        <v/>
      </c>
      <c r="C107" s="495">
        <f>IF(D94="","-",+C106+1)</f>
        <v>2020</v>
      </c>
      <c r="D107" s="349">
        <f>IF(F106+SUM(E$100:E106)=D$93,F106,D$93-SUM(E$100:E106))</f>
        <v>6319873.8855912071</v>
      </c>
      <c r="E107" s="629">
        <f t="shared" si="23"/>
        <v>218494.21212121213</v>
      </c>
      <c r="F107" s="510">
        <f t="shared" si="24"/>
        <v>6101379.6734699951</v>
      </c>
      <c r="G107" s="510">
        <f t="shared" si="25"/>
        <v>6210626.7795306016</v>
      </c>
      <c r="H107" s="630">
        <f t="shared" si="26"/>
        <v>889299.20309230813</v>
      </c>
      <c r="I107" s="631">
        <f t="shared" si="27"/>
        <v>889299.20309230813</v>
      </c>
      <c r="J107" s="504">
        <f t="shared" si="22"/>
        <v>0</v>
      </c>
      <c r="K107" s="504"/>
      <c r="L107" s="512"/>
      <c r="M107" s="504">
        <f t="shared" si="18"/>
        <v>0</v>
      </c>
      <c r="N107" s="512"/>
      <c r="O107" s="504">
        <f t="shared" si="19"/>
        <v>0</v>
      </c>
      <c r="P107" s="504">
        <f t="shared" si="20"/>
        <v>0</v>
      </c>
      <c r="Q107" s="243"/>
      <c r="R107" s="243"/>
      <c r="S107" s="243"/>
      <c r="T107" s="243"/>
      <c r="U107" s="243"/>
    </row>
    <row r="108" spans="1:21" ht="12.5">
      <c r="B108" s="145" t="str">
        <f t="shared" si="21"/>
        <v/>
      </c>
      <c r="C108" s="495">
        <f>IF(D94="","-",+C107+1)</f>
        <v>2021</v>
      </c>
      <c r="D108" s="349">
        <f>IF(F107+SUM(E$100:E107)=D$93,F107,D$93-SUM(E$100:E107))</f>
        <v>6101379.6734699951</v>
      </c>
      <c r="E108" s="629">
        <f t="shared" si="23"/>
        <v>218494.21212121213</v>
      </c>
      <c r="F108" s="510">
        <f t="shared" si="24"/>
        <v>5882885.4613487832</v>
      </c>
      <c r="G108" s="510">
        <f t="shared" si="25"/>
        <v>5992132.5674093887</v>
      </c>
      <c r="H108" s="630">
        <f t="shared" si="26"/>
        <v>865699.81237183011</v>
      </c>
      <c r="I108" s="631">
        <f t="shared" si="27"/>
        <v>865699.81237183011</v>
      </c>
      <c r="J108" s="504">
        <f t="shared" si="22"/>
        <v>0</v>
      </c>
      <c r="K108" s="504"/>
      <c r="L108" s="512"/>
      <c r="M108" s="504">
        <f t="shared" si="18"/>
        <v>0</v>
      </c>
      <c r="N108" s="512"/>
      <c r="O108" s="504">
        <f t="shared" si="19"/>
        <v>0</v>
      </c>
      <c r="P108" s="504">
        <f t="shared" si="20"/>
        <v>0</v>
      </c>
      <c r="Q108" s="243"/>
      <c r="R108" s="243"/>
      <c r="S108" s="243"/>
      <c r="T108" s="243"/>
      <c r="U108" s="243"/>
    </row>
    <row r="109" spans="1:21" ht="12.5">
      <c r="B109" s="145" t="str">
        <f t="shared" si="21"/>
        <v/>
      </c>
      <c r="C109" s="495">
        <f>IF(D94="","-",+C108+1)</f>
        <v>2022</v>
      </c>
      <c r="D109" s="349">
        <f>IF(F108+SUM(E$100:E108)=D$93,F108,D$93-SUM(E$100:E108))</f>
        <v>5882885.4613487832</v>
      </c>
      <c r="E109" s="629">
        <f t="shared" si="23"/>
        <v>218494.21212121213</v>
      </c>
      <c r="F109" s="510">
        <f t="shared" si="24"/>
        <v>5664391.2492275713</v>
      </c>
      <c r="G109" s="510">
        <f t="shared" si="25"/>
        <v>5773638.3552881777</v>
      </c>
      <c r="H109" s="630">
        <f t="shared" si="26"/>
        <v>842100.42165135231</v>
      </c>
      <c r="I109" s="631">
        <f t="shared" si="27"/>
        <v>842100.42165135231</v>
      </c>
      <c r="J109" s="504">
        <f t="shared" si="22"/>
        <v>0</v>
      </c>
      <c r="K109" s="504"/>
      <c r="L109" s="512"/>
      <c r="M109" s="504">
        <f t="shared" si="18"/>
        <v>0</v>
      </c>
      <c r="N109" s="512"/>
      <c r="O109" s="504">
        <f t="shared" si="19"/>
        <v>0</v>
      </c>
      <c r="P109" s="504">
        <f t="shared" si="20"/>
        <v>0</v>
      </c>
      <c r="Q109" s="243"/>
      <c r="R109" s="243"/>
      <c r="S109" s="243"/>
      <c r="T109" s="243"/>
      <c r="U109" s="243"/>
    </row>
    <row r="110" spans="1:21" ht="12.5">
      <c r="B110" s="145" t="str">
        <f t="shared" si="21"/>
        <v/>
      </c>
      <c r="C110" s="495">
        <f>IF(D94="","-",+C109+1)</f>
        <v>2023</v>
      </c>
      <c r="D110" s="349">
        <f>IF(F109+SUM(E$100:E109)=D$93,F109,D$93-SUM(E$100:E109))</f>
        <v>5664391.2492275713</v>
      </c>
      <c r="E110" s="629">
        <f t="shared" si="23"/>
        <v>218494.21212121213</v>
      </c>
      <c r="F110" s="510">
        <f t="shared" si="24"/>
        <v>5445897.0371063594</v>
      </c>
      <c r="G110" s="510">
        <f t="shared" si="25"/>
        <v>5555144.1431669649</v>
      </c>
      <c r="H110" s="630">
        <f t="shared" si="26"/>
        <v>818501.03093087429</v>
      </c>
      <c r="I110" s="631">
        <f t="shared" si="27"/>
        <v>818501.03093087429</v>
      </c>
      <c r="J110" s="504">
        <f t="shared" si="22"/>
        <v>0</v>
      </c>
      <c r="K110" s="504"/>
      <c r="L110" s="512"/>
      <c r="M110" s="504">
        <f t="shared" si="18"/>
        <v>0</v>
      </c>
      <c r="N110" s="512"/>
      <c r="O110" s="504">
        <f t="shared" si="19"/>
        <v>0</v>
      </c>
      <c r="P110" s="504">
        <f t="shared" si="20"/>
        <v>0</v>
      </c>
      <c r="Q110" s="243"/>
      <c r="R110" s="243"/>
      <c r="S110" s="243"/>
      <c r="T110" s="243"/>
      <c r="U110" s="243"/>
    </row>
    <row r="111" spans="1:21" ht="12.5">
      <c r="B111" s="145" t="str">
        <f t="shared" si="21"/>
        <v/>
      </c>
      <c r="C111" s="495">
        <f>IF(D94="","-",+C110+1)</f>
        <v>2024</v>
      </c>
      <c r="D111" s="349">
        <f>IF(F110+SUM(E$100:E110)=D$93,F110,D$93-SUM(E$100:E110))</f>
        <v>5445897.0371063594</v>
      </c>
      <c r="E111" s="629">
        <f t="shared" si="23"/>
        <v>218494.21212121213</v>
      </c>
      <c r="F111" s="510">
        <f t="shared" si="24"/>
        <v>5227402.8249851475</v>
      </c>
      <c r="G111" s="510">
        <f t="shared" si="25"/>
        <v>5336649.9310457539</v>
      </c>
      <c r="H111" s="630">
        <f t="shared" si="26"/>
        <v>794901.64021039638</v>
      </c>
      <c r="I111" s="631">
        <f t="shared" si="27"/>
        <v>794901.64021039638</v>
      </c>
      <c r="J111" s="504">
        <f t="shared" si="22"/>
        <v>0</v>
      </c>
      <c r="K111" s="504"/>
      <c r="L111" s="512"/>
      <c r="M111" s="504">
        <f t="shared" si="18"/>
        <v>0</v>
      </c>
      <c r="N111" s="512"/>
      <c r="O111" s="504">
        <f t="shared" si="19"/>
        <v>0</v>
      </c>
      <c r="P111" s="504">
        <f t="shared" si="20"/>
        <v>0</v>
      </c>
      <c r="Q111" s="243"/>
      <c r="R111" s="243"/>
      <c r="S111" s="243"/>
      <c r="T111" s="243"/>
      <c r="U111" s="243"/>
    </row>
    <row r="112" spans="1:21" ht="12.5">
      <c r="B112" s="145" t="str">
        <f t="shared" si="21"/>
        <v/>
      </c>
      <c r="C112" s="495">
        <f>IF(D94="","-",+C111+1)</f>
        <v>2025</v>
      </c>
      <c r="D112" s="349">
        <f>IF(F111+SUM(E$100:E111)=D$93,F111,D$93-SUM(E$100:E111))</f>
        <v>5227402.8249851475</v>
      </c>
      <c r="E112" s="629">
        <f t="shared" si="23"/>
        <v>218494.21212121213</v>
      </c>
      <c r="F112" s="510">
        <f t="shared" si="24"/>
        <v>5008908.6128639355</v>
      </c>
      <c r="G112" s="510">
        <f t="shared" si="25"/>
        <v>5118155.718924541</v>
      </c>
      <c r="H112" s="630">
        <f t="shared" si="26"/>
        <v>771302.24948991835</v>
      </c>
      <c r="I112" s="631">
        <f t="shared" si="27"/>
        <v>771302.24948991835</v>
      </c>
      <c r="J112" s="504">
        <f t="shared" si="22"/>
        <v>0</v>
      </c>
      <c r="K112" s="504"/>
      <c r="L112" s="512"/>
      <c r="M112" s="504">
        <f t="shared" si="18"/>
        <v>0</v>
      </c>
      <c r="N112" s="512"/>
      <c r="O112" s="504">
        <f t="shared" si="19"/>
        <v>0</v>
      </c>
      <c r="P112" s="504">
        <f t="shared" si="20"/>
        <v>0</v>
      </c>
      <c r="Q112" s="243"/>
      <c r="R112" s="243"/>
      <c r="S112" s="243"/>
      <c r="T112" s="243"/>
      <c r="U112" s="243"/>
    </row>
    <row r="113" spans="2:21" ht="12.5">
      <c r="B113" s="145" t="str">
        <f t="shared" si="21"/>
        <v/>
      </c>
      <c r="C113" s="495">
        <f>IF(D94="","-",+C112+1)</f>
        <v>2026</v>
      </c>
      <c r="D113" s="349">
        <f>IF(F112+SUM(E$100:E112)=D$93,F112,D$93-SUM(E$100:E112))</f>
        <v>5008908.6128639355</v>
      </c>
      <c r="E113" s="629">
        <f t="shared" si="23"/>
        <v>218494.21212121213</v>
      </c>
      <c r="F113" s="510">
        <f t="shared" si="24"/>
        <v>4790414.4007427236</v>
      </c>
      <c r="G113" s="510">
        <f t="shared" si="25"/>
        <v>4899661.50680333</v>
      </c>
      <c r="H113" s="630">
        <f t="shared" si="26"/>
        <v>747702.85876944056</v>
      </c>
      <c r="I113" s="631">
        <f t="shared" si="27"/>
        <v>747702.85876944056</v>
      </c>
      <c r="J113" s="504">
        <f t="shared" si="22"/>
        <v>0</v>
      </c>
      <c r="K113" s="504"/>
      <c r="L113" s="512"/>
      <c r="M113" s="504">
        <f t="shared" si="18"/>
        <v>0</v>
      </c>
      <c r="N113" s="512"/>
      <c r="O113" s="504">
        <f t="shared" si="19"/>
        <v>0</v>
      </c>
      <c r="P113" s="504">
        <f t="shared" si="20"/>
        <v>0</v>
      </c>
      <c r="Q113" s="243"/>
      <c r="R113" s="243"/>
      <c r="S113" s="243"/>
      <c r="T113" s="243"/>
      <c r="U113" s="243"/>
    </row>
    <row r="114" spans="2:21" ht="12.5">
      <c r="B114" s="145" t="str">
        <f t="shared" si="21"/>
        <v/>
      </c>
      <c r="C114" s="495">
        <f>IF(D94="","-",+C113+1)</f>
        <v>2027</v>
      </c>
      <c r="D114" s="349">
        <f>IF(F113+SUM(E$100:E113)=D$93,F113,D$93-SUM(E$100:E113))</f>
        <v>4790414.4007427236</v>
      </c>
      <c r="E114" s="629">
        <f t="shared" si="23"/>
        <v>218494.21212121213</v>
      </c>
      <c r="F114" s="510">
        <f t="shared" si="24"/>
        <v>4571920.1886215117</v>
      </c>
      <c r="G114" s="510">
        <f t="shared" si="25"/>
        <v>4681167.2946821172</v>
      </c>
      <c r="H114" s="630">
        <f t="shared" si="26"/>
        <v>724103.46804896242</v>
      </c>
      <c r="I114" s="631">
        <f t="shared" si="27"/>
        <v>724103.46804896242</v>
      </c>
      <c r="J114" s="504">
        <f t="shared" si="22"/>
        <v>0</v>
      </c>
      <c r="K114" s="504"/>
      <c r="L114" s="512"/>
      <c r="M114" s="504">
        <f t="shared" si="18"/>
        <v>0</v>
      </c>
      <c r="N114" s="512"/>
      <c r="O114" s="504">
        <f t="shared" si="19"/>
        <v>0</v>
      </c>
      <c r="P114" s="504">
        <f t="shared" si="20"/>
        <v>0</v>
      </c>
      <c r="Q114" s="243"/>
      <c r="R114" s="243"/>
      <c r="S114" s="243"/>
      <c r="T114" s="243"/>
      <c r="U114" s="243"/>
    </row>
    <row r="115" spans="2:21" ht="12.5">
      <c r="B115" s="145" t="str">
        <f t="shared" si="21"/>
        <v/>
      </c>
      <c r="C115" s="495">
        <f>IF(D94="","-",+C114+1)</f>
        <v>2028</v>
      </c>
      <c r="D115" s="349">
        <f>IF(F114+SUM(E$100:E114)=D$93,F114,D$93-SUM(E$100:E114))</f>
        <v>4571920.1886215117</v>
      </c>
      <c r="E115" s="629">
        <f t="shared" si="23"/>
        <v>218494.21212121213</v>
      </c>
      <c r="F115" s="510">
        <f t="shared" si="24"/>
        <v>4353425.9765002998</v>
      </c>
      <c r="G115" s="510">
        <f t="shared" si="25"/>
        <v>4462673.0825609062</v>
      </c>
      <c r="H115" s="630">
        <f t="shared" si="26"/>
        <v>700504.07732848462</v>
      </c>
      <c r="I115" s="631">
        <f t="shared" si="27"/>
        <v>700504.07732848462</v>
      </c>
      <c r="J115" s="504">
        <f t="shared" si="22"/>
        <v>0</v>
      </c>
      <c r="K115" s="504"/>
      <c r="L115" s="512"/>
      <c r="M115" s="504">
        <f t="shared" si="18"/>
        <v>0</v>
      </c>
      <c r="N115" s="512"/>
      <c r="O115" s="504">
        <f t="shared" si="19"/>
        <v>0</v>
      </c>
      <c r="P115" s="504">
        <f t="shared" si="20"/>
        <v>0</v>
      </c>
      <c r="Q115" s="243"/>
      <c r="R115" s="243"/>
      <c r="S115" s="243"/>
      <c r="T115" s="243"/>
      <c r="U115" s="243"/>
    </row>
    <row r="116" spans="2:21" ht="12.5">
      <c r="B116" s="145" t="str">
        <f t="shared" si="21"/>
        <v/>
      </c>
      <c r="C116" s="495">
        <f>IF(D94="","-",+C115+1)</f>
        <v>2029</v>
      </c>
      <c r="D116" s="349">
        <f>IF(F115+SUM(E$100:E115)=D$93,F115,D$93-SUM(E$100:E115))</f>
        <v>4353425.9765002998</v>
      </c>
      <c r="E116" s="629">
        <f t="shared" si="23"/>
        <v>218494.21212121213</v>
      </c>
      <c r="F116" s="510">
        <f t="shared" si="24"/>
        <v>4134931.7643790878</v>
      </c>
      <c r="G116" s="510">
        <f t="shared" si="25"/>
        <v>4244178.8704396933</v>
      </c>
      <c r="H116" s="630">
        <f t="shared" si="26"/>
        <v>676904.6866080066</v>
      </c>
      <c r="I116" s="631">
        <f t="shared" si="27"/>
        <v>676904.6866080066</v>
      </c>
      <c r="J116" s="504">
        <f t="shared" si="22"/>
        <v>0</v>
      </c>
      <c r="K116" s="504"/>
      <c r="L116" s="512"/>
      <c r="M116" s="504">
        <f t="shared" si="18"/>
        <v>0</v>
      </c>
      <c r="N116" s="512"/>
      <c r="O116" s="504">
        <f t="shared" si="19"/>
        <v>0</v>
      </c>
      <c r="P116" s="504">
        <f t="shared" si="20"/>
        <v>0</v>
      </c>
      <c r="Q116" s="243"/>
      <c r="R116" s="243"/>
      <c r="S116" s="243"/>
      <c r="T116" s="243"/>
      <c r="U116" s="243"/>
    </row>
    <row r="117" spans="2:21" ht="12.5">
      <c r="B117" s="145" t="str">
        <f t="shared" si="21"/>
        <v/>
      </c>
      <c r="C117" s="495">
        <f>IF(D94="","-",+C116+1)</f>
        <v>2030</v>
      </c>
      <c r="D117" s="349">
        <f>IF(F116+SUM(E$100:E116)=D$93,F116,D$93-SUM(E$100:E116))</f>
        <v>4134931.7643790878</v>
      </c>
      <c r="E117" s="629">
        <f t="shared" si="23"/>
        <v>218494.21212121213</v>
      </c>
      <c r="F117" s="510">
        <f t="shared" si="24"/>
        <v>3916437.5522578759</v>
      </c>
      <c r="G117" s="510">
        <f t="shared" si="25"/>
        <v>4025684.6583184819</v>
      </c>
      <c r="H117" s="630">
        <f t="shared" si="26"/>
        <v>653305.29588752869</v>
      </c>
      <c r="I117" s="631">
        <f t="shared" si="27"/>
        <v>653305.29588752869</v>
      </c>
      <c r="J117" s="504">
        <f t="shared" si="22"/>
        <v>0</v>
      </c>
      <c r="K117" s="504"/>
      <c r="L117" s="512"/>
      <c r="M117" s="504">
        <f t="shared" si="18"/>
        <v>0</v>
      </c>
      <c r="N117" s="512"/>
      <c r="O117" s="504">
        <f t="shared" si="19"/>
        <v>0</v>
      </c>
      <c r="P117" s="504">
        <f t="shared" si="20"/>
        <v>0</v>
      </c>
      <c r="Q117" s="243"/>
      <c r="R117" s="243"/>
      <c r="S117" s="243"/>
      <c r="T117" s="243"/>
      <c r="U117" s="243"/>
    </row>
    <row r="118" spans="2:21" ht="12.5">
      <c r="B118" s="145" t="str">
        <f t="shared" si="21"/>
        <v/>
      </c>
      <c r="C118" s="495">
        <f>IF(D94="","-",+C117+1)</f>
        <v>2031</v>
      </c>
      <c r="D118" s="349">
        <f>IF(F117+SUM(E$100:E117)=D$93,F117,D$93-SUM(E$100:E117))</f>
        <v>3916437.5522578759</v>
      </c>
      <c r="E118" s="629">
        <f t="shared" si="23"/>
        <v>218494.21212121213</v>
      </c>
      <c r="F118" s="510">
        <f t="shared" si="24"/>
        <v>3697943.340136664</v>
      </c>
      <c r="G118" s="510">
        <f t="shared" si="25"/>
        <v>3807190.44619727</v>
      </c>
      <c r="H118" s="630">
        <f t="shared" si="26"/>
        <v>629705.90516705066</v>
      </c>
      <c r="I118" s="631">
        <f t="shared" si="27"/>
        <v>629705.90516705066</v>
      </c>
      <c r="J118" s="504">
        <f t="shared" si="22"/>
        <v>0</v>
      </c>
      <c r="K118" s="504"/>
      <c r="L118" s="512"/>
      <c r="M118" s="504">
        <f t="shared" si="18"/>
        <v>0</v>
      </c>
      <c r="N118" s="512"/>
      <c r="O118" s="504">
        <f t="shared" si="19"/>
        <v>0</v>
      </c>
      <c r="P118" s="504">
        <f t="shared" si="20"/>
        <v>0</v>
      </c>
      <c r="Q118" s="243"/>
      <c r="R118" s="243"/>
      <c r="S118" s="243"/>
      <c r="T118" s="243"/>
      <c r="U118" s="243"/>
    </row>
    <row r="119" spans="2:21" ht="12.5">
      <c r="B119" s="145" t="str">
        <f t="shared" si="21"/>
        <v/>
      </c>
      <c r="C119" s="495">
        <f>IF(D94="","-",+C118+1)</f>
        <v>2032</v>
      </c>
      <c r="D119" s="349">
        <f>IF(F118+SUM(E$100:E118)=D$93,F118,D$93-SUM(E$100:E118))</f>
        <v>3697943.340136664</v>
      </c>
      <c r="E119" s="629">
        <f t="shared" si="23"/>
        <v>218494.21212121213</v>
      </c>
      <c r="F119" s="510">
        <f t="shared" si="24"/>
        <v>3479449.1280154521</v>
      </c>
      <c r="G119" s="510">
        <f t="shared" si="25"/>
        <v>3588696.234076058</v>
      </c>
      <c r="H119" s="630">
        <f t="shared" si="26"/>
        <v>606106.51444657275</v>
      </c>
      <c r="I119" s="631">
        <f t="shared" si="27"/>
        <v>606106.51444657275</v>
      </c>
      <c r="J119" s="504">
        <f t="shared" si="22"/>
        <v>0</v>
      </c>
      <c r="K119" s="504"/>
      <c r="L119" s="512"/>
      <c r="M119" s="504">
        <f t="shared" si="18"/>
        <v>0</v>
      </c>
      <c r="N119" s="512"/>
      <c r="O119" s="504">
        <f t="shared" si="19"/>
        <v>0</v>
      </c>
      <c r="P119" s="504">
        <f t="shared" si="20"/>
        <v>0</v>
      </c>
      <c r="Q119" s="243"/>
      <c r="R119" s="243"/>
      <c r="S119" s="243"/>
      <c r="T119" s="243"/>
      <c r="U119" s="243"/>
    </row>
    <row r="120" spans="2:21" ht="12.5">
      <c r="B120" s="145" t="str">
        <f t="shared" si="21"/>
        <v/>
      </c>
      <c r="C120" s="495">
        <f>IF(D94="","-",+C119+1)</f>
        <v>2033</v>
      </c>
      <c r="D120" s="349">
        <f>IF(F119+SUM(E$100:E119)=D$93,F119,D$93-SUM(E$100:E119))</f>
        <v>3479449.1280154521</v>
      </c>
      <c r="E120" s="629">
        <f t="shared" si="23"/>
        <v>218494.21212121213</v>
      </c>
      <c r="F120" s="510">
        <f t="shared" si="24"/>
        <v>3260954.9158942401</v>
      </c>
      <c r="G120" s="510">
        <f t="shared" si="25"/>
        <v>3370202.0219548461</v>
      </c>
      <c r="H120" s="630">
        <f t="shared" si="26"/>
        <v>582507.12372609484</v>
      </c>
      <c r="I120" s="631">
        <f t="shared" si="27"/>
        <v>582507.12372609484</v>
      </c>
      <c r="J120" s="504">
        <f t="shared" si="22"/>
        <v>0</v>
      </c>
      <c r="K120" s="504"/>
      <c r="L120" s="512"/>
      <c r="M120" s="504">
        <f t="shared" si="18"/>
        <v>0</v>
      </c>
      <c r="N120" s="512"/>
      <c r="O120" s="504">
        <f t="shared" si="19"/>
        <v>0</v>
      </c>
      <c r="P120" s="504">
        <f t="shared" si="20"/>
        <v>0</v>
      </c>
      <c r="Q120" s="243"/>
      <c r="R120" s="243"/>
      <c r="S120" s="243"/>
      <c r="T120" s="243"/>
      <c r="U120" s="243"/>
    </row>
    <row r="121" spans="2:21" ht="12.5">
      <c r="B121" s="145" t="str">
        <f t="shared" si="21"/>
        <v/>
      </c>
      <c r="C121" s="495">
        <f>IF(D94="","-",+C120+1)</f>
        <v>2034</v>
      </c>
      <c r="D121" s="349">
        <f>IF(F120+SUM(E$100:E120)=D$93,F120,D$93-SUM(E$100:E120))</f>
        <v>3260954.9158942401</v>
      </c>
      <c r="E121" s="629">
        <f t="shared" si="23"/>
        <v>218494.21212121213</v>
      </c>
      <c r="F121" s="510">
        <f t="shared" si="24"/>
        <v>3042460.7037730282</v>
      </c>
      <c r="G121" s="510">
        <f t="shared" si="25"/>
        <v>3151707.8098336342</v>
      </c>
      <c r="H121" s="630">
        <f t="shared" si="26"/>
        <v>558907.73300561681</v>
      </c>
      <c r="I121" s="631">
        <f t="shared" si="27"/>
        <v>558907.73300561681</v>
      </c>
      <c r="J121" s="504">
        <f t="shared" si="22"/>
        <v>0</v>
      </c>
      <c r="K121" s="504"/>
      <c r="L121" s="512"/>
      <c r="M121" s="504">
        <f t="shared" si="18"/>
        <v>0</v>
      </c>
      <c r="N121" s="512"/>
      <c r="O121" s="504">
        <f t="shared" si="19"/>
        <v>0</v>
      </c>
      <c r="P121" s="504">
        <f t="shared" si="20"/>
        <v>0</v>
      </c>
      <c r="Q121" s="243"/>
      <c r="R121" s="243"/>
      <c r="S121" s="243"/>
      <c r="T121" s="243"/>
      <c r="U121" s="243"/>
    </row>
    <row r="122" spans="2:21" ht="12.5">
      <c r="B122" s="145" t="str">
        <f t="shared" si="21"/>
        <v/>
      </c>
      <c r="C122" s="495">
        <f>IF(D94="","-",+C121+1)</f>
        <v>2035</v>
      </c>
      <c r="D122" s="349">
        <f>IF(F121+SUM(E$100:E121)=D$93,F121,D$93-SUM(E$100:E121))</f>
        <v>3042460.7037730282</v>
      </c>
      <c r="E122" s="629">
        <f t="shared" si="23"/>
        <v>218494.21212121213</v>
      </c>
      <c r="F122" s="510">
        <f t="shared" si="24"/>
        <v>2823966.4916518163</v>
      </c>
      <c r="G122" s="510">
        <f t="shared" si="25"/>
        <v>2933213.5977124223</v>
      </c>
      <c r="H122" s="630">
        <f t="shared" si="26"/>
        <v>535308.3422851389</v>
      </c>
      <c r="I122" s="631">
        <f t="shared" si="27"/>
        <v>535308.3422851389</v>
      </c>
      <c r="J122" s="504">
        <f t="shared" si="22"/>
        <v>0</v>
      </c>
      <c r="K122" s="504"/>
      <c r="L122" s="512"/>
      <c r="M122" s="504">
        <f t="shared" si="18"/>
        <v>0</v>
      </c>
      <c r="N122" s="512"/>
      <c r="O122" s="504">
        <f t="shared" si="19"/>
        <v>0</v>
      </c>
      <c r="P122" s="504">
        <f t="shared" si="20"/>
        <v>0</v>
      </c>
      <c r="Q122" s="243"/>
      <c r="R122" s="243"/>
      <c r="S122" s="243"/>
      <c r="T122" s="243"/>
      <c r="U122" s="243"/>
    </row>
    <row r="123" spans="2:21" ht="12.5">
      <c r="B123" s="145" t="str">
        <f t="shared" si="21"/>
        <v/>
      </c>
      <c r="C123" s="495">
        <f>IF(D94="","-",+C122+1)</f>
        <v>2036</v>
      </c>
      <c r="D123" s="349">
        <f>IF(F122+SUM(E$100:E122)=D$93,F122,D$93-SUM(E$100:E122))</f>
        <v>2823966.4916518163</v>
      </c>
      <c r="E123" s="629">
        <f t="shared" si="23"/>
        <v>218494.21212121213</v>
      </c>
      <c r="F123" s="510">
        <f t="shared" si="24"/>
        <v>2605472.2795306044</v>
      </c>
      <c r="G123" s="510">
        <f t="shared" si="25"/>
        <v>2714719.3855912103</v>
      </c>
      <c r="H123" s="630">
        <f t="shared" si="26"/>
        <v>511708.95156466099</v>
      </c>
      <c r="I123" s="631">
        <f t="shared" si="27"/>
        <v>511708.95156466099</v>
      </c>
      <c r="J123" s="504">
        <f t="shared" si="22"/>
        <v>0</v>
      </c>
      <c r="K123" s="504"/>
      <c r="L123" s="512"/>
      <c r="M123" s="504">
        <f t="shared" si="18"/>
        <v>0</v>
      </c>
      <c r="N123" s="512"/>
      <c r="O123" s="504">
        <f t="shared" si="19"/>
        <v>0</v>
      </c>
      <c r="P123" s="504">
        <f t="shared" si="20"/>
        <v>0</v>
      </c>
      <c r="Q123" s="243"/>
      <c r="R123" s="243"/>
      <c r="S123" s="243"/>
      <c r="T123" s="243"/>
      <c r="U123" s="243"/>
    </row>
    <row r="124" spans="2:21" ht="12.5">
      <c r="B124" s="145" t="str">
        <f t="shared" si="21"/>
        <v/>
      </c>
      <c r="C124" s="495">
        <f>IF(D94="","-",+C123+1)</f>
        <v>2037</v>
      </c>
      <c r="D124" s="349">
        <f>IF(F123+SUM(E$100:E123)=D$93,F123,D$93-SUM(E$100:E123))</f>
        <v>2605472.2795306044</v>
      </c>
      <c r="E124" s="629">
        <f t="shared" si="23"/>
        <v>218494.21212121213</v>
      </c>
      <c r="F124" s="510">
        <f t="shared" si="24"/>
        <v>2386978.0674093924</v>
      </c>
      <c r="G124" s="510">
        <f t="shared" si="25"/>
        <v>2496225.1734699984</v>
      </c>
      <c r="H124" s="630">
        <f t="shared" si="26"/>
        <v>488109.56084418308</v>
      </c>
      <c r="I124" s="631">
        <f t="shared" si="27"/>
        <v>488109.56084418308</v>
      </c>
      <c r="J124" s="504">
        <f t="shared" si="22"/>
        <v>0</v>
      </c>
      <c r="K124" s="504"/>
      <c r="L124" s="512"/>
      <c r="M124" s="504">
        <f t="shared" si="18"/>
        <v>0</v>
      </c>
      <c r="N124" s="512"/>
      <c r="O124" s="504">
        <f t="shared" si="19"/>
        <v>0</v>
      </c>
      <c r="P124" s="504">
        <f t="shared" si="20"/>
        <v>0</v>
      </c>
      <c r="Q124" s="243"/>
      <c r="R124" s="243"/>
      <c r="S124" s="243"/>
      <c r="T124" s="243"/>
      <c r="U124" s="243"/>
    </row>
    <row r="125" spans="2:21" ht="12.5">
      <c r="B125" s="145" t="str">
        <f t="shared" si="21"/>
        <v/>
      </c>
      <c r="C125" s="495">
        <f>IF(D94="","-",+C124+1)</f>
        <v>2038</v>
      </c>
      <c r="D125" s="349">
        <f>IF(F124+SUM(E$100:E124)=D$93,F124,D$93-SUM(E$100:E124))</f>
        <v>2386978.0674093924</v>
      </c>
      <c r="E125" s="629">
        <f t="shared" si="23"/>
        <v>218494.21212121213</v>
      </c>
      <c r="F125" s="510">
        <f t="shared" si="24"/>
        <v>2168483.8552881805</v>
      </c>
      <c r="G125" s="510">
        <f t="shared" si="25"/>
        <v>2277730.9613487865</v>
      </c>
      <c r="H125" s="630">
        <f t="shared" si="26"/>
        <v>464510.17012370506</v>
      </c>
      <c r="I125" s="631">
        <f t="shared" si="27"/>
        <v>464510.17012370506</v>
      </c>
      <c r="J125" s="504">
        <f t="shared" si="22"/>
        <v>0</v>
      </c>
      <c r="K125" s="504"/>
      <c r="L125" s="512"/>
      <c r="M125" s="504">
        <f t="shared" si="18"/>
        <v>0</v>
      </c>
      <c r="N125" s="512"/>
      <c r="O125" s="504">
        <f t="shared" si="19"/>
        <v>0</v>
      </c>
      <c r="P125" s="504">
        <f t="shared" si="20"/>
        <v>0</v>
      </c>
      <c r="Q125" s="243"/>
      <c r="R125" s="243"/>
      <c r="S125" s="243"/>
      <c r="T125" s="243"/>
      <c r="U125" s="243"/>
    </row>
    <row r="126" spans="2:21" ht="12.5">
      <c r="B126" s="145" t="str">
        <f t="shared" si="21"/>
        <v/>
      </c>
      <c r="C126" s="495">
        <f>IF(D94="","-",+C125+1)</f>
        <v>2039</v>
      </c>
      <c r="D126" s="349">
        <f>IF(F125+SUM(E$100:E125)=D$93,F125,D$93-SUM(E$100:E125))</f>
        <v>2168483.8552881805</v>
      </c>
      <c r="E126" s="629">
        <f t="shared" si="23"/>
        <v>218494.21212121213</v>
      </c>
      <c r="F126" s="510">
        <f t="shared" si="24"/>
        <v>1949989.6431669684</v>
      </c>
      <c r="G126" s="510">
        <f t="shared" si="25"/>
        <v>2059236.7492275746</v>
      </c>
      <c r="H126" s="630">
        <f t="shared" si="26"/>
        <v>440910.77940322715</v>
      </c>
      <c r="I126" s="631">
        <f t="shared" si="27"/>
        <v>440910.77940322715</v>
      </c>
      <c r="J126" s="504">
        <f t="shared" si="22"/>
        <v>0</v>
      </c>
      <c r="K126" s="504"/>
      <c r="L126" s="512"/>
      <c r="M126" s="504">
        <f t="shared" si="18"/>
        <v>0</v>
      </c>
      <c r="N126" s="512"/>
      <c r="O126" s="504">
        <f t="shared" si="19"/>
        <v>0</v>
      </c>
      <c r="P126" s="504">
        <f t="shared" si="20"/>
        <v>0</v>
      </c>
      <c r="Q126" s="243"/>
      <c r="R126" s="243"/>
      <c r="S126" s="243"/>
      <c r="T126" s="243"/>
      <c r="U126" s="243"/>
    </row>
    <row r="127" spans="2:21" ht="12.5">
      <c r="B127" s="145" t="str">
        <f t="shared" si="21"/>
        <v/>
      </c>
      <c r="C127" s="495">
        <f>IF(D94="","-",+C126+1)</f>
        <v>2040</v>
      </c>
      <c r="D127" s="349">
        <f>IF(F126+SUM(E$100:E126)=D$93,F126,D$93-SUM(E$100:E126))</f>
        <v>1949989.6431669684</v>
      </c>
      <c r="E127" s="629">
        <f t="shared" si="23"/>
        <v>218494.21212121213</v>
      </c>
      <c r="F127" s="510">
        <f t="shared" si="24"/>
        <v>1731495.4310457562</v>
      </c>
      <c r="G127" s="510">
        <f t="shared" si="25"/>
        <v>1840742.5371063622</v>
      </c>
      <c r="H127" s="630">
        <f t="shared" si="26"/>
        <v>417311.38868274912</v>
      </c>
      <c r="I127" s="631">
        <f t="shared" si="27"/>
        <v>417311.38868274912</v>
      </c>
      <c r="J127" s="504">
        <f t="shared" si="22"/>
        <v>0</v>
      </c>
      <c r="K127" s="504"/>
      <c r="L127" s="512"/>
      <c r="M127" s="504">
        <f t="shared" si="18"/>
        <v>0</v>
      </c>
      <c r="N127" s="512"/>
      <c r="O127" s="504">
        <f t="shared" si="19"/>
        <v>0</v>
      </c>
      <c r="P127" s="504">
        <f t="shared" si="20"/>
        <v>0</v>
      </c>
      <c r="Q127" s="243"/>
      <c r="R127" s="243"/>
      <c r="S127" s="243"/>
      <c r="T127" s="243"/>
      <c r="U127" s="243"/>
    </row>
    <row r="128" spans="2:21" ht="12.5">
      <c r="B128" s="145" t="str">
        <f t="shared" si="21"/>
        <v/>
      </c>
      <c r="C128" s="495">
        <f>IF(D94="","-",+C127+1)</f>
        <v>2041</v>
      </c>
      <c r="D128" s="349">
        <f>IF(F127+SUM(E$100:E127)=D$93,F127,D$93-SUM(E$100:E127))</f>
        <v>1731495.4310457562</v>
      </c>
      <c r="E128" s="629">
        <f t="shared" si="23"/>
        <v>218494.21212121213</v>
      </c>
      <c r="F128" s="510">
        <f t="shared" si="24"/>
        <v>1513001.2189245441</v>
      </c>
      <c r="G128" s="510">
        <f t="shared" si="25"/>
        <v>1622248.3249851502</v>
      </c>
      <c r="H128" s="630">
        <f t="shared" si="26"/>
        <v>393711.99796227121</v>
      </c>
      <c r="I128" s="631">
        <f t="shared" si="27"/>
        <v>393711.99796227121</v>
      </c>
      <c r="J128" s="504">
        <f t="shared" si="22"/>
        <v>0</v>
      </c>
      <c r="K128" s="504"/>
      <c r="L128" s="512"/>
      <c r="M128" s="504">
        <f t="shared" si="18"/>
        <v>0</v>
      </c>
      <c r="N128" s="512"/>
      <c r="O128" s="504">
        <f t="shared" si="19"/>
        <v>0</v>
      </c>
      <c r="P128" s="504">
        <f t="shared" si="20"/>
        <v>0</v>
      </c>
      <c r="Q128" s="243"/>
      <c r="R128" s="243"/>
      <c r="S128" s="243"/>
      <c r="T128" s="243"/>
      <c r="U128" s="243"/>
    </row>
    <row r="129" spans="2:21" ht="12.5">
      <c r="B129" s="145" t="str">
        <f t="shared" si="21"/>
        <v/>
      </c>
      <c r="C129" s="495">
        <f>IF(D94="","-",+C128+1)</f>
        <v>2042</v>
      </c>
      <c r="D129" s="349">
        <f>IF(F128+SUM(E$100:E128)=D$93,F128,D$93-SUM(E$100:E128))</f>
        <v>1513001.2189245441</v>
      </c>
      <c r="E129" s="629">
        <f t="shared" si="23"/>
        <v>218494.21212121213</v>
      </c>
      <c r="F129" s="510">
        <f t="shared" si="24"/>
        <v>1294507.0068033319</v>
      </c>
      <c r="G129" s="510">
        <f t="shared" si="25"/>
        <v>1403754.1128639379</v>
      </c>
      <c r="H129" s="630">
        <f t="shared" si="26"/>
        <v>370112.60724179319</v>
      </c>
      <c r="I129" s="631">
        <f t="shared" si="27"/>
        <v>370112.60724179319</v>
      </c>
      <c r="J129" s="504">
        <f t="shared" si="22"/>
        <v>0</v>
      </c>
      <c r="K129" s="504"/>
      <c r="L129" s="512"/>
      <c r="M129" s="504">
        <f t="shared" si="18"/>
        <v>0</v>
      </c>
      <c r="N129" s="512"/>
      <c r="O129" s="504">
        <f t="shared" si="19"/>
        <v>0</v>
      </c>
      <c r="P129" s="504">
        <f t="shared" si="20"/>
        <v>0</v>
      </c>
      <c r="Q129" s="243"/>
      <c r="R129" s="243"/>
      <c r="S129" s="243"/>
      <c r="T129" s="243"/>
      <c r="U129" s="243"/>
    </row>
    <row r="130" spans="2:21" ht="12.5">
      <c r="B130" s="145" t="str">
        <f t="shared" si="21"/>
        <v/>
      </c>
      <c r="C130" s="495">
        <f>IF(D94="","-",+C129+1)</f>
        <v>2043</v>
      </c>
      <c r="D130" s="349">
        <f>IF(F129+SUM(E$100:E129)=D$93,F129,D$93-SUM(E$100:E129))</f>
        <v>1294507.0068033319</v>
      </c>
      <c r="E130" s="629">
        <f t="shared" si="23"/>
        <v>218494.21212121213</v>
      </c>
      <c r="F130" s="510">
        <f t="shared" si="24"/>
        <v>1076012.7946821197</v>
      </c>
      <c r="G130" s="510">
        <f t="shared" si="25"/>
        <v>1185259.9007427259</v>
      </c>
      <c r="H130" s="630">
        <f t="shared" si="26"/>
        <v>346513.21652131528</v>
      </c>
      <c r="I130" s="631">
        <f t="shared" si="27"/>
        <v>346513.21652131528</v>
      </c>
      <c r="J130" s="504">
        <f t="shared" si="22"/>
        <v>0</v>
      </c>
      <c r="K130" s="504"/>
      <c r="L130" s="512"/>
      <c r="M130" s="504">
        <f t="shared" si="18"/>
        <v>0</v>
      </c>
      <c r="N130" s="512"/>
      <c r="O130" s="504">
        <f t="shared" si="19"/>
        <v>0</v>
      </c>
      <c r="P130" s="504">
        <f t="shared" si="20"/>
        <v>0</v>
      </c>
      <c r="Q130" s="243"/>
      <c r="R130" s="243"/>
      <c r="S130" s="243"/>
      <c r="T130" s="243"/>
      <c r="U130" s="243"/>
    </row>
    <row r="131" spans="2:21" ht="12.5">
      <c r="B131" s="145" t="str">
        <f t="shared" si="21"/>
        <v/>
      </c>
      <c r="C131" s="495">
        <f>IF(D94="","-",+C130+1)</f>
        <v>2044</v>
      </c>
      <c r="D131" s="349">
        <f>IF(F130+SUM(E$100:E130)=D$93,F130,D$93-SUM(E$100:E130))</f>
        <v>1076012.7946821197</v>
      </c>
      <c r="E131" s="629">
        <f t="shared" si="23"/>
        <v>218494.21212121213</v>
      </c>
      <c r="F131" s="510">
        <f t="shared" si="24"/>
        <v>857518.58256090758</v>
      </c>
      <c r="G131" s="510">
        <f t="shared" si="25"/>
        <v>966765.68862151366</v>
      </c>
      <c r="H131" s="630">
        <f t="shared" si="26"/>
        <v>322913.82580083725</v>
      </c>
      <c r="I131" s="631">
        <f t="shared" si="27"/>
        <v>322913.82580083725</v>
      </c>
      <c r="J131" s="504">
        <f t="shared" si="22"/>
        <v>0</v>
      </c>
      <c r="K131" s="504"/>
      <c r="L131" s="512"/>
      <c r="M131" s="504">
        <f t="shared" si="18"/>
        <v>0</v>
      </c>
      <c r="N131" s="512"/>
      <c r="O131" s="504">
        <f t="shared" si="19"/>
        <v>0</v>
      </c>
      <c r="P131" s="504">
        <f t="shared" si="20"/>
        <v>0</v>
      </c>
      <c r="Q131" s="243"/>
      <c r="R131" s="243"/>
      <c r="S131" s="243"/>
      <c r="T131" s="243"/>
      <c r="U131" s="243"/>
    </row>
    <row r="132" spans="2:21" ht="12.5">
      <c r="B132" s="145" t="str">
        <f t="shared" si="21"/>
        <v/>
      </c>
      <c r="C132" s="495">
        <f>IF(D94="","-",+C131+1)</f>
        <v>2045</v>
      </c>
      <c r="D132" s="349">
        <f>IF(F131+SUM(E$100:E131)=D$93,F131,D$93-SUM(E$100:E131))</f>
        <v>857518.58256090758</v>
      </c>
      <c r="E132" s="629">
        <f t="shared" si="23"/>
        <v>218494.21212121213</v>
      </c>
      <c r="F132" s="510">
        <f t="shared" si="24"/>
        <v>639024.37043969543</v>
      </c>
      <c r="G132" s="510">
        <f t="shared" si="25"/>
        <v>748271.47650030151</v>
      </c>
      <c r="H132" s="630">
        <f t="shared" si="26"/>
        <v>299314.43508035934</v>
      </c>
      <c r="I132" s="631">
        <f t="shared" si="27"/>
        <v>299314.43508035934</v>
      </c>
      <c r="J132" s="504">
        <f t="shared" si="22"/>
        <v>0</v>
      </c>
      <c r="K132" s="504"/>
      <c r="L132" s="512"/>
      <c r="M132" s="504">
        <f t="shared" ref="M132:M155" si="28">IF(L542&lt;&gt;0,+H542-L542,0)</f>
        <v>0</v>
      </c>
      <c r="N132" s="512"/>
      <c r="O132" s="504">
        <f t="shared" ref="O132:O155" si="29">IF(N542&lt;&gt;0,+I542-N542,0)</f>
        <v>0</v>
      </c>
      <c r="P132" s="504">
        <f t="shared" ref="P132:P155" si="30">+O542-M542</f>
        <v>0</v>
      </c>
      <c r="Q132" s="243"/>
      <c r="R132" s="243"/>
      <c r="S132" s="243"/>
      <c r="T132" s="243"/>
      <c r="U132" s="243"/>
    </row>
    <row r="133" spans="2:21" ht="12.5">
      <c r="B133" s="145" t="str">
        <f t="shared" si="21"/>
        <v/>
      </c>
      <c r="C133" s="495">
        <f>IF(D94="","-",+C132+1)</f>
        <v>2046</v>
      </c>
      <c r="D133" s="349">
        <f>IF(F132+SUM(E$100:E132)=D$93,F132,D$93-SUM(E$100:E132))</f>
        <v>639024.37043969543</v>
      </c>
      <c r="E133" s="629">
        <f t="shared" si="23"/>
        <v>218494.21212121213</v>
      </c>
      <c r="F133" s="510">
        <f t="shared" si="24"/>
        <v>420530.15831848327</v>
      </c>
      <c r="G133" s="510">
        <f t="shared" si="25"/>
        <v>529777.26437908935</v>
      </c>
      <c r="H133" s="630">
        <f t="shared" si="26"/>
        <v>275715.04435988131</v>
      </c>
      <c r="I133" s="631">
        <f t="shared" si="27"/>
        <v>275715.04435988131</v>
      </c>
      <c r="J133" s="504">
        <f t="shared" si="22"/>
        <v>0</v>
      </c>
      <c r="K133" s="504"/>
      <c r="L133" s="512"/>
      <c r="M133" s="504">
        <f t="shared" si="28"/>
        <v>0</v>
      </c>
      <c r="N133" s="512"/>
      <c r="O133" s="504">
        <f t="shared" si="29"/>
        <v>0</v>
      </c>
      <c r="P133" s="504">
        <f t="shared" si="30"/>
        <v>0</v>
      </c>
      <c r="Q133" s="243"/>
      <c r="R133" s="243"/>
      <c r="S133" s="243"/>
      <c r="T133" s="243"/>
      <c r="U133" s="243"/>
    </row>
    <row r="134" spans="2:21" ht="12.5">
      <c r="B134" s="145" t="str">
        <f t="shared" si="21"/>
        <v/>
      </c>
      <c r="C134" s="495">
        <f>IF(D94="","-",+C133+1)</f>
        <v>2047</v>
      </c>
      <c r="D134" s="349">
        <f>IF(F133+SUM(E$100:E133)=D$93,F133,D$93-SUM(E$100:E133))</f>
        <v>420530.15831848327</v>
      </c>
      <c r="E134" s="629">
        <f t="shared" si="23"/>
        <v>218494.21212121213</v>
      </c>
      <c r="F134" s="510">
        <f t="shared" si="24"/>
        <v>202035.94619727114</v>
      </c>
      <c r="G134" s="510">
        <f t="shared" si="25"/>
        <v>311283.05225787719</v>
      </c>
      <c r="H134" s="630">
        <f t="shared" si="26"/>
        <v>252115.65363940338</v>
      </c>
      <c r="I134" s="631">
        <f t="shared" si="27"/>
        <v>252115.65363940338</v>
      </c>
      <c r="J134" s="504">
        <f t="shared" si="22"/>
        <v>0</v>
      </c>
      <c r="K134" s="504"/>
      <c r="L134" s="512"/>
      <c r="M134" s="504">
        <f t="shared" si="28"/>
        <v>0</v>
      </c>
      <c r="N134" s="512"/>
      <c r="O134" s="504">
        <f t="shared" si="29"/>
        <v>0</v>
      </c>
      <c r="P134" s="504">
        <f t="shared" si="30"/>
        <v>0</v>
      </c>
      <c r="Q134" s="243"/>
      <c r="R134" s="243"/>
      <c r="S134" s="243"/>
      <c r="T134" s="243"/>
      <c r="U134" s="243"/>
    </row>
    <row r="135" spans="2:21" ht="12.5">
      <c r="B135" s="145" t="str">
        <f t="shared" si="21"/>
        <v/>
      </c>
      <c r="C135" s="495">
        <f>IF(D94="","-",+C134+1)</f>
        <v>2048</v>
      </c>
      <c r="D135" s="349">
        <f>IF(F134+SUM(E$100:E134)=D$93,F134,D$93-SUM(E$100:E134))</f>
        <v>202035.94619727114</v>
      </c>
      <c r="E135" s="629">
        <f t="shared" si="23"/>
        <v>202035.94619727114</v>
      </c>
      <c r="F135" s="510">
        <f t="shared" si="24"/>
        <v>0</v>
      </c>
      <c r="G135" s="510">
        <f t="shared" si="25"/>
        <v>101017.97309863557</v>
      </c>
      <c r="H135" s="630">
        <f t="shared" si="26"/>
        <v>212946.81927624726</v>
      </c>
      <c r="I135" s="631">
        <f t="shared" si="27"/>
        <v>212946.81927624726</v>
      </c>
      <c r="J135" s="504">
        <f t="shared" si="22"/>
        <v>0</v>
      </c>
      <c r="K135" s="504"/>
      <c r="L135" s="512"/>
      <c r="M135" s="504">
        <f t="shared" si="28"/>
        <v>0</v>
      </c>
      <c r="N135" s="512"/>
      <c r="O135" s="504">
        <f t="shared" si="29"/>
        <v>0</v>
      </c>
      <c r="P135" s="504">
        <f t="shared" si="30"/>
        <v>0</v>
      </c>
      <c r="Q135" s="243"/>
      <c r="R135" s="243"/>
      <c r="S135" s="243"/>
      <c r="T135" s="243"/>
      <c r="U135" s="243"/>
    </row>
    <row r="136" spans="2:21" ht="12.5">
      <c r="B136" s="145" t="str">
        <f t="shared" si="21"/>
        <v/>
      </c>
      <c r="C136" s="495">
        <f>IF(D94="","-",+C135+1)</f>
        <v>2049</v>
      </c>
      <c r="D136" s="349">
        <f>IF(F135+SUM(E$100:E135)=D$93,F135,D$93-SUM(E$100:E135))</f>
        <v>0</v>
      </c>
      <c r="E136" s="629">
        <f t="shared" si="23"/>
        <v>0</v>
      </c>
      <c r="F136" s="510">
        <f t="shared" si="24"/>
        <v>0</v>
      </c>
      <c r="G136" s="510">
        <f t="shared" si="25"/>
        <v>0</v>
      </c>
      <c r="H136" s="630">
        <f t="shared" si="26"/>
        <v>0</v>
      </c>
      <c r="I136" s="631">
        <f t="shared" si="27"/>
        <v>0</v>
      </c>
      <c r="J136" s="504">
        <f t="shared" si="22"/>
        <v>0</v>
      </c>
      <c r="K136" s="504"/>
      <c r="L136" s="512"/>
      <c r="M136" s="504">
        <f t="shared" si="28"/>
        <v>0</v>
      </c>
      <c r="N136" s="512"/>
      <c r="O136" s="504">
        <f t="shared" si="29"/>
        <v>0</v>
      </c>
      <c r="P136" s="504">
        <f t="shared" si="30"/>
        <v>0</v>
      </c>
      <c r="Q136" s="243"/>
      <c r="R136" s="243"/>
      <c r="S136" s="243"/>
      <c r="T136" s="243"/>
      <c r="U136" s="243"/>
    </row>
    <row r="137" spans="2:21" ht="12.5">
      <c r="B137" s="145" t="str">
        <f t="shared" si="21"/>
        <v/>
      </c>
      <c r="C137" s="495">
        <f>IF(D94="","-",+C136+1)</f>
        <v>2050</v>
      </c>
      <c r="D137" s="349">
        <f>IF(F136+SUM(E$100:E136)=D$93,F136,D$93-SUM(E$100:E136))</f>
        <v>0</v>
      </c>
      <c r="E137" s="629">
        <f t="shared" si="23"/>
        <v>0</v>
      </c>
      <c r="F137" s="510">
        <f t="shared" si="24"/>
        <v>0</v>
      </c>
      <c r="G137" s="510">
        <f t="shared" si="25"/>
        <v>0</v>
      </c>
      <c r="H137" s="630">
        <f t="shared" si="26"/>
        <v>0</v>
      </c>
      <c r="I137" s="631">
        <f t="shared" si="27"/>
        <v>0</v>
      </c>
      <c r="J137" s="504">
        <f t="shared" si="22"/>
        <v>0</v>
      </c>
      <c r="K137" s="504"/>
      <c r="L137" s="512"/>
      <c r="M137" s="504">
        <f t="shared" si="28"/>
        <v>0</v>
      </c>
      <c r="N137" s="512"/>
      <c r="O137" s="504">
        <f t="shared" si="29"/>
        <v>0</v>
      </c>
      <c r="P137" s="504">
        <f t="shared" si="30"/>
        <v>0</v>
      </c>
      <c r="Q137" s="243"/>
      <c r="R137" s="243"/>
      <c r="S137" s="243"/>
      <c r="T137" s="243"/>
      <c r="U137" s="243"/>
    </row>
    <row r="138" spans="2:21" ht="12.5">
      <c r="B138" s="145" t="str">
        <f t="shared" si="21"/>
        <v/>
      </c>
      <c r="C138" s="495">
        <f>IF(D94="","-",+C137+1)</f>
        <v>2051</v>
      </c>
      <c r="D138" s="349">
        <f>IF(F137+SUM(E$100:E137)=D$93,F137,D$93-SUM(E$100:E137))</f>
        <v>0</v>
      </c>
      <c r="E138" s="629">
        <f t="shared" si="23"/>
        <v>0</v>
      </c>
      <c r="F138" s="510">
        <f t="shared" si="24"/>
        <v>0</v>
      </c>
      <c r="G138" s="510">
        <f t="shared" si="25"/>
        <v>0</v>
      </c>
      <c r="H138" s="630">
        <f t="shared" si="26"/>
        <v>0</v>
      </c>
      <c r="I138" s="631">
        <f t="shared" si="27"/>
        <v>0</v>
      </c>
      <c r="J138" s="504">
        <f t="shared" si="22"/>
        <v>0</v>
      </c>
      <c r="K138" s="504"/>
      <c r="L138" s="512"/>
      <c r="M138" s="504">
        <f t="shared" si="28"/>
        <v>0</v>
      </c>
      <c r="N138" s="512"/>
      <c r="O138" s="504">
        <f t="shared" si="29"/>
        <v>0</v>
      </c>
      <c r="P138" s="504">
        <f t="shared" si="30"/>
        <v>0</v>
      </c>
      <c r="Q138" s="243"/>
      <c r="R138" s="243"/>
      <c r="S138" s="243"/>
      <c r="T138" s="243"/>
      <c r="U138" s="243"/>
    </row>
    <row r="139" spans="2:21" ht="12.5">
      <c r="B139" s="145" t="str">
        <f t="shared" si="21"/>
        <v/>
      </c>
      <c r="C139" s="495">
        <f>IF(D94="","-",+C138+1)</f>
        <v>2052</v>
      </c>
      <c r="D139" s="349">
        <f>IF(F138+SUM(E$100:E138)=D$93,F138,D$93-SUM(E$100:E138))</f>
        <v>0</v>
      </c>
      <c r="E139" s="629">
        <f t="shared" si="23"/>
        <v>0</v>
      </c>
      <c r="F139" s="510">
        <f t="shared" si="24"/>
        <v>0</v>
      </c>
      <c r="G139" s="510">
        <f t="shared" si="25"/>
        <v>0</v>
      </c>
      <c r="H139" s="630">
        <f t="shared" si="26"/>
        <v>0</v>
      </c>
      <c r="I139" s="631">
        <f t="shared" si="27"/>
        <v>0</v>
      </c>
      <c r="J139" s="504">
        <f t="shared" si="22"/>
        <v>0</v>
      </c>
      <c r="K139" s="504"/>
      <c r="L139" s="512"/>
      <c r="M139" s="504">
        <f t="shared" si="28"/>
        <v>0</v>
      </c>
      <c r="N139" s="512"/>
      <c r="O139" s="504">
        <f t="shared" si="29"/>
        <v>0</v>
      </c>
      <c r="P139" s="504">
        <f t="shared" si="30"/>
        <v>0</v>
      </c>
      <c r="Q139" s="243"/>
      <c r="R139" s="243"/>
      <c r="S139" s="243"/>
      <c r="T139" s="243"/>
      <c r="U139" s="243"/>
    </row>
    <row r="140" spans="2:21" ht="12.5">
      <c r="B140" s="145" t="str">
        <f t="shared" si="21"/>
        <v/>
      </c>
      <c r="C140" s="495">
        <f>IF(D94="","-",+C139+1)</f>
        <v>2053</v>
      </c>
      <c r="D140" s="349">
        <f>IF(F139+SUM(E$100:E139)=D$93,F139,D$93-SUM(E$100:E139))</f>
        <v>0</v>
      </c>
      <c r="E140" s="629">
        <f t="shared" si="23"/>
        <v>0</v>
      </c>
      <c r="F140" s="510">
        <f t="shared" si="24"/>
        <v>0</v>
      </c>
      <c r="G140" s="510">
        <f t="shared" si="25"/>
        <v>0</v>
      </c>
      <c r="H140" s="630">
        <f t="shared" si="26"/>
        <v>0</v>
      </c>
      <c r="I140" s="631">
        <f t="shared" si="27"/>
        <v>0</v>
      </c>
      <c r="J140" s="504">
        <f t="shared" si="22"/>
        <v>0</v>
      </c>
      <c r="K140" s="504"/>
      <c r="L140" s="512"/>
      <c r="M140" s="504">
        <f t="shared" si="28"/>
        <v>0</v>
      </c>
      <c r="N140" s="512"/>
      <c r="O140" s="504">
        <f t="shared" si="29"/>
        <v>0</v>
      </c>
      <c r="P140" s="504">
        <f t="shared" si="30"/>
        <v>0</v>
      </c>
      <c r="Q140" s="243"/>
      <c r="R140" s="243"/>
      <c r="S140" s="243"/>
      <c r="T140" s="243"/>
      <c r="U140" s="243"/>
    </row>
    <row r="141" spans="2:21" ht="12.5">
      <c r="B141" s="145" t="str">
        <f t="shared" si="21"/>
        <v/>
      </c>
      <c r="C141" s="495">
        <f>IF(D94="","-",+C140+1)</f>
        <v>2054</v>
      </c>
      <c r="D141" s="349">
        <f>IF(F140+SUM(E$100:E140)=D$93,F140,D$93-SUM(E$100:E140))</f>
        <v>0</v>
      </c>
      <c r="E141" s="629">
        <f t="shared" si="23"/>
        <v>0</v>
      </c>
      <c r="F141" s="510">
        <f t="shared" si="24"/>
        <v>0</v>
      </c>
      <c r="G141" s="510">
        <f t="shared" si="25"/>
        <v>0</v>
      </c>
      <c r="H141" s="630">
        <f t="shared" si="26"/>
        <v>0</v>
      </c>
      <c r="I141" s="631">
        <f t="shared" si="27"/>
        <v>0</v>
      </c>
      <c r="J141" s="504">
        <f t="shared" si="22"/>
        <v>0</v>
      </c>
      <c r="K141" s="504"/>
      <c r="L141" s="512"/>
      <c r="M141" s="504">
        <f t="shared" si="28"/>
        <v>0</v>
      </c>
      <c r="N141" s="512"/>
      <c r="O141" s="504">
        <f t="shared" si="29"/>
        <v>0</v>
      </c>
      <c r="P141" s="504">
        <f t="shared" si="30"/>
        <v>0</v>
      </c>
      <c r="Q141" s="243"/>
      <c r="R141" s="243"/>
      <c r="S141" s="243"/>
      <c r="T141" s="243"/>
      <c r="U141" s="243"/>
    </row>
    <row r="142" spans="2:21" ht="12.5">
      <c r="B142" s="145" t="str">
        <f t="shared" si="21"/>
        <v/>
      </c>
      <c r="C142" s="495">
        <f>IF(D94="","-",+C141+1)</f>
        <v>2055</v>
      </c>
      <c r="D142" s="349">
        <f>IF(F141+SUM(E$100:E141)=D$93,F141,D$93-SUM(E$100:E141))</f>
        <v>0</v>
      </c>
      <c r="E142" s="629">
        <f t="shared" si="23"/>
        <v>0</v>
      </c>
      <c r="F142" s="510">
        <f t="shared" si="24"/>
        <v>0</v>
      </c>
      <c r="G142" s="510">
        <f t="shared" si="25"/>
        <v>0</v>
      </c>
      <c r="H142" s="630">
        <f t="shared" si="26"/>
        <v>0</v>
      </c>
      <c r="I142" s="631">
        <f t="shared" si="27"/>
        <v>0</v>
      </c>
      <c r="J142" s="504">
        <f t="shared" si="22"/>
        <v>0</v>
      </c>
      <c r="K142" s="504"/>
      <c r="L142" s="512"/>
      <c r="M142" s="504">
        <f t="shared" si="28"/>
        <v>0</v>
      </c>
      <c r="N142" s="512"/>
      <c r="O142" s="504">
        <f t="shared" si="29"/>
        <v>0</v>
      </c>
      <c r="P142" s="504">
        <f t="shared" si="30"/>
        <v>0</v>
      </c>
      <c r="Q142" s="243"/>
      <c r="R142" s="243"/>
      <c r="S142" s="243"/>
      <c r="T142" s="243"/>
      <c r="U142" s="243"/>
    </row>
    <row r="143" spans="2:21" ht="12.5">
      <c r="B143" s="145" t="str">
        <f t="shared" si="21"/>
        <v/>
      </c>
      <c r="C143" s="495">
        <f>IF(D94="","-",+C142+1)</f>
        <v>2056</v>
      </c>
      <c r="D143" s="349">
        <f>IF(F142+SUM(E$100:E142)=D$93,F142,D$93-SUM(E$100:E142))</f>
        <v>0</v>
      </c>
      <c r="E143" s="629">
        <f t="shared" si="23"/>
        <v>0</v>
      </c>
      <c r="F143" s="510">
        <f t="shared" si="24"/>
        <v>0</v>
      </c>
      <c r="G143" s="510">
        <f t="shared" si="25"/>
        <v>0</v>
      </c>
      <c r="H143" s="630">
        <f t="shared" si="26"/>
        <v>0</v>
      </c>
      <c r="I143" s="631">
        <f t="shared" si="27"/>
        <v>0</v>
      </c>
      <c r="J143" s="504">
        <f t="shared" si="22"/>
        <v>0</v>
      </c>
      <c r="K143" s="504"/>
      <c r="L143" s="512"/>
      <c r="M143" s="504">
        <f t="shared" si="28"/>
        <v>0</v>
      </c>
      <c r="N143" s="512"/>
      <c r="O143" s="504">
        <f t="shared" si="29"/>
        <v>0</v>
      </c>
      <c r="P143" s="504">
        <f t="shared" si="30"/>
        <v>0</v>
      </c>
      <c r="Q143" s="243"/>
      <c r="R143" s="243"/>
      <c r="S143" s="243"/>
      <c r="T143" s="243"/>
      <c r="U143" s="243"/>
    </row>
    <row r="144" spans="2:21" ht="12.5">
      <c r="B144" s="145" t="str">
        <f t="shared" si="21"/>
        <v/>
      </c>
      <c r="C144" s="495">
        <f>IF(D94="","-",+C143+1)</f>
        <v>2057</v>
      </c>
      <c r="D144" s="349">
        <f>IF(F143+SUM(E$100:E143)=D$93,F143,D$93-SUM(E$100:E143))</f>
        <v>0</v>
      </c>
      <c r="E144" s="629">
        <f t="shared" si="23"/>
        <v>0</v>
      </c>
      <c r="F144" s="510">
        <f t="shared" si="24"/>
        <v>0</v>
      </c>
      <c r="G144" s="510">
        <f t="shared" si="25"/>
        <v>0</v>
      </c>
      <c r="H144" s="630">
        <f t="shared" si="26"/>
        <v>0</v>
      </c>
      <c r="I144" s="631">
        <f t="shared" si="27"/>
        <v>0</v>
      </c>
      <c r="J144" s="504">
        <f t="shared" si="22"/>
        <v>0</v>
      </c>
      <c r="K144" s="504"/>
      <c r="L144" s="512"/>
      <c r="M144" s="504">
        <f t="shared" si="28"/>
        <v>0</v>
      </c>
      <c r="N144" s="512"/>
      <c r="O144" s="504">
        <f t="shared" si="29"/>
        <v>0</v>
      </c>
      <c r="P144" s="504">
        <f t="shared" si="30"/>
        <v>0</v>
      </c>
      <c r="Q144" s="243"/>
      <c r="R144" s="243"/>
      <c r="S144" s="243"/>
      <c r="T144" s="243"/>
      <c r="U144" s="243"/>
    </row>
    <row r="145" spans="2:21" ht="12.5">
      <c r="B145" s="145" t="str">
        <f t="shared" si="21"/>
        <v/>
      </c>
      <c r="C145" s="495">
        <f>IF(D94="","-",+C144+1)</f>
        <v>2058</v>
      </c>
      <c r="D145" s="349">
        <f>IF(F144+SUM(E$100:E144)=D$93,F144,D$93-SUM(E$100:E144))</f>
        <v>0</v>
      </c>
      <c r="E145" s="629">
        <f t="shared" si="23"/>
        <v>0</v>
      </c>
      <c r="F145" s="510">
        <f t="shared" si="24"/>
        <v>0</v>
      </c>
      <c r="G145" s="510">
        <f t="shared" si="25"/>
        <v>0</v>
      </c>
      <c r="H145" s="630">
        <f t="shared" si="26"/>
        <v>0</v>
      </c>
      <c r="I145" s="631">
        <f t="shared" si="27"/>
        <v>0</v>
      </c>
      <c r="J145" s="504">
        <f t="shared" si="22"/>
        <v>0</v>
      </c>
      <c r="K145" s="504"/>
      <c r="L145" s="512"/>
      <c r="M145" s="504">
        <f t="shared" si="28"/>
        <v>0</v>
      </c>
      <c r="N145" s="512"/>
      <c r="O145" s="504">
        <f t="shared" si="29"/>
        <v>0</v>
      </c>
      <c r="P145" s="504">
        <f t="shared" si="30"/>
        <v>0</v>
      </c>
      <c r="Q145" s="243"/>
      <c r="R145" s="243"/>
      <c r="S145" s="243"/>
      <c r="T145" s="243"/>
      <c r="U145" s="243"/>
    </row>
    <row r="146" spans="2:21" ht="12.5">
      <c r="B146" s="145" t="str">
        <f t="shared" si="21"/>
        <v/>
      </c>
      <c r="C146" s="495">
        <f>IF(D94="","-",+C145+1)</f>
        <v>2059</v>
      </c>
      <c r="D146" s="349">
        <f>IF(F145+SUM(E$100:E145)=D$93,F145,D$93-SUM(E$100:E145))</f>
        <v>0</v>
      </c>
      <c r="E146" s="629">
        <f t="shared" si="23"/>
        <v>0</v>
      </c>
      <c r="F146" s="510">
        <f t="shared" si="24"/>
        <v>0</v>
      </c>
      <c r="G146" s="510">
        <f t="shared" si="25"/>
        <v>0</v>
      </c>
      <c r="H146" s="630">
        <f t="shared" si="26"/>
        <v>0</v>
      </c>
      <c r="I146" s="631">
        <f t="shared" si="27"/>
        <v>0</v>
      </c>
      <c r="J146" s="504">
        <f t="shared" si="22"/>
        <v>0</v>
      </c>
      <c r="K146" s="504"/>
      <c r="L146" s="512"/>
      <c r="M146" s="504">
        <f t="shared" si="28"/>
        <v>0</v>
      </c>
      <c r="N146" s="512"/>
      <c r="O146" s="504">
        <f t="shared" si="29"/>
        <v>0</v>
      </c>
      <c r="P146" s="504">
        <f t="shared" si="30"/>
        <v>0</v>
      </c>
      <c r="Q146" s="243"/>
      <c r="R146" s="243"/>
      <c r="S146" s="243"/>
      <c r="T146" s="243"/>
      <c r="U146" s="243"/>
    </row>
    <row r="147" spans="2:21" ht="12.5">
      <c r="B147" s="145" t="str">
        <f t="shared" si="21"/>
        <v/>
      </c>
      <c r="C147" s="495">
        <f>IF(D94="","-",+C146+1)</f>
        <v>2060</v>
      </c>
      <c r="D147" s="349">
        <f>IF(F146+SUM(E$100:E146)=D$93,F146,D$93-SUM(E$100:E146))</f>
        <v>0</v>
      </c>
      <c r="E147" s="629">
        <f t="shared" si="23"/>
        <v>0</v>
      </c>
      <c r="F147" s="510">
        <f t="shared" si="24"/>
        <v>0</v>
      </c>
      <c r="G147" s="510">
        <f t="shared" si="25"/>
        <v>0</v>
      </c>
      <c r="H147" s="630">
        <f t="shared" si="26"/>
        <v>0</v>
      </c>
      <c r="I147" s="631">
        <f t="shared" si="27"/>
        <v>0</v>
      </c>
      <c r="J147" s="504">
        <f t="shared" si="22"/>
        <v>0</v>
      </c>
      <c r="K147" s="504"/>
      <c r="L147" s="512"/>
      <c r="M147" s="504">
        <f t="shared" si="28"/>
        <v>0</v>
      </c>
      <c r="N147" s="512"/>
      <c r="O147" s="504">
        <f t="shared" si="29"/>
        <v>0</v>
      </c>
      <c r="P147" s="504">
        <f t="shared" si="30"/>
        <v>0</v>
      </c>
      <c r="Q147" s="243"/>
      <c r="R147" s="243"/>
      <c r="S147" s="243"/>
      <c r="T147" s="243"/>
      <c r="U147" s="243"/>
    </row>
    <row r="148" spans="2:21" ht="12.5">
      <c r="B148" s="145" t="str">
        <f t="shared" si="21"/>
        <v/>
      </c>
      <c r="C148" s="495">
        <f>IF(D94="","-",+C147+1)</f>
        <v>2061</v>
      </c>
      <c r="D148" s="349">
        <f>IF(F147+SUM(E$100:E147)=D$93,F147,D$93-SUM(E$100:E147))</f>
        <v>0</v>
      </c>
      <c r="E148" s="629">
        <f t="shared" si="23"/>
        <v>0</v>
      </c>
      <c r="F148" s="510">
        <f t="shared" si="24"/>
        <v>0</v>
      </c>
      <c r="G148" s="510">
        <f t="shared" si="25"/>
        <v>0</v>
      </c>
      <c r="H148" s="630">
        <f t="shared" si="26"/>
        <v>0</v>
      </c>
      <c r="I148" s="631">
        <f t="shared" si="27"/>
        <v>0</v>
      </c>
      <c r="J148" s="504">
        <f t="shared" si="22"/>
        <v>0</v>
      </c>
      <c r="K148" s="504"/>
      <c r="L148" s="512"/>
      <c r="M148" s="504">
        <f t="shared" si="28"/>
        <v>0</v>
      </c>
      <c r="N148" s="512"/>
      <c r="O148" s="504">
        <f t="shared" si="29"/>
        <v>0</v>
      </c>
      <c r="P148" s="504">
        <f t="shared" si="30"/>
        <v>0</v>
      </c>
      <c r="Q148" s="243"/>
      <c r="R148" s="243"/>
      <c r="S148" s="243"/>
      <c r="T148" s="243"/>
      <c r="U148" s="243"/>
    </row>
    <row r="149" spans="2:21" ht="12.5">
      <c r="B149" s="145" t="str">
        <f t="shared" si="21"/>
        <v/>
      </c>
      <c r="C149" s="495">
        <f>IF(D94="","-",+C148+1)</f>
        <v>2062</v>
      </c>
      <c r="D149" s="349">
        <f>IF(F148+SUM(E$100:E148)=D$93,F148,D$93-SUM(E$100:E148))</f>
        <v>0</v>
      </c>
      <c r="E149" s="629">
        <f t="shared" si="23"/>
        <v>0</v>
      </c>
      <c r="F149" s="510">
        <f t="shared" si="24"/>
        <v>0</v>
      </c>
      <c r="G149" s="510">
        <f t="shared" si="25"/>
        <v>0</v>
      </c>
      <c r="H149" s="630">
        <f t="shared" si="26"/>
        <v>0</v>
      </c>
      <c r="I149" s="631">
        <f t="shared" si="27"/>
        <v>0</v>
      </c>
      <c r="J149" s="504">
        <f t="shared" si="22"/>
        <v>0</v>
      </c>
      <c r="K149" s="504"/>
      <c r="L149" s="512"/>
      <c r="M149" s="504">
        <f t="shared" si="28"/>
        <v>0</v>
      </c>
      <c r="N149" s="512"/>
      <c r="O149" s="504">
        <f t="shared" si="29"/>
        <v>0</v>
      </c>
      <c r="P149" s="504">
        <f t="shared" si="30"/>
        <v>0</v>
      </c>
      <c r="Q149" s="243"/>
      <c r="R149" s="243"/>
      <c r="S149" s="243"/>
      <c r="T149" s="243"/>
      <c r="U149" s="243"/>
    </row>
    <row r="150" spans="2:21" ht="12.5">
      <c r="B150" s="145" t="str">
        <f t="shared" si="21"/>
        <v/>
      </c>
      <c r="C150" s="495">
        <f>IF(D94="","-",+C149+1)</f>
        <v>2063</v>
      </c>
      <c r="D150" s="349">
        <f>IF(F149+SUM(E$100:E149)=D$93,F149,D$93-SUM(E$100:E149))</f>
        <v>0</v>
      </c>
      <c r="E150" s="629">
        <f t="shared" si="23"/>
        <v>0</v>
      </c>
      <c r="F150" s="510">
        <f t="shared" si="24"/>
        <v>0</v>
      </c>
      <c r="G150" s="510">
        <f t="shared" si="25"/>
        <v>0</v>
      </c>
      <c r="H150" s="630">
        <f t="shared" si="26"/>
        <v>0</v>
      </c>
      <c r="I150" s="631">
        <f t="shared" si="27"/>
        <v>0</v>
      </c>
      <c r="J150" s="504">
        <f t="shared" si="22"/>
        <v>0</v>
      </c>
      <c r="K150" s="504"/>
      <c r="L150" s="512"/>
      <c r="M150" s="504">
        <f t="shared" si="28"/>
        <v>0</v>
      </c>
      <c r="N150" s="512"/>
      <c r="O150" s="504">
        <f t="shared" si="29"/>
        <v>0</v>
      </c>
      <c r="P150" s="504">
        <f t="shared" si="30"/>
        <v>0</v>
      </c>
      <c r="Q150" s="243"/>
      <c r="R150" s="243"/>
      <c r="S150" s="243"/>
      <c r="T150" s="243"/>
      <c r="U150" s="243"/>
    </row>
    <row r="151" spans="2:21" ht="12.5">
      <c r="B151" s="145" t="str">
        <f t="shared" si="21"/>
        <v/>
      </c>
      <c r="C151" s="495">
        <f>IF(D94="","-",+C150+1)</f>
        <v>2064</v>
      </c>
      <c r="D151" s="349">
        <f>IF(F150+SUM(E$100:E150)=D$93,F150,D$93-SUM(E$100:E150))</f>
        <v>0</v>
      </c>
      <c r="E151" s="629">
        <f t="shared" si="23"/>
        <v>0</v>
      </c>
      <c r="F151" s="510">
        <f t="shared" si="24"/>
        <v>0</v>
      </c>
      <c r="G151" s="510">
        <f t="shared" si="25"/>
        <v>0</v>
      </c>
      <c r="H151" s="630">
        <f t="shared" si="26"/>
        <v>0</v>
      </c>
      <c r="I151" s="631">
        <f t="shared" si="27"/>
        <v>0</v>
      </c>
      <c r="J151" s="504">
        <f t="shared" si="22"/>
        <v>0</v>
      </c>
      <c r="K151" s="504"/>
      <c r="L151" s="512"/>
      <c r="M151" s="504">
        <f t="shared" si="28"/>
        <v>0</v>
      </c>
      <c r="N151" s="512"/>
      <c r="O151" s="504">
        <f t="shared" si="29"/>
        <v>0</v>
      </c>
      <c r="P151" s="504">
        <f t="shared" si="30"/>
        <v>0</v>
      </c>
      <c r="Q151" s="243"/>
      <c r="R151" s="243"/>
      <c r="S151" s="243"/>
      <c r="T151" s="243"/>
      <c r="U151" s="243"/>
    </row>
    <row r="152" spans="2:21" ht="12.5">
      <c r="B152" s="145" t="str">
        <f t="shared" si="21"/>
        <v/>
      </c>
      <c r="C152" s="495">
        <f>IF(D94="","-",+C151+1)</f>
        <v>2065</v>
      </c>
      <c r="D152" s="349">
        <f>IF(F151+SUM(E$100:E151)=D$93,F151,D$93-SUM(E$100:E151))</f>
        <v>0</v>
      </c>
      <c r="E152" s="629">
        <f t="shared" si="23"/>
        <v>0</v>
      </c>
      <c r="F152" s="510">
        <f t="shared" si="24"/>
        <v>0</v>
      </c>
      <c r="G152" s="510">
        <f t="shared" si="25"/>
        <v>0</v>
      </c>
      <c r="H152" s="630">
        <f t="shared" si="26"/>
        <v>0</v>
      </c>
      <c r="I152" s="631">
        <f t="shared" si="27"/>
        <v>0</v>
      </c>
      <c r="J152" s="504">
        <f t="shared" si="22"/>
        <v>0</v>
      </c>
      <c r="K152" s="504"/>
      <c r="L152" s="512"/>
      <c r="M152" s="504">
        <f t="shared" si="28"/>
        <v>0</v>
      </c>
      <c r="N152" s="512"/>
      <c r="O152" s="504">
        <f t="shared" si="29"/>
        <v>0</v>
      </c>
      <c r="P152" s="504">
        <f t="shared" si="30"/>
        <v>0</v>
      </c>
      <c r="Q152" s="243"/>
      <c r="R152" s="243"/>
      <c r="S152" s="243"/>
      <c r="T152" s="243"/>
      <c r="U152" s="243"/>
    </row>
    <row r="153" spans="2:21" ht="12.5">
      <c r="B153" s="145" t="str">
        <f t="shared" si="21"/>
        <v/>
      </c>
      <c r="C153" s="495">
        <f>IF(D94="","-",+C152+1)</f>
        <v>2066</v>
      </c>
      <c r="D153" s="349">
        <f>IF(F152+SUM(E$100:E152)=D$93,F152,D$93-SUM(E$100:E152))</f>
        <v>0</v>
      </c>
      <c r="E153" s="629">
        <f t="shared" si="23"/>
        <v>0</v>
      </c>
      <c r="F153" s="510">
        <f t="shared" si="24"/>
        <v>0</v>
      </c>
      <c r="G153" s="510">
        <f t="shared" si="25"/>
        <v>0</v>
      </c>
      <c r="H153" s="630">
        <f t="shared" si="26"/>
        <v>0</v>
      </c>
      <c r="I153" s="631">
        <f t="shared" si="27"/>
        <v>0</v>
      </c>
      <c r="J153" s="504">
        <f t="shared" si="22"/>
        <v>0</v>
      </c>
      <c r="K153" s="504"/>
      <c r="L153" s="512"/>
      <c r="M153" s="504">
        <f t="shared" si="28"/>
        <v>0</v>
      </c>
      <c r="N153" s="512"/>
      <c r="O153" s="504">
        <f t="shared" si="29"/>
        <v>0</v>
      </c>
      <c r="P153" s="504">
        <f t="shared" si="30"/>
        <v>0</v>
      </c>
      <c r="Q153" s="243"/>
      <c r="R153" s="243"/>
      <c r="S153" s="243"/>
      <c r="T153" s="243"/>
      <c r="U153" s="243"/>
    </row>
    <row r="154" spans="2:21" ht="12.5">
      <c r="B154" s="145" t="str">
        <f t="shared" si="21"/>
        <v/>
      </c>
      <c r="C154" s="495">
        <f>IF(D94="","-",+C153+1)</f>
        <v>2067</v>
      </c>
      <c r="D154" s="349">
        <f>IF(F153+SUM(E$100:E153)=D$93,F153,D$93-SUM(E$100:E153))</f>
        <v>0</v>
      </c>
      <c r="E154" s="629">
        <f t="shared" si="23"/>
        <v>0</v>
      </c>
      <c r="F154" s="510">
        <f t="shared" si="24"/>
        <v>0</v>
      </c>
      <c r="G154" s="510">
        <f t="shared" si="25"/>
        <v>0</v>
      </c>
      <c r="H154" s="630">
        <f t="shared" si="26"/>
        <v>0</v>
      </c>
      <c r="I154" s="631">
        <f t="shared" si="27"/>
        <v>0</v>
      </c>
      <c r="J154" s="504">
        <f t="shared" si="22"/>
        <v>0</v>
      </c>
      <c r="K154" s="504"/>
      <c r="L154" s="512"/>
      <c r="M154" s="504">
        <f t="shared" si="28"/>
        <v>0</v>
      </c>
      <c r="N154" s="512"/>
      <c r="O154" s="504">
        <f t="shared" si="29"/>
        <v>0</v>
      </c>
      <c r="P154" s="504">
        <f t="shared" si="30"/>
        <v>0</v>
      </c>
      <c r="Q154" s="243"/>
      <c r="R154" s="243"/>
      <c r="S154" s="243"/>
      <c r="T154" s="243"/>
      <c r="U154" s="243"/>
    </row>
    <row r="155" spans="2:21" ht="13" thickBot="1">
      <c r="B155" s="145" t="str">
        <f t="shared" si="21"/>
        <v/>
      </c>
      <c r="C155" s="524">
        <f>IF(D94="","-",+C154+1)</f>
        <v>2068</v>
      </c>
      <c r="D155" s="618">
        <f>IF(F154+SUM(E$100:E154)=D$93,F154,D$93-SUM(E$100:E154))</f>
        <v>0</v>
      </c>
      <c r="E155" s="632">
        <f t="shared" si="23"/>
        <v>0</v>
      </c>
      <c r="F155" s="527">
        <f t="shared" si="24"/>
        <v>0</v>
      </c>
      <c r="G155" s="527">
        <f t="shared" si="25"/>
        <v>0</v>
      </c>
      <c r="H155" s="633">
        <f t="shared" si="26"/>
        <v>0</v>
      </c>
      <c r="I155" s="634">
        <f t="shared" si="27"/>
        <v>0</v>
      </c>
      <c r="J155" s="531">
        <f t="shared" si="22"/>
        <v>0</v>
      </c>
      <c r="K155" s="504"/>
      <c r="L155" s="530"/>
      <c r="M155" s="531">
        <f t="shared" si="28"/>
        <v>0</v>
      </c>
      <c r="N155" s="530"/>
      <c r="O155" s="531">
        <f t="shared" si="29"/>
        <v>0</v>
      </c>
      <c r="P155" s="531">
        <f t="shared" si="30"/>
        <v>0</v>
      </c>
      <c r="Q155" s="243"/>
      <c r="R155" s="243"/>
      <c r="S155" s="243"/>
      <c r="T155" s="243"/>
      <c r="U155" s="243"/>
    </row>
    <row r="156" spans="2:21" ht="12.5">
      <c r="C156" s="349" t="s">
        <v>75</v>
      </c>
      <c r="D156" s="294"/>
      <c r="E156" s="294">
        <f>SUM(E100:E155)</f>
        <v>7210309.0000000009</v>
      </c>
      <c r="F156" s="294"/>
      <c r="G156" s="294"/>
      <c r="H156" s="294">
        <f>SUM(H100:H155)</f>
        <v>20816542.549472436</v>
      </c>
      <c r="I156" s="294">
        <f>SUM(I100:I155)</f>
        <v>20816542.549472436</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2" priority="1" stopIfTrue="1" operator="equal">
      <formula>$I$10</formula>
    </cfRule>
  </conditionalFormatting>
  <conditionalFormatting sqref="C100:C155">
    <cfRule type="cellIs" dxfId="31"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39997558519241921"/>
  </sheetPr>
  <dimension ref="A1:U163"/>
  <sheetViews>
    <sheetView view="pageBreakPreview" zoomScale="78" zoomScaleNormal="100" zoomScaleSheetLayoutView="78"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11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2497735.0197140798</v>
      </c>
      <c r="P5" s="243"/>
      <c r="R5" s="243"/>
      <c r="S5" s="243"/>
      <c r="T5" s="243"/>
      <c r="U5" s="243"/>
    </row>
    <row r="6" spans="1:21" ht="15.5">
      <c r="C6" s="235"/>
      <c r="D6" s="292"/>
      <c r="E6" s="243"/>
      <c r="F6" s="243"/>
      <c r="G6" s="243"/>
      <c r="H6" s="449"/>
      <c r="I6" s="449"/>
      <c r="J6" s="450"/>
      <c r="K6" s="451" t="s">
        <v>243</v>
      </c>
      <c r="L6" s="452"/>
      <c r="M6" s="278"/>
      <c r="N6" s="453">
        <f>VLOOKUP(I10,C17:I73,6)</f>
        <v>2497735.0197140798</v>
      </c>
      <c r="O6" s="243"/>
      <c r="P6" s="243"/>
      <c r="R6" s="243"/>
      <c r="S6" s="243"/>
      <c r="T6" s="243"/>
      <c r="U6" s="243"/>
    </row>
    <row r="7" spans="1:21" ht="13.5" thickBot="1">
      <c r="C7" s="454" t="s">
        <v>46</v>
      </c>
      <c r="D7" s="455" t="s">
        <v>222</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221</v>
      </c>
      <c r="E9" s="647" t="s">
        <v>302</v>
      </c>
      <c r="F9" s="465"/>
      <c r="G9" s="465"/>
      <c r="H9" s="465"/>
      <c r="I9" s="466"/>
      <c r="J9" s="467"/>
      <c r="O9" s="468"/>
      <c r="P9" s="278"/>
      <c r="R9" s="243"/>
      <c r="S9" s="243"/>
      <c r="T9" s="243"/>
      <c r="U9" s="243"/>
    </row>
    <row r="10" spans="1:21" ht="13">
      <c r="C10" s="469" t="s">
        <v>49</v>
      </c>
      <c r="D10" s="470">
        <v>20242585</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11</v>
      </c>
      <c r="E12" s="472" t="s">
        <v>55</v>
      </c>
      <c r="F12" s="408"/>
      <c r="G12" s="220"/>
      <c r="H12" s="220"/>
      <c r="I12" s="476">
        <f>OKT.WS.F.BPU.ATRR.Projected!$F$79</f>
        <v>0.10818506718567715</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652986.61290322582</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2014</v>
      </c>
      <c r="D17" s="612">
        <v>19043679.66</v>
      </c>
      <c r="E17" s="620">
        <v>27453.384639991029</v>
      </c>
      <c r="F17" s="612">
        <v>19016226.275360011</v>
      </c>
      <c r="G17" s="620">
        <v>376170.81030765898</v>
      </c>
      <c r="H17" s="617">
        <v>376170.81030765898</v>
      </c>
      <c r="I17" s="584">
        <v>0</v>
      </c>
      <c r="J17" s="500"/>
      <c r="K17" s="501">
        <f t="shared" ref="K17:K22" si="1">G17</f>
        <v>376170.81030765898</v>
      </c>
      <c r="L17" s="502">
        <f t="shared" ref="L17:L22" si="2">IF(K17&lt;&gt;0,+G17-K17,0)</f>
        <v>0</v>
      </c>
      <c r="M17" s="501">
        <f t="shared" ref="M17:M22" si="3">H17</f>
        <v>376170.81030765898</v>
      </c>
      <c r="N17" s="503">
        <f>IF(M17&lt;&gt;0,+H17-M17,0)</f>
        <v>0</v>
      </c>
      <c r="O17" s="504">
        <f>+N17-L17</f>
        <v>0</v>
      </c>
      <c r="P17" s="278"/>
      <c r="R17" s="243"/>
      <c r="S17" s="243"/>
      <c r="T17" s="243"/>
      <c r="U17" s="243"/>
    </row>
    <row r="18" spans="2:21" ht="12.5">
      <c r="B18" s="145" t="str">
        <f t="shared" si="0"/>
        <v/>
      </c>
      <c r="C18" s="495">
        <f>IF(D11="","-",+C17+1)</f>
        <v>2015</v>
      </c>
      <c r="D18" s="614">
        <v>19016226.275360011</v>
      </c>
      <c r="E18" s="613">
        <v>329440.61567989236</v>
      </c>
      <c r="F18" s="614">
        <v>18686785.659680117</v>
      </c>
      <c r="G18" s="613">
        <v>2255402.3674066337</v>
      </c>
      <c r="H18" s="617">
        <v>2255402.3674066337</v>
      </c>
      <c r="I18" s="500">
        <v>0</v>
      </c>
      <c r="J18" s="500"/>
      <c r="K18" s="506">
        <f t="shared" si="1"/>
        <v>2255402.3674066337</v>
      </c>
      <c r="L18" s="507">
        <f t="shared" si="2"/>
        <v>0</v>
      </c>
      <c r="M18" s="506">
        <f t="shared" si="3"/>
        <v>2255402.3674066337</v>
      </c>
      <c r="N18" s="504">
        <f>IF(M18&lt;&gt;0,+H18-M18,0)</f>
        <v>0</v>
      </c>
      <c r="O18" s="504">
        <f>+N18-L18</f>
        <v>0</v>
      </c>
      <c r="P18" s="278"/>
      <c r="R18" s="243"/>
      <c r="S18" s="243"/>
      <c r="T18" s="243"/>
      <c r="U18" s="243"/>
    </row>
    <row r="19" spans="2:21" ht="12.5">
      <c r="B19" s="145" t="str">
        <f t="shared" si="0"/>
        <v>IU</v>
      </c>
      <c r="C19" s="495">
        <f>IF(D11="","-",+C18+1)</f>
        <v>2016</v>
      </c>
      <c r="D19" s="614">
        <v>19821118.999680117</v>
      </c>
      <c r="E19" s="613">
        <v>419288.09601556091</v>
      </c>
      <c r="F19" s="614">
        <v>19401830.903664555</v>
      </c>
      <c r="G19" s="613">
        <v>2512364.7940132553</v>
      </c>
      <c r="H19" s="617">
        <v>2512364.7940132553</v>
      </c>
      <c r="I19" s="500">
        <f>H19-G19</f>
        <v>0</v>
      </c>
      <c r="J19" s="500"/>
      <c r="K19" s="506">
        <f t="shared" si="1"/>
        <v>2512364.7940132553</v>
      </c>
      <c r="L19" s="507">
        <f t="shared" si="2"/>
        <v>0</v>
      </c>
      <c r="M19" s="506">
        <f t="shared" si="3"/>
        <v>2512364.7940132553</v>
      </c>
      <c r="N19" s="504">
        <f t="shared" ref="N19:N73" si="4">IF(M19&lt;&gt;0,+H19-M19,0)</f>
        <v>0</v>
      </c>
      <c r="O19" s="504">
        <f t="shared" ref="O19:O73" si="5">+N19-L19</f>
        <v>0</v>
      </c>
      <c r="P19" s="278"/>
      <c r="R19" s="243"/>
      <c r="S19" s="243"/>
      <c r="T19" s="243"/>
      <c r="U19" s="243"/>
    </row>
    <row r="20" spans="2:21" ht="12.5">
      <c r="B20" s="145" t="str">
        <f t="shared" si="0"/>
        <v>IU</v>
      </c>
      <c r="C20" s="495">
        <f>IF(D11="","-",+C19+1)</f>
        <v>2017</v>
      </c>
      <c r="D20" s="614">
        <v>19471877.903664555</v>
      </c>
      <c r="E20" s="613">
        <v>398116.94637922302</v>
      </c>
      <c r="F20" s="614">
        <v>19073760.957285333</v>
      </c>
      <c r="G20" s="613">
        <v>2516970.1817795802</v>
      </c>
      <c r="H20" s="617">
        <v>2516970.1817795802</v>
      </c>
      <c r="I20" s="500">
        <f t="shared" ref="I20:I73" si="6">H20-G20</f>
        <v>0</v>
      </c>
      <c r="J20" s="500"/>
      <c r="K20" s="506">
        <f t="shared" si="1"/>
        <v>2516970.1817795802</v>
      </c>
      <c r="L20" s="507">
        <f t="shared" si="2"/>
        <v>0</v>
      </c>
      <c r="M20" s="506">
        <f t="shared" si="3"/>
        <v>2516970.1817795802</v>
      </c>
      <c r="N20" s="504">
        <f>IF(M20&lt;&gt;0,+H20-M20,0)</f>
        <v>0</v>
      </c>
      <c r="O20" s="504">
        <f>+N20-L20</f>
        <v>0</v>
      </c>
      <c r="P20" s="278"/>
      <c r="R20" s="243"/>
      <c r="S20" s="243"/>
      <c r="T20" s="243"/>
      <c r="U20" s="243"/>
    </row>
    <row r="21" spans="2:21" ht="12.5">
      <c r="B21" s="145" t="str">
        <f t="shared" si="0"/>
        <v/>
      </c>
      <c r="C21" s="495">
        <f>IF(D11="","-",+C20+1)</f>
        <v>2018</v>
      </c>
      <c r="D21" s="614">
        <v>19073760.957285333</v>
      </c>
      <c r="E21" s="613">
        <v>496575.20652112603</v>
      </c>
      <c r="F21" s="614">
        <v>18577185.750764206</v>
      </c>
      <c r="G21" s="613">
        <v>2409688.5146536361</v>
      </c>
      <c r="H21" s="617">
        <v>2409688.5146536361</v>
      </c>
      <c r="I21" s="500">
        <v>0</v>
      </c>
      <c r="J21" s="500"/>
      <c r="K21" s="506">
        <f t="shared" si="1"/>
        <v>2409688.5146536361</v>
      </c>
      <c r="L21" s="507">
        <f t="shared" si="2"/>
        <v>0</v>
      </c>
      <c r="M21" s="506">
        <f t="shared" si="3"/>
        <v>2409688.5146536361</v>
      </c>
      <c r="N21" s="504">
        <f>IF(M21&lt;&gt;0,+H21-M21,0)</f>
        <v>0</v>
      </c>
      <c r="O21" s="504">
        <f>+N21-L21</f>
        <v>0</v>
      </c>
      <c r="P21" s="278"/>
      <c r="R21" s="243"/>
      <c r="S21" s="243"/>
      <c r="T21" s="243"/>
      <c r="U21" s="243"/>
    </row>
    <row r="22" spans="2:21" ht="12.5">
      <c r="B22" s="145" t="str">
        <f t="shared" si="0"/>
        <v/>
      </c>
      <c r="C22" s="495">
        <f>IF(D11="","-",+C21+1)</f>
        <v>2019</v>
      </c>
      <c r="D22" s="614">
        <v>18577185.750764206</v>
      </c>
      <c r="E22" s="613">
        <v>600534.11201085045</v>
      </c>
      <c r="F22" s="614">
        <v>17976651.638753355</v>
      </c>
      <c r="G22" s="613">
        <v>2500163.2849116144</v>
      </c>
      <c r="H22" s="617">
        <v>2500163.2849116144</v>
      </c>
      <c r="I22" s="500">
        <f t="shared" si="6"/>
        <v>0</v>
      </c>
      <c r="J22" s="500"/>
      <c r="K22" s="506">
        <f t="shared" si="1"/>
        <v>2500163.2849116144</v>
      </c>
      <c r="L22" s="507">
        <f t="shared" si="2"/>
        <v>0</v>
      </c>
      <c r="M22" s="506">
        <f t="shared" si="3"/>
        <v>2500163.2849116144</v>
      </c>
      <c r="N22" s="504">
        <f>IF(M22&lt;&gt;0,+H22-M22,0)</f>
        <v>0</v>
      </c>
      <c r="O22" s="504">
        <f>+N22-L22</f>
        <v>0</v>
      </c>
      <c r="P22" s="278"/>
      <c r="R22" s="243"/>
      <c r="S22" s="243"/>
      <c r="T22" s="243"/>
      <c r="U22" s="243"/>
    </row>
    <row r="23" spans="2:21" ht="12.5">
      <c r="B23" s="145" t="str">
        <f t="shared" si="0"/>
        <v>IU</v>
      </c>
      <c r="C23" s="495">
        <f>IF(D11="","-",+C22+1)</f>
        <v>2020</v>
      </c>
      <c r="D23" s="614">
        <v>18080586.019661143</v>
      </c>
      <c r="E23" s="613">
        <v>592899.2478612588</v>
      </c>
      <c r="F23" s="614">
        <v>17487686.771799885</v>
      </c>
      <c r="G23" s="613">
        <v>2459032.5411911216</v>
      </c>
      <c r="H23" s="617">
        <v>2459032.5411911216</v>
      </c>
      <c r="I23" s="500">
        <f t="shared" si="6"/>
        <v>0</v>
      </c>
      <c r="J23" s="500"/>
      <c r="K23" s="506">
        <f t="shared" ref="K23" si="7">G23</f>
        <v>2459032.5411911216</v>
      </c>
      <c r="L23" s="507">
        <f t="shared" ref="L23" si="8">IF(K23&lt;&gt;0,+G23-K23,0)</f>
        <v>0</v>
      </c>
      <c r="M23" s="506">
        <f t="shared" ref="M23" si="9">H23</f>
        <v>2459032.5411911216</v>
      </c>
      <c r="N23" s="504">
        <f>IF(M23&lt;&gt;0,+H23-M23,0)</f>
        <v>0</v>
      </c>
      <c r="O23" s="504">
        <f t="shared" si="5"/>
        <v>0</v>
      </c>
      <c r="P23" s="278"/>
      <c r="R23" s="243"/>
      <c r="S23" s="243"/>
      <c r="T23" s="243"/>
      <c r="U23" s="243"/>
    </row>
    <row r="24" spans="2:21" ht="12.5">
      <c r="B24" s="145" t="str">
        <f t="shared" si="0"/>
        <v>IU</v>
      </c>
      <c r="C24" s="495">
        <f>IF(D11="","-",+C23+1)</f>
        <v>2021</v>
      </c>
      <c r="D24" s="508">
        <f>IF(F23+SUM(E$17:E23)=D$10,F23,D$10-SUM(E$17:E23))</f>
        <v>17378277.390892096</v>
      </c>
      <c r="E24" s="509">
        <f t="shared" ref="E24:E73" si="10">IF(+$I$14&lt;F23,$I$14,D24)</f>
        <v>652986.61290322582</v>
      </c>
      <c r="F24" s="510">
        <f t="shared" ref="F24:F73" si="11">+D24-E24</f>
        <v>16725290.77798887</v>
      </c>
      <c r="G24" s="511">
        <f t="shared" ref="G24:G73" si="12">(D24+F24)/2*I$12+E24</f>
        <v>2497735.0197140798</v>
      </c>
      <c r="H24" s="477">
        <f t="shared" ref="H24:H73" si="13">+(D24+F24)/2*I$13+E24</f>
        <v>2497735.0197140798</v>
      </c>
      <c r="I24" s="500">
        <f t="shared" si="6"/>
        <v>0</v>
      </c>
      <c r="J24" s="500"/>
      <c r="K24" s="512"/>
      <c r="L24" s="504">
        <f t="shared" ref="L24:L73" si="14">IF(K24&lt;&gt;0,+G24-K24,0)</f>
        <v>0</v>
      </c>
      <c r="M24" s="512"/>
      <c r="N24" s="504">
        <f t="shared" si="4"/>
        <v>0</v>
      </c>
      <c r="O24" s="504">
        <f t="shared" si="5"/>
        <v>0</v>
      </c>
      <c r="P24" s="278"/>
      <c r="R24" s="243"/>
      <c r="S24" s="243"/>
      <c r="T24" s="243"/>
      <c r="U24" s="243"/>
    </row>
    <row r="25" spans="2:21" ht="12.5">
      <c r="B25" s="145" t="str">
        <f t="shared" si="0"/>
        <v/>
      </c>
      <c r="C25" s="495">
        <f>IF(D11="","-",+C24+1)</f>
        <v>2022</v>
      </c>
      <c r="D25" s="508">
        <f>IF(F24+SUM(E$17:E24)=D$10,F24,D$10-SUM(E$17:E24))</f>
        <v>16725290.77798887</v>
      </c>
      <c r="E25" s="509">
        <f t="shared" si="10"/>
        <v>652986.61290322582</v>
      </c>
      <c r="F25" s="510">
        <f t="shared" si="11"/>
        <v>16072304.165085644</v>
      </c>
      <c r="G25" s="511">
        <f t="shared" si="12"/>
        <v>2427091.6191257965</v>
      </c>
      <c r="H25" s="477">
        <f t="shared" si="13"/>
        <v>2427091.6191257965</v>
      </c>
      <c r="I25" s="500">
        <f t="shared" si="6"/>
        <v>0</v>
      </c>
      <c r="J25" s="500"/>
      <c r="K25" s="512"/>
      <c r="L25" s="504">
        <f t="shared" si="14"/>
        <v>0</v>
      </c>
      <c r="M25" s="512"/>
      <c r="N25" s="504">
        <f t="shared" si="4"/>
        <v>0</v>
      </c>
      <c r="O25" s="504">
        <f t="shared" si="5"/>
        <v>0</v>
      </c>
      <c r="P25" s="278"/>
      <c r="R25" s="243"/>
      <c r="S25" s="243"/>
      <c r="T25" s="243"/>
      <c r="U25" s="243"/>
    </row>
    <row r="26" spans="2:21" ht="12.5">
      <c r="B26" s="145" t="str">
        <f t="shared" si="0"/>
        <v/>
      </c>
      <c r="C26" s="495">
        <f>IF(D11="","-",+C25+1)</f>
        <v>2023</v>
      </c>
      <c r="D26" s="508">
        <f>IF(F25+SUM(E$17:E25)=D$10,F25,D$10-SUM(E$17:E25))</f>
        <v>16072304.165085644</v>
      </c>
      <c r="E26" s="509">
        <f t="shared" si="10"/>
        <v>652986.61290322582</v>
      </c>
      <c r="F26" s="510">
        <f t="shared" si="11"/>
        <v>15419317.552182417</v>
      </c>
      <c r="G26" s="511">
        <f t="shared" si="12"/>
        <v>2356448.2185375132</v>
      </c>
      <c r="H26" s="477">
        <f t="shared" si="13"/>
        <v>2356448.2185375132</v>
      </c>
      <c r="I26" s="500">
        <f t="shared" si="6"/>
        <v>0</v>
      </c>
      <c r="J26" s="500"/>
      <c r="K26" s="512"/>
      <c r="L26" s="504">
        <f t="shared" si="14"/>
        <v>0</v>
      </c>
      <c r="M26" s="512"/>
      <c r="N26" s="504">
        <f t="shared" si="4"/>
        <v>0</v>
      </c>
      <c r="O26" s="504">
        <f t="shared" si="5"/>
        <v>0</v>
      </c>
      <c r="P26" s="278"/>
      <c r="R26" s="243"/>
      <c r="S26" s="243"/>
      <c r="T26" s="243"/>
      <c r="U26" s="243"/>
    </row>
    <row r="27" spans="2:21" ht="12.5">
      <c r="B27" s="145" t="str">
        <f t="shared" si="0"/>
        <v/>
      </c>
      <c r="C27" s="495">
        <f>IF(D11="","-",+C26+1)</f>
        <v>2024</v>
      </c>
      <c r="D27" s="508">
        <f>IF(F26+SUM(E$17:E26)=D$10,F26,D$10-SUM(E$17:E26))</f>
        <v>15419317.552182417</v>
      </c>
      <c r="E27" s="509">
        <f t="shared" si="10"/>
        <v>652986.61290322582</v>
      </c>
      <c r="F27" s="510">
        <f t="shared" si="11"/>
        <v>14766330.939279191</v>
      </c>
      <c r="G27" s="511">
        <f t="shared" si="12"/>
        <v>2285804.8179492299</v>
      </c>
      <c r="H27" s="477">
        <f t="shared" si="13"/>
        <v>2285804.8179492299</v>
      </c>
      <c r="I27" s="500">
        <f t="shared" si="6"/>
        <v>0</v>
      </c>
      <c r="J27" s="500"/>
      <c r="K27" s="512"/>
      <c r="L27" s="504">
        <f t="shared" si="14"/>
        <v>0</v>
      </c>
      <c r="M27" s="512"/>
      <c r="N27" s="504">
        <f t="shared" si="4"/>
        <v>0</v>
      </c>
      <c r="O27" s="504">
        <f t="shared" si="5"/>
        <v>0</v>
      </c>
      <c r="P27" s="278"/>
      <c r="R27" s="243"/>
      <c r="S27" s="243"/>
      <c r="T27" s="243"/>
      <c r="U27" s="243"/>
    </row>
    <row r="28" spans="2:21" ht="12.5">
      <c r="B28" s="145" t="str">
        <f t="shared" si="0"/>
        <v/>
      </c>
      <c r="C28" s="495">
        <f>IF(D11="","-",+C27+1)</f>
        <v>2025</v>
      </c>
      <c r="D28" s="508">
        <f>IF(F27+SUM(E$17:E27)=D$10,F27,D$10-SUM(E$17:E27))</f>
        <v>14766330.939279191</v>
      </c>
      <c r="E28" s="509">
        <f t="shared" si="10"/>
        <v>652986.61290322582</v>
      </c>
      <c r="F28" s="510">
        <f t="shared" si="11"/>
        <v>14113344.326375965</v>
      </c>
      <c r="G28" s="511">
        <f t="shared" si="12"/>
        <v>2215161.4173609465</v>
      </c>
      <c r="H28" s="477">
        <f t="shared" si="13"/>
        <v>2215161.4173609465</v>
      </c>
      <c r="I28" s="500">
        <f t="shared" si="6"/>
        <v>0</v>
      </c>
      <c r="J28" s="500"/>
      <c r="K28" s="512"/>
      <c r="L28" s="504">
        <f t="shared" si="14"/>
        <v>0</v>
      </c>
      <c r="M28" s="512"/>
      <c r="N28" s="504">
        <f t="shared" si="4"/>
        <v>0</v>
      </c>
      <c r="O28" s="504">
        <f t="shared" si="5"/>
        <v>0</v>
      </c>
      <c r="P28" s="278"/>
      <c r="R28" s="243"/>
      <c r="S28" s="243"/>
      <c r="T28" s="243"/>
      <c r="U28" s="243"/>
    </row>
    <row r="29" spans="2:21" ht="12.5">
      <c r="B29" s="145" t="str">
        <f t="shared" si="0"/>
        <v/>
      </c>
      <c r="C29" s="495">
        <f>IF(D11="","-",+C28+1)</f>
        <v>2026</v>
      </c>
      <c r="D29" s="508">
        <f>IF(F28+SUM(E$17:E28)=D$10,F28,D$10-SUM(E$17:E28))</f>
        <v>14113344.326375965</v>
      </c>
      <c r="E29" s="509">
        <f t="shared" si="10"/>
        <v>652986.61290322582</v>
      </c>
      <c r="F29" s="510">
        <f t="shared" si="11"/>
        <v>13460357.713472739</v>
      </c>
      <c r="G29" s="511">
        <f t="shared" si="12"/>
        <v>2144518.0167726632</v>
      </c>
      <c r="H29" s="477">
        <f t="shared" si="13"/>
        <v>2144518.0167726632</v>
      </c>
      <c r="I29" s="500">
        <f t="shared" si="6"/>
        <v>0</v>
      </c>
      <c r="J29" s="500"/>
      <c r="K29" s="512"/>
      <c r="L29" s="504">
        <f t="shared" si="14"/>
        <v>0</v>
      </c>
      <c r="M29" s="512"/>
      <c r="N29" s="504">
        <f t="shared" si="4"/>
        <v>0</v>
      </c>
      <c r="O29" s="504">
        <f t="shared" si="5"/>
        <v>0</v>
      </c>
      <c r="P29" s="278"/>
      <c r="R29" s="243"/>
      <c r="S29" s="243"/>
      <c r="T29" s="243"/>
      <c r="U29" s="243"/>
    </row>
    <row r="30" spans="2:21" ht="12.5">
      <c r="B30" s="145" t="str">
        <f t="shared" si="0"/>
        <v/>
      </c>
      <c r="C30" s="495">
        <f>IF(D11="","-",+C29+1)</f>
        <v>2027</v>
      </c>
      <c r="D30" s="508">
        <f>IF(F29+SUM(E$17:E29)=D$10,F29,D$10-SUM(E$17:E29))</f>
        <v>13460357.713472739</v>
      </c>
      <c r="E30" s="509">
        <f t="shared" si="10"/>
        <v>652986.61290322582</v>
      </c>
      <c r="F30" s="510">
        <f t="shared" si="11"/>
        <v>12807371.100569513</v>
      </c>
      <c r="G30" s="511">
        <f t="shared" si="12"/>
        <v>2073874.6161843799</v>
      </c>
      <c r="H30" s="477">
        <f t="shared" si="13"/>
        <v>2073874.6161843799</v>
      </c>
      <c r="I30" s="500">
        <f t="shared" si="6"/>
        <v>0</v>
      </c>
      <c r="J30" s="500"/>
      <c r="K30" s="512"/>
      <c r="L30" s="504">
        <f t="shared" si="14"/>
        <v>0</v>
      </c>
      <c r="M30" s="512"/>
      <c r="N30" s="504">
        <f t="shared" si="4"/>
        <v>0</v>
      </c>
      <c r="O30" s="504">
        <f t="shared" si="5"/>
        <v>0</v>
      </c>
      <c r="P30" s="278"/>
      <c r="R30" s="243"/>
      <c r="S30" s="243"/>
      <c r="T30" s="243"/>
      <c r="U30" s="243"/>
    </row>
    <row r="31" spans="2:21" ht="12.5">
      <c r="B31" s="145" t="str">
        <f t="shared" si="0"/>
        <v/>
      </c>
      <c r="C31" s="495">
        <f>IF(D11="","-",+C30+1)</f>
        <v>2028</v>
      </c>
      <c r="D31" s="508">
        <f>IF(F30+SUM(E$17:E30)=D$10,F30,D$10-SUM(E$17:E30))</f>
        <v>12807371.100569513</v>
      </c>
      <c r="E31" s="509">
        <f t="shared" si="10"/>
        <v>652986.61290322582</v>
      </c>
      <c r="F31" s="510">
        <f t="shared" si="11"/>
        <v>12154384.487666287</v>
      </c>
      <c r="G31" s="511">
        <f t="shared" si="12"/>
        <v>2003231.2155960966</v>
      </c>
      <c r="H31" s="477">
        <f t="shared" si="13"/>
        <v>2003231.2155960966</v>
      </c>
      <c r="I31" s="500">
        <f t="shared" si="6"/>
        <v>0</v>
      </c>
      <c r="J31" s="500"/>
      <c r="K31" s="512"/>
      <c r="L31" s="504">
        <f t="shared" si="14"/>
        <v>0</v>
      </c>
      <c r="M31" s="512"/>
      <c r="N31" s="504">
        <f t="shared" si="4"/>
        <v>0</v>
      </c>
      <c r="O31" s="504">
        <f t="shared" si="5"/>
        <v>0</v>
      </c>
      <c r="P31" s="278"/>
      <c r="Q31" s="220"/>
      <c r="R31" s="278"/>
      <c r="S31" s="278"/>
      <c r="T31" s="278"/>
      <c r="U31" s="243"/>
    </row>
    <row r="32" spans="2:21" ht="12.5">
      <c r="B32" s="145" t="str">
        <f t="shared" si="0"/>
        <v/>
      </c>
      <c r="C32" s="495">
        <f>IF(D12="","-",+C31+1)</f>
        <v>2029</v>
      </c>
      <c r="D32" s="508">
        <f>IF(F31+SUM(E$17:E31)=D$10,F31,D$10-SUM(E$17:E31))</f>
        <v>12154384.487666287</v>
      </c>
      <c r="E32" s="509">
        <f>IF(+$I$14&lt;F31,$I$14,D32)</f>
        <v>652986.61290322582</v>
      </c>
      <c r="F32" s="510">
        <f>+D32-E32</f>
        <v>11501397.87476306</v>
      </c>
      <c r="G32" s="511">
        <f t="shared" si="12"/>
        <v>1932587.8150078137</v>
      </c>
      <c r="H32" s="477">
        <f t="shared" si="13"/>
        <v>1932587.8150078137</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2030</v>
      </c>
      <c r="D33" s="508">
        <f>IF(F32+SUM(E$17:E32)=D$10,F32,D$10-SUM(E$17:E32))</f>
        <v>11501397.87476306</v>
      </c>
      <c r="E33" s="509">
        <f>IF(+$I$14&lt;F32,$I$14,D33)</f>
        <v>652986.61290322582</v>
      </c>
      <c r="F33" s="510">
        <f>+D33-E33</f>
        <v>10848411.261859834</v>
      </c>
      <c r="G33" s="511">
        <f t="shared" si="12"/>
        <v>1861944.4144195304</v>
      </c>
      <c r="H33" s="477">
        <f t="shared" si="13"/>
        <v>1861944.4144195304</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2031</v>
      </c>
      <c r="D34" s="514">
        <f>IF(F33+SUM(E$17:E33)=D$10,F33,D$10-SUM(E$17:E33))</f>
        <v>10848411.261859834</v>
      </c>
      <c r="E34" s="515">
        <f t="shared" si="10"/>
        <v>652986.61290322582</v>
      </c>
      <c r="F34" s="516">
        <f t="shared" si="11"/>
        <v>10195424.648956608</v>
      </c>
      <c r="G34" s="511">
        <f t="shared" si="12"/>
        <v>1791301.0138312471</v>
      </c>
      <c r="H34" s="477">
        <f t="shared" si="13"/>
        <v>1791301.0138312471</v>
      </c>
      <c r="I34" s="519">
        <f t="shared" si="6"/>
        <v>0</v>
      </c>
      <c r="J34" s="519"/>
      <c r="K34" s="520"/>
      <c r="L34" s="521">
        <f t="shared" si="14"/>
        <v>0</v>
      </c>
      <c r="M34" s="520"/>
      <c r="N34" s="521">
        <f t="shared" si="4"/>
        <v>0</v>
      </c>
      <c r="O34" s="521">
        <f t="shared" si="5"/>
        <v>0</v>
      </c>
      <c r="P34" s="522"/>
      <c r="Q34" s="216"/>
      <c r="R34" s="522"/>
      <c r="S34" s="522"/>
      <c r="T34" s="522"/>
      <c r="U34" s="243"/>
    </row>
    <row r="35" spans="2:21" ht="12.5">
      <c r="B35" s="145" t="str">
        <f t="shared" si="0"/>
        <v/>
      </c>
      <c r="C35" s="495">
        <f>IF(D11="","-",+C34+1)</f>
        <v>2032</v>
      </c>
      <c r="D35" s="508">
        <f>IF(F34+SUM(E$17:E34)=D$10,F34,D$10-SUM(E$17:E34))</f>
        <v>10195424.648956608</v>
      </c>
      <c r="E35" s="509">
        <f t="shared" si="10"/>
        <v>652986.61290322582</v>
      </c>
      <c r="F35" s="510">
        <f t="shared" si="11"/>
        <v>9542438.0360533819</v>
      </c>
      <c r="G35" s="511">
        <f t="shared" si="12"/>
        <v>1720657.6132429638</v>
      </c>
      <c r="H35" s="477">
        <f t="shared" si="13"/>
        <v>1720657.6132429638</v>
      </c>
      <c r="I35" s="500">
        <f t="shared" si="6"/>
        <v>0</v>
      </c>
      <c r="J35" s="500"/>
      <c r="K35" s="512"/>
      <c r="L35" s="504">
        <f t="shared" si="14"/>
        <v>0</v>
      </c>
      <c r="M35" s="512"/>
      <c r="N35" s="504">
        <f t="shared" si="4"/>
        <v>0</v>
      </c>
      <c r="O35" s="504">
        <f t="shared" si="5"/>
        <v>0</v>
      </c>
      <c r="P35" s="278"/>
      <c r="R35" s="243"/>
      <c r="S35" s="243"/>
      <c r="T35" s="243"/>
      <c r="U35" s="243"/>
    </row>
    <row r="36" spans="2:21" ht="12.5">
      <c r="B36" s="145" t="str">
        <f t="shared" si="0"/>
        <v/>
      </c>
      <c r="C36" s="495">
        <f>IF(D11="","-",+C35+1)</f>
        <v>2033</v>
      </c>
      <c r="D36" s="508">
        <f>IF(F35+SUM(E$17:E35)=D$10,F35,D$10-SUM(E$17:E35))</f>
        <v>9542438.0360533819</v>
      </c>
      <c r="E36" s="509">
        <f t="shared" si="10"/>
        <v>652986.61290322582</v>
      </c>
      <c r="F36" s="510">
        <f t="shared" si="11"/>
        <v>8889451.4231501557</v>
      </c>
      <c r="G36" s="511">
        <f t="shared" si="12"/>
        <v>1650014.2126546805</v>
      </c>
      <c r="H36" s="477">
        <f t="shared" si="13"/>
        <v>1650014.2126546805</v>
      </c>
      <c r="I36" s="500">
        <f t="shared" si="6"/>
        <v>0</v>
      </c>
      <c r="J36" s="500"/>
      <c r="K36" s="512"/>
      <c r="L36" s="504">
        <f t="shared" si="14"/>
        <v>0</v>
      </c>
      <c r="M36" s="512"/>
      <c r="N36" s="504">
        <f t="shared" si="4"/>
        <v>0</v>
      </c>
      <c r="O36" s="504">
        <f t="shared" si="5"/>
        <v>0</v>
      </c>
      <c r="P36" s="278"/>
      <c r="R36" s="243"/>
      <c r="S36" s="243"/>
      <c r="T36" s="243"/>
      <c r="U36" s="243"/>
    </row>
    <row r="37" spans="2:21" ht="12.5">
      <c r="B37" s="145" t="str">
        <f t="shared" si="0"/>
        <v/>
      </c>
      <c r="C37" s="495">
        <f>IF(D11="","-",+C36+1)</f>
        <v>2034</v>
      </c>
      <c r="D37" s="508">
        <f>IF(F36+SUM(E$17:E36)=D$10,F36,D$10-SUM(E$17:E36))</f>
        <v>8889451.4231501557</v>
      </c>
      <c r="E37" s="509">
        <f t="shared" si="10"/>
        <v>652986.61290322582</v>
      </c>
      <c r="F37" s="510">
        <f t="shared" si="11"/>
        <v>8236464.8102469295</v>
      </c>
      <c r="G37" s="511">
        <f t="shared" si="12"/>
        <v>1579370.8120663972</v>
      </c>
      <c r="H37" s="477">
        <f t="shared" si="13"/>
        <v>1579370.8120663972</v>
      </c>
      <c r="I37" s="500">
        <f t="shared" si="6"/>
        <v>0</v>
      </c>
      <c r="J37" s="500"/>
      <c r="K37" s="512"/>
      <c r="L37" s="504">
        <f t="shared" si="14"/>
        <v>0</v>
      </c>
      <c r="M37" s="512"/>
      <c r="N37" s="504">
        <f t="shared" si="4"/>
        <v>0</v>
      </c>
      <c r="O37" s="504">
        <f t="shared" si="5"/>
        <v>0</v>
      </c>
      <c r="P37" s="278"/>
      <c r="R37" s="243"/>
      <c r="S37" s="243"/>
      <c r="T37" s="243"/>
      <c r="U37" s="243"/>
    </row>
    <row r="38" spans="2:21" ht="12.5">
      <c r="B38" s="145" t="str">
        <f t="shared" si="0"/>
        <v/>
      </c>
      <c r="C38" s="495">
        <f>IF(D11="","-",+C37+1)</f>
        <v>2035</v>
      </c>
      <c r="D38" s="508">
        <f>IF(F37+SUM(E$17:E37)=D$10,F37,D$10-SUM(E$17:E37))</f>
        <v>8236464.8102469295</v>
      </c>
      <c r="E38" s="509">
        <f t="shared" si="10"/>
        <v>652986.61290322582</v>
      </c>
      <c r="F38" s="510">
        <f t="shared" si="11"/>
        <v>7583478.1973437034</v>
      </c>
      <c r="G38" s="511">
        <f t="shared" si="12"/>
        <v>1508727.4114781138</v>
      </c>
      <c r="H38" s="477">
        <f t="shared" si="13"/>
        <v>1508727.4114781138</v>
      </c>
      <c r="I38" s="500">
        <f t="shared" si="6"/>
        <v>0</v>
      </c>
      <c r="J38" s="500"/>
      <c r="K38" s="512"/>
      <c r="L38" s="504">
        <f t="shared" si="14"/>
        <v>0</v>
      </c>
      <c r="M38" s="512"/>
      <c r="N38" s="504">
        <f t="shared" si="4"/>
        <v>0</v>
      </c>
      <c r="O38" s="504">
        <f t="shared" si="5"/>
        <v>0</v>
      </c>
      <c r="P38" s="278"/>
      <c r="R38" s="243"/>
      <c r="S38" s="243"/>
      <c r="T38" s="243"/>
      <c r="U38" s="243"/>
    </row>
    <row r="39" spans="2:21" ht="12.5">
      <c r="B39" s="145" t="str">
        <f t="shared" si="0"/>
        <v/>
      </c>
      <c r="C39" s="495">
        <f>IF(D11="","-",+C38+1)</f>
        <v>2036</v>
      </c>
      <c r="D39" s="508">
        <f>IF(F38+SUM(E$17:E38)=D$10,F38,D$10-SUM(E$17:E38))</f>
        <v>7583478.1973437034</v>
      </c>
      <c r="E39" s="509">
        <f t="shared" si="10"/>
        <v>652986.61290322582</v>
      </c>
      <c r="F39" s="510">
        <f t="shared" si="11"/>
        <v>6930491.5844404772</v>
      </c>
      <c r="G39" s="511">
        <f t="shared" si="12"/>
        <v>1438084.0108898305</v>
      </c>
      <c r="H39" s="477">
        <f t="shared" si="13"/>
        <v>1438084.0108898305</v>
      </c>
      <c r="I39" s="500">
        <f t="shared" si="6"/>
        <v>0</v>
      </c>
      <c r="J39" s="500"/>
      <c r="K39" s="512"/>
      <c r="L39" s="504">
        <f t="shared" si="14"/>
        <v>0</v>
      </c>
      <c r="M39" s="512"/>
      <c r="N39" s="504">
        <f t="shared" si="4"/>
        <v>0</v>
      </c>
      <c r="O39" s="504">
        <f t="shared" si="5"/>
        <v>0</v>
      </c>
      <c r="P39" s="278"/>
      <c r="R39" s="243"/>
      <c r="S39" s="243"/>
      <c r="T39" s="243"/>
      <c r="U39" s="243"/>
    </row>
    <row r="40" spans="2:21" ht="12.5">
      <c r="B40" s="145" t="str">
        <f t="shared" si="0"/>
        <v/>
      </c>
      <c r="C40" s="495">
        <f>IF(D11="","-",+C39+1)</f>
        <v>2037</v>
      </c>
      <c r="D40" s="508">
        <f>IF(F39+SUM(E$17:E39)=D$10,F39,D$10-SUM(E$17:E39))</f>
        <v>6930491.5844404772</v>
      </c>
      <c r="E40" s="509">
        <f t="shared" si="10"/>
        <v>652986.61290322582</v>
      </c>
      <c r="F40" s="510">
        <f t="shared" si="11"/>
        <v>6277504.971537251</v>
      </c>
      <c r="G40" s="511">
        <f t="shared" si="12"/>
        <v>1367440.6103015472</v>
      </c>
      <c r="H40" s="477">
        <f t="shared" si="13"/>
        <v>1367440.6103015472</v>
      </c>
      <c r="I40" s="500">
        <f t="shared" si="6"/>
        <v>0</v>
      </c>
      <c r="J40" s="500"/>
      <c r="K40" s="512"/>
      <c r="L40" s="504">
        <f t="shared" si="14"/>
        <v>0</v>
      </c>
      <c r="M40" s="512"/>
      <c r="N40" s="504">
        <f t="shared" si="4"/>
        <v>0</v>
      </c>
      <c r="O40" s="504">
        <f t="shared" si="5"/>
        <v>0</v>
      </c>
      <c r="P40" s="278"/>
      <c r="R40" s="243"/>
      <c r="S40" s="243"/>
      <c r="T40" s="243"/>
      <c r="U40" s="243"/>
    </row>
    <row r="41" spans="2:21" ht="12.5">
      <c r="B41" s="145" t="str">
        <f t="shared" si="0"/>
        <v/>
      </c>
      <c r="C41" s="495">
        <f>IF(D12="","-",+C40+1)</f>
        <v>2038</v>
      </c>
      <c r="D41" s="508">
        <f>IF(F40+SUM(E$17:E40)=D$10,F40,D$10-SUM(E$17:E40))</f>
        <v>6277504.971537251</v>
      </c>
      <c r="E41" s="509">
        <f t="shared" si="10"/>
        <v>652986.61290322582</v>
      </c>
      <c r="F41" s="510">
        <f t="shared" si="11"/>
        <v>5624518.3586340249</v>
      </c>
      <c r="G41" s="511">
        <f t="shared" si="12"/>
        <v>1296797.2097132639</v>
      </c>
      <c r="H41" s="477">
        <f t="shared" si="13"/>
        <v>1296797.2097132639</v>
      </c>
      <c r="I41" s="500">
        <f t="shared" si="6"/>
        <v>0</v>
      </c>
      <c r="J41" s="500"/>
      <c r="K41" s="512"/>
      <c r="L41" s="504">
        <f t="shared" si="14"/>
        <v>0</v>
      </c>
      <c r="M41" s="512"/>
      <c r="N41" s="504">
        <f t="shared" si="4"/>
        <v>0</v>
      </c>
      <c r="O41" s="504">
        <f t="shared" si="5"/>
        <v>0</v>
      </c>
      <c r="P41" s="278"/>
      <c r="R41" s="243"/>
      <c r="S41" s="243"/>
      <c r="T41" s="243"/>
      <c r="U41" s="243"/>
    </row>
    <row r="42" spans="2:21" ht="12.5">
      <c r="B42" s="145" t="str">
        <f t="shared" si="0"/>
        <v/>
      </c>
      <c r="C42" s="495">
        <f>IF(D13="","-",+C41+1)</f>
        <v>2039</v>
      </c>
      <c r="D42" s="508">
        <f>IF(F41+SUM(E$17:E41)=D$10,F41,D$10-SUM(E$17:E41))</f>
        <v>5624518.3586340249</v>
      </c>
      <c r="E42" s="509">
        <f t="shared" si="10"/>
        <v>652986.61290322582</v>
      </c>
      <c r="F42" s="510">
        <f t="shared" si="11"/>
        <v>4971531.7457307987</v>
      </c>
      <c r="G42" s="511">
        <f t="shared" si="12"/>
        <v>1226153.8091249806</v>
      </c>
      <c r="H42" s="477">
        <f t="shared" si="13"/>
        <v>1226153.8091249806</v>
      </c>
      <c r="I42" s="500">
        <f t="shared" si="6"/>
        <v>0</v>
      </c>
      <c r="J42" s="500"/>
      <c r="K42" s="512"/>
      <c r="L42" s="504">
        <f t="shared" si="14"/>
        <v>0</v>
      </c>
      <c r="M42" s="512"/>
      <c r="N42" s="504">
        <f t="shared" si="4"/>
        <v>0</v>
      </c>
      <c r="O42" s="504">
        <f t="shared" si="5"/>
        <v>0</v>
      </c>
      <c r="P42" s="278"/>
      <c r="R42" s="243"/>
      <c r="S42" s="243"/>
      <c r="T42" s="243"/>
      <c r="U42" s="243"/>
    </row>
    <row r="43" spans="2:21" ht="12.5">
      <c r="B43" s="145" t="str">
        <f t="shared" si="0"/>
        <v/>
      </c>
      <c r="C43" s="495">
        <f>IF(D11="","-",+C42+1)</f>
        <v>2040</v>
      </c>
      <c r="D43" s="508">
        <f>IF(F42+SUM(E$17:E42)=D$10,F42,D$10-SUM(E$17:E42))</f>
        <v>4971531.7457307987</v>
      </c>
      <c r="E43" s="509">
        <f t="shared" si="10"/>
        <v>652986.61290322582</v>
      </c>
      <c r="F43" s="510">
        <f t="shared" si="11"/>
        <v>4318545.1328275725</v>
      </c>
      <c r="G43" s="511">
        <f t="shared" si="12"/>
        <v>1155510.4085366975</v>
      </c>
      <c r="H43" s="477">
        <f t="shared" si="13"/>
        <v>1155510.4085366975</v>
      </c>
      <c r="I43" s="500">
        <f t="shared" si="6"/>
        <v>0</v>
      </c>
      <c r="J43" s="500"/>
      <c r="K43" s="512"/>
      <c r="L43" s="504">
        <f t="shared" si="14"/>
        <v>0</v>
      </c>
      <c r="M43" s="512"/>
      <c r="N43" s="504">
        <f t="shared" si="4"/>
        <v>0</v>
      </c>
      <c r="O43" s="504">
        <f t="shared" si="5"/>
        <v>0</v>
      </c>
      <c r="P43" s="278"/>
      <c r="R43" s="243"/>
      <c r="S43" s="243"/>
      <c r="T43" s="243"/>
      <c r="U43" s="243"/>
    </row>
    <row r="44" spans="2:21" ht="12.5">
      <c r="B44" s="145" t="str">
        <f t="shared" si="0"/>
        <v/>
      </c>
      <c r="C44" s="495">
        <f>IF(D11="","-",+C43+1)</f>
        <v>2041</v>
      </c>
      <c r="D44" s="508">
        <f>IF(F43+SUM(E$17:E43)=D$10,F43,D$10-SUM(E$17:E43))</f>
        <v>4318545.1328275725</v>
      </c>
      <c r="E44" s="509">
        <f t="shared" si="10"/>
        <v>652986.61290322582</v>
      </c>
      <c r="F44" s="510">
        <f t="shared" si="11"/>
        <v>3665558.5199243468</v>
      </c>
      <c r="G44" s="511">
        <f t="shared" si="12"/>
        <v>1084867.0079484142</v>
      </c>
      <c r="H44" s="477">
        <f t="shared" si="13"/>
        <v>1084867.0079484142</v>
      </c>
      <c r="I44" s="500">
        <f t="shared" si="6"/>
        <v>0</v>
      </c>
      <c r="J44" s="500"/>
      <c r="K44" s="512"/>
      <c r="L44" s="504">
        <f t="shared" si="14"/>
        <v>0</v>
      </c>
      <c r="M44" s="512"/>
      <c r="N44" s="504">
        <f t="shared" si="4"/>
        <v>0</v>
      </c>
      <c r="O44" s="504">
        <f t="shared" si="5"/>
        <v>0</v>
      </c>
      <c r="P44" s="278"/>
      <c r="R44" s="243"/>
      <c r="S44" s="243"/>
      <c r="T44" s="243"/>
      <c r="U44" s="243"/>
    </row>
    <row r="45" spans="2:21" ht="12.5">
      <c r="B45" s="145" t="str">
        <f t="shared" si="0"/>
        <v/>
      </c>
      <c r="C45" s="495">
        <f>IF(D11="","-",+C44+1)</f>
        <v>2042</v>
      </c>
      <c r="D45" s="508">
        <f>IF(F44+SUM(E$17:E44)=D$10,F44,D$10-SUM(E$17:E44))</f>
        <v>3665558.5199243468</v>
      </c>
      <c r="E45" s="509">
        <f t="shared" si="10"/>
        <v>652986.61290322582</v>
      </c>
      <c r="F45" s="510">
        <f t="shared" si="11"/>
        <v>3012571.9070211211</v>
      </c>
      <c r="G45" s="511">
        <f t="shared" si="12"/>
        <v>1014223.607360131</v>
      </c>
      <c r="H45" s="477">
        <f t="shared" si="13"/>
        <v>1014223.607360131</v>
      </c>
      <c r="I45" s="500">
        <f t="shared" si="6"/>
        <v>0</v>
      </c>
      <c r="J45" s="500"/>
      <c r="K45" s="512"/>
      <c r="L45" s="504">
        <f t="shared" si="14"/>
        <v>0</v>
      </c>
      <c r="M45" s="512"/>
      <c r="N45" s="504">
        <f t="shared" si="4"/>
        <v>0</v>
      </c>
      <c r="O45" s="504">
        <f t="shared" si="5"/>
        <v>0</v>
      </c>
      <c r="P45" s="278"/>
      <c r="R45" s="243"/>
      <c r="S45" s="243"/>
      <c r="T45" s="243"/>
      <c r="U45" s="243"/>
    </row>
    <row r="46" spans="2:21" ht="12.5">
      <c r="B46" s="145" t="str">
        <f t="shared" si="0"/>
        <v/>
      </c>
      <c r="C46" s="495">
        <f>IF(D11="","-",+C45+1)</f>
        <v>2043</v>
      </c>
      <c r="D46" s="508">
        <f>IF(F45+SUM(E$17:E45)=D$10,F45,D$10-SUM(E$17:E45))</f>
        <v>3012571.9070211211</v>
      </c>
      <c r="E46" s="509">
        <f t="shared" si="10"/>
        <v>652986.61290322582</v>
      </c>
      <c r="F46" s="510">
        <f t="shared" si="11"/>
        <v>2359585.2941178954</v>
      </c>
      <c r="G46" s="511">
        <f t="shared" si="12"/>
        <v>943580.20677184768</v>
      </c>
      <c r="H46" s="477">
        <f t="shared" si="13"/>
        <v>943580.20677184768</v>
      </c>
      <c r="I46" s="500">
        <f t="shared" si="6"/>
        <v>0</v>
      </c>
      <c r="J46" s="500"/>
      <c r="K46" s="512"/>
      <c r="L46" s="504">
        <f t="shared" si="14"/>
        <v>0</v>
      </c>
      <c r="M46" s="512"/>
      <c r="N46" s="504">
        <f t="shared" si="4"/>
        <v>0</v>
      </c>
      <c r="O46" s="504">
        <f t="shared" si="5"/>
        <v>0</v>
      </c>
      <c r="P46" s="278"/>
      <c r="R46" s="243"/>
      <c r="S46" s="243"/>
      <c r="T46" s="243"/>
      <c r="U46" s="243"/>
    </row>
    <row r="47" spans="2:21" ht="12.5">
      <c r="B47" s="145" t="str">
        <f t="shared" si="0"/>
        <v/>
      </c>
      <c r="C47" s="495">
        <f>IF(D11="","-",+C46+1)</f>
        <v>2044</v>
      </c>
      <c r="D47" s="508">
        <f>IF(F46+SUM(E$17:E46)=D$10,F46,D$10-SUM(E$17:E46))</f>
        <v>2359585.2941178954</v>
      </c>
      <c r="E47" s="509">
        <f t="shared" si="10"/>
        <v>652986.61290322582</v>
      </c>
      <c r="F47" s="510">
        <f t="shared" si="11"/>
        <v>1706598.6812146697</v>
      </c>
      <c r="G47" s="511">
        <f t="shared" si="12"/>
        <v>872936.80618356448</v>
      </c>
      <c r="H47" s="477">
        <f t="shared" si="13"/>
        <v>872936.80618356448</v>
      </c>
      <c r="I47" s="500">
        <f t="shared" si="6"/>
        <v>0</v>
      </c>
      <c r="J47" s="500"/>
      <c r="K47" s="512"/>
      <c r="L47" s="504">
        <f t="shared" si="14"/>
        <v>0</v>
      </c>
      <c r="M47" s="512"/>
      <c r="N47" s="504">
        <f t="shared" si="4"/>
        <v>0</v>
      </c>
      <c r="O47" s="504">
        <f t="shared" si="5"/>
        <v>0</v>
      </c>
      <c r="P47" s="278"/>
      <c r="R47" s="243"/>
      <c r="S47" s="243"/>
      <c r="T47" s="243"/>
      <c r="U47" s="243"/>
    </row>
    <row r="48" spans="2:21" ht="12.5">
      <c r="B48" s="145" t="str">
        <f t="shared" si="0"/>
        <v/>
      </c>
      <c r="C48" s="495">
        <f>IF(D11="","-",+C47+1)</f>
        <v>2045</v>
      </c>
      <c r="D48" s="508">
        <f>IF(F47+SUM(E$17:E47)=D$10,F47,D$10-SUM(E$17:E47))</f>
        <v>1706598.6812146697</v>
      </c>
      <c r="E48" s="509">
        <f t="shared" si="10"/>
        <v>652986.61290322582</v>
      </c>
      <c r="F48" s="510">
        <f t="shared" si="11"/>
        <v>1053612.068311444</v>
      </c>
      <c r="G48" s="511">
        <f t="shared" si="12"/>
        <v>802293.40559528128</v>
      </c>
      <c r="H48" s="477">
        <f t="shared" si="13"/>
        <v>802293.40559528128</v>
      </c>
      <c r="I48" s="500">
        <f t="shared" si="6"/>
        <v>0</v>
      </c>
      <c r="J48" s="500"/>
      <c r="K48" s="512"/>
      <c r="L48" s="504">
        <f t="shared" si="14"/>
        <v>0</v>
      </c>
      <c r="M48" s="512"/>
      <c r="N48" s="504">
        <f t="shared" si="4"/>
        <v>0</v>
      </c>
      <c r="O48" s="504">
        <f t="shared" si="5"/>
        <v>0</v>
      </c>
      <c r="P48" s="278"/>
      <c r="R48" s="243"/>
      <c r="S48" s="243"/>
      <c r="T48" s="243"/>
      <c r="U48" s="243"/>
    </row>
    <row r="49" spans="2:21" ht="12.5">
      <c r="B49" s="145" t="str">
        <f t="shared" si="0"/>
        <v/>
      </c>
      <c r="C49" s="495">
        <f>IF(D11="","-",+C48+1)</f>
        <v>2046</v>
      </c>
      <c r="D49" s="508">
        <f>IF(F48+SUM(E$17:E48)=D$10,F48,D$10-SUM(E$17:E48))</f>
        <v>1053612.068311444</v>
      </c>
      <c r="E49" s="509">
        <f t="shared" si="10"/>
        <v>652986.61290322582</v>
      </c>
      <c r="F49" s="510">
        <f t="shared" si="11"/>
        <v>400625.4554082182</v>
      </c>
      <c r="G49" s="511">
        <f t="shared" si="12"/>
        <v>731650.00500699808</v>
      </c>
      <c r="H49" s="477">
        <f t="shared" si="13"/>
        <v>731650.00500699808</v>
      </c>
      <c r="I49" s="500">
        <f t="shared" si="6"/>
        <v>0</v>
      </c>
      <c r="J49" s="500"/>
      <c r="K49" s="512"/>
      <c r="L49" s="504">
        <f t="shared" si="14"/>
        <v>0</v>
      </c>
      <c r="M49" s="512"/>
      <c r="N49" s="504">
        <f t="shared" si="4"/>
        <v>0</v>
      </c>
      <c r="O49" s="504">
        <f t="shared" si="5"/>
        <v>0</v>
      </c>
      <c r="P49" s="278"/>
      <c r="R49" s="243"/>
      <c r="S49" s="243"/>
      <c r="T49" s="243"/>
      <c r="U49" s="243"/>
    </row>
    <row r="50" spans="2:21" ht="12.5">
      <c r="B50" s="145" t="str">
        <f t="shared" si="0"/>
        <v/>
      </c>
      <c r="C50" s="495">
        <f>IF(D11="","-",+C49+1)</f>
        <v>2047</v>
      </c>
      <c r="D50" s="508">
        <f>IF(F49+SUM(E$17:E49)=D$10,F49,D$10-SUM(E$17:E49))</f>
        <v>400625.4554082182</v>
      </c>
      <c r="E50" s="509">
        <f t="shared" si="10"/>
        <v>400625.4554082182</v>
      </c>
      <c r="F50" s="510">
        <f t="shared" si="11"/>
        <v>0</v>
      </c>
      <c r="G50" s="511">
        <f t="shared" si="12"/>
        <v>422296.3013130335</v>
      </c>
      <c r="H50" s="477">
        <f t="shared" si="13"/>
        <v>422296.3013130335</v>
      </c>
      <c r="I50" s="500">
        <f t="shared" si="6"/>
        <v>0</v>
      </c>
      <c r="J50" s="500"/>
      <c r="K50" s="512"/>
      <c r="L50" s="504">
        <f t="shared" si="14"/>
        <v>0</v>
      </c>
      <c r="M50" s="512"/>
      <c r="N50" s="504">
        <f t="shared" si="4"/>
        <v>0</v>
      </c>
      <c r="O50" s="504">
        <f t="shared" si="5"/>
        <v>0</v>
      </c>
      <c r="P50" s="278"/>
      <c r="R50" s="243"/>
      <c r="S50" s="243"/>
      <c r="T50" s="243"/>
      <c r="U50" s="243"/>
    </row>
    <row r="51" spans="2:21" ht="12.5">
      <c r="B51" s="145" t="str">
        <f t="shared" si="0"/>
        <v/>
      </c>
      <c r="C51" s="495">
        <f>IF(D11="","-",+C50+1)</f>
        <v>2048</v>
      </c>
      <c r="D51" s="508">
        <f>IF(F50+SUM(E$17:E50)=D$10,F50,D$10-SUM(E$17:E50))</f>
        <v>0</v>
      </c>
      <c r="E51" s="509">
        <f t="shared" si="10"/>
        <v>0</v>
      </c>
      <c r="F51" s="510">
        <f t="shared" si="11"/>
        <v>0</v>
      </c>
      <c r="G51" s="511">
        <f t="shared" si="12"/>
        <v>0</v>
      </c>
      <c r="H51" s="477">
        <f t="shared" si="13"/>
        <v>0</v>
      </c>
      <c r="I51" s="500">
        <f t="shared" si="6"/>
        <v>0</v>
      </c>
      <c r="J51" s="500"/>
      <c r="K51" s="512"/>
      <c r="L51" s="504">
        <f t="shared" si="14"/>
        <v>0</v>
      </c>
      <c r="M51" s="512"/>
      <c r="N51" s="504">
        <f t="shared" si="4"/>
        <v>0</v>
      </c>
      <c r="O51" s="504">
        <f t="shared" si="5"/>
        <v>0</v>
      </c>
      <c r="P51" s="278"/>
      <c r="R51" s="243"/>
      <c r="S51" s="243"/>
      <c r="T51" s="243"/>
      <c r="U51" s="243"/>
    </row>
    <row r="52" spans="2:21" ht="12.5">
      <c r="B52" s="145" t="str">
        <f t="shared" si="0"/>
        <v/>
      </c>
      <c r="C52" s="495">
        <f>IF(D11="","-",+C51+1)</f>
        <v>2049</v>
      </c>
      <c r="D52" s="508">
        <f>IF(F51+SUM(E$17:E51)=D$10,F51,D$10-SUM(E$17:E51))</f>
        <v>0</v>
      </c>
      <c r="E52" s="509">
        <f t="shared" si="10"/>
        <v>0</v>
      </c>
      <c r="F52" s="510">
        <f t="shared" si="11"/>
        <v>0</v>
      </c>
      <c r="G52" s="511">
        <f t="shared" si="12"/>
        <v>0</v>
      </c>
      <c r="H52" s="477">
        <f t="shared" si="13"/>
        <v>0</v>
      </c>
      <c r="I52" s="500">
        <f t="shared" si="6"/>
        <v>0</v>
      </c>
      <c r="J52" s="500"/>
      <c r="K52" s="512"/>
      <c r="L52" s="504">
        <f t="shared" si="14"/>
        <v>0</v>
      </c>
      <c r="M52" s="512"/>
      <c r="N52" s="504">
        <f t="shared" si="4"/>
        <v>0</v>
      </c>
      <c r="O52" s="504">
        <f t="shared" si="5"/>
        <v>0</v>
      </c>
      <c r="P52" s="278"/>
      <c r="R52" s="243"/>
      <c r="S52" s="243"/>
      <c r="T52" s="243"/>
      <c r="U52" s="243"/>
    </row>
    <row r="53" spans="2:21" ht="12.5">
      <c r="B53" s="145" t="str">
        <f t="shared" si="0"/>
        <v/>
      </c>
      <c r="C53" s="495">
        <f>IF(D11="","-",+C52+1)</f>
        <v>2050</v>
      </c>
      <c r="D53" s="508">
        <f>IF(F52+SUM(E$17:E52)=D$10,F52,D$10-SUM(E$17:E52))</f>
        <v>0</v>
      </c>
      <c r="E53" s="509">
        <f t="shared" si="10"/>
        <v>0</v>
      </c>
      <c r="F53" s="510">
        <f t="shared" si="11"/>
        <v>0</v>
      </c>
      <c r="G53" s="511">
        <f t="shared" si="12"/>
        <v>0</v>
      </c>
      <c r="H53" s="477">
        <f t="shared" si="13"/>
        <v>0</v>
      </c>
      <c r="I53" s="500">
        <f t="shared" si="6"/>
        <v>0</v>
      </c>
      <c r="J53" s="500"/>
      <c r="K53" s="512"/>
      <c r="L53" s="504">
        <f t="shared" si="14"/>
        <v>0</v>
      </c>
      <c r="M53" s="512"/>
      <c r="N53" s="504">
        <f t="shared" si="4"/>
        <v>0</v>
      </c>
      <c r="O53" s="504">
        <f t="shared" si="5"/>
        <v>0</v>
      </c>
      <c r="P53" s="278"/>
      <c r="R53" s="243"/>
      <c r="S53" s="243"/>
      <c r="T53" s="243"/>
      <c r="U53" s="243"/>
    </row>
    <row r="54" spans="2:21" ht="12.5">
      <c r="B54" s="145" t="str">
        <f t="shared" si="0"/>
        <v/>
      </c>
      <c r="C54" s="495">
        <f>IF(D11="","-",+C53+1)</f>
        <v>2051</v>
      </c>
      <c r="D54" s="508">
        <f>IF(F53+SUM(E$17:E53)=D$10,F53,D$10-SUM(E$17:E53))</f>
        <v>0</v>
      </c>
      <c r="E54" s="509">
        <f t="shared" si="10"/>
        <v>0</v>
      </c>
      <c r="F54" s="510">
        <f t="shared" si="11"/>
        <v>0</v>
      </c>
      <c r="G54" s="511">
        <f t="shared" si="12"/>
        <v>0</v>
      </c>
      <c r="H54" s="477">
        <f t="shared" si="13"/>
        <v>0</v>
      </c>
      <c r="I54" s="500">
        <f t="shared" si="6"/>
        <v>0</v>
      </c>
      <c r="J54" s="500"/>
      <c r="K54" s="512"/>
      <c r="L54" s="504">
        <f t="shared" si="14"/>
        <v>0</v>
      </c>
      <c r="M54" s="512"/>
      <c r="N54" s="504">
        <f t="shared" si="4"/>
        <v>0</v>
      </c>
      <c r="O54" s="504">
        <f t="shared" si="5"/>
        <v>0</v>
      </c>
      <c r="P54" s="278"/>
      <c r="R54" s="243"/>
      <c r="S54" s="243"/>
      <c r="T54" s="243"/>
      <c r="U54" s="243"/>
    </row>
    <row r="55" spans="2:21" ht="12.5">
      <c r="B55" s="145" t="str">
        <f t="shared" si="0"/>
        <v/>
      </c>
      <c r="C55" s="495">
        <f>IF(D11="","-",+C54+1)</f>
        <v>2052</v>
      </c>
      <c r="D55" s="508">
        <f>IF(F54+SUM(E$17:E54)=D$10,F54,D$10-SUM(E$17:E54))</f>
        <v>0</v>
      </c>
      <c r="E55" s="509">
        <f t="shared" si="10"/>
        <v>0</v>
      </c>
      <c r="F55" s="510">
        <f t="shared" si="11"/>
        <v>0</v>
      </c>
      <c r="G55" s="511">
        <f t="shared" si="12"/>
        <v>0</v>
      </c>
      <c r="H55" s="477">
        <f t="shared" si="13"/>
        <v>0</v>
      </c>
      <c r="I55" s="500">
        <f t="shared" si="6"/>
        <v>0</v>
      </c>
      <c r="J55" s="500"/>
      <c r="K55" s="512"/>
      <c r="L55" s="504">
        <f t="shared" si="14"/>
        <v>0</v>
      </c>
      <c r="M55" s="512"/>
      <c r="N55" s="504">
        <f t="shared" si="4"/>
        <v>0</v>
      </c>
      <c r="O55" s="504">
        <f t="shared" si="5"/>
        <v>0</v>
      </c>
      <c r="P55" s="278"/>
      <c r="R55" s="243"/>
      <c r="S55" s="243"/>
      <c r="T55" s="243"/>
      <c r="U55" s="243"/>
    </row>
    <row r="56" spans="2:21" ht="12.5">
      <c r="B56" s="145" t="str">
        <f t="shared" si="0"/>
        <v/>
      </c>
      <c r="C56" s="495">
        <f>IF(D11="","-",+C55+1)</f>
        <v>2053</v>
      </c>
      <c r="D56" s="508">
        <f>IF(F55+SUM(E$17:E55)=D$10,F55,D$10-SUM(E$17:E55))</f>
        <v>0</v>
      </c>
      <c r="E56" s="509">
        <f t="shared" si="10"/>
        <v>0</v>
      </c>
      <c r="F56" s="510">
        <f t="shared" si="11"/>
        <v>0</v>
      </c>
      <c r="G56" s="511">
        <f t="shared" si="12"/>
        <v>0</v>
      </c>
      <c r="H56" s="477">
        <f t="shared" si="13"/>
        <v>0</v>
      </c>
      <c r="I56" s="500">
        <f t="shared" si="6"/>
        <v>0</v>
      </c>
      <c r="J56" s="500"/>
      <c r="K56" s="512"/>
      <c r="L56" s="504">
        <f t="shared" si="14"/>
        <v>0</v>
      </c>
      <c r="M56" s="512"/>
      <c r="N56" s="504">
        <f t="shared" si="4"/>
        <v>0</v>
      </c>
      <c r="O56" s="504">
        <f t="shared" si="5"/>
        <v>0</v>
      </c>
      <c r="P56" s="278"/>
      <c r="R56" s="243"/>
      <c r="S56" s="243"/>
      <c r="T56" s="243"/>
      <c r="U56" s="243"/>
    </row>
    <row r="57" spans="2:21" ht="12.5">
      <c r="B57" s="145" t="str">
        <f t="shared" si="0"/>
        <v/>
      </c>
      <c r="C57" s="495">
        <f>IF(D11="","-",+C56+1)</f>
        <v>2054</v>
      </c>
      <c r="D57" s="508">
        <f>IF(F56+SUM(E$17:E56)=D$10,F56,D$10-SUM(E$17:E56))</f>
        <v>0</v>
      </c>
      <c r="E57" s="509">
        <f t="shared" si="10"/>
        <v>0</v>
      </c>
      <c r="F57" s="510">
        <f t="shared" si="11"/>
        <v>0</v>
      </c>
      <c r="G57" s="511">
        <f t="shared" si="12"/>
        <v>0</v>
      </c>
      <c r="H57" s="477">
        <f t="shared" si="13"/>
        <v>0</v>
      </c>
      <c r="I57" s="500">
        <f t="shared" si="6"/>
        <v>0</v>
      </c>
      <c r="J57" s="500"/>
      <c r="K57" s="512"/>
      <c r="L57" s="504">
        <f t="shared" si="14"/>
        <v>0</v>
      </c>
      <c r="M57" s="512"/>
      <c r="N57" s="504">
        <f t="shared" si="4"/>
        <v>0</v>
      </c>
      <c r="O57" s="504">
        <f t="shared" si="5"/>
        <v>0</v>
      </c>
      <c r="P57" s="278"/>
      <c r="R57" s="243"/>
      <c r="S57" s="243"/>
      <c r="T57" s="243"/>
      <c r="U57" s="243"/>
    </row>
    <row r="58" spans="2:21" ht="12.5">
      <c r="B58" s="145" t="str">
        <f t="shared" si="0"/>
        <v/>
      </c>
      <c r="C58" s="495">
        <f>IF(D11="","-",+C57+1)</f>
        <v>2055</v>
      </c>
      <c r="D58" s="508">
        <f>IF(F57+SUM(E$17:E57)=D$10,F57,D$10-SUM(E$17:E57))</f>
        <v>0</v>
      </c>
      <c r="E58" s="509">
        <f t="shared" si="10"/>
        <v>0</v>
      </c>
      <c r="F58" s="510">
        <f t="shared" si="11"/>
        <v>0</v>
      </c>
      <c r="G58" s="511">
        <f t="shared" si="12"/>
        <v>0</v>
      </c>
      <c r="H58" s="477">
        <f t="shared" si="13"/>
        <v>0</v>
      </c>
      <c r="I58" s="500">
        <f t="shared" si="6"/>
        <v>0</v>
      </c>
      <c r="J58" s="500"/>
      <c r="K58" s="512"/>
      <c r="L58" s="504">
        <f t="shared" si="14"/>
        <v>0</v>
      </c>
      <c r="M58" s="512"/>
      <c r="N58" s="504">
        <f t="shared" si="4"/>
        <v>0</v>
      </c>
      <c r="O58" s="504">
        <f t="shared" si="5"/>
        <v>0</v>
      </c>
      <c r="P58" s="278"/>
      <c r="R58" s="243"/>
      <c r="S58" s="243"/>
      <c r="T58" s="243"/>
      <c r="U58" s="243"/>
    </row>
    <row r="59" spans="2:21" ht="12.5">
      <c r="B59" s="145" t="str">
        <f t="shared" si="0"/>
        <v/>
      </c>
      <c r="C59" s="495">
        <f>IF(D11="","-",+C58+1)</f>
        <v>2056</v>
      </c>
      <c r="D59" s="508">
        <f>IF(F58+SUM(E$17:E58)=D$10,F58,D$10-SUM(E$17:E58))</f>
        <v>0</v>
      </c>
      <c r="E59" s="509">
        <f t="shared" si="10"/>
        <v>0</v>
      </c>
      <c r="F59" s="510">
        <f t="shared" si="11"/>
        <v>0</v>
      </c>
      <c r="G59" s="511">
        <f t="shared" si="12"/>
        <v>0</v>
      </c>
      <c r="H59" s="477">
        <f t="shared" si="13"/>
        <v>0</v>
      </c>
      <c r="I59" s="500">
        <f t="shared" si="6"/>
        <v>0</v>
      </c>
      <c r="J59" s="500"/>
      <c r="K59" s="512"/>
      <c r="L59" s="504">
        <f t="shared" si="14"/>
        <v>0</v>
      </c>
      <c r="M59" s="512"/>
      <c r="N59" s="504">
        <f t="shared" si="4"/>
        <v>0</v>
      </c>
      <c r="O59" s="504">
        <f t="shared" si="5"/>
        <v>0</v>
      </c>
      <c r="P59" s="278"/>
      <c r="R59" s="243"/>
      <c r="S59" s="243"/>
      <c r="T59" s="243"/>
      <c r="U59" s="243"/>
    </row>
    <row r="60" spans="2:21" ht="12.5">
      <c r="B60" s="145" t="str">
        <f t="shared" si="0"/>
        <v/>
      </c>
      <c r="C60" s="495">
        <f>IF(D11="","-",+C59+1)</f>
        <v>2057</v>
      </c>
      <c r="D60" s="508">
        <f>IF(F59+SUM(E$17:E59)=D$10,F59,D$10-SUM(E$17:E59))</f>
        <v>0</v>
      </c>
      <c r="E60" s="509">
        <f t="shared" si="10"/>
        <v>0</v>
      </c>
      <c r="F60" s="510">
        <f t="shared" si="11"/>
        <v>0</v>
      </c>
      <c r="G60" s="511">
        <f t="shared" si="12"/>
        <v>0</v>
      </c>
      <c r="H60" s="477">
        <f t="shared" si="13"/>
        <v>0</v>
      </c>
      <c r="I60" s="500">
        <f t="shared" si="6"/>
        <v>0</v>
      </c>
      <c r="J60" s="500"/>
      <c r="K60" s="512"/>
      <c r="L60" s="504">
        <f t="shared" si="14"/>
        <v>0</v>
      </c>
      <c r="M60" s="512"/>
      <c r="N60" s="504">
        <f t="shared" si="4"/>
        <v>0</v>
      </c>
      <c r="O60" s="504">
        <f t="shared" si="5"/>
        <v>0</v>
      </c>
      <c r="P60" s="278"/>
      <c r="R60" s="243"/>
      <c r="S60" s="243"/>
      <c r="T60" s="243"/>
      <c r="U60" s="243"/>
    </row>
    <row r="61" spans="2:21" ht="12.5">
      <c r="B61" s="145" t="str">
        <f t="shared" si="0"/>
        <v/>
      </c>
      <c r="C61" s="495">
        <f>IF(D11="","-",+C60+1)</f>
        <v>2058</v>
      </c>
      <c r="D61" s="508">
        <f>IF(F60+SUM(E$17:E60)=D$10,F60,D$10-SUM(E$17:E60))</f>
        <v>0</v>
      </c>
      <c r="E61" s="509">
        <f t="shared" si="10"/>
        <v>0</v>
      </c>
      <c r="F61" s="510">
        <f t="shared" si="11"/>
        <v>0</v>
      </c>
      <c r="G61" s="511">
        <f t="shared" si="12"/>
        <v>0</v>
      </c>
      <c r="H61" s="477">
        <f t="shared" si="13"/>
        <v>0</v>
      </c>
      <c r="I61" s="500">
        <f t="shared" si="6"/>
        <v>0</v>
      </c>
      <c r="J61" s="500"/>
      <c r="K61" s="512"/>
      <c r="L61" s="504">
        <f t="shared" si="14"/>
        <v>0</v>
      </c>
      <c r="M61" s="512"/>
      <c r="N61" s="504">
        <f t="shared" si="4"/>
        <v>0</v>
      </c>
      <c r="O61" s="504">
        <f t="shared" si="5"/>
        <v>0</v>
      </c>
      <c r="P61" s="278"/>
      <c r="R61" s="243"/>
      <c r="S61" s="243"/>
      <c r="T61" s="243"/>
      <c r="U61" s="243"/>
    </row>
    <row r="62" spans="2:21" ht="12.5">
      <c r="B62" s="145" t="str">
        <f t="shared" si="0"/>
        <v/>
      </c>
      <c r="C62" s="495">
        <f>IF(D11="","-",+C61+1)</f>
        <v>2059</v>
      </c>
      <c r="D62" s="508">
        <f>IF(F61+SUM(E$17:E61)=D$10,F61,D$10-SUM(E$17:E61))</f>
        <v>0</v>
      </c>
      <c r="E62" s="509">
        <f t="shared" si="10"/>
        <v>0</v>
      </c>
      <c r="F62" s="510">
        <f t="shared" si="11"/>
        <v>0</v>
      </c>
      <c r="G62" s="511">
        <f t="shared" si="12"/>
        <v>0</v>
      </c>
      <c r="H62" s="477">
        <f t="shared" si="13"/>
        <v>0</v>
      </c>
      <c r="I62" s="500">
        <f t="shared" si="6"/>
        <v>0</v>
      </c>
      <c r="J62" s="500"/>
      <c r="K62" s="512"/>
      <c r="L62" s="504">
        <f t="shared" si="14"/>
        <v>0</v>
      </c>
      <c r="M62" s="512"/>
      <c r="N62" s="504">
        <f t="shared" si="4"/>
        <v>0</v>
      </c>
      <c r="O62" s="504">
        <f t="shared" si="5"/>
        <v>0</v>
      </c>
      <c r="P62" s="278"/>
      <c r="R62" s="243"/>
      <c r="S62" s="243"/>
      <c r="T62" s="243"/>
      <c r="U62" s="243"/>
    </row>
    <row r="63" spans="2:21" ht="12.5">
      <c r="B63" s="145" t="str">
        <f t="shared" si="0"/>
        <v/>
      </c>
      <c r="C63" s="495">
        <f>IF(D11="","-",+C62+1)</f>
        <v>2060</v>
      </c>
      <c r="D63" s="508">
        <f>IF(F62+SUM(E$17:E62)=D$10,F62,D$10-SUM(E$17:E62))</f>
        <v>0</v>
      </c>
      <c r="E63" s="509">
        <f t="shared" si="10"/>
        <v>0</v>
      </c>
      <c r="F63" s="510">
        <f t="shared" si="11"/>
        <v>0</v>
      </c>
      <c r="G63" s="511">
        <f t="shared" si="12"/>
        <v>0</v>
      </c>
      <c r="H63" s="477">
        <f t="shared" si="13"/>
        <v>0</v>
      </c>
      <c r="I63" s="500">
        <f t="shared" si="6"/>
        <v>0</v>
      </c>
      <c r="J63" s="500"/>
      <c r="K63" s="512"/>
      <c r="L63" s="504">
        <f t="shared" si="14"/>
        <v>0</v>
      </c>
      <c r="M63" s="512"/>
      <c r="N63" s="504">
        <f t="shared" si="4"/>
        <v>0</v>
      </c>
      <c r="O63" s="504">
        <f t="shared" si="5"/>
        <v>0</v>
      </c>
      <c r="P63" s="278"/>
      <c r="R63" s="243"/>
      <c r="S63" s="243"/>
      <c r="T63" s="243"/>
      <c r="U63" s="243"/>
    </row>
    <row r="64" spans="2:21" ht="12.5">
      <c r="B64" s="145" t="str">
        <f t="shared" si="0"/>
        <v/>
      </c>
      <c r="C64" s="495">
        <f>IF(D11="","-",+C63+1)</f>
        <v>2061</v>
      </c>
      <c r="D64" s="508">
        <f>IF(F63+SUM(E$17:E63)=D$10,F63,D$10-SUM(E$17:E63))</f>
        <v>0</v>
      </c>
      <c r="E64" s="509">
        <f t="shared" si="10"/>
        <v>0</v>
      </c>
      <c r="F64" s="510">
        <f t="shared" si="11"/>
        <v>0</v>
      </c>
      <c r="G64" s="511">
        <f t="shared" si="12"/>
        <v>0</v>
      </c>
      <c r="H64" s="477">
        <f t="shared" si="13"/>
        <v>0</v>
      </c>
      <c r="I64" s="500">
        <f t="shared" si="6"/>
        <v>0</v>
      </c>
      <c r="J64" s="500"/>
      <c r="K64" s="512"/>
      <c r="L64" s="504">
        <f t="shared" si="14"/>
        <v>0</v>
      </c>
      <c r="M64" s="512"/>
      <c r="N64" s="504">
        <f t="shared" si="4"/>
        <v>0</v>
      </c>
      <c r="O64" s="504">
        <f t="shared" si="5"/>
        <v>0</v>
      </c>
      <c r="P64" s="278"/>
      <c r="R64" s="243"/>
      <c r="S64" s="243"/>
      <c r="T64" s="243"/>
      <c r="U64" s="243"/>
    </row>
    <row r="65" spans="2:21" ht="12.5">
      <c r="B65" s="145" t="str">
        <f t="shared" si="0"/>
        <v/>
      </c>
      <c r="C65" s="495">
        <f>IF(D11="","-",+C64+1)</f>
        <v>2062</v>
      </c>
      <c r="D65" s="508">
        <f>IF(F64+SUM(E$17:E64)=D$10,F64,D$10-SUM(E$17:E64))</f>
        <v>0</v>
      </c>
      <c r="E65" s="509">
        <f t="shared" si="10"/>
        <v>0</v>
      </c>
      <c r="F65" s="510">
        <f t="shared" si="11"/>
        <v>0</v>
      </c>
      <c r="G65" s="511">
        <f t="shared" si="12"/>
        <v>0</v>
      </c>
      <c r="H65" s="477">
        <f t="shared" si="13"/>
        <v>0</v>
      </c>
      <c r="I65" s="500">
        <f t="shared" si="6"/>
        <v>0</v>
      </c>
      <c r="J65" s="500"/>
      <c r="K65" s="512"/>
      <c r="L65" s="504">
        <f t="shared" si="14"/>
        <v>0</v>
      </c>
      <c r="M65" s="512"/>
      <c r="N65" s="504">
        <f t="shared" si="4"/>
        <v>0</v>
      </c>
      <c r="O65" s="504">
        <f t="shared" si="5"/>
        <v>0</v>
      </c>
      <c r="P65" s="278"/>
      <c r="R65" s="243"/>
      <c r="S65" s="243"/>
      <c r="T65" s="243"/>
      <c r="U65" s="243"/>
    </row>
    <row r="66" spans="2:21" ht="12.5">
      <c r="B66" s="145" t="str">
        <f t="shared" si="0"/>
        <v/>
      </c>
      <c r="C66" s="495">
        <f>IF(D11="","-",+C65+1)</f>
        <v>2063</v>
      </c>
      <c r="D66" s="508">
        <f>IF(F65+SUM(E$17:E65)=D$10,F65,D$10-SUM(E$17:E65))</f>
        <v>0</v>
      </c>
      <c r="E66" s="509">
        <f t="shared" si="10"/>
        <v>0</v>
      </c>
      <c r="F66" s="510">
        <f t="shared" si="11"/>
        <v>0</v>
      </c>
      <c r="G66" s="511">
        <f t="shared" si="12"/>
        <v>0</v>
      </c>
      <c r="H66" s="477">
        <f t="shared" si="13"/>
        <v>0</v>
      </c>
      <c r="I66" s="500">
        <f t="shared" si="6"/>
        <v>0</v>
      </c>
      <c r="J66" s="500"/>
      <c r="K66" s="512"/>
      <c r="L66" s="504">
        <f t="shared" si="14"/>
        <v>0</v>
      </c>
      <c r="M66" s="512"/>
      <c r="N66" s="504">
        <f t="shared" si="4"/>
        <v>0</v>
      </c>
      <c r="O66" s="504">
        <f t="shared" si="5"/>
        <v>0</v>
      </c>
      <c r="P66" s="278"/>
      <c r="R66" s="243"/>
      <c r="S66" s="243"/>
      <c r="T66" s="243"/>
      <c r="U66" s="243"/>
    </row>
    <row r="67" spans="2:21" ht="12.5">
      <c r="B67" s="145" t="str">
        <f t="shared" si="0"/>
        <v/>
      </c>
      <c r="C67" s="495">
        <f>IF(D11="","-",+C66+1)</f>
        <v>2064</v>
      </c>
      <c r="D67" s="508">
        <f>IF(F66+SUM(E$17:E66)=D$10,F66,D$10-SUM(E$17:E66))</f>
        <v>0</v>
      </c>
      <c r="E67" s="509">
        <f t="shared" si="10"/>
        <v>0</v>
      </c>
      <c r="F67" s="510">
        <f t="shared" si="11"/>
        <v>0</v>
      </c>
      <c r="G67" s="511">
        <f t="shared" si="12"/>
        <v>0</v>
      </c>
      <c r="H67" s="477">
        <f t="shared" si="13"/>
        <v>0</v>
      </c>
      <c r="I67" s="500">
        <f t="shared" si="6"/>
        <v>0</v>
      </c>
      <c r="J67" s="500"/>
      <c r="K67" s="512"/>
      <c r="L67" s="504">
        <f t="shared" si="14"/>
        <v>0</v>
      </c>
      <c r="M67" s="512"/>
      <c r="N67" s="504">
        <f t="shared" si="4"/>
        <v>0</v>
      </c>
      <c r="O67" s="504">
        <f t="shared" si="5"/>
        <v>0</v>
      </c>
      <c r="P67" s="278"/>
      <c r="R67" s="243"/>
      <c r="S67" s="243"/>
      <c r="T67" s="243"/>
      <c r="U67" s="243"/>
    </row>
    <row r="68" spans="2:21" ht="12.5">
      <c r="B68" s="145" t="str">
        <f t="shared" si="0"/>
        <v/>
      </c>
      <c r="C68" s="495">
        <f>IF(D11="","-",+C67+1)</f>
        <v>2065</v>
      </c>
      <c r="D68" s="508">
        <f>IF(F67+SUM(E$17:E67)=D$10,F67,D$10-SUM(E$17:E67))</f>
        <v>0</v>
      </c>
      <c r="E68" s="509">
        <f t="shared" si="10"/>
        <v>0</v>
      </c>
      <c r="F68" s="510">
        <f t="shared" si="11"/>
        <v>0</v>
      </c>
      <c r="G68" s="511">
        <f t="shared" si="12"/>
        <v>0</v>
      </c>
      <c r="H68" s="477">
        <f t="shared" si="13"/>
        <v>0</v>
      </c>
      <c r="I68" s="500">
        <f t="shared" si="6"/>
        <v>0</v>
      </c>
      <c r="J68" s="500"/>
      <c r="K68" s="512"/>
      <c r="L68" s="504">
        <f t="shared" si="14"/>
        <v>0</v>
      </c>
      <c r="M68" s="512"/>
      <c r="N68" s="504">
        <f t="shared" si="4"/>
        <v>0</v>
      </c>
      <c r="O68" s="504">
        <f t="shared" si="5"/>
        <v>0</v>
      </c>
      <c r="P68" s="278"/>
      <c r="R68" s="243"/>
      <c r="S68" s="243"/>
      <c r="T68" s="243"/>
      <c r="U68" s="243"/>
    </row>
    <row r="69" spans="2:21" ht="12.5">
      <c r="B69" s="145" t="str">
        <f t="shared" si="0"/>
        <v/>
      </c>
      <c r="C69" s="495">
        <f>IF(D11="","-",+C68+1)</f>
        <v>2066</v>
      </c>
      <c r="D69" s="508">
        <f>IF(F68+SUM(E$17:E68)=D$10,F68,D$10-SUM(E$17:E68))</f>
        <v>0</v>
      </c>
      <c r="E69" s="509">
        <f t="shared" si="10"/>
        <v>0</v>
      </c>
      <c r="F69" s="510">
        <f t="shared" si="11"/>
        <v>0</v>
      </c>
      <c r="G69" s="511">
        <f t="shared" si="12"/>
        <v>0</v>
      </c>
      <c r="H69" s="477">
        <f t="shared" si="13"/>
        <v>0</v>
      </c>
      <c r="I69" s="500">
        <f t="shared" si="6"/>
        <v>0</v>
      </c>
      <c r="J69" s="500"/>
      <c r="K69" s="512"/>
      <c r="L69" s="504">
        <f t="shared" si="14"/>
        <v>0</v>
      </c>
      <c r="M69" s="512"/>
      <c r="N69" s="504">
        <f t="shared" si="4"/>
        <v>0</v>
      </c>
      <c r="O69" s="504">
        <f t="shared" si="5"/>
        <v>0</v>
      </c>
      <c r="P69" s="278"/>
      <c r="R69" s="243"/>
      <c r="S69" s="243"/>
      <c r="T69" s="243"/>
      <c r="U69" s="243"/>
    </row>
    <row r="70" spans="2:21" ht="12.5">
      <c r="B70" s="145" t="str">
        <f t="shared" si="0"/>
        <v/>
      </c>
      <c r="C70" s="495">
        <f>IF(D11="","-",+C69+1)</f>
        <v>2067</v>
      </c>
      <c r="D70" s="508">
        <f>IF(F69+SUM(E$17:E69)=D$10,F69,D$10-SUM(E$17:E69))</f>
        <v>0</v>
      </c>
      <c r="E70" s="509">
        <f t="shared" si="10"/>
        <v>0</v>
      </c>
      <c r="F70" s="510">
        <f t="shared" si="11"/>
        <v>0</v>
      </c>
      <c r="G70" s="511">
        <f t="shared" si="12"/>
        <v>0</v>
      </c>
      <c r="H70" s="477">
        <f t="shared" si="13"/>
        <v>0</v>
      </c>
      <c r="I70" s="500">
        <f t="shared" si="6"/>
        <v>0</v>
      </c>
      <c r="J70" s="500"/>
      <c r="K70" s="512"/>
      <c r="L70" s="504">
        <f t="shared" si="14"/>
        <v>0</v>
      </c>
      <c r="M70" s="512"/>
      <c r="N70" s="504">
        <f t="shared" si="4"/>
        <v>0</v>
      </c>
      <c r="O70" s="504">
        <f t="shared" si="5"/>
        <v>0</v>
      </c>
      <c r="P70" s="278"/>
      <c r="R70" s="243"/>
      <c r="S70" s="243"/>
      <c r="T70" s="243"/>
      <c r="U70" s="243"/>
    </row>
    <row r="71" spans="2:21" ht="12.5">
      <c r="B71" s="145" t="str">
        <f t="shared" si="0"/>
        <v/>
      </c>
      <c r="C71" s="495">
        <f>IF(D11="","-",+C70+1)</f>
        <v>2068</v>
      </c>
      <c r="D71" s="508">
        <f>IF(F70+SUM(E$17:E70)=D$10,F70,D$10-SUM(E$17:E70))</f>
        <v>0</v>
      </c>
      <c r="E71" s="509">
        <f t="shared" si="10"/>
        <v>0</v>
      </c>
      <c r="F71" s="510">
        <f t="shared" si="11"/>
        <v>0</v>
      </c>
      <c r="G71" s="511">
        <f t="shared" si="12"/>
        <v>0</v>
      </c>
      <c r="H71" s="477">
        <f t="shared" si="13"/>
        <v>0</v>
      </c>
      <c r="I71" s="500">
        <f t="shared" si="6"/>
        <v>0</v>
      </c>
      <c r="J71" s="500"/>
      <c r="K71" s="512"/>
      <c r="L71" s="504">
        <f t="shared" si="14"/>
        <v>0</v>
      </c>
      <c r="M71" s="512"/>
      <c r="N71" s="504">
        <f t="shared" si="4"/>
        <v>0</v>
      </c>
      <c r="O71" s="504">
        <f t="shared" si="5"/>
        <v>0</v>
      </c>
      <c r="P71" s="278"/>
      <c r="R71" s="243"/>
      <c r="S71" s="243"/>
      <c r="T71" s="243"/>
      <c r="U71" s="243"/>
    </row>
    <row r="72" spans="2:21" ht="12.5">
      <c r="B72" s="145" t="str">
        <f t="shared" si="0"/>
        <v/>
      </c>
      <c r="C72" s="495">
        <f>IF(D11="","-",+C71+1)</f>
        <v>2069</v>
      </c>
      <c r="D72" s="508">
        <f>IF(F71+SUM(E$17:E71)=D$10,F71,D$10-SUM(E$17:E71))</f>
        <v>0</v>
      </c>
      <c r="E72" s="509">
        <f t="shared" si="10"/>
        <v>0</v>
      </c>
      <c r="F72" s="510">
        <f t="shared" si="11"/>
        <v>0</v>
      </c>
      <c r="G72" s="511">
        <f t="shared" si="12"/>
        <v>0</v>
      </c>
      <c r="H72" s="477">
        <f t="shared" si="13"/>
        <v>0</v>
      </c>
      <c r="I72" s="500">
        <f t="shared" si="6"/>
        <v>0</v>
      </c>
      <c r="J72" s="500"/>
      <c r="K72" s="512"/>
      <c r="L72" s="504">
        <f t="shared" si="14"/>
        <v>0</v>
      </c>
      <c r="M72" s="512"/>
      <c r="N72" s="504">
        <f t="shared" si="4"/>
        <v>0</v>
      </c>
      <c r="O72" s="504">
        <f t="shared" si="5"/>
        <v>0</v>
      </c>
      <c r="P72" s="278"/>
      <c r="R72" s="243"/>
      <c r="S72" s="243"/>
      <c r="T72" s="243"/>
      <c r="U72" s="243"/>
    </row>
    <row r="73" spans="2:21" ht="13" thickBot="1">
      <c r="B73" s="145" t="str">
        <f t="shared" si="0"/>
        <v/>
      </c>
      <c r="C73" s="524">
        <f>IF(D11="","-",+C72+1)</f>
        <v>2070</v>
      </c>
      <c r="D73" s="525">
        <f>IF(F72+SUM(E$17:E72)=D$10,F72,D$10-SUM(E$17:E72))</f>
        <v>0</v>
      </c>
      <c r="E73" s="526">
        <f t="shared" si="10"/>
        <v>0</v>
      </c>
      <c r="F73" s="527">
        <f t="shared" si="11"/>
        <v>0</v>
      </c>
      <c r="G73" s="527">
        <f t="shared" si="12"/>
        <v>0</v>
      </c>
      <c r="H73" s="527">
        <f t="shared" si="13"/>
        <v>0</v>
      </c>
      <c r="I73" s="529">
        <f t="shared" si="6"/>
        <v>0</v>
      </c>
      <c r="J73" s="500"/>
      <c r="K73" s="530"/>
      <c r="L73" s="531">
        <f t="shared" si="14"/>
        <v>0</v>
      </c>
      <c r="M73" s="530"/>
      <c r="N73" s="531">
        <f t="shared" si="4"/>
        <v>0</v>
      </c>
      <c r="O73" s="531">
        <f t="shared" si="5"/>
        <v>0</v>
      </c>
      <c r="P73" s="278"/>
      <c r="R73" s="243"/>
      <c r="S73" s="243"/>
      <c r="T73" s="243"/>
      <c r="U73" s="243"/>
    </row>
    <row r="74" spans="2:21" ht="12.5">
      <c r="C74" s="349" t="s">
        <v>75</v>
      </c>
      <c r="D74" s="294"/>
      <c r="E74" s="294">
        <f>SUM(E17:E73)</f>
        <v>20242585</v>
      </c>
      <c r="F74" s="294"/>
      <c r="G74" s="294">
        <f>SUM(G17:G73)</f>
        <v>57434094.116950557</v>
      </c>
      <c r="H74" s="294">
        <f>SUM(H17:H73)</f>
        <v>57434094.116950557</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11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2500163.2849116144</v>
      </c>
      <c r="N88" s="544">
        <f>IF(J93&lt;D11,0,VLOOKUP(J93,C17:O73,11))</f>
        <v>2500163.2849116144</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2563418.1251169378</v>
      </c>
      <c r="N89" s="548">
        <f>IF(J93&lt;D11,0,VLOOKUP(J93,C100:P155,7))</f>
        <v>2563418.1251169378</v>
      </c>
      <c r="O89" s="549">
        <f>+N89-M89</f>
        <v>0</v>
      </c>
      <c r="P89" s="243"/>
      <c r="Q89" s="243"/>
      <c r="R89" s="243"/>
      <c r="S89" s="243"/>
      <c r="T89" s="243"/>
      <c r="U89" s="243"/>
    </row>
    <row r="90" spans="1:21" ht="13.5" thickBot="1">
      <c r="C90" s="454" t="s">
        <v>82</v>
      </c>
      <c r="D90" s="550" t="str">
        <f>+D7</f>
        <v>Grady Customer Connection</v>
      </c>
      <c r="E90" s="243"/>
      <c r="F90" s="243"/>
      <c r="G90" s="243"/>
      <c r="H90" s="243"/>
      <c r="I90" s="325"/>
      <c r="J90" s="325"/>
      <c r="K90" s="551"/>
      <c r="L90" s="552" t="s">
        <v>135</v>
      </c>
      <c r="M90" s="553">
        <f>+M89-M88</f>
        <v>63254.840205323417</v>
      </c>
      <c r="N90" s="553">
        <f>+N89-N88</f>
        <v>63254.840205323417</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TP2013002</v>
      </c>
      <c r="E92" s="558"/>
      <c r="F92" s="558"/>
      <c r="G92" s="558"/>
      <c r="H92" s="558"/>
      <c r="I92" s="558"/>
      <c r="J92" s="558"/>
      <c r="K92" s="560"/>
      <c r="P92" s="468"/>
      <c r="Q92" s="243"/>
      <c r="R92" s="243"/>
      <c r="S92" s="243"/>
      <c r="T92" s="243"/>
      <c r="U92" s="243"/>
    </row>
    <row r="93" spans="1:21" ht="13">
      <c r="C93" s="472" t="s">
        <v>49</v>
      </c>
      <c r="D93" s="622">
        <v>20242585</v>
      </c>
      <c r="E93" s="248" t="s">
        <v>84</v>
      </c>
      <c r="H93" s="408"/>
      <c r="I93" s="408"/>
      <c r="J93" s="471">
        <f>+'OKT.WS.G.BPU.ATRR.True-up'!M16</f>
        <v>2019</v>
      </c>
      <c r="K93" s="467"/>
      <c r="L93" s="294" t="s">
        <v>85</v>
      </c>
      <c r="P93" s="278"/>
      <c r="Q93" s="243"/>
      <c r="R93" s="243"/>
      <c r="S93" s="243"/>
      <c r="T93" s="243"/>
      <c r="U93" s="243"/>
    </row>
    <row r="94" spans="1:21" ht="12.5">
      <c r="C94" s="472" t="s">
        <v>52</v>
      </c>
      <c r="D94" s="561">
        <f>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D12</f>
        <v>11</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613411.66666666663</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2014</v>
      </c>
      <c r="D100" s="349"/>
      <c r="E100" s="511"/>
      <c r="F100" s="510"/>
      <c r="G100" s="605"/>
      <c r="H100" s="605"/>
      <c r="I100" s="605"/>
      <c r="J100" s="504"/>
      <c r="K100" s="504"/>
      <c r="L100" s="501"/>
      <c r="M100" s="502">
        <f t="shared" ref="M100:M131" si="15">IF(L100&lt;&gt;0,+H100-L100,0)</f>
        <v>0</v>
      </c>
      <c r="N100" s="501"/>
      <c r="O100" s="503">
        <f t="shared" ref="O100:O131" si="16">IF(N100&lt;&gt;0,+I100-N100,0)</f>
        <v>0</v>
      </c>
      <c r="P100" s="503">
        <f t="shared" ref="P100:P131" si="17">+O100-M100</f>
        <v>0</v>
      </c>
      <c r="Q100" s="243"/>
      <c r="R100" s="243"/>
      <c r="S100" s="243"/>
      <c r="T100" s="243"/>
      <c r="U100" s="243"/>
    </row>
    <row r="101" spans="1:21" ht="12.5">
      <c r="B101" s="145" t="str">
        <f t="shared" ref="B101:B155" si="18">IF(D101=F100,"","IU")</f>
        <v>IU</v>
      </c>
      <c r="C101" s="495">
        <f>IF(D94="","-",+C100+1)</f>
        <v>2015</v>
      </c>
      <c r="D101" s="496">
        <v>19016226.275360011</v>
      </c>
      <c r="E101" s="498">
        <v>416545.33333333331</v>
      </c>
      <c r="F101" s="505">
        <v>18599680.942026678</v>
      </c>
      <c r="G101" s="505">
        <v>18807953.608693346</v>
      </c>
      <c r="H101" s="498">
        <v>2510424.0615898012</v>
      </c>
      <c r="I101" s="499">
        <v>2510424.0615898012</v>
      </c>
      <c r="J101" s="504">
        <v>0</v>
      </c>
      <c r="K101" s="504"/>
      <c r="L101" s="506">
        <f>H101</f>
        <v>2510424.0615898012</v>
      </c>
      <c r="M101" s="504">
        <f>IF(L101&lt;&gt;0,+H101-L101,0)</f>
        <v>0</v>
      </c>
      <c r="N101" s="506">
        <f>I101</f>
        <v>2510424.0615898012</v>
      </c>
      <c r="O101" s="504">
        <f t="shared" si="16"/>
        <v>0</v>
      </c>
      <c r="P101" s="504">
        <f t="shared" si="17"/>
        <v>0</v>
      </c>
      <c r="Q101" s="243"/>
      <c r="R101" s="243"/>
      <c r="S101" s="243"/>
      <c r="T101" s="243"/>
      <c r="U101" s="243"/>
    </row>
    <row r="102" spans="1:21" ht="12.5">
      <c r="B102" s="145" t="str">
        <f t="shared" si="18"/>
        <v>IU</v>
      </c>
      <c r="C102" s="495">
        <f>IF(D94="","-",+C101+1)</f>
        <v>2016</v>
      </c>
      <c r="D102" s="496">
        <v>19825461.666666668</v>
      </c>
      <c r="E102" s="498">
        <v>396902.09803921566</v>
      </c>
      <c r="F102" s="505">
        <v>19428559.568627451</v>
      </c>
      <c r="G102" s="505">
        <v>19627010.617647059</v>
      </c>
      <c r="H102" s="498">
        <v>2523870.6286029778</v>
      </c>
      <c r="I102" s="499">
        <v>2523870.6286029778</v>
      </c>
      <c r="J102" s="504">
        <f>+I102-H102</f>
        <v>0</v>
      </c>
      <c r="K102" s="504"/>
      <c r="L102" s="506">
        <f>H102</f>
        <v>2523870.6286029778</v>
      </c>
      <c r="M102" s="504">
        <f>IF(L102&lt;&gt;0,+H102-L102,0)</f>
        <v>0</v>
      </c>
      <c r="N102" s="506">
        <f>I102</f>
        <v>2523870.6286029778</v>
      </c>
      <c r="O102" s="504">
        <f>IF(N102&lt;&gt;0,+I102-N102,0)</f>
        <v>0</v>
      </c>
      <c r="P102" s="504">
        <f>+O102-M102</f>
        <v>0</v>
      </c>
      <c r="Q102" s="243"/>
      <c r="R102" s="243"/>
      <c r="S102" s="243"/>
      <c r="T102" s="243"/>
      <c r="U102" s="243"/>
    </row>
    <row r="103" spans="1:21" ht="12.5">
      <c r="B103" s="145" t="str">
        <f t="shared" si="18"/>
        <v>IU</v>
      </c>
      <c r="C103" s="495">
        <f>IF(D94="","-",+C102+1)</f>
        <v>2017</v>
      </c>
      <c r="D103" s="496">
        <v>19429137.568627451</v>
      </c>
      <c r="E103" s="498">
        <v>506064.625</v>
      </c>
      <c r="F103" s="505">
        <v>18923072.943627451</v>
      </c>
      <c r="G103" s="505">
        <v>19176105.256127451</v>
      </c>
      <c r="H103" s="498">
        <v>2756109.5074390932</v>
      </c>
      <c r="I103" s="499">
        <v>2756109.5074390932</v>
      </c>
      <c r="J103" s="504">
        <v>0</v>
      </c>
      <c r="K103" s="504"/>
      <c r="L103" s="506">
        <f>H103</f>
        <v>2756109.5074390932</v>
      </c>
      <c r="M103" s="504">
        <f>IF(L103&lt;&gt;0,+H103-L103,0)</f>
        <v>0</v>
      </c>
      <c r="N103" s="506">
        <f>I103</f>
        <v>2756109.5074390932</v>
      </c>
      <c r="O103" s="504">
        <f>IF(N103&lt;&gt;0,+I103-N103,0)</f>
        <v>0</v>
      </c>
      <c r="P103" s="504">
        <f>+O103-M103</f>
        <v>0</v>
      </c>
      <c r="Q103" s="243"/>
      <c r="R103" s="243"/>
      <c r="S103" s="243"/>
      <c r="T103" s="243"/>
      <c r="U103" s="243"/>
    </row>
    <row r="104" spans="1:21" ht="12.5">
      <c r="B104" s="145" t="str">
        <f t="shared" si="18"/>
        <v/>
      </c>
      <c r="C104" s="495">
        <f>IF(D94="","-",+C103+1)</f>
        <v>2018</v>
      </c>
      <c r="D104" s="496">
        <v>18923072.943627451</v>
      </c>
      <c r="E104" s="498">
        <v>562294.02777777775</v>
      </c>
      <c r="F104" s="505">
        <v>18360778.915849674</v>
      </c>
      <c r="G104" s="505">
        <v>18641925.929738563</v>
      </c>
      <c r="H104" s="498">
        <v>2530181.3848446766</v>
      </c>
      <c r="I104" s="499">
        <v>2530181.3848446766</v>
      </c>
      <c r="J104" s="504">
        <f t="shared" ref="J104:J155" si="19">+I104-H104</f>
        <v>0</v>
      </c>
      <c r="K104" s="504"/>
      <c r="L104" s="506">
        <f>H104</f>
        <v>2530181.3848446766</v>
      </c>
      <c r="M104" s="504">
        <f>IF(L104&lt;&gt;0,+H104-L104,0)</f>
        <v>0</v>
      </c>
      <c r="N104" s="506">
        <f>I104</f>
        <v>2530181.3848446766</v>
      </c>
      <c r="O104" s="504">
        <f>IF(N104&lt;&gt;0,+I104-N104,0)</f>
        <v>0</v>
      </c>
      <c r="P104" s="504">
        <f>+O104-M104</f>
        <v>0</v>
      </c>
      <c r="Q104" s="243"/>
      <c r="R104" s="243"/>
      <c r="S104" s="243"/>
      <c r="T104" s="243"/>
      <c r="U104" s="243"/>
    </row>
    <row r="105" spans="1:21" ht="12.5">
      <c r="B105" s="145" t="str">
        <f t="shared" si="18"/>
        <v/>
      </c>
      <c r="C105" s="495">
        <f>IF(D94="","-",+C104+1)</f>
        <v>2019</v>
      </c>
      <c r="D105" s="349">
        <f>IF(F104+SUM(E$100:E104)=D$93,F104,D$93-SUM(E$100:E104))</f>
        <v>18360778.915849674</v>
      </c>
      <c r="E105" s="629">
        <f t="shared" ref="E105:E155" si="20">IF(+$J$97&lt;F104,$J$97,D105)</f>
        <v>613411.66666666663</v>
      </c>
      <c r="F105" s="510">
        <f t="shared" ref="F105:F155" si="21">+D105-E105</f>
        <v>17747367.249183007</v>
      </c>
      <c r="G105" s="510">
        <f t="shared" ref="G105:G155" si="22">+(F105+D105)/2</f>
        <v>18054073.082516342</v>
      </c>
      <c r="H105" s="630">
        <f t="shared" ref="H105:H155" si="23">+J$95*G105+E105</f>
        <v>2563418.1251169378</v>
      </c>
      <c r="I105" s="631">
        <f t="shared" ref="I105:I155" si="24">+J$96*G105+E105</f>
        <v>2563418.1251169378</v>
      </c>
      <c r="J105" s="504">
        <f t="shared" si="19"/>
        <v>0</v>
      </c>
      <c r="K105" s="504"/>
      <c r="L105" s="512"/>
      <c r="M105" s="504">
        <f t="shared" si="15"/>
        <v>0</v>
      </c>
      <c r="N105" s="512"/>
      <c r="O105" s="504">
        <f t="shared" si="16"/>
        <v>0</v>
      </c>
      <c r="P105" s="504">
        <f t="shared" si="17"/>
        <v>0</v>
      </c>
      <c r="Q105" s="243"/>
      <c r="R105" s="243"/>
      <c r="S105" s="243"/>
      <c r="T105" s="243"/>
      <c r="U105" s="243"/>
    </row>
    <row r="106" spans="1:21" ht="12.5">
      <c r="B106" s="145" t="str">
        <f t="shared" si="18"/>
        <v/>
      </c>
      <c r="C106" s="495">
        <f>IF(D94="","-",+C105+1)</f>
        <v>2020</v>
      </c>
      <c r="D106" s="349">
        <f>IF(F105+SUM(E$100:E105)=D$93,F105,D$93-SUM(E$100:E105))</f>
        <v>17747367.249183007</v>
      </c>
      <c r="E106" s="629">
        <f t="shared" si="20"/>
        <v>613411.66666666663</v>
      </c>
      <c r="F106" s="510">
        <f t="shared" si="21"/>
        <v>17133955.582516339</v>
      </c>
      <c r="G106" s="510">
        <f t="shared" si="22"/>
        <v>17440661.415849671</v>
      </c>
      <c r="H106" s="630">
        <f t="shared" si="23"/>
        <v>2497164.0058264206</v>
      </c>
      <c r="I106" s="631">
        <f t="shared" si="24"/>
        <v>2497164.0058264206</v>
      </c>
      <c r="J106" s="504">
        <f t="shared" si="19"/>
        <v>0</v>
      </c>
      <c r="K106" s="504"/>
      <c r="L106" s="512"/>
      <c r="M106" s="504">
        <f t="shared" si="15"/>
        <v>0</v>
      </c>
      <c r="N106" s="512"/>
      <c r="O106" s="504">
        <f t="shared" si="16"/>
        <v>0</v>
      </c>
      <c r="P106" s="504">
        <f t="shared" si="17"/>
        <v>0</v>
      </c>
      <c r="Q106" s="243"/>
      <c r="R106" s="243"/>
      <c r="S106" s="243"/>
      <c r="T106" s="243"/>
      <c r="U106" s="243"/>
    </row>
    <row r="107" spans="1:21" ht="12.5">
      <c r="B107" s="145" t="str">
        <f t="shared" si="18"/>
        <v/>
      </c>
      <c r="C107" s="495">
        <f>IF(D94="","-",+C106+1)</f>
        <v>2021</v>
      </c>
      <c r="D107" s="349">
        <f>IF(F106+SUM(E$100:E106)=D$93,F106,D$93-SUM(E$100:E106))</f>
        <v>17133955.582516339</v>
      </c>
      <c r="E107" s="629">
        <f t="shared" si="20"/>
        <v>613411.66666666663</v>
      </c>
      <c r="F107" s="510">
        <f t="shared" si="21"/>
        <v>16520543.915849673</v>
      </c>
      <c r="G107" s="510">
        <f t="shared" si="22"/>
        <v>16827249.749183007</v>
      </c>
      <c r="H107" s="630">
        <f t="shared" si="23"/>
        <v>2430909.8865359044</v>
      </c>
      <c r="I107" s="631">
        <f t="shared" si="24"/>
        <v>2430909.8865359044</v>
      </c>
      <c r="J107" s="504">
        <f t="shared" si="19"/>
        <v>0</v>
      </c>
      <c r="K107" s="504"/>
      <c r="L107" s="512"/>
      <c r="M107" s="504">
        <f t="shared" si="15"/>
        <v>0</v>
      </c>
      <c r="N107" s="512"/>
      <c r="O107" s="504">
        <f t="shared" si="16"/>
        <v>0</v>
      </c>
      <c r="P107" s="504">
        <f t="shared" si="17"/>
        <v>0</v>
      </c>
      <c r="Q107" s="243"/>
      <c r="R107" s="243"/>
      <c r="S107" s="243"/>
      <c r="T107" s="243"/>
      <c r="U107" s="243"/>
    </row>
    <row r="108" spans="1:21" ht="12.5">
      <c r="B108" s="145" t="str">
        <f t="shared" si="18"/>
        <v/>
      </c>
      <c r="C108" s="495">
        <f>IF(D94="","-",+C107+1)</f>
        <v>2022</v>
      </c>
      <c r="D108" s="349">
        <f>IF(F107+SUM(E$100:E107)=D$93,F107,D$93-SUM(E$100:E107))</f>
        <v>16520543.915849673</v>
      </c>
      <c r="E108" s="629">
        <f t="shared" si="20"/>
        <v>613411.66666666663</v>
      </c>
      <c r="F108" s="510">
        <f t="shared" si="21"/>
        <v>15907132.249183007</v>
      </c>
      <c r="G108" s="510">
        <f t="shared" si="22"/>
        <v>16213838.082516339</v>
      </c>
      <c r="H108" s="630">
        <f t="shared" si="23"/>
        <v>2364655.7672453872</v>
      </c>
      <c r="I108" s="631">
        <f t="shared" si="24"/>
        <v>2364655.7672453872</v>
      </c>
      <c r="J108" s="504">
        <f t="shared" si="19"/>
        <v>0</v>
      </c>
      <c r="K108" s="504"/>
      <c r="L108" s="512"/>
      <c r="M108" s="504">
        <f t="shared" si="15"/>
        <v>0</v>
      </c>
      <c r="N108" s="512"/>
      <c r="O108" s="504">
        <f t="shared" si="16"/>
        <v>0</v>
      </c>
      <c r="P108" s="504">
        <f t="shared" si="17"/>
        <v>0</v>
      </c>
      <c r="Q108" s="243"/>
      <c r="R108" s="243"/>
      <c r="S108" s="243"/>
      <c r="T108" s="243"/>
      <c r="U108" s="243"/>
    </row>
    <row r="109" spans="1:21" ht="12.5">
      <c r="B109" s="145" t="str">
        <f t="shared" si="18"/>
        <v/>
      </c>
      <c r="C109" s="495">
        <f>IF(D94="","-",+C108+1)</f>
        <v>2023</v>
      </c>
      <c r="D109" s="349">
        <f>IF(F108+SUM(E$100:E108)=D$93,F108,D$93-SUM(E$100:E108))</f>
        <v>15907132.249183007</v>
      </c>
      <c r="E109" s="629">
        <f t="shared" si="20"/>
        <v>613411.66666666663</v>
      </c>
      <c r="F109" s="510">
        <f t="shared" si="21"/>
        <v>15293720.582516341</v>
      </c>
      <c r="G109" s="510">
        <f t="shared" si="22"/>
        <v>15600426.415849674</v>
      </c>
      <c r="H109" s="630">
        <f t="shared" si="23"/>
        <v>2298401.6479548709</v>
      </c>
      <c r="I109" s="631">
        <f t="shared" si="24"/>
        <v>2298401.6479548709</v>
      </c>
      <c r="J109" s="504">
        <f t="shared" si="19"/>
        <v>0</v>
      </c>
      <c r="K109" s="504"/>
      <c r="L109" s="512"/>
      <c r="M109" s="504">
        <f t="shared" si="15"/>
        <v>0</v>
      </c>
      <c r="N109" s="512"/>
      <c r="O109" s="504">
        <f t="shared" si="16"/>
        <v>0</v>
      </c>
      <c r="P109" s="504">
        <f t="shared" si="17"/>
        <v>0</v>
      </c>
      <c r="Q109" s="243"/>
      <c r="R109" s="243"/>
      <c r="S109" s="243"/>
      <c r="T109" s="243"/>
      <c r="U109" s="243"/>
    </row>
    <row r="110" spans="1:21" ht="12.5">
      <c r="B110" s="145" t="str">
        <f t="shared" si="18"/>
        <v/>
      </c>
      <c r="C110" s="495">
        <f>IF(D94="","-",+C109+1)</f>
        <v>2024</v>
      </c>
      <c r="D110" s="349">
        <f>IF(F109+SUM(E$100:E109)=D$93,F109,D$93-SUM(E$100:E109))</f>
        <v>15293720.582516341</v>
      </c>
      <c r="E110" s="629">
        <f t="shared" si="20"/>
        <v>613411.66666666663</v>
      </c>
      <c r="F110" s="510">
        <f t="shared" si="21"/>
        <v>14680308.915849674</v>
      </c>
      <c r="G110" s="510">
        <f t="shared" si="22"/>
        <v>14987014.749183007</v>
      </c>
      <c r="H110" s="630">
        <f t="shared" si="23"/>
        <v>2232147.5286643542</v>
      </c>
      <c r="I110" s="631">
        <f t="shared" si="24"/>
        <v>2232147.5286643542</v>
      </c>
      <c r="J110" s="504">
        <f t="shared" si="19"/>
        <v>0</v>
      </c>
      <c r="K110" s="504"/>
      <c r="L110" s="512"/>
      <c r="M110" s="504">
        <f t="shared" si="15"/>
        <v>0</v>
      </c>
      <c r="N110" s="512"/>
      <c r="O110" s="504">
        <f t="shared" si="16"/>
        <v>0</v>
      </c>
      <c r="P110" s="504">
        <f t="shared" si="17"/>
        <v>0</v>
      </c>
      <c r="Q110" s="243"/>
      <c r="R110" s="243"/>
      <c r="S110" s="243"/>
      <c r="T110" s="243"/>
      <c r="U110" s="243"/>
    </row>
    <row r="111" spans="1:21" ht="12.5">
      <c r="B111" s="145" t="str">
        <f t="shared" si="18"/>
        <v/>
      </c>
      <c r="C111" s="495">
        <f>IF(D94="","-",+C110+1)</f>
        <v>2025</v>
      </c>
      <c r="D111" s="349">
        <f>IF(F110+SUM(E$100:E110)=D$93,F110,D$93-SUM(E$100:E110))</f>
        <v>14680308.915849674</v>
      </c>
      <c r="E111" s="629">
        <f t="shared" si="20"/>
        <v>613411.66666666663</v>
      </c>
      <c r="F111" s="510">
        <f t="shared" si="21"/>
        <v>14066897.249183008</v>
      </c>
      <c r="G111" s="510">
        <f t="shared" si="22"/>
        <v>14373603.082516342</v>
      </c>
      <c r="H111" s="630">
        <f t="shared" si="23"/>
        <v>2165893.4093738375</v>
      </c>
      <c r="I111" s="631">
        <f t="shared" si="24"/>
        <v>2165893.4093738375</v>
      </c>
      <c r="J111" s="504">
        <f t="shared" si="19"/>
        <v>0</v>
      </c>
      <c r="K111" s="504"/>
      <c r="L111" s="512"/>
      <c r="M111" s="504">
        <f t="shared" si="15"/>
        <v>0</v>
      </c>
      <c r="N111" s="512"/>
      <c r="O111" s="504">
        <f t="shared" si="16"/>
        <v>0</v>
      </c>
      <c r="P111" s="504">
        <f t="shared" si="17"/>
        <v>0</v>
      </c>
      <c r="Q111" s="243"/>
      <c r="R111" s="243"/>
      <c r="S111" s="243"/>
      <c r="T111" s="243"/>
      <c r="U111" s="243"/>
    </row>
    <row r="112" spans="1:21" ht="12.5">
      <c r="B112" s="145" t="str">
        <f t="shared" si="18"/>
        <v/>
      </c>
      <c r="C112" s="495">
        <f>IF(D94="","-",+C111+1)</f>
        <v>2026</v>
      </c>
      <c r="D112" s="349">
        <f>IF(F111+SUM(E$100:E111)=D$93,F111,D$93-SUM(E$100:E111))</f>
        <v>14066897.249183008</v>
      </c>
      <c r="E112" s="629">
        <f t="shared" si="20"/>
        <v>613411.66666666663</v>
      </c>
      <c r="F112" s="510">
        <f t="shared" si="21"/>
        <v>13453485.582516342</v>
      </c>
      <c r="G112" s="510">
        <f t="shared" si="22"/>
        <v>13760191.415849674</v>
      </c>
      <c r="H112" s="630">
        <f t="shared" si="23"/>
        <v>2099639.2900833208</v>
      </c>
      <c r="I112" s="631">
        <f t="shared" si="24"/>
        <v>2099639.2900833208</v>
      </c>
      <c r="J112" s="504">
        <f t="shared" si="19"/>
        <v>0</v>
      </c>
      <c r="K112" s="504"/>
      <c r="L112" s="512"/>
      <c r="M112" s="504">
        <f t="shared" si="15"/>
        <v>0</v>
      </c>
      <c r="N112" s="512"/>
      <c r="O112" s="504">
        <f t="shared" si="16"/>
        <v>0</v>
      </c>
      <c r="P112" s="504">
        <f t="shared" si="17"/>
        <v>0</v>
      </c>
      <c r="Q112" s="243"/>
      <c r="R112" s="243"/>
      <c r="S112" s="243"/>
      <c r="T112" s="243"/>
      <c r="U112" s="243"/>
    </row>
    <row r="113" spans="2:21" ht="12.5">
      <c r="B113" s="145" t="str">
        <f t="shared" si="18"/>
        <v/>
      </c>
      <c r="C113" s="495">
        <f>IF(D94="","-",+C112+1)</f>
        <v>2027</v>
      </c>
      <c r="D113" s="349">
        <f>IF(F112+SUM(E$100:E112)=D$93,F112,D$93-SUM(E$100:E112))</f>
        <v>13453485.582516342</v>
      </c>
      <c r="E113" s="629">
        <f t="shared" si="20"/>
        <v>613411.66666666663</v>
      </c>
      <c r="F113" s="510">
        <f t="shared" si="21"/>
        <v>12840073.915849676</v>
      </c>
      <c r="G113" s="510">
        <f t="shared" si="22"/>
        <v>13146779.74918301</v>
      </c>
      <c r="H113" s="630">
        <f t="shared" si="23"/>
        <v>2033385.1707928041</v>
      </c>
      <c r="I113" s="631">
        <f t="shared" si="24"/>
        <v>2033385.1707928041</v>
      </c>
      <c r="J113" s="504">
        <f t="shared" si="19"/>
        <v>0</v>
      </c>
      <c r="K113" s="504"/>
      <c r="L113" s="512"/>
      <c r="M113" s="504">
        <f t="shared" si="15"/>
        <v>0</v>
      </c>
      <c r="N113" s="512"/>
      <c r="O113" s="504">
        <f t="shared" si="16"/>
        <v>0</v>
      </c>
      <c r="P113" s="504">
        <f t="shared" si="17"/>
        <v>0</v>
      </c>
      <c r="Q113" s="243"/>
      <c r="R113" s="243"/>
      <c r="S113" s="243"/>
      <c r="T113" s="243"/>
      <c r="U113" s="243"/>
    </row>
    <row r="114" spans="2:21" ht="12.5">
      <c r="B114" s="145" t="str">
        <f t="shared" si="18"/>
        <v/>
      </c>
      <c r="C114" s="495">
        <f>IF(D94="","-",+C113+1)</f>
        <v>2028</v>
      </c>
      <c r="D114" s="349">
        <f>IF(F113+SUM(E$100:E113)=D$93,F113,D$93-SUM(E$100:E113))</f>
        <v>12840073.915849676</v>
      </c>
      <c r="E114" s="629">
        <f t="shared" si="20"/>
        <v>613411.66666666663</v>
      </c>
      <c r="F114" s="510">
        <f t="shared" si="21"/>
        <v>12226662.24918301</v>
      </c>
      <c r="G114" s="510">
        <f t="shared" si="22"/>
        <v>12533368.082516342</v>
      </c>
      <c r="H114" s="630">
        <f t="shared" si="23"/>
        <v>1967131.0515022874</v>
      </c>
      <c r="I114" s="631">
        <f t="shared" si="24"/>
        <v>1967131.0515022874</v>
      </c>
      <c r="J114" s="504">
        <f t="shared" si="19"/>
        <v>0</v>
      </c>
      <c r="K114" s="504"/>
      <c r="L114" s="512"/>
      <c r="M114" s="504">
        <f t="shared" si="15"/>
        <v>0</v>
      </c>
      <c r="N114" s="512"/>
      <c r="O114" s="504">
        <f t="shared" si="16"/>
        <v>0</v>
      </c>
      <c r="P114" s="504">
        <f t="shared" si="17"/>
        <v>0</v>
      </c>
      <c r="Q114" s="243"/>
      <c r="R114" s="243"/>
      <c r="S114" s="243"/>
      <c r="T114" s="243"/>
      <c r="U114" s="243"/>
    </row>
    <row r="115" spans="2:21" ht="12.5">
      <c r="B115" s="145" t="str">
        <f t="shared" si="18"/>
        <v/>
      </c>
      <c r="C115" s="495">
        <f>IF(D94="","-",+C114+1)</f>
        <v>2029</v>
      </c>
      <c r="D115" s="349">
        <f>IF(F114+SUM(E$100:E114)=D$93,F114,D$93-SUM(E$100:E114))</f>
        <v>12226662.24918301</v>
      </c>
      <c r="E115" s="629">
        <f t="shared" si="20"/>
        <v>613411.66666666663</v>
      </c>
      <c r="F115" s="510">
        <f t="shared" si="21"/>
        <v>11613250.582516344</v>
      </c>
      <c r="G115" s="510">
        <f t="shared" si="22"/>
        <v>11919956.415849678</v>
      </c>
      <c r="H115" s="630">
        <f t="shared" si="23"/>
        <v>1900876.9322117707</v>
      </c>
      <c r="I115" s="631">
        <f t="shared" si="24"/>
        <v>1900876.9322117707</v>
      </c>
      <c r="J115" s="504">
        <f t="shared" si="19"/>
        <v>0</v>
      </c>
      <c r="K115" s="504"/>
      <c r="L115" s="512"/>
      <c r="M115" s="504">
        <f t="shared" si="15"/>
        <v>0</v>
      </c>
      <c r="N115" s="512"/>
      <c r="O115" s="504">
        <f t="shared" si="16"/>
        <v>0</v>
      </c>
      <c r="P115" s="504">
        <f t="shared" si="17"/>
        <v>0</v>
      </c>
      <c r="Q115" s="243"/>
      <c r="R115" s="243"/>
      <c r="S115" s="243"/>
      <c r="T115" s="243"/>
      <c r="U115" s="243"/>
    </row>
    <row r="116" spans="2:21" ht="12.5">
      <c r="B116" s="145" t="str">
        <f t="shared" si="18"/>
        <v/>
      </c>
      <c r="C116" s="495">
        <f>IF(D94="","-",+C115+1)</f>
        <v>2030</v>
      </c>
      <c r="D116" s="349">
        <f>IF(F115+SUM(E$100:E115)=D$93,F115,D$93-SUM(E$100:E115))</f>
        <v>11613250.582516344</v>
      </c>
      <c r="E116" s="629">
        <f t="shared" si="20"/>
        <v>613411.66666666663</v>
      </c>
      <c r="F116" s="510">
        <f t="shared" si="21"/>
        <v>10999838.915849678</v>
      </c>
      <c r="G116" s="510">
        <f t="shared" si="22"/>
        <v>11306544.74918301</v>
      </c>
      <c r="H116" s="630">
        <f t="shared" si="23"/>
        <v>1834622.812921254</v>
      </c>
      <c r="I116" s="631">
        <f t="shared" si="24"/>
        <v>1834622.812921254</v>
      </c>
      <c r="J116" s="504">
        <f t="shared" si="19"/>
        <v>0</v>
      </c>
      <c r="K116" s="504"/>
      <c r="L116" s="512"/>
      <c r="M116" s="504">
        <f t="shared" si="15"/>
        <v>0</v>
      </c>
      <c r="N116" s="512"/>
      <c r="O116" s="504">
        <f t="shared" si="16"/>
        <v>0</v>
      </c>
      <c r="P116" s="504">
        <f t="shared" si="17"/>
        <v>0</v>
      </c>
      <c r="Q116" s="243"/>
      <c r="R116" s="243"/>
      <c r="S116" s="243"/>
      <c r="T116" s="243"/>
      <c r="U116" s="243"/>
    </row>
    <row r="117" spans="2:21" ht="12.5">
      <c r="B117" s="145" t="str">
        <f t="shared" si="18"/>
        <v/>
      </c>
      <c r="C117" s="495">
        <f>IF(D94="","-",+C116+1)</f>
        <v>2031</v>
      </c>
      <c r="D117" s="349">
        <f>IF(F116+SUM(E$100:E116)=D$93,F116,D$93-SUM(E$100:E116))</f>
        <v>10999838.915849678</v>
      </c>
      <c r="E117" s="629">
        <f t="shared" si="20"/>
        <v>613411.66666666663</v>
      </c>
      <c r="F117" s="510">
        <f t="shared" si="21"/>
        <v>10386427.249183012</v>
      </c>
      <c r="G117" s="510">
        <f t="shared" si="22"/>
        <v>10693133.082516346</v>
      </c>
      <c r="H117" s="630">
        <f t="shared" si="23"/>
        <v>1768368.6936307377</v>
      </c>
      <c r="I117" s="631">
        <f t="shared" si="24"/>
        <v>1768368.6936307377</v>
      </c>
      <c r="J117" s="504">
        <f t="shared" si="19"/>
        <v>0</v>
      </c>
      <c r="K117" s="504"/>
      <c r="L117" s="512"/>
      <c r="M117" s="504">
        <f t="shared" si="15"/>
        <v>0</v>
      </c>
      <c r="N117" s="512"/>
      <c r="O117" s="504">
        <f t="shared" si="16"/>
        <v>0</v>
      </c>
      <c r="P117" s="504">
        <f t="shared" si="17"/>
        <v>0</v>
      </c>
      <c r="Q117" s="243"/>
      <c r="R117" s="243"/>
      <c r="S117" s="243"/>
      <c r="T117" s="243"/>
      <c r="U117" s="243"/>
    </row>
    <row r="118" spans="2:21" ht="12.5">
      <c r="B118" s="145" t="str">
        <f t="shared" si="18"/>
        <v/>
      </c>
      <c r="C118" s="495">
        <f>IF(D94="","-",+C117+1)</f>
        <v>2032</v>
      </c>
      <c r="D118" s="349">
        <f>IF(F117+SUM(E$100:E117)=D$93,F117,D$93-SUM(E$100:E117))</f>
        <v>10386427.249183012</v>
      </c>
      <c r="E118" s="629">
        <f t="shared" si="20"/>
        <v>613411.66666666663</v>
      </c>
      <c r="F118" s="510">
        <f t="shared" si="21"/>
        <v>9773015.5825163461</v>
      </c>
      <c r="G118" s="510">
        <f t="shared" si="22"/>
        <v>10079721.415849678</v>
      </c>
      <c r="H118" s="630">
        <f t="shared" si="23"/>
        <v>1702114.5743402205</v>
      </c>
      <c r="I118" s="631">
        <f t="shared" si="24"/>
        <v>1702114.5743402205</v>
      </c>
      <c r="J118" s="504">
        <f t="shared" si="19"/>
        <v>0</v>
      </c>
      <c r="K118" s="504"/>
      <c r="L118" s="512"/>
      <c r="M118" s="504">
        <f t="shared" si="15"/>
        <v>0</v>
      </c>
      <c r="N118" s="512"/>
      <c r="O118" s="504">
        <f t="shared" si="16"/>
        <v>0</v>
      </c>
      <c r="P118" s="504">
        <f t="shared" si="17"/>
        <v>0</v>
      </c>
      <c r="Q118" s="243"/>
      <c r="R118" s="243"/>
      <c r="S118" s="243"/>
      <c r="T118" s="243"/>
      <c r="U118" s="243"/>
    </row>
    <row r="119" spans="2:21" ht="12.5">
      <c r="B119" s="145" t="str">
        <f t="shared" si="18"/>
        <v/>
      </c>
      <c r="C119" s="495">
        <f>IF(D94="","-",+C118+1)</f>
        <v>2033</v>
      </c>
      <c r="D119" s="349">
        <f>IF(F118+SUM(E$100:E118)=D$93,F118,D$93-SUM(E$100:E118))</f>
        <v>9773015.5825163461</v>
      </c>
      <c r="E119" s="629">
        <f t="shared" si="20"/>
        <v>613411.66666666663</v>
      </c>
      <c r="F119" s="510">
        <f t="shared" si="21"/>
        <v>9159603.9158496801</v>
      </c>
      <c r="G119" s="510">
        <f t="shared" si="22"/>
        <v>9466309.749183014</v>
      </c>
      <c r="H119" s="630">
        <f t="shared" si="23"/>
        <v>1635860.4550497043</v>
      </c>
      <c r="I119" s="631">
        <f t="shared" si="24"/>
        <v>1635860.4550497043</v>
      </c>
      <c r="J119" s="504">
        <f t="shared" si="19"/>
        <v>0</v>
      </c>
      <c r="K119" s="504"/>
      <c r="L119" s="512"/>
      <c r="M119" s="504">
        <f t="shared" si="15"/>
        <v>0</v>
      </c>
      <c r="N119" s="512"/>
      <c r="O119" s="504">
        <f t="shared" si="16"/>
        <v>0</v>
      </c>
      <c r="P119" s="504">
        <f t="shared" si="17"/>
        <v>0</v>
      </c>
      <c r="Q119" s="243"/>
      <c r="R119" s="243"/>
      <c r="S119" s="243"/>
      <c r="T119" s="243"/>
      <c r="U119" s="243"/>
    </row>
    <row r="120" spans="2:21" ht="12.5">
      <c r="B120" s="145" t="str">
        <f t="shared" si="18"/>
        <v/>
      </c>
      <c r="C120" s="495">
        <f>IF(D94="","-",+C119+1)</f>
        <v>2034</v>
      </c>
      <c r="D120" s="349">
        <f>IF(F119+SUM(E$100:E119)=D$93,F119,D$93-SUM(E$100:E119))</f>
        <v>9159603.9158496801</v>
      </c>
      <c r="E120" s="629">
        <f t="shared" si="20"/>
        <v>613411.66666666663</v>
      </c>
      <c r="F120" s="510">
        <f t="shared" si="21"/>
        <v>8546192.249183014</v>
      </c>
      <c r="G120" s="510">
        <f t="shared" si="22"/>
        <v>8852898.0825163461</v>
      </c>
      <c r="H120" s="630">
        <f t="shared" si="23"/>
        <v>1569606.3357591871</v>
      </c>
      <c r="I120" s="631">
        <f t="shared" si="24"/>
        <v>1569606.3357591871</v>
      </c>
      <c r="J120" s="504">
        <f t="shared" si="19"/>
        <v>0</v>
      </c>
      <c r="K120" s="504"/>
      <c r="L120" s="512"/>
      <c r="M120" s="504">
        <f t="shared" si="15"/>
        <v>0</v>
      </c>
      <c r="N120" s="512"/>
      <c r="O120" s="504">
        <f t="shared" si="16"/>
        <v>0</v>
      </c>
      <c r="P120" s="504">
        <f t="shared" si="17"/>
        <v>0</v>
      </c>
      <c r="Q120" s="243"/>
      <c r="R120" s="243"/>
      <c r="S120" s="243"/>
      <c r="T120" s="243"/>
      <c r="U120" s="243"/>
    </row>
    <row r="121" spans="2:21" ht="12.5">
      <c r="B121" s="145" t="str">
        <f t="shared" si="18"/>
        <v/>
      </c>
      <c r="C121" s="495">
        <f>IF(D94="","-",+C120+1)</f>
        <v>2035</v>
      </c>
      <c r="D121" s="349">
        <f>IF(F120+SUM(E$100:E120)=D$93,F120,D$93-SUM(E$100:E120))</f>
        <v>8546192.249183014</v>
      </c>
      <c r="E121" s="629">
        <f t="shared" si="20"/>
        <v>613411.66666666663</v>
      </c>
      <c r="F121" s="510">
        <f t="shared" si="21"/>
        <v>7932780.5825163471</v>
      </c>
      <c r="G121" s="510">
        <f t="shared" si="22"/>
        <v>8239486.4158496801</v>
      </c>
      <c r="H121" s="630">
        <f t="shared" si="23"/>
        <v>1503352.2164686706</v>
      </c>
      <c r="I121" s="631">
        <f t="shared" si="24"/>
        <v>1503352.2164686706</v>
      </c>
      <c r="J121" s="504">
        <f t="shared" si="19"/>
        <v>0</v>
      </c>
      <c r="K121" s="504"/>
      <c r="L121" s="512"/>
      <c r="M121" s="504">
        <f t="shared" si="15"/>
        <v>0</v>
      </c>
      <c r="N121" s="512"/>
      <c r="O121" s="504">
        <f t="shared" si="16"/>
        <v>0</v>
      </c>
      <c r="P121" s="504">
        <f t="shared" si="17"/>
        <v>0</v>
      </c>
      <c r="Q121" s="243"/>
      <c r="R121" s="243"/>
      <c r="S121" s="243"/>
      <c r="T121" s="243"/>
      <c r="U121" s="243"/>
    </row>
    <row r="122" spans="2:21" ht="12.5">
      <c r="B122" s="145" t="str">
        <f t="shared" si="18"/>
        <v/>
      </c>
      <c r="C122" s="495">
        <f>IF(D94="","-",+C121+1)</f>
        <v>2036</v>
      </c>
      <c r="D122" s="349">
        <f>IF(F121+SUM(E$100:E121)=D$93,F121,D$93-SUM(E$100:E121))</f>
        <v>7932780.5825163471</v>
      </c>
      <c r="E122" s="629">
        <f t="shared" si="20"/>
        <v>613411.66666666663</v>
      </c>
      <c r="F122" s="510">
        <f t="shared" si="21"/>
        <v>7319368.9158496801</v>
      </c>
      <c r="G122" s="510">
        <f t="shared" si="22"/>
        <v>7626074.749183014</v>
      </c>
      <c r="H122" s="630">
        <f t="shared" si="23"/>
        <v>1437098.0971781539</v>
      </c>
      <c r="I122" s="631">
        <f t="shared" si="24"/>
        <v>1437098.0971781539</v>
      </c>
      <c r="J122" s="504">
        <f t="shared" si="19"/>
        <v>0</v>
      </c>
      <c r="K122" s="504"/>
      <c r="L122" s="512"/>
      <c r="M122" s="504">
        <f t="shared" si="15"/>
        <v>0</v>
      </c>
      <c r="N122" s="512"/>
      <c r="O122" s="504">
        <f t="shared" si="16"/>
        <v>0</v>
      </c>
      <c r="P122" s="504">
        <f t="shared" si="17"/>
        <v>0</v>
      </c>
      <c r="Q122" s="243"/>
      <c r="R122" s="243"/>
      <c r="S122" s="243"/>
      <c r="T122" s="243"/>
      <c r="U122" s="243"/>
    </row>
    <row r="123" spans="2:21" ht="12.5">
      <c r="B123" s="145" t="str">
        <f t="shared" si="18"/>
        <v/>
      </c>
      <c r="C123" s="495">
        <f>IF(D94="","-",+C122+1)</f>
        <v>2037</v>
      </c>
      <c r="D123" s="349">
        <f>IF(F122+SUM(E$100:E122)=D$93,F122,D$93-SUM(E$100:E122))</f>
        <v>7319368.9158496801</v>
      </c>
      <c r="E123" s="629">
        <f t="shared" si="20"/>
        <v>613411.66666666663</v>
      </c>
      <c r="F123" s="510">
        <f t="shared" si="21"/>
        <v>6705957.2491830131</v>
      </c>
      <c r="G123" s="510">
        <f t="shared" si="22"/>
        <v>7012663.0825163461</v>
      </c>
      <c r="H123" s="630">
        <f t="shared" si="23"/>
        <v>1370843.977887637</v>
      </c>
      <c r="I123" s="631">
        <f t="shared" si="24"/>
        <v>1370843.977887637</v>
      </c>
      <c r="J123" s="504">
        <f t="shared" si="19"/>
        <v>0</v>
      </c>
      <c r="K123" s="504"/>
      <c r="L123" s="512"/>
      <c r="M123" s="504">
        <f t="shared" si="15"/>
        <v>0</v>
      </c>
      <c r="N123" s="512"/>
      <c r="O123" s="504">
        <f t="shared" si="16"/>
        <v>0</v>
      </c>
      <c r="P123" s="504">
        <f t="shared" si="17"/>
        <v>0</v>
      </c>
      <c r="Q123" s="243"/>
      <c r="R123" s="243"/>
      <c r="S123" s="243"/>
      <c r="T123" s="243"/>
      <c r="U123" s="243"/>
    </row>
    <row r="124" spans="2:21" ht="12.5">
      <c r="B124" s="145" t="str">
        <f t="shared" si="18"/>
        <v/>
      </c>
      <c r="C124" s="495">
        <f>IF(D94="","-",+C123+1)</f>
        <v>2038</v>
      </c>
      <c r="D124" s="349">
        <f>IF(F123+SUM(E$100:E123)=D$93,F123,D$93-SUM(E$100:E123))</f>
        <v>6705957.2491830131</v>
      </c>
      <c r="E124" s="629">
        <f t="shared" si="20"/>
        <v>613411.66666666663</v>
      </c>
      <c r="F124" s="510">
        <f t="shared" si="21"/>
        <v>6092545.5825163461</v>
      </c>
      <c r="G124" s="510">
        <f t="shared" si="22"/>
        <v>6399251.4158496801</v>
      </c>
      <c r="H124" s="630">
        <f t="shared" si="23"/>
        <v>1304589.8585971203</v>
      </c>
      <c r="I124" s="631">
        <f t="shared" si="24"/>
        <v>1304589.8585971203</v>
      </c>
      <c r="J124" s="504">
        <f t="shared" si="19"/>
        <v>0</v>
      </c>
      <c r="K124" s="504"/>
      <c r="L124" s="512"/>
      <c r="M124" s="504">
        <f t="shared" si="15"/>
        <v>0</v>
      </c>
      <c r="N124" s="512"/>
      <c r="O124" s="504">
        <f t="shared" si="16"/>
        <v>0</v>
      </c>
      <c r="P124" s="504">
        <f t="shared" si="17"/>
        <v>0</v>
      </c>
      <c r="Q124" s="243"/>
      <c r="R124" s="243"/>
      <c r="S124" s="243"/>
      <c r="T124" s="243"/>
      <c r="U124" s="243"/>
    </row>
    <row r="125" spans="2:21" ht="12.5">
      <c r="B125" s="145" t="str">
        <f t="shared" si="18"/>
        <v/>
      </c>
      <c r="C125" s="495">
        <f>IF(D94="","-",+C124+1)</f>
        <v>2039</v>
      </c>
      <c r="D125" s="349">
        <f>IF(F124+SUM(E$100:E124)=D$93,F124,D$93-SUM(E$100:E124))</f>
        <v>6092545.5825163461</v>
      </c>
      <c r="E125" s="629">
        <f t="shared" si="20"/>
        <v>613411.66666666663</v>
      </c>
      <c r="F125" s="510">
        <f t="shared" si="21"/>
        <v>5479133.9158496791</v>
      </c>
      <c r="G125" s="510">
        <f t="shared" si="22"/>
        <v>5785839.7491830122</v>
      </c>
      <c r="H125" s="630">
        <f t="shared" si="23"/>
        <v>1238335.7393066036</v>
      </c>
      <c r="I125" s="631">
        <f t="shared" si="24"/>
        <v>1238335.7393066036</v>
      </c>
      <c r="J125" s="504">
        <f t="shared" si="19"/>
        <v>0</v>
      </c>
      <c r="K125" s="504"/>
      <c r="L125" s="512"/>
      <c r="M125" s="504">
        <f t="shared" si="15"/>
        <v>0</v>
      </c>
      <c r="N125" s="512"/>
      <c r="O125" s="504">
        <f t="shared" si="16"/>
        <v>0</v>
      </c>
      <c r="P125" s="504">
        <f t="shared" si="17"/>
        <v>0</v>
      </c>
      <c r="Q125" s="243"/>
      <c r="R125" s="243"/>
      <c r="S125" s="243"/>
      <c r="T125" s="243"/>
      <c r="U125" s="243"/>
    </row>
    <row r="126" spans="2:21" ht="12.5">
      <c r="B126" s="145" t="str">
        <f t="shared" si="18"/>
        <v/>
      </c>
      <c r="C126" s="495">
        <f>IF(D94="","-",+C125+1)</f>
        <v>2040</v>
      </c>
      <c r="D126" s="349">
        <f>IF(F125+SUM(E$100:E125)=D$93,F125,D$93-SUM(E$100:E125))</f>
        <v>5479133.9158496791</v>
      </c>
      <c r="E126" s="629">
        <f t="shared" si="20"/>
        <v>613411.66666666663</v>
      </c>
      <c r="F126" s="510">
        <f t="shared" si="21"/>
        <v>4865722.2491830122</v>
      </c>
      <c r="G126" s="510">
        <f t="shared" si="22"/>
        <v>5172428.0825163461</v>
      </c>
      <c r="H126" s="630">
        <f t="shared" si="23"/>
        <v>1172081.6200160868</v>
      </c>
      <c r="I126" s="631">
        <f t="shared" si="24"/>
        <v>1172081.6200160868</v>
      </c>
      <c r="J126" s="504">
        <f t="shared" si="19"/>
        <v>0</v>
      </c>
      <c r="K126" s="504"/>
      <c r="L126" s="512"/>
      <c r="M126" s="504">
        <f t="shared" si="15"/>
        <v>0</v>
      </c>
      <c r="N126" s="512"/>
      <c r="O126" s="504">
        <f t="shared" si="16"/>
        <v>0</v>
      </c>
      <c r="P126" s="504">
        <f t="shared" si="17"/>
        <v>0</v>
      </c>
      <c r="Q126" s="243"/>
      <c r="R126" s="243"/>
      <c r="S126" s="243"/>
      <c r="T126" s="243"/>
      <c r="U126" s="243"/>
    </row>
    <row r="127" spans="2:21" ht="12.5">
      <c r="B127" s="145" t="str">
        <f t="shared" si="18"/>
        <v/>
      </c>
      <c r="C127" s="495">
        <f>IF(D94="","-",+C126+1)</f>
        <v>2041</v>
      </c>
      <c r="D127" s="349">
        <f>IF(F126+SUM(E$100:E126)=D$93,F126,D$93-SUM(E$100:E126))</f>
        <v>4865722.2491830122</v>
      </c>
      <c r="E127" s="629">
        <f t="shared" si="20"/>
        <v>613411.66666666663</v>
      </c>
      <c r="F127" s="510">
        <f t="shared" si="21"/>
        <v>4252310.5825163452</v>
      </c>
      <c r="G127" s="510">
        <f t="shared" si="22"/>
        <v>4559016.4158496782</v>
      </c>
      <c r="H127" s="630">
        <f t="shared" si="23"/>
        <v>1105827.5007255699</v>
      </c>
      <c r="I127" s="631">
        <f t="shared" si="24"/>
        <v>1105827.5007255699</v>
      </c>
      <c r="J127" s="504">
        <f t="shared" si="19"/>
        <v>0</v>
      </c>
      <c r="K127" s="504"/>
      <c r="L127" s="512"/>
      <c r="M127" s="504">
        <f t="shared" si="15"/>
        <v>0</v>
      </c>
      <c r="N127" s="512"/>
      <c r="O127" s="504">
        <f t="shared" si="16"/>
        <v>0</v>
      </c>
      <c r="P127" s="504">
        <f t="shared" si="17"/>
        <v>0</v>
      </c>
      <c r="Q127" s="243"/>
      <c r="R127" s="243"/>
      <c r="S127" s="243"/>
      <c r="T127" s="243"/>
      <c r="U127" s="243"/>
    </row>
    <row r="128" spans="2:21" ht="12.5">
      <c r="B128" s="145" t="str">
        <f t="shared" si="18"/>
        <v/>
      </c>
      <c r="C128" s="495">
        <f>IF(D94="","-",+C127+1)</f>
        <v>2042</v>
      </c>
      <c r="D128" s="349">
        <f>IF(F127+SUM(E$100:E127)=D$93,F127,D$93-SUM(E$100:E127))</f>
        <v>4252310.5825163452</v>
      </c>
      <c r="E128" s="629">
        <f t="shared" si="20"/>
        <v>613411.66666666663</v>
      </c>
      <c r="F128" s="510">
        <f t="shared" si="21"/>
        <v>3638898.9158496787</v>
      </c>
      <c r="G128" s="510">
        <f t="shared" si="22"/>
        <v>3945604.7491830122</v>
      </c>
      <c r="H128" s="630">
        <f t="shared" si="23"/>
        <v>1039573.3814350533</v>
      </c>
      <c r="I128" s="631">
        <f t="shared" si="24"/>
        <v>1039573.3814350533</v>
      </c>
      <c r="J128" s="504">
        <f t="shared" si="19"/>
        <v>0</v>
      </c>
      <c r="K128" s="504"/>
      <c r="L128" s="512"/>
      <c r="M128" s="504">
        <f t="shared" si="15"/>
        <v>0</v>
      </c>
      <c r="N128" s="512"/>
      <c r="O128" s="504">
        <f t="shared" si="16"/>
        <v>0</v>
      </c>
      <c r="P128" s="504">
        <f t="shared" si="17"/>
        <v>0</v>
      </c>
      <c r="Q128" s="243"/>
      <c r="R128" s="243"/>
      <c r="S128" s="243"/>
      <c r="T128" s="243"/>
      <c r="U128" s="243"/>
    </row>
    <row r="129" spans="2:21" ht="12.5">
      <c r="B129" s="145" t="str">
        <f t="shared" si="18"/>
        <v/>
      </c>
      <c r="C129" s="495">
        <f>IF(D94="","-",+C128+1)</f>
        <v>2043</v>
      </c>
      <c r="D129" s="349">
        <f>IF(F128+SUM(E$100:E128)=D$93,F128,D$93-SUM(E$100:E128))</f>
        <v>3638898.9158496787</v>
      </c>
      <c r="E129" s="629">
        <f t="shared" si="20"/>
        <v>613411.66666666663</v>
      </c>
      <c r="F129" s="510">
        <f t="shared" si="21"/>
        <v>3025487.2491830122</v>
      </c>
      <c r="G129" s="510">
        <f t="shared" si="22"/>
        <v>3332193.0825163452</v>
      </c>
      <c r="H129" s="630">
        <f t="shared" si="23"/>
        <v>973319.26214453648</v>
      </c>
      <c r="I129" s="631">
        <f t="shared" si="24"/>
        <v>973319.26214453648</v>
      </c>
      <c r="J129" s="504">
        <f t="shared" si="19"/>
        <v>0</v>
      </c>
      <c r="K129" s="504"/>
      <c r="L129" s="512"/>
      <c r="M129" s="504">
        <f t="shared" si="15"/>
        <v>0</v>
      </c>
      <c r="N129" s="512"/>
      <c r="O129" s="504">
        <f t="shared" si="16"/>
        <v>0</v>
      </c>
      <c r="P129" s="504">
        <f t="shared" si="17"/>
        <v>0</v>
      </c>
      <c r="Q129" s="243"/>
      <c r="R129" s="243"/>
      <c r="S129" s="243"/>
      <c r="T129" s="243"/>
      <c r="U129" s="243"/>
    </row>
    <row r="130" spans="2:21" ht="12.5">
      <c r="B130" s="145" t="str">
        <f t="shared" si="18"/>
        <v/>
      </c>
      <c r="C130" s="495">
        <f>IF(D94="","-",+C129+1)</f>
        <v>2044</v>
      </c>
      <c r="D130" s="349">
        <f>IF(F129+SUM(E$100:E129)=D$93,F129,D$93-SUM(E$100:E129))</f>
        <v>3025487.2491830122</v>
      </c>
      <c r="E130" s="629">
        <f t="shared" si="20"/>
        <v>613411.66666666663</v>
      </c>
      <c r="F130" s="510">
        <f t="shared" si="21"/>
        <v>2412075.5825163457</v>
      </c>
      <c r="G130" s="510">
        <f t="shared" si="22"/>
        <v>2718781.4158496791</v>
      </c>
      <c r="H130" s="630">
        <f t="shared" si="23"/>
        <v>907065.14285401977</v>
      </c>
      <c r="I130" s="631">
        <f t="shared" si="24"/>
        <v>907065.14285401977</v>
      </c>
      <c r="J130" s="504">
        <f t="shared" si="19"/>
        <v>0</v>
      </c>
      <c r="K130" s="504"/>
      <c r="L130" s="512"/>
      <c r="M130" s="504">
        <f t="shared" si="15"/>
        <v>0</v>
      </c>
      <c r="N130" s="512"/>
      <c r="O130" s="504">
        <f t="shared" si="16"/>
        <v>0</v>
      </c>
      <c r="P130" s="504">
        <f t="shared" si="17"/>
        <v>0</v>
      </c>
      <c r="Q130" s="243"/>
      <c r="R130" s="243"/>
      <c r="S130" s="243"/>
      <c r="T130" s="243"/>
      <c r="U130" s="243"/>
    </row>
    <row r="131" spans="2:21" ht="12.5">
      <c r="B131" s="145" t="str">
        <f t="shared" si="18"/>
        <v/>
      </c>
      <c r="C131" s="495">
        <f>IF(D94="","-",+C130+1)</f>
        <v>2045</v>
      </c>
      <c r="D131" s="349">
        <f>IF(F130+SUM(E$100:E130)=D$93,F130,D$93-SUM(E$100:E130))</f>
        <v>2412075.5825163457</v>
      </c>
      <c r="E131" s="629">
        <f t="shared" si="20"/>
        <v>613411.66666666663</v>
      </c>
      <c r="F131" s="510">
        <f t="shared" si="21"/>
        <v>1798663.9158496791</v>
      </c>
      <c r="G131" s="510">
        <f t="shared" si="22"/>
        <v>2105369.7491830122</v>
      </c>
      <c r="H131" s="630">
        <f t="shared" si="23"/>
        <v>840811.02356350305</v>
      </c>
      <c r="I131" s="631">
        <f t="shared" si="24"/>
        <v>840811.02356350305</v>
      </c>
      <c r="J131" s="504">
        <f t="shared" si="19"/>
        <v>0</v>
      </c>
      <c r="K131" s="504"/>
      <c r="L131" s="512"/>
      <c r="M131" s="504">
        <f t="shared" si="15"/>
        <v>0</v>
      </c>
      <c r="N131" s="512"/>
      <c r="O131" s="504">
        <f t="shared" si="16"/>
        <v>0</v>
      </c>
      <c r="P131" s="504">
        <f t="shared" si="17"/>
        <v>0</v>
      </c>
      <c r="Q131" s="243"/>
      <c r="R131" s="243"/>
      <c r="S131" s="243"/>
      <c r="T131" s="243"/>
      <c r="U131" s="243"/>
    </row>
    <row r="132" spans="2:21" ht="12.5">
      <c r="B132" s="145" t="str">
        <f t="shared" si="18"/>
        <v/>
      </c>
      <c r="C132" s="495">
        <f>IF(D94="","-",+C131+1)</f>
        <v>2046</v>
      </c>
      <c r="D132" s="349">
        <f>IF(F131+SUM(E$100:E131)=D$93,F131,D$93-SUM(E$100:E131))</f>
        <v>1798663.9158496791</v>
      </c>
      <c r="E132" s="629">
        <f t="shared" si="20"/>
        <v>613411.66666666663</v>
      </c>
      <c r="F132" s="510">
        <f t="shared" si="21"/>
        <v>1185252.2491830126</v>
      </c>
      <c r="G132" s="510">
        <f t="shared" si="22"/>
        <v>1491958.0825163459</v>
      </c>
      <c r="H132" s="630">
        <f t="shared" si="23"/>
        <v>774556.90427298634</v>
      </c>
      <c r="I132" s="631">
        <f t="shared" si="24"/>
        <v>774556.90427298634</v>
      </c>
      <c r="J132" s="504">
        <f t="shared" si="19"/>
        <v>0</v>
      </c>
      <c r="K132" s="504"/>
      <c r="L132" s="512"/>
      <c r="M132" s="504">
        <f t="shared" ref="M132:M155" si="25">IF(L542&lt;&gt;0,+H542-L542,0)</f>
        <v>0</v>
      </c>
      <c r="N132" s="512"/>
      <c r="O132" s="504">
        <f t="shared" ref="O132:O155" si="26">IF(N542&lt;&gt;0,+I542-N542,0)</f>
        <v>0</v>
      </c>
      <c r="P132" s="504">
        <f t="shared" ref="P132:P155" si="27">+O542-M542</f>
        <v>0</v>
      </c>
      <c r="Q132" s="243"/>
      <c r="R132" s="243"/>
      <c r="S132" s="243"/>
      <c r="T132" s="243"/>
      <c r="U132" s="243"/>
    </row>
    <row r="133" spans="2:21" ht="12.5">
      <c r="B133" s="145" t="str">
        <f t="shared" si="18"/>
        <v/>
      </c>
      <c r="C133" s="495">
        <f>IF(D94="","-",+C132+1)</f>
        <v>2047</v>
      </c>
      <c r="D133" s="349">
        <f>IF(F132+SUM(E$100:E132)=D$93,F132,D$93-SUM(E$100:E132))</f>
        <v>1185252.2491830126</v>
      </c>
      <c r="E133" s="629">
        <f t="shared" si="20"/>
        <v>613411.66666666663</v>
      </c>
      <c r="F133" s="510">
        <f t="shared" si="21"/>
        <v>571840.58251634601</v>
      </c>
      <c r="G133" s="510">
        <f t="shared" si="22"/>
        <v>878546.41584967938</v>
      </c>
      <c r="H133" s="630">
        <f t="shared" si="23"/>
        <v>708302.78498246963</v>
      </c>
      <c r="I133" s="631">
        <f t="shared" si="24"/>
        <v>708302.78498246963</v>
      </c>
      <c r="J133" s="504">
        <f t="shared" si="19"/>
        <v>0</v>
      </c>
      <c r="K133" s="504"/>
      <c r="L133" s="512"/>
      <c r="M133" s="504">
        <f t="shared" si="25"/>
        <v>0</v>
      </c>
      <c r="N133" s="512"/>
      <c r="O133" s="504">
        <f t="shared" si="26"/>
        <v>0</v>
      </c>
      <c r="P133" s="504">
        <f t="shared" si="27"/>
        <v>0</v>
      </c>
      <c r="Q133" s="243"/>
      <c r="R133" s="243"/>
      <c r="S133" s="243"/>
      <c r="T133" s="243"/>
      <c r="U133" s="243"/>
    </row>
    <row r="134" spans="2:21" ht="12.5">
      <c r="B134" s="145" t="str">
        <f t="shared" si="18"/>
        <v/>
      </c>
      <c r="C134" s="495">
        <f>IF(D94="","-",+C133+1)</f>
        <v>2048</v>
      </c>
      <c r="D134" s="349">
        <f>IF(F133+SUM(E$100:E133)=D$93,F133,D$93-SUM(E$100:E133))</f>
        <v>571840.58251634601</v>
      </c>
      <c r="E134" s="629">
        <f t="shared" si="20"/>
        <v>571840.58251634601</v>
      </c>
      <c r="F134" s="510">
        <f t="shared" si="21"/>
        <v>0</v>
      </c>
      <c r="G134" s="510">
        <f t="shared" si="22"/>
        <v>285920.29125817301</v>
      </c>
      <c r="H134" s="630">
        <f t="shared" si="23"/>
        <v>602722.61185161828</v>
      </c>
      <c r="I134" s="631">
        <f t="shared" si="24"/>
        <v>602722.61185161828</v>
      </c>
      <c r="J134" s="504">
        <f t="shared" si="19"/>
        <v>0</v>
      </c>
      <c r="K134" s="504"/>
      <c r="L134" s="512"/>
      <c r="M134" s="504">
        <f t="shared" si="25"/>
        <v>0</v>
      </c>
      <c r="N134" s="512"/>
      <c r="O134" s="504">
        <f t="shared" si="26"/>
        <v>0</v>
      </c>
      <c r="P134" s="504">
        <f t="shared" si="27"/>
        <v>0</v>
      </c>
      <c r="Q134" s="243"/>
      <c r="R134" s="243"/>
      <c r="S134" s="243"/>
      <c r="T134" s="243"/>
      <c r="U134" s="243"/>
    </row>
    <row r="135" spans="2:21" ht="12.5">
      <c r="B135" s="145" t="str">
        <f t="shared" si="18"/>
        <v/>
      </c>
      <c r="C135" s="495">
        <f>IF(D94="","-",+C134+1)</f>
        <v>2049</v>
      </c>
      <c r="D135" s="349">
        <f>IF(F134+SUM(E$100:E134)=D$93,F134,D$93-SUM(E$100:E134))</f>
        <v>0</v>
      </c>
      <c r="E135" s="629">
        <f t="shared" si="20"/>
        <v>0</v>
      </c>
      <c r="F135" s="510">
        <f t="shared" si="21"/>
        <v>0</v>
      </c>
      <c r="G135" s="510">
        <f t="shared" si="22"/>
        <v>0</v>
      </c>
      <c r="H135" s="630">
        <f t="shared" si="23"/>
        <v>0</v>
      </c>
      <c r="I135" s="631">
        <f t="shared" si="24"/>
        <v>0</v>
      </c>
      <c r="J135" s="504">
        <f t="shared" si="19"/>
        <v>0</v>
      </c>
      <c r="K135" s="504"/>
      <c r="L135" s="512"/>
      <c r="M135" s="504">
        <f t="shared" si="25"/>
        <v>0</v>
      </c>
      <c r="N135" s="512"/>
      <c r="O135" s="504">
        <f t="shared" si="26"/>
        <v>0</v>
      </c>
      <c r="P135" s="504">
        <f t="shared" si="27"/>
        <v>0</v>
      </c>
      <c r="Q135" s="243"/>
      <c r="R135" s="243"/>
      <c r="S135" s="243"/>
      <c r="T135" s="243"/>
      <c r="U135" s="243"/>
    </row>
    <row r="136" spans="2:21" ht="12.5">
      <c r="B136" s="145" t="str">
        <f t="shared" si="18"/>
        <v/>
      </c>
      <c r="C136" s="495">
        <f>IF(D94="","-",+C135+1)</f>
        <v>2050</v>
      </c>
      <c r="D136" s="349">
        <f>IF(F135+SUM(E$100:E135)=D$93,F135,D$93-SUM(E$100:E135))</f>
        <v>0</v>
      </c>
      <c r="E136" s="629">
        <f t="shared" si="20"/>
        <v>0</v>
      </c>
      <c r="F136" s="510">
        <f t="shared" si="21"/>
        <v>0</v>
      </c>
      <c r="G136" s="510">
        <f t="shared" si="22"/>
        <v>0</v>
      </c>
      <c r="H136" s="630">
        <f t="shared" si="23"/>
        <v>0</v>
      </c>
      <c r="I136" s="631">
        <f t="shared" si="24"/>
        <v>0</v>
      </c>
      <c r="J136" s="504">
        <f t="shared" si="19"/>
        <v>0</v>
      </c>
      <c r="K136" s="504"/>
      <c r="L136" s="512"/>
      <c r="M136" s="504">
        <f t="shared" si="25"/>
        <v>0</v>
      </c>
      <c r="N136" s="512"/>
      <c r="O136" s="504">
        <f t="shared" si="26"/>
        <v>0</v>
      </c>
      <c r="P136" s="504">
        <f t="shared" si="27"/>
        <v>0</v>
      </c>
      <c r="Q136" s="243"/>
      <c r="R136" s="243"/>
      <c r="S136" s="243"/>
      <c r="T136" s="243"/>
      <c r="U136" s="243"/>
    </row>
    <row r="137" spans="2:21" ht="12.5">
      <c r="B137" s="145" t="str">
        <f t="shared" si="18"/>
        <v/>
      </c>
      <c r="C137" s="495">
        <f>IF(D94="","-",+C136+1)</f>
        <v>2051</v>
      </c>
      <c r="D137" s="349">
        <f>IF(F136+SUM(E$100:E136)=D$93,F136,D$93-SUM(E$100:E136))</f>
        <v>0</v>
      </c>
      <c r="E137" s="629">
        <f t="shared" si="20"/>
        <v>0</v>
      </c>
      <c r="F137" s="510">
        <f t="shared" si="21"/>
        <v>0</v>
      </c>
      <c r="G137" s="510">
        <f t="shared" si="22"/>
        <v>0</v>
      </c>
      <c r="H137" s="630">
        <f t="shared" si="23"/>
        <v>0</v>
      </c>
      <c r="I137" s="631">
        <f t="shared" si="24"/>
        <v>0</v>
      </c>
      <c r="J137" s="504">
        <f t="shared" si="19"/>
        <v>0</v>
      </c>
      <c r="K137" s="504"/>
      <c r="L137" s="512"/>
      <c r="M137" s="504">
        <f t="shared" si="25"/>
        <v>0</v>
      </c>
      <c r="N137" s="512"/>
      <c r="O137" s="504">
        <f t="shared" si="26"/>
        <v>0</v>
      </c>
      <c r="P137" s="504">
        <f t="shared" si="27"/>
        <v>0</v>
      </c>
      <c r="Q137" s="243"/>
      <c r="R137" s="243"/>
      <c r="S137" s="243"/>
      <c r="T137" s="243"/>
      <c r="U137" s="243"/>
    </row>
    <row r="138" spans="2:21" ht="12.5">
      <c r="B138" s="145" t="str">
        <f t="shared" si="18"/>
        <v/>
      </c>
      <c r="C138" s="495">
        <f>IF(D94="","-",+C137+1)</f>
        <v>2052</v>
      </c>
      <c r="D138" s="349">
        <f>IF(F137+SUM(E$100:E137)=D$93,F137,D$93-SUM(E$100:E137))</f>
        <v>0</v>
      </c>
      <c r="E138" s="629">
        <f t="shared" si="20"/>
        <v>0</v>
      </c>
      <c r="F138" s="510">
        <f t="shared" si="21"/>
        <v>0</v>
      </c>
      <c r="G138" s="510">
        <f t="shared" si="22"/>
        <v>0</v>
      </c>
      <c r="H138" s="630">
        <f t="shared" si="23"/>
        <v>0</v>
      </c>
      <c r="I138" s="631">
        <f t="shared" si="24"/>
        <v>0</v>
      </c>
      <c r="J138" s="504">
        <f t="shared" si="19"/>
        <v>0</v>
      </c>
      <c r="K138" s="504"/>
      <c r="L138" s="512"/>
      <c r="M138" s="504">
        <f t="shared" si="25"/>
        <v>0</v>
      </c>
      <c r="N138" s="512"/>
      <c r="O138" s="504">
        <f t="shared" si="26"/>
        <v>0</v>
      </c>
      <c r="P138" s="504">
        <f t="shared" si="27"/>
        <v>0</v>
      </c>
      <c r="Q138" s="243"/>
      <c r="R138" s="243"/>
      <c r="S138" s="243"/>
      <c r="T138" s="243"/>
      <c r="U138" s="243"/>
    </row>
    <row r="139" spans="2:21" ht="12.5">
      <c r="B139" s="145" t="str">
        <f t="shared" si="18"/>
        <v/>
      </c>
      <c r="C139" s="495">
        <f>IF(D94="","-",+C138+1)</f>
        <v>2053</v>
      </c>
      <c r="D139" s="349">
        <f>IF(F138+SUM(E$100:E138)=D$93,F138,D$93-SUM(E$100:E138))</f>
        <v>0</v>
      </c>
      <c r="E139" s="629">
        <f t="shared" si="20"/>
        <v>0</v>
      </c>
      <c r="F139" s="510">
        <f t="shared" si="21"/>
        <v>0</v>
      </c>
      <c r="G139" s="510">
        <f t="shared" si="22"/>
        <v>0</v>
      </c>
      <c r="H139" s="630">
        <f t="shared" si="23"/>
        <v>0</v>
      </c>
      <c r="I139" s="631">
        <f t="shared" si="24"/>
        <v>0</v>
      </c>
      <c r="J139" s="504">
        <f t="shared" si="19"/>
        <v>0</v>
      </c>
      <c r="K139" s="504"/>
      <c r="L139" s="512"/>
      <c r="M139" s="504">
        <f t="shared" si="25"/>
        <v>0</v>
      </c>
      <c r="N139" s="512"/>
      <c r="O139" s="504">
        <f t="shared" si="26"/>
        <v>0</v>
      </c>
      <c r="P139" s="504">
        <f t="shared" si="27"/>
        <v>0</v>
      </c>
      <c r="Q139" s="243"/>
      <c r="R139" s="243"/>
      <c r="S139" s="243"/>
      <c r="T139" s="243"/>
      <c r="U139" s="243"/>
    </row>
    <row r="140" spans="2:21" ht="12.5">
      <c r="B140" s="145" t="str">
        <f t="shared" si="18"/>
        <v/>
      </c>
      <c r="C140" s="495">
        <f>IF(D94="","-",+C139+1)</f>
        <v>2054</v>
      </c>
      <c r="D140" s="349">
        <f>IF(F139+SUM(E$100:E139)=D$93,F139,D$93-SUM(E$100:E139))</f>
        <v>0</v>
      </c>
      <c r="E140" s="629">
        <f t="shared" si="20"/>
        <v>0</v>
      </c>
      <c r="F140" s="510">
        <f t="shared" si="21"/>
        <v>0</v>
      </c>
      <c r="G140" s="510">
        <f t="shared" si="22"/>
        <v>0</v>
      </c>
      <c r="H140" s="630">
        <f t="shared" si="23"/>
        <v>0</v>
      </c>
      <c r="I140" s="631">
        <f t="shared" si="24"/>
        <v>0</v>
      </c>
      <c r="J140" s="504">
        <f t="shared" si="19"/>
        <v>0</v>
      </c>
      <c r="K140" s="504"/>
      <c r="L140" s="512"/>
      <c r="M140" s="504">
        <f t="shared" si="25"/>
        <v>0</v>
      </c>
      <c r="N140" s="512"/>
      <c r="O140" s="504">
        <f t="shared" si="26"/>
        <v>0</v>
      </c>
      <c r="P140" s="504">
        <f t="shared" si="27"/>
        <v>0</v>
      </c>
      <c r="Q140" s="243"/>
      <c r="R140" s="243"/>
      <c r="S140" s="243"/>
      <c r="T140" s="243"/>
      <c r="U140" s="243"/>
    </row>
    <row r="141" spans="2:21" ht="12.5">
      <c r="B141" s="145" t="str">
        <f t="shared" si="18"/>
        <v/>
      </c>
      <c r="C141" s="495">
        <f>IF(D94="","-",+C140+1)</f>
        <v>2055</v>
      </c>
      <c r="D141" s="349">
        <f>IF(F140+SUM(E$100:E140)=D$93,F140,D$93-SUM(E$100:E140))</f>
        <v>0</v>
      </c>
      <c r="E141" s="629">
        <f t="shared" si="20"/>
        <v>0</v>
      </c>
      <c r="F141" s="510">
        <f t="shared" si="21"/>
        <v>0</v>
      </c>
      <c r="G141" s="510">
        <f t="shared" si="22"/>
        <v>0</v>
      </c>
      <c r="H141" s="630">
        <f t="shared" si="23"/>
        <v>0</v>
      </c>
      <c r="I141" s="631">
        <f t="shared" si="24"/>
        <v>0</v>
      </c>
      <c r="J141" s="504">
        <f t="shared" si="19"/>
        <v>0</v>
      </c>
      <c r="K141" s="504"/>
      <c r="L141" s="512"/>
      <c r="M141" s="504">
        <f t="shared" si="25"/>
        <v>0</v>
      </c>
      <c r="N141" s="512"/>
      <c r="O141" s="504">
        <f t="shared" si="26"/>
        <v>0</v>
      </c>
      <c r="P141" s="504">
        <f t="shared" si="27"/>
        <v>0</v>
      </c>
      <c r="Q141" s="243"/>
      <c r="R141" s="243"/>
      <c r="S141" s="243"/>
      <c r="T141" s="243"/>
      <c r="U141" s="243"/>
    </row>
    <row r="142" spans="2:21" ht="12.5">
      <c r="B142" s="145" t="str">
        <f t="shared" si="18"/>
        <v/>
      </c>
      <c r="C142" s="495">
        <f>IF(D94="","-",+C141+1)</f>
        <v>2056</v>
      </c>
      <c r="D142" s="349">
        <f>IF(F141+SUM(E$100:E141)=D$93,F141,D$93-SUM(E$100:E141))</f>
        <v>0</v>
      </c>
      <c r="E142" s="629">
        <f t="shared" si="20"/>
        <v>0</v>
      </c>
      <c r="F142" s="510">
        <f t="shared" si="21"/>
        <v>0</v>
      </c>
      <c r="G142" s="510">
        <f t="shared" si="22"/>
        <v>0</v>
      </c>
      <c r="H142" s="630">
        <f t="shared" si="23"/>
        <v>0</v>
      </c>
      <c r="I142" s="631">
        <f t="shared" si="24"/>
        <v>0</v>
      </c>
      <c r="J142" s="504">
        <f t="shared" si="19"/>
        <v>0</v>
      </c>
      <c r="K142" s="504"/>
      <c r="L142" s="512"/>
      <c r="M142" s="504">
        <f t="shared" si="25"/>
        <v>0</v>
      </c>
      <c r="N142" s="512"/>
      <c r="O142" s="504">
        <f t="shared" si="26"/>
        <v>0</v>
      </c>
      <c r="P142" s="504">
        <f t="shared" si="27"/>
        <v>0</v>
      </c>
      <c r="Q142" s="243"/>
      <c r="R142" s="243"/>
      <c r="S142" s="243"/>
      <c r="T142" s="243"/>
      <c r="U142" s="243"/>
    </row>
    <row r="143" spans="2:21" ht="12.5">
      <c r="B143" s="145" t="str">
        <f t="shared" si="18"/>
        <v/>
      </c>
      <c r="C143" s="495">
        <f>IF(D94="","-",+C142+1)</f>
        <v>2057</v>
      </c>
      <c r="D143" s="349">
        <f>IF(F142+SUM(E$100:E142)=D$93,F142,D$93-SUM(E$100:E142))</f>
        <v>0</v>
      </c>
      <c r="E143" s="629">
        <f t="shared" si="20"/>
        <v>0</v>
      </c>
      <c r="F143" s="510">
        <f t="shared" si="21"/>
        <v>0</v>
      </c>
      <c r="G143" s="510">
        <f t="shared" si="22"/>
        <v>0</v>
      </c>
      <c r="H143" s="630">
        <f t="shared" si="23"/>
        <v>0</v>
      </c>
      <c r="I143" s="631">
        <f t="shared" si="24"/>
        <v>0</v>
      </c>
      <c r="J143" s="504">
        <f t="shared" si="19"/>
        <v>0</v>
      </c>
      <c r="K143" s="504"/>
      <c r="L143" s="512"/>
      <c r="M143" s="504">
        <f t="shared" si="25"/>
        <v>0</v>
      </c>
      <c r="N143" s="512"/>
      <c r="O143" s="504">
        <f t="shared" si="26"/>
        <v>0</v>
      </c>
      <c r="P143" s="504">
        <f t="shared" si="27"/>
        <v>0</v>
      </c>
      <c r="Q143" s="243"/>
      <c r="R143" s="243"/>
      <c r="S143" s="243"/>
      <c r="T143" s="243"/>
      <c r="U143" s="243"/>
    </row>
    <row r="144" spans="2:21" ht="12.5">
      <c r="B144" s="145" t="str">
        <f t="shared" si="18"/>
        <v/>
      </c>
      <c r="C144" s="495">
        <f>IF(D94="","-",+C143+1)</f>
        <v>2058</v>
      </c>
      <c r="D144" s="349">
        <f>IF(F143+SUM(E$100:E143)=D$93,F143,D$93-SUM(E$100:E143))</f>
        <v>0</v>
      </c>
      <c r="E144" s="629">
        <f t="shared" si="20"/>
        <v>0</v>
      </c>
      <c r="F144" s="510">
        <f t="shared" si="21"/>
        <v>0</v>
      </c>
      <c r="G144" s="510">
        <f t="shared" si="22"/>
        <v>0</v>
      </c>
      <c r="H144" s="630">
        <f t="shared" si="23"/>
        <v>0</v>
      </c>
      <c r="I144" s="631">
        <f t="shared" si="24"/>
        <v>0</v>
      </c>
      <c r="J144" s="504">
        <f t="shared" si="19"/>
        <v>0</v>
      </c>
      <c r="K144" s="504"/>
      <c r="L144" s="512"/>
      <c r="M144" s="504">
        <f t="shared" si="25"/>
        <v>0</v>
      </c>
      <c r="N144" s="512"/>
      <c r="O144" s="504">
        <f t="shared" si="26"/>
        <v>0</v>
      </c>
      <c r="P144" s="504">
        <f t="shared" si="27"/>
        <v>0</v>
      </c>
      <c r="Q144" s="243"/>
      <c r="R144" s="243"/>
      <c r="S144" s="243"/>
      <c r="T144" s="243"/>
      <c r="U144" s="243"/>
    </row>
    <row r="145" spans="2:21" ht="12.5">
      <c r="B145" s="145" t="str">
        <f t="shared" si="18"/>
        <v/>
      </c>
      <c r="C145" s="495">
        <f>IF(D94="","-",+C144+1)</f>
        <v>2059</v>
      </c>
      <c r="D145" s="349">
        <f>IF(F144+SUM(E$100:E144)=D$93,F144,D$93-SUM(E$100:E144))</f>
        <v>0</v>
      </c>
      <c r="E145" s="629">
        <f t="shared" si="20"/>
        <v>0</v>
      </c>
      <c r="F145" s="510">
        <f t="shared" si="21"/>
        <v>0</v>
      </c>
      <c r="G145" s="510">
        <f t="shared" si="22"/>
        <v>0</v>
      </c>
      <c r="H145" s="630">
        <f t="shared" si="23"/>
        <v>0</v>
      </c>
      <c r="I145" s="631">
        <f t="shared" si="24"/>
        <v>0</v>
      </c>
      <c r="J145" s="504">
        <f t="shared" si="19"/>
        <v>0</v>
      </c>
      <c r="K145" s="504"/>
      <c r="L145" s="512"/>
      <c r="M145" s="504">
        <f t="shared" si="25"/>
        <v>0</v>
      </c>
      <c r="N145" s="512"/>
      <c r="O145" s="504">
        <f t="shared" si="26"/>
        <v>0</v>
      </c>
      <c r="P145" s="504">
        <f t="shared" si="27"/>
        <v>0</v>
      </c>
      <c r="Q145" s="243"/>
      <c r="R145" s="243"/>
      <c r="S145" s="243"/>
      <c r="T145" s="243"/>
      <c r="U145" s="243"/>
    </row>
    <row r="146" spans="2:21" ht="12.5">
      <c r="B146" s="145" t="str">
        <f t="shared" si="18"/>
        <v/>
      </c>
      <c r="C146" s="495">
        <f>IF(D94="","-",+C145+1)</f>
        <v>2060</v>
      </c>
      <c r="D146" s="349">
        <f>IF(F145+SUM(E$100:E145)=D$93,F145,D$93-SUM(E$100:E145))</f>
        <v>0</v>
      </c>
      <c r="E146" s="629">
        <f t="shared" si="20"/>
        <v>0</v>
      </c>
      <c r="F146" s="510">
        <f t="shared" si="21"/>
        <v>0</v>
      </c>
      <c r="G146" s="510">
        <f t="shared" si="22"/>
        <v>0</v>
      </c>
      <c r="H146" s="630">
        <f t="shared" si="23"/>
        <v>0</v>
      </c>
      <c r="I146" s="631">
        <f t="shared" si="24"/>
        <v>0</v>
      </c>
      <c r="J146" s="504">
        <f t="shared" si="19"/>
        <v>0</v>
      </c>
      <c r="K146" s="504"/>
      <c r="L146" s="512"/>
      <c r="M146" s="504">
        <f t="shared" si="25"/>
        <v>0</v>
      </c>
      <c r="N146" s="512"/>
      <c r="O146" s="504">
        <f t="shared" si="26"/>
        <v>0</v>
      </c>
      <c r="P146" s="504">
        <f t="shared" si="27"/>
        <v>0</v>
      </c>
      <c r="Q146" s="243"/>
      <c r="R146" s="243"/>
      <c r="S146" s="243"/>
      <c r="T146" s="243"/>
      <c r="U146" s="243"/>
    </row>
    <row r="147" spans="2:21" ht="12.5">
      <c r="B147" s="145" t="str">
        <f t="shared" si="18"/>
        <v/>
      </c>
      <c r="C147" s="495">
        <f>IF(D94="","-",+C146+1)</f>
        <v>2061</v>
      </c>
      <c r="D147" s="349">
        <f>IF(F146+SUM(E$100:E146)=D$93,F146,D$93-SUM(E$100:E146))</f>
        <v>0</v>
      </c>
      <c r="E147" s="629">
        <f t="shared" si="20"/>
        <v>0</v>
      </c>
      <c r="F147" s="510">
        <f t="shared" si="21"/>
        <v>0</v>
      </c>
      <c r="G147" s="510">
        <f t="shared" si="22"/>
        <v>0</v>
      </c>
      <c r="H147" s="630">
        <f t="shared" si="23"/>
        <v>0</v>
      </c>
      <c r="I147" s="631">
        <f t="shared" si="24"/>
        <v>0</v>
      </c>
      <c r="J147" s="504">
        <f t="shared" si="19"/>
        <v>0</v>
      </c>
      <c r="K147" s="504"/>
      <c r="L147" s="512"/>
      <c r="M147" s="504">
        <f t="shared" si="25"/>
        <v>0</v>
      </c>
      <c r="N147" s="512"/>
      <c r="O147" s="504">
        <f t="shared" si="26"/>
        <v>0</v>
      </c>
      <c r="P147" s="504">
        <f t="shared" si="27"/>
        <v>0</v>
      </c>
      <c r="Q147" s="243"/>
      <c r="R147" s="243"/>
      <c r="S147" s="243"/>
      <c r="T147" s="243"/>
      <c r="U147" s="243"/>
    </row>
    <row r="148" spans="2:21" ht="12.5">
      <c r="B148" s="145" t="str">
        <f t="shared" si="18"/>
        <v/>
      </c>
      <c r="C148" s="495">
        <f>IF(D94="","-",+C147+1)</f>
        <v>2062</v>
      </c>
      <c r="D148" s="349">
        <f>IF(F147+SUM(E$100:E147)=D$93,F147,D$93-SUM(E$100:E147))</f>
        <v>0</v>
      </c>
      <c r="E148" s="629">
        <f t="shared" si="20"/>
        <v>0</v>
      </c>
      <c r="F148" s="510">
        <f t="shared" si="21"/>
        <v>0</v>
      </c>
      <c r="G148" s="510">
        <f t="shared" si="22"/>
        <v>0</v>
      </c>
      <c r="H148" s="630">
        <f t="shared" si="23"/>
        <v>0</v>
      </c>
      <c r="I148" s="631">
        <f t="shared" si="24"/>
        <v>0</v>
      </c>
      <c r="J148" s="504">
        <f t="shared" si="19"/>
        <v>0</v>
      </c>
      <c r="K148" s="504"/>
      <c r="L148" s="512"/>
      <c r="M148" s="504">
        <f t="shared" si="25"/>
        <v>0</v>
      </c>
      <c r="N148" s="512"/>
      <c r="O148" s="504">
        <f t="shared" si="26"/>
        <v>0</v>
      </c>
      <c r="P148" s="504">
        <f t="shared" si="27"/>
        <v>0</v>
      </c>
      <c r="Q148" s="243"/>
      <c r="R148" s="243"/>
      <c r="S148" s="243"/>
      <c r="T148" s="243"/>
      <c r="U148" s="243"/>
    </row>
    <row r="149" spans="2:21" ht="12.5">
      <c r="B149" s="145" t="str">
        <f t="shared" si="18"/>
        <v/>
      </c>
      <c r="C149" s="495">
        <f>IF(D94="","-",+C148+1)</f>
        <v>2063</v>
      </c>
      <c r="D149" s="349">
        <f>IF(F148+SUM(E$100:E148)=D$93,F148,D$93-SUM(E$100:E148))</f>
        <v>0</v>
      </c>
      <c r="E149" s="629">
        <f t="shared" si="20"/>
        <v>0</v>
      </c>
      <c r="F149" s="510">
        <f t="shared" si="21"/>
        <v>0</v>
      </c>
      <c r="G149" s="510">
        <f t="shared" si="22"/>
        <v>0</v>
      </c>
      <c r="H149" s="630">
        <f t="shared" si="23"/>
        <v>0</v>
      </c>
      <c r="I149" s="631">
        <f t="shared" si="24"/>
        <v>0</v>
      </c>
      <c r="J149" s="504">
        <f t="shared" si="19"/>
        <v>0</v>
      </c>
      <c r="K149" s="504"/>
      <c r="L149" s="512"/>
      <c r="M149" s="504">
        <f t="shared" si="25"/>
        <v>0</v>
      </c>
      <c r="N149" s="512"/>
      <c r="O149" s="504">
        <f t="shared" si="26"/>
        <v>0</v>
      </c>
      <c r="P149" s="504">
        <f t="shared" si="27"/>
        <v>0</v>
      </c>
      <c r="Q149" s="243"/>
      <c r="R149" s="243"/>
      <c r="S149" s="243"/>
      <c r="T149" s="243"/>
      <c r="U149" s="243"/>
    </row>
    <row r="150" spans="2:21" ht="12.5">
      <c r="B150" s="145" t="str">
        <f t="shared" si="18"/>
        <v/>
      </c>
      <c r="C150" s="495">
        <f>IF(D94="","-",+C149+1)</f>
        <v>2064</v>
      </c>
      <c r="D150" s="349">
        <f>IF(F149+SUM(E$100:E149)=D$93,F149,D$93-SUM(E$100:E149))</f>
        <v>0</v>
      </c>
      <c r="E150" s="629">
        <f t="shared" si="20"/>
        <v>0</v>
      </c>
      <c r="F150" s="510">
        <f t="shared" si="21"/>
        <v>0</v>
      </c>
      <c r="G150" s="510">
        <f t="shared" si="22"/>
        <v>0</v>
      </c>
      <c r="H150" s="630">
        <f t="shared" si="23"/>
        <v>0</v>
      </c>
      <c r="I150" s="631">
        <f t="shared" si="24"/>
        <v>0</v>
      </c>
      <c r="J150" s="504">
        <f t="shared" si="19"/>
        <v>0</v>
      </c>
      <c r="K150" s="504"/>
      <c r="L150" s="512"/>
      <c r="M150" s="504">
        <f t="shared" si="25"/>
        <v>0</v>
      </c>
      <c r="N150" s="512"/>
      <c r="O150" s="504">
        <f t="shared" si="26"/>
        <v>0</v>
      </c>
      <c r="P150" s="504">
        <f t="shared" si="27"/>
        <v>0</v>
      </c>
      <c r="Q150" s="243"/>
      <c r="R150" s="243"/>
      <c r="S150" s="243"/>
      <c r="T150" s="243"/>
      <c r="U150" s="243"/>
    </row>
    <row r="151" spans="2:21" ht="12.5">
      <c r="B151" s="145" t="str">
        <f t="shared" si="18"/>
        <v/>
      </c>
      <c r="C151" s="495">
        <f>IF(D94="","-",+C150+1)</f>
        <v>2065</v>
      </c>
      <c r="D151" s="349">
        <f>IF(F150+SUM(E$100:E150)=D$93,F150,D$93-SUM(E$100:E150))</f>
        <v>0</v>
      </c>
      <c r="E151" s="629">
        <f t="shared" si="20"/>
        <v>0</v>
      </c>
      <c r="F151" s="510">
        <f t="shared" si="21"/>
        <v>0</v>
      </c>
      <c r="G151" s="510">
        <f t="shared" si="22"/>
        <v>0</v>
      </c>
      <c r="H151" s="630">
        <f t="shared" si="23"/>
        <v>0</v>
      </c>
      <c r="I151" s="631">
        <f t="shared" si="24"/>
        <v>0</v>
      </c>
      <c r="J151" s="504">
        <f t="shared" si="19"/>
        <v>0</v>
      </c>
      <c r="K151" s="504"/>
      <c r="L151" s="512"/>
      <c r="M151" s="504">
        <f t="shared" si="25"/>
        <v>0</v>
      </c>
      <c r="N151" s="512"/>
      <c r="O151" s="504">
        <f t="shared" si="26"/>
        <v>0</v>
      </c>
      <c r="P151" s="504">
        <f t="shared" si="27"/>
        <v>0</v>
      </c>
      <c r="Q151" s="243"/>
      <c r="R151" s="243"/>
      <c r="S151" s="243"/>
      <c r="T151" s="243"/>
      <c r="U151" s="243"/>
    </row>
    <row r="152" spans="2:21" ht="12.5">
      <c r="B152" s="145" t="str">
        <f t="shared" si="18"/>
        <v/>
      </c>
      <c r="C152" s="495">
        <f>IF(D94="","-",+C151+1)</f>
        <v>2066</v>
      </c>
      <c r="D152" s="349">
        <f>IF(F151+SUM(E$100:E151)=D$93,F151,D$93-SUM(E$100:E151))</f>
        <v>0</v>
      </c>
      <c r="E152" s="629">
        <f t="shared" si="20"/>
        <v>0</v>
      </c>
      <c r="F152" s="510">
        <f t="shared" si="21"/>
        <v>0</v>
      </c>
      <c r="G152" s="510">
        <f t="shared" si="22"/>
        <v>0</v>
      </c>
      <c r="H152" s="630">
        <f t="shared" si="23"/>
        <v>0</v>
      </c>
      <c r="I152" s="631">
        <f t="shared" si="24"/>
        <v>0</v>
      </c>
      <c r="J152" s="504">
        <f t="shared" si="19"/>
        <v>0</v>
      </c>
      <c r="K152" s="504"/>
      <c r="L152" s="512"/>
      <c r="M152" s="504">
        <f t="shared" si="25"/>
        <v>0</v>
      </c>
      <c r="N152" s="512"/>
      <c r="O152" s="504">
        <f t="shared" si="26"/>
        <v>0</v>
      </c>
      <c r="P152" s="504">
        <f t="shared" si="27"/>
        <v>0</v>
      </c>
      <c r="Q152" s="243"/>
      <c r="R152" s="243"/>
      <c r="S152" s="243"/>
      <c r="T152" s="243"/>
      <c r="U152" s="243"/>
    </row>
    <row r="153" spans="2:21" ht="12.5">
      <c r="B153" s="145" t="str">
        <f t="shared" si="18"/>
        <v/>
      </c>
      <c r="C153" s="495">
        <f>IF(D94="","-",+C152+1)</f>
        <v>2067</v>
      </c>
      <c r="D153" s="349">
        <f>IF(F152+SUM(E$100:E152)=D$93,F152,D$93-SUM(E$100:E152))</f>
        <v>0</v>
      </c>
      <c r="E153" s="629">
        <f t="shared" si="20"/>
        <v>0</v>
      </c>
      <c r="F153" s="510">
        <f t="shared" si="21"/>
        <v>0</v>
      </c>
      <c r="G153" s="510">
        <f t="shared" si="22"/>
        <v>0</v>
      </c>
      <c r="H153" s="630">
        <f t="shared" si="23"/>
        <v>0</v>
      </c>
      <c r="I153" s="631">
        <f t="shared" si="24"/>
        <v>0</v>
      </c>
      <c r="J153" s="504">
        <f t="shared" si="19"/>
        <v>0</v>
      </c>
      <c r="K153" s="504"/>
      <c r="L153" s="512"/>
      <c r="M153" s="504">
        <f t="shared" si="25"/>
        <v>0</v>
      </c>
      <c r="N153" s="512"/>
      <c r="O153" s="504">
        <f t="shared" si="26"/>
        <v>0</v>
      </c>
      <c r="P153" s="504">
        <f t="shared" si="27"/>
        <v>0</v>
      </c>
      <c r="Q153" s="243"/>
      <c r="R153" s="243"/>
      <c r="S153" s="243"/>
      <c r="T153" s="243"/>
      <c r="U153" s="243"/>
    </row>
    <row r="154" spans="2:21" ht="12.5">
      <c r="B154" s="145" t="str">
        <f t="shared" si="18"/>
        <v/>
      </c>
      <c r="C154" s="495">
        <f>IF(D94="","-",+C153+1)</f>
        <v>2068</v>
      </c>
      <c r="D154" s="349">
        <f>IF(F153+SUM(E$100:E153)=D$93,F153,D$93-SUM(E$100:E153))</f>
        <v>0</v>
      </c>
      <c r="E154" s="629">
        <f t="shared" si="20"/>
        <v>0</v>
      </c>
      <c r="F154" s="510">
        <f t="shared" si="21"/>
        <v>0</v>
      </c>
      <c r="G154" s="510">
        <f t="shared" si="22"/>
        <v>0</v>
      </c>
      <c r="H154" s="630">
        <f t="shared" si="23"/>
        <v>0</v>
      </c>
      <c r="I154" s="631">
        <f t="shared" si="24"/>
        <v>0</v>
      </c>
      <c r="J154" s="504">
        <f t="shared" si="19"/>
        <v>0</v>
      </c>
      <c r="K154" s="504"/>
      <c r="L154" s="512"/>
      <c r="M154" s="504">
        <f t="shared" si="25"/>
        <v>0</v>
      </c>
      <c r="N154" s="512"/>
      <c r="O154" s="504">
        <f t="shared" si="26"/>
        <v>0</v>
      </c>
      <c r="P154" s="504">
        <f t="shared" si="27"/>
        <v>0</v>
      </c>
      <c r="Q154" s="243"/>
      <c r="R154" s="243"/>
      <c r="S154" s="243"/>
      <c r="T154" s="243"/>
      <c r="U154" s="243"/>
    </row>
    <row r="155" spans="2:21" ht="13" thickBot="1">
      <c r="B155" s="145" t="str">
        <f t="shared" si="18"/>
        <v/>
      </c>
      <c r="C155" s="524">
        <f>IF(D94="","-",+C154+1)</f>
        <v>2069</v>
      </c>
      <c r="D155" s="618">
        <f>IF(F154+SUM(E$100:E154)=D$93,F154,D$93-SUM(E$100:E154))</f>
        <v>0</v>
      </c>
      <c r="E155" s="632">
        <f t="shared" si="20"/>
        <v>0</v>
      </c>
      <c r="F155" s="527">
        <f t="shared" si="21"/>
        <v>0</v>
      </c>
      <c r="G155" s="527">
        <f t="shared" si="22"/>
        <v>0</v>
      </c>
      <c r="H155" s="633">
        <f t="shared" si="23"/>
        <v>0</v>
      </c>
      <c r="I155" s="634">
        <f t="shared" si="24"/>
        <v>0</v>
      </c>
      <c r="J155" s="531">
        <f t="shared" si="19"/>
        <v>0</v>
      </c>
      <c r="K155" s="504"/>
      <c r="L155" s="530"/>
      <c r="M155" s="531">
        <f t="shared" si="25"/>
        <v>0</v>
      </c>
      <c r="N155" s="530"/>
      <c r="O155" s="531">
        <f t="shared" si="26"/>
        <v>0</v>
      </c>
      <c r="P155" s="531">
        <f t="shared" si="27"/>
        <v>0</v>
      </c>
      <c r="Q155" s="243"/>
      <c r="R155" s="243"/>
      <c r="S155" s="243"/>
      <c r="T155" s="243"/>
      <c r="U155" s="243"/>
    </row>
    <row r="156" spans="2:21" ht="12.5">
      <c r="C156" s="349" t="s">
        <v>75</v>
      </c>
      <c r="D156" s="294"/>
      <c r="E156" s="294">
        <f>SUM(E100:E155)</f>
        <v>20242585.000000004</v>
      </c>
      <c r="F156" s="294"/>
      <c r="G156" s="294"/>
      <c r="H156" s="294">
        <f>SUM(H100:H155)</f>
        <v>58363261.390769586</v>
      </c>
      <c r="I156" s="294">
        <f>SUM(I100:I155)</f>
        <v>58363261.390769586</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0" priority="1" stopIfTrue="1" operator="equal">
      <formula>$I$10</formula>
    </cfRule>
  </conditionalFormatting>
  <conditionalFormatting sqref="C100:C155">
    <cfRule type="cellIs" dxfId="29"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39997558519241921"/>
  </sheetPr>
  <dimension ref="A1:U163"/>
  <sheetViews>
    <sheetView view="pageBreakPreview" zoomScale="78" zoomScaleNormal="100" zoomScaleSheetLayoutView="78" workbookViewId="0">
      <selection activeCell="D11" sqref="D11"/>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12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1602683.1037737736</v>
      </c>
      <c r="P5" s="243"/>
      <c r="R5" s="243"/>
      <c r="S5" s="243"/>
      <c r="T5" s="243"/>
      <c r="U5" s="243"/>
    </row>
    <row r="6" spans="1:21" ht="15.5">
      <c r="C6" s="235"/>
      <c r="D6" s="292"/>
      <c r="E6" s="243"/>
      <c r="F6" s="243"/>
      <c r="G6" s="243"/>
      <c r="H6" s="449"/>
      <c r="I6" s="449"/>
      <c r="J6" s="450"/>
      <c r="K6" s="451" t="s">
        <v>243</v>
      </c>
      <c r="L6" s="452"/>
      <c r="M6" s="278"/>
      <c r="N6" s="453">
        <f>VLOOKUP(I10,C17:I73,6)</f>
        <v>1602683.1037737736</v>
      </c>
      <c r="O6" s="243"/>
      <c r="P6" s="243"/>
      <c r="R6" s="243"/>
      <c r="S6" s="243"/>
      <c r="T6" s="243"/>
      <c r="U6" s="243"/>
    </row>
    <row r="7" spans="1:21" ht="13.5" thickBot="1">
      <c r="C7" s="454" t="s">
        <v>46</v>
      </c>
      <c r="D7" s="455" t="s">
        <v>224</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223</v>
      </c>
      <c r="E9" s="647" t="s">
        <v>300</v>
      </c>
      <c r="F9" s="465"/>
      <c r="G9" s="465"/>
      <c r="H9" s="465"/>
      <c r="I9" s="466"/>
      <c r="J9" s="467"/>
      <c r="O9" s="468"/>
      <c r="P9" s="278"/>
      <c r="R9" s="243"/>
      <c r="S9" s="243"/>
      <c r="T9" s="243"/>
      <c r="U9" s="243"/>
    </row>
    <row r="10" spans="1:21" ht="13">
      <c r="C10" s="469" t="s">
        <v>49</v>
      </c>
      <c r="D10" s="470">
        <v>13254470.189999999</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2013</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4</v>
      </c>
      <c r="E12" s="472" t="s">
        <v>55</v>
      </c>
      <c r="F12" s="408"/>
      <c r="G12" s="220"/>
      <c r="H12" s="220"/>
      <c r="I12" s="476">
        <f>OKT.WS.F.BPU.ATRR.Projected!$F$79</f>
        <v>0.10818506718567715</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427563.55451612902</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2013</v>
      </c>
      <c r="D17" s="612">
        <v>13254470.189999999</v>
      </c>
      <c r="E17" s="620">
        <v>38215.310782576453</v>
      </c>
      <c r="F17" s="612">
        <v>13216254.879217423</v>
      </c>
      <c r="G17" s="620">
        <v>401752.61137886974</v>
      </c>
      <c r="H17" s="617">
        <v>401752.61137886974</v>
      </c>
      <c r="I17" s="635">
        <v>0</v>
      </c>
      <c r="J17" s="500"/>
      <c r="K17" s="501">
        <f t="shared" ref="K17:K22" si="1">G17</f>
        <v>401752.61137886974</v>
      </c>
      <c r="L17" s="502">
        <f t="shared" ref="L17:L22" si="2">IF(K17&lt;&gt;0,+G17-K17,0)</f>
        <v>0</v>
      </c>
      <c r="M17" s="501">
        <f t="shared" ref="M17:M22" si="3">H17</f>
        <v>401752.61137886974</v>
      </c>
      <c r="N17" s="503">
        <f>IF(M17&lt;&gt;0,+H17-M17,0)</f>
        <v>0</v>
      </c>
      <c r="O17" s="504">
        <f>+N17-L17</f>
        <v>0</v>
      </c>
      <c r="P17" s="278"/>
      <c r="R17" s="243"/>
      <c r="S17" s="243"/>
      <c r="T17" s="243"/>
      <c r="U17" s="243"/>
    </row>
    <row r="18" spans="2:21" ht="12.5">
      <c r="B18" s="145" t="str">
        <f t="shared" si="0"/>
        <v/>
      </c>
      <c r="C18" s="495">
        <f>IF(D11="","-",+C17+1)</f>
        <v>2014</v>
      </c>
      <c r="D18" s="614">
        <v>13216254.879217423</v>
      </c>
      <c r="E18" s="613">
        <v>229291.86469545873</v>
      </c>
      <c r="F18" s="614">
        <v>12986963.014521964</v>
      </c>
      <c r="G18" s="613">
        <v>1658212.6960173119</v>
      </c>
      <c r="H18" s="617">
        <v>1658212.6960173119</v>
      </c>
      <c r="I18" s="635">
        <v>0</v>
      </c>
      <c r="J18" s="500"/>
      <c r="K18" s="506">
        <f t="shared" si="1"/>
        <v>1658212.6960173119</v>
      </c>
      <c r="L18" s="507">
        <f t="shared" si="2"/>
        <v>0</v>
      </c>
      <c r="M18" s="506">
        <f t="shared" si="3"/>
        <v>1658212.6960173119</v>
      </c>
      <c r="N18" s="504">
        <f>IF(M18&lt;&gt;0,+H18-M18,0)</f>
        <v>0</v>
      </c>
      <c r="O18" s="504">
        <f>+N18-L18</f>
        <v>0</v>
      </c>
      <c r="P18" s="278"/>
      <c r="R18" s="243"/>
      <c r="S18" s="243"/>
      <c r="T18" s="243"/>
      <c r="U18" s="243"/>
    </row>
    <row r="19" spans="2:21" ht="12.5">
      <c r="B19" s="145" t="str">
        <f t="shared" si="0"/>
        <v/>
      </c>
      <c r="C19" s="495">
        <f>IF(D11="","-",+C18+1)</f>
        <v>2015</v>
      </c>
      <c r="D19" s="614">
        <v>12986963.014521964</v>
      </c>
      <c r="E19" s="613">
        <v>229291.86469545873</v>
      </c>
      <c r="F19" s="614">
        <v>12757671.149826504</v>
      </c>
      <c r="G19" s="613">
        <v>1544166.8315919416</v>
      </c>
      <c r="H19" s="617">
        <v>1544166.8315919416</v>
      </c>
      <c r="I19" s="500">
        <v>0</v>
      </c>
      <c r="J19" s="500"/>
      <c r="K19" s="506">
        <f t="shared" si="1"/>
        <v>1544166.8315919416</v>
      </c>
      <c r="L19" s="507">
        <f t="shared" si="2"/>
        <v>0</v>
      </c>
      <c r="M19" s="506">
        <f t="shared" si="3"/>
        <v>1544166.8315919416</v>
      </c>
      <c r="N19" s="504">
        <f>IF(M19&lt;&gt;0,+H19-M19,0)</f>
        <v>0</v>
      </c>
      <c r="O19" s="504">
        <f>+N19-L19</f>
        <v>0</v>
      </c>
      <c r="P19" s="278"/>
      <c r="R19" s="243"/>
      <c r="S19" s="243"/>
      <c r="T19" s="243"/>
      <c r="U19" s="243"/>
    </row>
    <row r="20" spans="2:21" ht="12.5">
      <c r="B20" s="145" t="str">
        <f t="shared" si="0"/>
        <v/>
      </c>
      <c r="C20" s="495">
        <f>IF(D11="","-",+C19+1)</f>
        <v>2016</v>
      </c>
      <c r="D20" s="614">
        <v>12757671.149826504</v>
      </c>
      <c r="E20" s="613">
        <v>275420.65562452108</v>
      </c>
      <c r="F20" s="614">
        <v>12482250.494201982</v>
      </c>
      <c r="G20" s="613">
        <v>1622010.458293594</v>
      </c>
      <c r="H20" s="617">
        <v>1622010.458293594</v>
      </c>
      <c r="I20" s="500">
        <f>H20-G20</f>
        <v>0</v>
      </c>
      <c r="J20" s="500"/>
      <c r="K20" s="506">
        <f t="shared" si="1"/>
        <v>1622010.458293594</v>
      </c>
      <c r="L20" s="507">
        <f t="shared" si="2"/>
        <v>0</v>
      </c>
      <c r="M20" s="506">
        <f t="shared" si="3"/>
        <v>1622010.458293594</v>
      </c>
      <c r="N20" s="504">
        <f t="shared" ref="N20:N73" si="4">IF(M20&lt;&gt;0,+H20-M20,0)</f>
        <v>0</v>
      </c>
      <c r="O20" s="504">
        <f t="shared" ref="O20:O73" si="5">+N20-L20</f>
        <v>0</v>
      </c>
      <c r="P20" s="278"/>
      <c r="R20" s="243"/>
      <c r="S20" s="243"/>
      <c r="T20" s="243"/>
      <c r="U20" s="243"/>
    </row>
    <row r="21" spans="2:21" ht="12.5">
      <c r="B21" s="145" t="str">
        <f t="shared" si="0"/>
        <v/>
      </c>
      <c r="C21" s="495">
        <f>IF(D11="","-",+C20+1)</f>
        <v>2017</v>
      </c>
      <c r="D21" s="614">
        <v>12482250.494201982</v>
      </c>
      <c r="E21" s="613">
        <v>260609.12491948562</v>
      </c>
      <c r="F21" s="614">
        <v>12221641.369282497</v>
      </c>
      <c r="G21" s="613">
        <v>1618581.7191927545</v>
      </c>
      <c r="H21" s="617">
        <v>1618581.7191927545</v>
      </c>
      <c r="I21" s="500">
        <f t="shared" ref="I21:I73" si="6">H21-G21</f>
        <v>0</v>
      </c>
      <c r="J21" s="500"/>
      <c r="K21" s="506">
        <f t="shared" si="1"/>
        <v>1618581.7191927545</v>
      </c>
      <c r="L21" s="507">
        <f t="shared" si="2"/>
        <v>0</v>
      </c>
      <c r="M21" s="506">
        <f t="shared" si="3"/>
        <v>1618581.7191927545</v>
      </c>
      <c r="N21" s="504">
        <f>IF(M21&lt;&gt;0,+H21-M21,0)</f>
        <v>0</v>
      </c>
      <c r="O21" s="504">
        <f>+N21-L21</f>
        <v>0</v>
      </c>
      <c r="P21" s="278"/>
      <c r="R21" s="243"/>
      <c r="S21" s="243"/>
      <c r="T21" s="243"/>
      <c r="U21" s="243"/>
    </row>
    <row r="22" spans="2:21" ht="12.5">
      <c r="B22" s="145" t="str">
        <f t="shared" si="0"/>
        <v/>
      </c>
      <c r="C22" s="495">
        <f>IF(D11="","-",+C21+1)</f>
        <v>2018</v>
      </c>
      <c r="D22" s="614">
        <v>12221641.369282497</v>
      </c>
      <c r="E22" s="613">
        <v>325060.34019690572</v>
      </c>
      <c r="F22" s="614">
        <v>11896581.029085591</v>
      </c>
      <c r="G22" s="613">
        <v>1550551.2314778133</v>
      </c>
      <c r="H22" s="617">
        <v>1550551.2314778133</v>
      </c>
      <c r="I22" s="500">
        <v>0</v>
      </c>
      <c r="J22" s="500"/>
      <c r="K22" s="506">
        <f t="shared" si="1"/>
        <v>1550551.2314778133</v>
      </c>
      <c r="L22" s="507">
        <f t="shared" si="2"/>
        <v>0</v>
      </c>
      <c r="M22" s="506">
        <f t="shared" si="3"/>
        <v>1550551.2314778133</v>
      </c>
      <c r="N22" s="504">
        <f>IF(M22&lt;&gt;0,+H22-M22,0)</f>
        <v>0</v>
      </c>
      <c r="O22" s="504">
        <f>+N22-L22</f>
        <v>0</v>
      </c>
      <c r="P22" s="278"/>
      <c r="R22" s="243"/>
      <c r="S22" s="243"/>
      <c r="T22" s="243"/>
      <c r="U22" s="243"/>
    </row>
    <row r="23" spans="2:21" ht="12.5">
      <c r="B23" s="145" t="str">
        <f t="shared" si="0"/>
        <v/>
      </c>
      <c r="C23" s="495">
        <f>IF(D11="","-",+C22+1)</f>
        <v>2019</v>
      </c>
      <c r="D23" s="614">
        <v>11896581.029085591</v>
      </c>
      <c r="E23" s="613">
        <v>393112.30239963421</v>
      </c>
      <c r="F23" s="614">
        <v>11503468.726685958</v>
      </c>
      <c r="G23" s="613">
        <v>1609165.6729314029</v>
      </c>
      <c r="H23" s="617">
        <v>1609165.6729314029</v>
      </c>
      <c r="I23" s="500">
        <f t="shared" si="6"/>
        <v>0</v>
      </c>
      <c r="J23" s="500"/>
      <c r="K23" s="506">
        <f t="shared" ref="K23" si="7">G23</f>
        <v>1609165.6729314029</v>
      </c>
      <c r="L23" s="507">
        <f t="shared" ref="L23" si="8">IF(K23&lt;&gt;0,+G23-K23,0)</f>
        <v>0</v>
      </c>
      <c r="M23" s="506">
        <f t="shared" ref="M23" si="9">H23</f>
        <v>1609165.6729314029</v>
      </c>
      <c r="N23" s="504">
        <f>IF(M23&lt;&gt;0,+H23-M23,0)</f>
        <v>0</v>
      </c>
      <c r="O23" s="504">
        <f>+N23-L23</f>
        <v>0</v>
      </c>
      <c r="P23" s="278"/>
      <c r="R23" s="243"/>
      <c r="S23" s="243"/>
      <c r="T23" s="243"/>
      <c r="U23" s="243"/>
    </row>
    <row r="24" spans="2:21" ht="12.5">
      <c r="B24" s="145" t="str">
        <f t="shared" si="0"/>
        <v/>
      </c>
      <c r="C24" s="495">
        <f>IF(D11="","-",+C23+1)</f>
        <v>2020</v>
      </c>
      <c r="D24" s="508">
        <f>IF(F23+SUM(E$17:E23)=D$10,F23,D$10-SUM(E$17:E23))</f>
        <v>11503468.726685958</v>
      </c>
      <c r="E24" s="509">
        <f t="shared" ref="E24" si="10">IF(+$I$14&lt;F23,$I$14,D24)</f>
        <v>427563.55451612902</v>
      </c>
      <c r="F24" s="510">
        <f t="shared" ref="F24" si="11">+D24-E24</f>
        <v>11075905.172169829</v>
      </c>
      <c r="G24" s="511">
        <f t="shared" ref="G24" si="12">(D24+F24)/2*I$12+E24</f>
        <v>1648939.0956452482</v>
      </c>
      <c r="H24" s="477">
        <f t="shared" ref="H24" si="13">+(D24+F24)/2*I$13+E24</f>
        <v>1648939.0956452482</v>
      </c>
      <c r="I24" s="500">
        <f t="shared" si="6"/>
        <v>0</v>
      </c>
      <c r="J24" s="500"/>
      <c r="K24" s="506"/>
      <c r="L24" s="507">
        <f t="shared" ref="L24" si="14">IF(K24&lt;&gt;0,+G24-K24,0)</f>
        <v>0</v>
      </c>
      <c r="M24" s="506"/>
      <c r="N24" s="504">
        <f t="shared" si="4"/>
        <v>0</v>
      </c>
      <c r="O24" s="504">
        <f t="shared" si="5"/>
        <v>0</v>
      </c>
      <c r="P24" s="278"/>
      <c r="R24" s="243"/>
      <c r="S24" s="243"/>
      <c r="T24" s="243"/>
      <c r="U24" s="243"/>
    </row>
    <row r="25" spans="2:21" ht="12.5">
      <c r="B25" s="145" t="str">
        <f t="shared" si="0"/>
        <v/>
      </c>
      <c r="C25" s="495">
        <f>IF(D11="","-",+C24+1)</f>
        <v>2021</v>
      </c>
      <c r="D25" s="508">
        <f>IF(F24+SUM(E$17:E24)=D$10,F24,D$10-SUM(E$17:E24))</f>
        <v>11075905.172169829</v>
      </c>
      <c r="E25" s="509">
        <f t="shared" ref="E25:E73" si="15">IF(+$I$14&lt;F24,$I$14,D25)</f>
        <v>427563.55451612902</v>
      </c>
      <c r="F25" s="510">
        <f t="shared" ref="F25:F73" si="16">+D25-E25</f>
        <v>10648341.6176537</v>
      </c>
      <c r="G25" s="511">
        <f t="shared" ref="G25:G73" si="17">(D25+F25)/2*I$12+E25</f>
        <v>1602683.1037737736</v>
      </c>
      <c r="H25" s="477">
        <f t="shared" ref="H25:H73" si="18">+(D25+F25)/2*I$13+E25</f>
        <v>1602683.1037737736</v>
      </c>
      <c r="I25" s="500">
        <f t="shared" si="6"/>
        <v>0</v>
      </c>
      <c r="J25" s="500"/>
      <c r="K25" s="512"/>
      <c r="L25" s="504">
        <f t="shared" ref="L25:L73" si="19">IF(K25&lt;&gt;0,+G25-K25,0)</f>
        <v>0</v>
      </c>
      <c r="M25" s="512"/>
      <c r="N25" s="504">
        <f t="shared" si="4"/>
        <v>0</v>
      </c>
      <c r="O25" s="504">
        <f t="shared" si="5"/>
        <v>0</v>
      </c>
      <c r="P25" s="278"/>
      <c r="R25" s="243"/>
      <c r="S25" s="243"/>
      <c r="T25" s="243"/>
      <c r="U25" s="243"/>
    </row>
    <row r="26" spans="2:21" ht="12.5">
      <c r="B26" s="145" t="str">
        <f t="shared" si="0"/>
        <v/>
      </c>
      <c r="C26" s="495">
        <f>IF(D11="","-",+C25+1)</f>
        <v>2022</v>
      </c>
      <c r="D26" s="508">
        <f>IF(F25+SUM(E$17:E25)=D$10,F25,D$10-SUM(E$17:E25))</f>
        <v>10648341.6176537</v>
      </c>
      <c r="E26" s="509">
        <f t="shared" si="15"/>
        <v>427563.55451612902</v>
      </c>
      <c r="F26" s="510">
        <f t="shared" si="16"/>
        <v>10220778.06313757</v>
      </c>
      <c r="G26" s="511">
        <f t="shared" si="17"/>
        <v>1556427.1119022993</v>
      </c>
      <c r="H26" s="477">
        <f t="shared" si="18"/>
        <v>1556427.1119022993</v>
      </c>
      <c r="I26" s="500">
        <f t="shared" si="6"/>
        <v>0</v>
      </c>
      <c r="J26" s="500"/>
      <c r="K26" s="512"/>
      <c r="L26" s="504">
        <f t="shared" si="19"/>
        <v>0</v>
      </c>
      <c r="M26" s="512"/>
      <c r="N26" s="504">
        <f t="shared" si="4"/>
        <v>0</v>
      </c>
      <c r="O26" s="504">
        <f t="shared" si="5"/>
        <v>0</v>
      </c>
      <c r="P26" s="278"/>
      <c r="R26" s="243"/>
      <c r="S26" s="243"/>
      <c r="T26" s="243"/>
      <c r="U26" s="243"/>
    </row>
    <row r="27" spans="2:21" ht="12.5">
      <c r="B27" s="145" t="str">
        <f t="shared" si="0"/>
        <v/>
      </c>
      <c r="C27" s="495">
        <f>IF(D11="","-",+C26+1)</f>
        <v>2023</v>
      </c>
      <c r="D27" s="508">
        <f>IF(F26+SUM(E$17:E26)=D$10,F26,D$10-SUM(E$17:E26))</f>
        <v>10220778.06313757</v>
      </c>
      <c r="E27" s="509">
        <f t="shared" si="15"/>
        <v>427563.55451612902</v>
      </c>
      <c r="F27" s="510">
        <f t="shared" si="16"/>
        <v>9793214.5086214412</v>
      </c>
      <c r="G27" s="511">
        <f t="shared" si="17"/>
        <v>1510171.120030825</v>
      </c>
      <c r="H27" s="477">
        <f t="shared" si="18"/>
        <v>1510171.120030825</v>
      </c>
      <c r="I27" s="500">
        <f t="shared" si="6"/>
        <v>0</v>
      </c>
      <c r="J27" s="500"/>
      <c r="K27" s="512"/>
      <c r="L27" s="504">
        <f t="shared" si="19"/>
        <v>0</v>
      </c>
      <c r="M27" s="512"/>
      <c r="N27" s="504">
        <f t="shared" si="4"/>
        <v>0</v>
      </c>
      <c r="O27" s="504">
        <f t="shared" si="5"/>
        <v>0</v>
      </c>
      <c r="P27" s="278"/>
      <c r="R27" s="243"/>
      <c r="S27" s="243"/>
      <c r="T27" s="243"/>
      <c r="U27" s="243"/>
    </row>
    <row r="28" spans="2:21" ht="12.5">
      <c r="B28" s="145" t="str">
        <f t="shared" si="0"/>
        <v/>
      </c>
      <c r="C28" s="495">
        <f>IF(D11="","-",+C27+1)</f>
        <v>2024</v>
      </c>
      <c r="D28" s="508">
        <f>IF(F27+SUM(E$17:E27)=D$10,F27,D$10-SUM(E$17:E27))</f>
        <v>9793214.5086214412</v>
      </c>
      <c r="E28" s="509">
        <f t="shared" si="15"/>
        <v>427563.55451612902</v>
      </c>
      <c r="F28" s="510">
        <f t="shared" si="16"/>
        <v>9365650.954105312</v>
      </c>
      <c r="G28" s="511">
        <f t="shared" si="17"/>
        <v>1463915.1281593507</v>
      </c>
      <c r="H28" s="477">
        <f t="shared" si="18"/>
        <v>1463915.1281593507</v>
      </c>
      <c r="I28" s="500">
        <f t="shared" si="6"/>
        <v>0</v>
      </c>
      <c r="J28" s="500"/>
      <c r="K28" s="512"/>
      <c r="L28" s="504">
        <f t="shared" si="19"/>
        <v>0</v>
      </c>
      <c r="M28" s="512"/>
      <c r="N28" s="504">
        <f t="shared" si="4"/>
        <v>0</v>
      </c>
      <c r="O28" s="504">
        <f t="shared" si="5"/>
        <v>0</v>
      </c>
      <c r="P28" s="278"/>
      <c r="R28" s="243"/>
      <c r="S28" s="243"/>
      <c r="T28" s="243"/>
      <c r="U28" s="243"/>
    </row>
    <row r="29" spans="2:21" ht="12.5">
      <c r="B29" s="145" t="str">
        <f t="shared" si="0"/>
        <v/>
      </c>
      <c r="C29" s="495">
        <f>IF(D11="","-",+C28+1)</f>
        <v>2025</v>
      </c>
      <c r="D29" s="508">
        <f>IF(F28+SUM(E$17:E28)=D$10,F28,D$10-SUM(E$17:E28))</f>
        <v>9365650.954105312</v>
      </c>
      <c r="E29" s="509">
        <f t="shared" si="15"/>
        <v>427563.55451612902</v>
      </c>
      <c r="F29" s="510">
        <f t="shared" si="16"/>
        <v>8938087.3995891828</v>
      </c>
      <c r="G29" s="511">
        <f t="shared" si="17"/>
        <v>1417659.1362878764</v>
      </c>
      <c r="H29" s="477">
        <f t="shared" si="18"/>
        <v>1417659.1362878764</v>
      </c>
      <c r="I29" s="500">
        <f t="shared" si="6"/>
        <v>0</v>
      </c>
      <c r="J29" s="500"/>
      <c r="K29" s="512"/>
      <c r="L29" s="504">
        <f t="shared" si="19"/>
        <v>0</v>
      </c>
      <c r="M29" s="512"/>
      <c r="N29" s="504">
        <f t="shared" si="4"/>
        <v>0</v>
      </c>
      <c r="O29" s="504">
        <f t="shared" si="5"/>
        <v>0</v>
      </c>
      <c r="P29" s="278"/>
      <c r="R29" s="243"/>
      <c r="S29" s="243"/>
      <c r="T29" s="243"/>
      <c r="U29" s="243"/>
    </row>
    <row r="30" spans="2:21" ht="12.5">
      <c r="B30" s="145" t="str">
        <f t="shared" si="0"/>
        <v/>
      </c>
      <c r="C30" s="495">
        <f>IF(D11="","-",+C29+1)</f>
        <v>2026</v>
      </c>
      <c r="D30" s="508">
        <f>IF(F29+SUM(E$17:E29)=D$10,F29,D$10-SUM(E$17:E29))</f>
        <v>8938087.3995891828</v>
      </c>
      <c r="E30" s="509">
        <f t="shared" si="15"/>
        <v>427563.55451612902</v>
      </c>
      <c r="F30" s="510">
        <f t="shared" si="16"/>
        <v>8510523.8450730536</v>
      </c>
      <c r="G30" s="511">
        <f t="shared" si="17"/>
        <v>1371403.1444164019</v>
      </c>
      <c r="H30" s="477">
        <f t="shared" si="18"/>
        <v>1371403.1444164019</v>
      </c>
      <c r="I30" s="500">
        <f t="shared" si="6"/>
        <v>0</v>
      </c>
      <c r="J30" s="500"/>
      <c r="K30" s="512"/>
      <c r="L30" s="504">
        <f t="shared" si="19"/>
        <v>0</v>
      </c>
      <c r="M30" s="512"/>
      <c r="N30" s="504">
        <f t="shared" si="4"/>
        <v>0</v>
      </c>
      <c r="O30" s="504">
        <f t="shared" si="5"/>
        <v>0</v>
      </c>
      <c r="P30" s="278"/>
      <c r="R30" s="243"/>
      <c r="S30" s="243"/>
      <c r="T30" s="243"/>
      <c r="U30" s="243"/>
    </row>
    <row r="31" spans="2:21" ht="12.5">
      <c r="B31" s="145" t="str">
        <f t="shared" si="0"/>
        <v/>
      </c>
      <c r="C31" s="495">
        <f>IF(D11="","-",+C30+1)</f>
        <v>2027</v>
      </c>
      <c r="D31" s="508">
        <f>IF(F30+SUM(E$17:E30)=D$10,F30,D$10-SUM(E$17:E30))</f>
        <v>8510523.8450730536</v>
      </c>
      <c r="E31" s="509">
        <f t="shared" si="15"/>
        <v>427563.55451612902</v>
      </c>
      <c r="F31" s="510">
        <f t="shared" si="16"/>
        <v>8082960.2905569244</v>
      </c>
      <c r="G31" s="511">
        <f t="shared" si="17"/>
        <v>1325147.1525449276</v>
      </c>
      <c r="H31" s="477">
        <f t="shared" si="18"/>
        <v>1325147.1525449276</v>
      </c>
      <c r="I31" s="500">
        <f t="shared" si="6"/>
        <v>0</v>
      </c>
      <c r="J31" s="500"/>
      <c r="K31" s="512"/>
      <c r="L31" s="504">
        <f t="shared" si="19"/>
        <v>0</v>
      </c>
      <c r="M31" s="512"/>
      <c r="N31" s="504">
        <f t="shared" si="4"/>
        <v>0</v>
      </c>
      <c r="O31" s="504">
        <f t="shared" si="5"/>
        <v>0</v>
      </c>
      <c r="P31" s="278"/>
      <c r="Q31" s="220"/>
      <c r="R31" s="278"/>
      <c r="S31" s="278"/>
      <c r="T31" s="278"/>
      <c r="U31" s="243"/>
    </row>
    <row r="32" spans="2:21" ht="12.5">
      <c r="B32" s="145" t="str">
        <f t="shared" si="0"/>
        <v/>
      </c>
      <c r="C32" s="495">
        <f>IF(D12="","-",+C31+1)</f>
        <v>2028</v>
      </c>
      <c r="D32" s="508">
        <f>IF(F31+SUM(E$17:E31)=D$10,F31,D$10-SUM(E$17:E31))</f>
        <v>8082960.2905569244</v>
      </c>
      <c r="E32" s="509">
        <f>IF(+$I$14&lt;F31,$I$14,D32)</f>
        <v>427563.55451612902</v>
      </c>
      <c r="F32" s="510">
        <f>+D32-E32</f>
        <v>7655396.7360407952</v>
      </c>
      <c r="G32" s="511">
        <f t="shared" si="17"/>
        <v>1278891.1606734532</v>
      </c>
      <c r="H32" s="477">
        <f t="shared" si="18"/>
        <v>1278891.1606734532</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2029</v>
      </c>
      <c r="D33" s="508">
        <f>IF(F32+SUM(E$17:E32)=D$10,F32,D$10-SUM(E$17:E32))</f>
        <v>7655396.7360407952</v>
      </c>
      <c r="E33" s="509">
        <f>IF(+$I$14&lt;F32,$I$14,D33)</f>
        <v>427563.55451612902</v>
      </c>
      <c r="F33" s="510">
        <f>+D33-E33</f>
        <v>7227833.181524666</v>
      </c>
      <c r="G33" s="511">
        <f t="shared" si="17"/>
        <v>1232635.1688019789</v>
      </c>
      <c r="H33" s="477">
        <f t="shared" si="18"/>
        <v>1232635.1688019789</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2030</v>
      </c>
      <c r="D34" s="514">
        <f>IF(F33+SUM(E$17:E33)=D$10,F33,D$10-SUM(E$17:E33))</f>
        <v>7227833.181524666</v>
      </c>
      <c r="E34" s="515">
        <f t="shared" si="15"/>
        <v>427563.55451612902</v>
      </c>
      <c r="F34" s="516">
        <f t="shared" si="16"/>
        <v>6800269.6270085368</v>
      </c>
      <c r="G34" s="511">
        <f t="shared" si="17"/>
        <v>1186379.1769305044</v>
      </c>
      <c r="H34" s="477">
        <f t="shared" si="18"/>
        <v>1186379.1769305044</v>
      </c>
      <c r="I34" s="519">
        <f t="shared" si="6"/>
        <v>0</v>
      </c>
      <c r="J34" s="519"/>
      <c r="K34" s="520"/>
      <c r="L34" s="521">
        <f t="shared" si="19"/>
        <v>0</v>
      </c>
      <c r="M34" s="520"/>
      <c r="N34" s="521">
        <f t="shared" si="4"/>
        <v>0</v>
      </c>
      <c r="O34" s="521">
        <f t="shared" si="5"/>
        <v>0</v>
      </c>
      <c r="P34" s="522"/>
      <c r="Q34" s="216"/>
      <c r="R34" s="522"/>
      <c r="S34" s="522"/>
      <c r="T34" s="522"/>
      <c r="U34" s="243"/>
    </row>
    <row r="35" spans="2:21" ht="12.5">
      <c r="B35" s="145" t="str">
        <f t="shared" si="0"/>
        <v/>
      </c>
      <c r="C35" s="495">
        <f>IF(D11="","-",+C34+1)</f>
        <v>2031</v>
      </c>
      <c r="D35" s="508">
        <f>IF(F34+SUM(E$17:E34)=D$10,F34,D$10-SUM(E$17:E34))</f>
        <v>6800269.6270085368</v>
      </c>
      <c r="E35" s="509">
        <f t="shared" si="15"/>
        <v>427563.55451612902</v>
      </c>
      <c r="F35" s="510">
        <f t="shared" si="16"/>
        <v>6372706.0724924076</v>
      </c>
      <c r="G35" s="511">
        <f t="shared" si="17"/>
        <v>1140123.1850590301</v>
      </c>
      <c r="H35" s="477">
        <f t="shared" si="18"/>
        <v>1140123.1850590301</v>
      </c>
      <c r="I35" s="500">
        <f t="shared" si="6"/>
        <v>0</v>
      </c>
      <c r="J35" s="500"/>
      <c r="K35" s="512"/>
      <c r="L35" s="504">
        <f t="shared" si="19"/>
        <v>0</v>
      </c>
      <c r="M35" s="512"/>
      <c r="N35" s="504">
        <f t="shared" si="4"/>
        <v>0</v>
      </c>
      <c r="O35" s="504">
        <f t="shared" si="5"/>
        <v>0</v>
      </c>
      <c r="P35" s="278"/>
      <c r="R35" s="243"/>
      <c r="S35" s="243"/>
      <c r="T35" s="243"/>
      <c r="U35" s="243"/>
    </row>
    <row r="36" spans="2:21" ht="12.5">
      <c r="B36" s="145" t="str">
        <f t="shared" si="0"/>
        <v/>
      </c>
      <c r="C36" s="495">
        <f>IF(D11="","-",+C35+1)</f>
        <v>2032</v>
      </c>
      <c r="D36" s="508">
        <f>IF(F35+SUM(E$17:E35)=D$10,F35,D$10-SUM(E$17:E35))</f>
        <v>6372706.0724924076</v>
      </c>
      <c r="E36" s="509">
        <f t="shared" si="15"/>
        <v>427563.55451612902</v>
      </c>
      <c r="F36" s="510">
        <f t="shared" si="16"/>
        <v>5945142.5179762784</v>
      </c>
      <c r="G36" s="511">
        <f t="shared" si="17"/>
        <v>1093867.1931875558</v>
      </c>
      <c r="H36" s="477">
        <f t="shared" si="18"/>
        <v>1093867.1931875558</v>
      </c>
      <c r="I36" s="500">
        <f t="shared" si="6"/>
        <v>0</v>
      </c>
      <c r="J36" s="500"/>
      <c r="K36" s="512"/>
      <c r="L36" s="504">
        <f t="shared" si="19"/>
        <v>0</v>
      </c>
      <c r="M36" s="512"/>
      <c r="N36" s="504">
        <f t="shared" si="4"/>
        <v>0</v>
      </c>
      <c r="O36" s="504">
        <f t="shared" si="5"/>
        <v>0</v>
      </c>
      <c r="P36" s="278"/>
      <c r="R36" s="243"/>
      <c r="S36" s="243"/>
      <c r="T36" s="243"/>
      <c r="U36" s="243"/>
    </row>
    <row r="37" spans="2:21" ht="12.5">
      <c r="B37" s="145" t="str">
        <f t="shared" si="0"/>
        <v/>
      </c>
      <c r="C37" s="495">
        <f>IF(D11="","-",+C36+1)</f>
        <v>2033</v>
      </c>
      <c r="D37" s="508">
        <f>IF(F36+SUM(E$17:E36)=D$10,F36,D$10-SUM(E$17:E36))</f>
        <v>5945142.5179762784</v>
      </c>
      <c r="E37" s="509">
        <f t="shared" si="15"/>
        <v>427563.55451612902</v>
      </c>
      <c r="F37" s="510">
        <f t="shared" si="16"/>
        <v>5517578.9634601492</v>
      </c>
      <c r="G37" s="511">
        <f t="shared" si="17"/>
        <v>1047611.2013160815</v>
      </c>
      <c r="H37" s="477">
        <f t="shared" si="18"/>
        <v>1047611.2013160815</v>
      </c>
      <c r="I37" s="500">
        <f t="shared" si="6"/>
        <v>0</v>
      </c>
      <c r="J37" s="500"/>
      <c r="K37" s="512"/>
      <c r="L37" s="504">
        <f t="shared" si="19"/>
        <v>0</v>
      </c>
      <c r="M37" s="512"/>
      <c r="N37" s="504">
        <f t="shared" si="4"/>
        <v>0</v>
      </c>
      <c r="O37" s="504">
        <f t="shared" si="5"/>
        <v>0</v>
      </c>
      <c r="P37" s="278"/>
      <c r="R37" s="243"/>
      <c r="S37" s="243"/>
      <c r="T37" s="243"/>
      <c r="U37" s="243"/>
    </row>
    <row r="38" spans="2:21" ht="12.5">
      <c r="B38" s="145" t="str">
        <f t="shared" si="0"/>
        <v/>
      </c>
      <c r="C38" s="495">
        <f>IF(D11="","-",+C37+1)</f>
        <v>2034</v>
      </c>
      <c r="D38" s="508">
        <f>IF(F37+SUM(E$17:E37)=D$10,F37,D$10-SUM(E$17:E37))</f>
        <v>5517578.9634601492</v>
      </c>
      <c r="E38" s="509">
        <f t="shared" si="15"/>
        <v>427563.55451612902</v>
      </c>
      <c r="F38" s="510">
        <f t="shared" si="16"/>
        <v>5090015.40894402</v>
      </c>
      <c r="G38" s="511">
        <f t="shared" si="17"/>
        <v>1001355.2094446069</v>
      </c>
      <c r="H38" s="477">
        <f t="shared" si="18"/>
        <v>1001355.2094446069</v>
      </c>
      <c r="I38" s="500">
        <f t="shared" si="6"/>
        <v>0</v>
      </c>
      <c r="J38" s="500"/>
      <c r="K38" s="512"/>
      <c r="L38" s="504">
        <f t="shared" si="19"/>
        <v>0</v>
      </c>
      <c r="M38" s="512"/>
      <c r="N38" s="504">
        <f t="shared" si="4"/>
        <v>0</v>
      </c>
      <c r="O38" s="504">
        <f t="shared" si="5"/>
        <v>0</v>
      </c>
      <c r="P38" s="278"/>
      <c r="R38" s="243"/>
      <c r="S38" s="243"/>
      <c r="T38" s="243"/>
      <c r="U38" s="243"/>
    </row>
    <row r="39" spans="2:21" ht="12.5">
      <c r="B39" s="145" t="str">
        <f t="shared" si="0"/>
        <v/>
      </c>
      <c r="C39" s="495">
        <f>IF(D11="","-",+C38+1)</f>
        <v>2035</v>
      </c>
      <c r="D39" s="508">
        <f>IF(F38+SUM(E$17:E38)=D$10,F38,D$10-SUM(E$17:E38))</f>
        <v>5090015.40894402</v>
      </c>
      <c r="E39" s="509">
        <f t="shared" si="15"/>
        <v>427563.55451612902</v>
      </c>
      <c r="F39" s="510">
        <f t="shared" si="16"/>
        <v>4662451.8544278909</v>
      </c>
      <c r="G39" s="511">
        <f t="shared" si="17"/>
        <v>955099.2175731326</v>
      </c>
      <c r="H39" s="477">
        <f t="shared" si="18"/>
        <v>955099.2175731326</v>
      </c>
      <c r="I39" s="500">
        <f t="shared" si="6"/>
        <v>0</v>
      </c>
      <c r="J39" s="500"/>
      <c r="K39" s="512"/>
      <c r="L39" s="504">
        <f t="shared" si="19"/>
        <v>0</v>
      </c>
      <c r="M39" s="512"/>
      <c r="N39" s="504">
        <f t="shared" si="4"/>
        <v>0</v>
      </c>
      <c r="O39" s="504">
        <f t="shared" si="5"/>
        <v>0</v>
      </c>
      <c r="P39" s="278"/>
      <c r="R39" s="243"/>
      <c r="S39" s="243"/>
      <c r="T39" s="243"/>
      <c r="U39" s="243"/>
    </row>
    <row r="40" spans="2:21" ht="12.5">
      <c r="B40" s="145" t="str">
        <f t="shared" si="0"/>
        <v/>
      </c>
      <c r="C40" s="495">
        <f>IF(D11="","-",+C39+1)</f>
        <v>2036</v>
      </c>
      <c r="D40" s="508">
        <f>IF(F39+SUM(E$17:E39)=D$10,F39,D$10-SUM(E$17:E39))</f>
        <v>4662451.8544278909</v>
      </c>
      <c r="E40" s="509">
        <f t="shared" si="15"/>
        <v>427563.55451612902</v>
      </c>
      <c r="F40" s="510">
        <f t="shared" si="16"/>
        <v>4234888.2999117617</v>
      </c>
      <c r="G40" s="511">
        <f t="shared" si="17"/>
        <v>908843.22570165829</v>
      </c>
      <c r="H40" s="477">
        <f t="shared" si="18"/>
        <v>908843.22570165829</v>
      </c>
      <c r="I40" s="500">
        <f t="shared" si="6"/>
        <v>0</v>
      </c>
      <c r="J40" s="500"/>
      <c r="K40" s="512"/>
      <c r="L40" s="504">
        <f t="shared" si="19"/>
        <v>0</v>
      </c>
      <c r="M40" s="512"/>
      <c r="N40" s="504">
        <f t="shared" si="4"/>
        <v>0</v>
      </c>
      <c r="O40" s="504">
        <f t="shared" si="5"/>
        <v>0</v>
      </c>
      <c r="P40" s="278"/>
      <c r="R40" s="243"/>
      <c r="S40" s="243"/>
      <c r="T40" s="243"/>
      <c r="U40" s="243"/>
    </row>
    <row r="41" spans="2:21" ht="12.5">
      <c r="B41" s="145" t="str">
        <f t="shared" si="0"/>
        <v/>
      </c>
      <c r="C41" s="495">
        <f>IF(D12="","-",+C40+1)</f>
        <v>2037</v>
      </c>
      <c r="D41" s="508">
        <f>IF(F40+SUM(E$17:E40)=D$10,F40,D$10-SUM(E$17:E40))</f>
        <v>4234888.2999117617</v>
      </c>
      <c r="E41" s="509">
        <f t="shared" si="15"/>
        <v>427563.55451612902</v>
      </c>
      <c r="F41" s="510">
        <f t="shared" si="16"/>
        <v>3807324.7453956325</v>
      </c>
      <c r="G41" s="511">
        <f t="shared" si="17"/>
        <v>862587.23383018386</v>
      </c>
      <c r="H41" s="477">
        <f t="shared" si="18"/>
        <v>862587.23383018386</v>
      </c>
      <c r="I41" s="500">
        <f t="shared" si="6"/>
        <v>0</v>
      </c>
      <c r="J41" s="500"/>
      <c r="K41" s="512"/>
      <c r="L41" s="504">
        <f t="shared" si="19"/>
        <v>0</v>
      </c>
      <c r="M41" s="512"/>
      <c r="N41" s="504">
        <f t="shared" si="4"/>
        <v>0</v>
      </c>
      <c r="O41" s="504">
        <f t="shared" si="5"/>
        <v>0</v>
      </c>
      <c r="P41" s="278"/>
      <c r="R41" s="243"/>
      <c r="S41" s="243"/>
      <c r="T41" s="243"/>
      <c r="U41" s="243"/>
    </row>
    <row r="42" spans="2:21" ht="12.5">
      <c r="B42" s="145" t="str">
        <f t="shared" si="0"/>
        <v/>
      </c>
      <c r="C42" s="495">
        <f>IF(D13="","-",+C41+1)</f>
        <v>2038</v>
      </c>
      <c r="D42" s="508">
        <f>IF(F41+SUM(E$17:E41)=D$10,F41,D$10-SUM(E$17:E41))</f>
        <v>3807324.7453956325</v>
      </c>
      <c r="E42" s="509">
        <f t="shared" si="15"/>
        <v>427563.55451612902</v>
      </c>
      <c r="F42" s="510">
        <f t="shared" si="16"/>
        <v>3379761.1908795033</v>
      </c>
      <c r="G42" s="511">
        <f t="shared" si="17"/>
        <v>816331.24195870943</v>
      </c>
      <c r="H42" s="477">
        <f t="shared" si="18"/>
        <v>816331.24195870943</v>
      </c>
      <c r="I42" s="500">
        <f t="shared" si="6"/>
        <v>0</v>
      </c>
      <c r="J42" s="500"/>
      <c r="K42" s="512"/>
      <c r="L42" s="504">
        <f t="shared" si="19"/>
        <v>0</v>
      </c>
      <c r="M42" s="512"/>
      <c r="N42" s="504">
        <f t="shared" si="4"/>
        <v>0</v>
      </c>
      <c r="O42" s="504">
        <f t="shared" si="5"/>
        <v>0</v>
      </c>
      <c r="P42" s="278"/>
      <c r="R42" s="243"/>
      <c r="S42" s="243"/>
      <c r="T42" s="243"/>
      <c r="U42" s="243"/>
    </row>
    <row r="43" spans="2:21" ht="12.5">
      <c r="B43" s="145" t="str">
        <f t="shared" si="0"/>
        <v/>
      </c>
      <c r="C43" s="495">
        <f>IF(D11="","-",+C42+1)</f>
        <v>2039</v>
      </c>
      <c r="D43" s="508">
        <f>IF(F42+SUM(E$17:E42)=D$10,F42,D$10-SUM(E$17:E42))</f>
        <v>3379761.1908795033</v>
      </c>
      <c r="E43" s="509">
        <f t="shared" si="15"/>
        <v>427563.55451612902</v>
      </c>
      <c r="F43" s="510">
        <f t="shared" si="16"/>
        <v>2952197.6363633741</v>
      </c>
      <c r="G43" s="511">
        <f t="shared" si="17"/>
        <v>770075.25008723512</v>
      </c>
      <c r="H43" s="477">
        <f t="shared" si="18"/>
        <v>770075.25008723512</v>
      </c>
      <c r="I43" s="500">
        <f t="shared" si="6"/>
        <v>0</v>
      </c>
      <c r="J43" s="500"/>
      <c r="K43" s="512"/>
      <c r="L43" s="504">
        <f t="shared" si="19"/>
        <v>0</v>
      </c>
      <c r="M43" s="512"/>
      <c r="N43" s="504">
        <f t="shared" si="4"/>
        <v>0</v>
      </c>
      <c r="O43" s="504">
        <f t="shared" si="5"/>
        <v>0</v>
      </c>
      <c r="P43" s="278"/>
      <c r="R43" s="243"/>
      <c r="S43" s="243"/>
      <c r="T43" s="243"/>
      <c r="U43" s="243"/>
    </row>
    <row r="44" spans="2:21" ht="12.5">
      <c r="B44" s="145" t="str">
        <f t="shared" si="0"/>
        <v/>
      </c>
      <c r="C44" s="495">
        <f>IF(D11="","-",+C43+1)</f>
        <v>2040</v>
      </c>
      <c r="D44" s="508">
        <f>IF(F43+SUM(E$17:E43)=D$10,F43,D$10-SUM(E$17:E43))</f>
        <v>2952197.6363633741</v>
      </c>
      <c r="E44" s="509">
        <f t="shared" si="15"/>
        <v>427563.55451612902</v>
      </c>
      <c r="F44" s="510">
        <f t="shared" si="16"/>
        <v>2524634.0818472449</v>
      </c>
      <c r="G44" s="511">
        <f t="shared" si="17"/>
        <v>723819.25821576081</v>
      </c>
      <c r="H44" s="477">
        <f t="shared" si="18"/>
        <v>723819.25821576081</v>
      </c>
      <c r="I44" s="500">
        <f t="shared" si="6"/>
        <v>0</v>
      </c>
      <c r="J44" s="500"/>
      <c r="K44" s="512"/>
      <c r="L44" s="504">
        <f t="shared" si="19"/>
        <v>0</v>
      </c>
      <c r="M44" s="512"/>
      <c r="N44" s="504">
        <f t="shared" si="4"/>
        <v>0</v>
      </c>
      <c r="O44" s="504">
        <f t="shared" si="5"/>
        <v>0</v>
      </c>
      <c r="P44" s="278"/>
      <c r="R44" s="243"/>
      <c r="S44" s="243"/>
      <c r="T44" s="243"/>
      <c r="U44" s="243"/>
    </row>
    <row r="45" spans="2:21" ht="12.5">
      <c r="B45" s="145" t="str">
        <f t="shared" si="0"/>
        <v/>
      </c>
      <c r="C45" s="495">
        <f>IF(D11="","-",+C44+1)</f>
        <v>2041</v>
      </c>
      <c r="D45" s="508">
        <f>IF(F44+SUM(E$17:E44)=D$10,F44,D$10-SUM(E$17:E44))</f>
        <v>2524634.0818472449</v>
      </c>
      <c r="E45" s="509">
        <f t="shared" si="15"/>
        <v>427563.55451612902</v>
      </c>
      <c r="F45" s="510">
        <f t="shared" si="16"/>
        <v>2097070.5273311159</v>
      </c>
      <c r="G45" s="511">
        <f t="shared" si="17"/>
        <v>677563.26634428638</v>
      </c>
      <c r="H45" s="477">
        <f t="shared" si="18"/>
        <v>677563.26634428638</v>
      </c>
      <c r="I45" s="500">
        <f t="shared" si="6"/>
        <v>0</v>
      </c>
      <c r="J45" s="500"/>
      <c r="K45" s="512"/>
      <c r="L45" s="504">
        <f t="shared" si="19"/>
        <v>0</v>
      </c>
      <c r="M45" s="512"/>
      <c r="N45" s="504">
        <f t="shared" si="4"/>
        <v>0</v>
      </c>
      <c r="O45" s="504">
        <f t="shared" si="5"/>
        <v>0</v>
      </c>
      <c r="P45" s="278"/>
      <c r="R45" s="243"/>
      <c r="S45" s="243"/>
      <c r="T45" s="243"/>
      <c r="U45" s="243"/>
    </row>
    <row r="46" spans="2:21" ht="12.5">
      <c r="B46" s="145" t="str">
        <f t="shared" si="0"/>
        <v/>
      </c>
      <c r="C46" s="495">
        <f>IF(D11="","-",+C45+1)</f>
        <v>2042</v>
      </c>
      <c r="D46" s="508">
        <f>IF(F45+SUM(E$17:E45)=D$10,F45,D$10-SUM(E$17:E45))</f>
        <v>2097070.5273311159</v>
      </c>
      <c r="E46" s="509">
        <f t="shared" si="15"/>
        <v>427563.55451612902</v>
      </c>
      <c r="F46" s="510">
        <f t="shared" si="16"/>
        <v>1669506.9728149869</v>
      </c>
      <c r="G46" s="511">
        <f t="shared" si="17"/>
        <v>631307.27447281207</v>
      </c>
      <c r="H46" s="477">
        <f t="shared" si="18"/>
        <v>631307.27447281207</v>
      </c>
      <c r="I46" s="500">
        <f t="shared" si="6"/>
        <v>0</v>
      </c>
      <c r="J46" s="500"/>
      <c r="K46" s="512"/>
      <c r="L46" s="504">
        <f t="shared" si="19"/>
        <v>0</v>
      </c>
      <c r="M46" s="512"/>
      <c r="N46" s="504">
        <f t="shared" si="4"/>
        <v>0</v>
      </c>
      <c r="O46" s="504">
        <f t="shared" si="5"/>
        <v>0</v>
      </c>
      <c r="P46" s="278"/>
      <c r="R46" s="243"/>
      <c r="S46" s="243"/>
      <c r="T46" s="243"/>
      <c r="U46" s="243"/>
    </row>
    <row r="47" spans="2:21" ht="12.5">
      <c r="B47" s="145" t="str">
        <f t="shared" si="0"/>
        <v/>
      </c>
      <c r="C47" s="495">
        <f>IF(D11="","-",+C46+1)</f>
        <v>2043</v>
      </c>
      <c r="D47" s="508">
        <f>IF(F46+SUM(E$17:E46)=D$10,F46,D$10-SUM(E$17:E46))</f>
        <v>1669506.9728149869</v>
      </c>
      <c r="E47" s="509">
        <f t="shared" si="15"/>
        <v>427563.55451612902</v>
      </c>
      <c r="F47" s="510">
        <f t="shared" si="16"/>
        <v>1241943.418298858</v>
      </c>
      <c r="G47" s="511">
        <f t="shared" si="17"/>
        <v>585051.28260133765</v>
      </c>
      <c r="H47" s="477">
        <f t="shared" si="18"/>
        <v>585051.28260133765</v>
      </c>
      <c r="I47" s="500">
        <f t="shared" si="6"/>
        <v>0</v>
      </c>
      <c r="J47" s="500"/>
      <c r="K47" s="512"/>
      <c r="L47" s="504">
        <f t="shared" si="19"/>
        <v>0</v>
      </c>
      <c r="M47" s="512"/>
      <c r="N47" s="504">
        <f t="shared" si="4"/>
        <v>0</v>
      </c>
      <c r="O47" s="504">
        <f t="shared" si="5"/>
        <v>0</v>
      </c>
      <c r="P47" s="278"/>
      <c r="R47" s="243"/>
      <c r="S47" s="243"/>
      <c r="T47" s="243"/>
      <c r="U47" s="243"/>
    </row>
    <row r="48" spans="2:21" ht="12.5">
      <c r="B48" s="145" t="str">
        <f t="shared" si="0"/>
        <v/>
      </c>
      <c r="C48" s="495">
        <f>IF(D11="","-",+C47+1)</f>
        <v>2044</v>
      </c>
      <c r="D48" s="508">
        <f>IF(F47+SUM(E$17:E47)=D$10,F47,D$10-SUM(E$17:E47))</f>
        <v>1241943.418298858</v>
      </c>
      <c r="E48" s="509">
        <f t="shared" si="15"/>
        <v>427563.55451612902</v>
      </c>
      <c r="F48" s="510">
        <f t="shared" si="16"/>
        <v>814379.86378272902</v>
      </c>
      <c r="G48" s="511">
        <f t="shared" si="17"/>
        <v>538795.29072986334</v>
      </c>
      <c r="H48" s="477">
        <f t="shared" si="18"/>
        <v>538795.29072986334</v>
      </c>
      <c r="I48" s="500">
        <f t="shared" si="6"/>
        <v>0</v>
      </c>
      <c r="J48" s="500"/>
      <c r="K48" s="512"/>
      <c r="L48" s="504">
        <f t="shared" si="19"/>
        <v>0</v>
      </c>
      <c r="M48" s="512"/>
      <c r="N48" s="504">
        <f t="shared" si="4"/>
        <v>0</v>
      </c>
      <c r="O48" s="504">
        <f t="shared" si="5"/>
        <v>0</v>
      </c>
      <c r="P48" s="278"/>
      <c r="R48" s="243"/>
      <c r="S48" s="243"/>
      <c r="T48" s="243"/>
      <c r="U48" s="243"/>
    </row>
    <row r="49" spans="2:21" ht="12.5">
      <c r="B49" s="145" t="str">
        <f t="shared" si="0"/>
        <v/>
      </c>
      <c r="C49" s="495">
        <f>IF(D11="","-",+C48+1)</f>
        <v>2045</v>
      </c>
      <c r="D49" s="508">
        <f>IF(F48+SUM(E$17:E48)=D$10,F48,D$10-SUM(E$17:E48))</f>
        <v>814379.86378272902</v>
      </c>
      <c r="E49" s="509">
        <f t="shared" si="15"/>
        <v>427563.55451612902</v>
      </c>
      <c r="F49" s="510">
        <f t="shared" si="16"/>
        <v>386816.3092666</v>
      </c>
      <c r="G49" s="511">
        <f t="shared" si="17"/>
        <v>492539.29885838897</v>
      </c>
      <c r="H49" s="477">
        <f t="shared" si="18"/>
        <v>492539.29885838897</v>
      </c>
      <c r="I49" s="500">
        <f t="shared" si="6"/>
        <v>0</v>
      </c>
      <c r="J49" s="500"/>
      <c r="K49" s="512"/>
      <c r="L49" s="504">
        <f t="shared" si="19"/>
        <v>0</v>
      </c>
      <c r="M49" s="512"/>
      <c r="N49" s="504">
        <f t="shared" si="4"/>
        <v>0</v>
      </c>
      <c r="O49" s="504">
        <f t="shared" si="5"/>
        <v>0</v>
      </c>
      <c r="P49" s="278"/>
      <c r="R49" s="243"/>
      <c r="S49" s="243"/>
      <c r="T49" s="243"/>
      <c r="U49" s="243"/>
    </row>
    <row r="50" spans="2:21" ht="12.5">
      <c r="B50" s="145" t="str">
        <f t="shared" si="0"/>
        <v/>
      </c>
      <c r="C50" s="495">
        <f>IF(D11="","-",+C49+1)</f>
        <v>2046</v>
      </c>
      <c r="D50" s="508">
        <f>IF(F49+SUM(E$17:E49)=D$10,F49,D$10-SUM(E$17:E49))</f>
        <v>386816.3092666</v>
      </c>
      <c r="E50" s="509">
        <f t="shared" si="15"/>
        <v>386816.3092666</v>
      </c>
      <c r="F50" s="510">
        <f t="shared" si="16"/>
        <v>0</v>
      </c>
      <c r="G50" s="511">
        <f t="shared" si="17"/>
        <v>407740.1834698614</v>
      </c>
      <c r="H50" s="477">
        <f t="shared" si="18"/>
        <v>407740.1834698614</v>
      </c>
      <c r="I50" s="500">
        <f t="shared" si="6"/>
        <v>0</v>
      </c>
      <c r="J50" s="500"/>
      <c r="K50" s="512"/>
      <c r="L50" s="504">
        <f t="shared" si="19"/>
        <v>0</v>
      </c>
      <c r="M50" s="512"/>
      <c r="N50" s="504">
        <f t="shared" si="4"/>
        <v>0</v>
      </c>
      <c r="O50" s="504">
        <f t="shared" si="5"/>
        <v>0</v>
      </c>
      <c r="P50" s="278"/>
      <c r="R50" s="243"/>
      <c r="S50" s="243"/>
      <c r="T50" s="243"/>
      <c r="U50" s="243"/>
    </row>
    <row r="51" spans="2:21" ht="12.5">
      <c r="B51" s="145" t="str">
        <f t="shared" si="0"/>
        <v/>
      </c>
      <c r="C51" s="495">
        <f>IF(D11="","-",+C50+1)</f>
        <v>2047</v>
      </c>
      <c r="D51" s="508">
        <f>IF(F50+SUM(E$17:E50)=D$10,F50,D$10-SUM(E$17:E50))</f>
        <v>0</v>
      </c>
      <c r="E51" s="509">
        <f t="shared" si="15"/>
        <v>0</v>
      </c>
      <c r="F51" s="510">
        <f t="shared" si="16"/>
        <v>0</v>
      </c>
      <c r="G51" s="511">
        <f t="shared" si="17"/>
        <v>0</v>
      </c>
      <c r="H51" s="477">
        <f t="shared" si="18"/>
        <v>0</v>
      </c>
      <c r="I51" s="500">
        <f t="shared" si="6"/>
        <v>0</v>
      </c>
      <c r="J51" s="500"/>
      <c r="K51" s="512"/>
      <c r="L51" s="504">
        <f t="shared" si="19"/>
        <v>0</v>
      </c>
      <c r="M51" s="512"/>
      <c r="N51" s="504">
        <f t="shared" si="4"/>
        <v>0</v>
      </c>
      <c r="O51" s="504">
        <f t="shared" si="5"/>
        <v>0</v>
      </c>
      <c r="P51" s="278"/>
      <c r="R51" s="243"/>
      <c r="S51" s="243"/>
      <c r="T51" s="243"/>
      <c r="U51" s="243"/>
    </row>
    <row r="52" spans="2:21" ht="12.5">
      <c r="B52" s="145" t="str">
        <f t="shared" si="0"/>
        <v/>
      </c>
      <c r="C52" s="495">
        <f>IF(D11="","-",+C51+1)</f>
        <v>2048</v>
      </c>
      <c r="D52" s="508">
        <f>IF(F51+SUM(E$17:E51)=D$10,F51,D$10-SUM(E$17:E51))</f>
        <v>0</v>
      </c>
      <c r="E52" s="509">
        <f t="shared" si="15"/>
        <v>0</v>
      </c>
      <c r="F52" s="510">
        <f t="shared" si="16"/>
        <v>0</v>
      </c>
      <c r="G52" s="511">
        <f t="shared" si="17"/>
        <v>0</v>
      </c>
      <c r="H52" s="477">
        <f t="shared" si="18"/>
        <v>0</v>
      </c>
      <c r="I52" s="500">
        <f t="shared" si="6"/>
        <v>0</v>
      </c>
      <c r="J52" s="500"/>
      <c r="K52" s="512"/>
      <c r="L52" s="504">
        <f t="shared" si="19"/>
        <v>0</v>
      </c>
      <c r="M52" s="512"/>
      <c r="N52" s="504">
        <f t="shared" si="4"/>
        <v>0</v>
      </c>
      <c r="O52" s="504">
        <f t="shared" si="5"/>
        <v>0</v>
      </c>
      <c r="P52" s="278"/>
      <c r="R52" s="243"/>
      <c r="S52" s="243"/>
      <c r="T52" s="243"/>
      <c r="U52" s="243"/>
    </row>
    <row r="53" spans="2:21" ht="12.5">
      <c r="B53" s="145" t="str">
        <f t="shared" si="0"/>
        <v/>
      </c>
      <c r="C53" s="495">
        <f>IF(D11="","-",+C52+1)</f>
        <v>2049</v>
      </c>
      <c r="D53" s="508">
        <f>IF(F52+SUM(E$17:E52)=D$10,F52,D$10-SUM(E$17:E52))</f>
        <v>0</v>
      </c>
      <c r="E53" s="509">
        <f t="shared" si="15"/>
        <v>0</v>
      </c>
      <c r="F53" s="510">
        <f t="shared" si="16"/>
        <v>0</v>
      </c>
      <c r="G53" s="511">
        <f t="shared" si="17"/>
        <v>0</v>
      </c>
      <c r="H53" s="477">
        <f t="shared" si="18"/>
        <v>0</v>
      </c>
      <c r="I53" s="500">
        <f t="shared" si="6"/>
        <v>0</v>
      </c>
      <c r="J53" s="500"/>
      <c r="K53" s="512"/>
      <c r="L53" s="504">
        <f t="shared" si="19"/>
        <v>0</v>
      </c>
      <c r="M53" s="512"/>
      <c r="N53" s="504">
        <f t="shared" si="4"/>
        <v>0</v>
      </c>
      <c r="O53" s="504">
        <f t="shared" si="5"/>
        <v>0</v>
      </c>
      <c r="P53" s="278"/>
      <c r="R53" s="243"/>
      <c r="S53" s="243"/>
      <c r="T53" s="243"/>
      <c r="U53" s="243"/>
    </row>
    <row r="54" spans="2:21" ht="12.5">
      <c r="B54" s="145" t="str">
        <f t="shared" si="0"/>
        <v/>
      </c>
      <c r="C54" s="495">
        <f>IF(D11="","-",+C53+1)</f>
        <v>2050</v>
      </c>
      <c r="D54" s="508">
        <f>IF(F53+SUM(E$17:E53)=D$10,F53,D$10-SUM(E$17:E53))</f>
        <v>0</v>
      </c>
      <c r="E54" s="509">
        <f t="shared" si="15"/>
        <v>0</v>
      </c>
      <c r="F54" s="510">
        <f t="shared" si="16"/>
        <v>0</v>
      </c>
      <c r="G54" s="511">
        <f t="shared" si="17"/>
        <v>0</v>
      </c>
      <c r="H54" s="477">
        <f t="shared" si="18"/>
        <v>0</v>
      </c>
      <c r="I54" s="500">
        <f t="shared" si="6"/>
        <v>0</v>
      </c>
      <c r="J54" s="500"/>
      <c r="K54" s="512"/>
      <c r="L54" s="504">
        <f t="shared" si="19"/>
        <v>0</v>
      </c>
      <c r="M54" s="512"/>
      <c r="N54" s="504">
        <f t="shared" si="4"/>
        <v>0</v>
      </c>
      <c r="O54" s="504">
        <f t="shared" si="5"/>
        <v>0</v>
      </c>
      <c r="P54" s="278"/>
      <c r="R54" s="243"/>
      <c r="S54" s="243"/>
      <c r="T54" s="243"/>
      <c r="U54" s="243"/>
    </row>
    <row r="55" spans="2:21" ht="12.5">
      <c r="B55" s="145" t="str">
        <f t="shared" si="0"/>
        <v/>
      </c>
      <c r="C55" s="495">
        <f>IF(D11="","-",+C54+1)</f>
        <v>2051</v>
      </c>
      <c r="D55" s="508">
        <f>IF(F54+SUM(E$17:E54)=D$10,F54,D$10-SUM(E$17:E54))</f>
        <v>0</v>
      </c>
      <c r="E55" s="509">
        <f t="shared" si="15"/>
        <v>0</v>
      </c>
      <c r="F55" s="510">
        <f t="shared" si="16"/>
        <v>0</v>
      </c>
      <c r="G55" s="511">
        <f t="shared" si="17"/>
        <v>0</v>
      </c>
      <c r="H55" s="477">
        <f t="shared" si="18"/>
        <v>0</v>
      </c>
      <c r="I55" s="500">
        <f t="shared" si="6"/>
        <v>0</v>
      </c>
      <c r="J55" s="500"/>
      <c r="K55" s="512"/>
      <c r="L55" s="504">
        <f t="shared" si="19"/>
        <v>0</v>
      </c>
      <c r="M55" s="512"/>
      <c r="N55" s="504">
        <f t="shared" si="4"/>
        <v>0</v>
      </c>
      <c r="O55" s="504">
        <f t="shared" si="5"/>
        <v>0</v>
      </c>
      <c r="P55" s="278"/>
      <c r="R55" s="243"/>
      <c r="S55" s="243"/>
      <c r="T55" s="243"/>
      <c r="U55" s="243"/>
    </row>
    <row r="56" spans="2:21" ht="12.5">
      <c r="B56" s="145" t="str">
        <f t="shared" si="0"/>
        <v/>
      </c>
      <c r="C56" s="495">
        <f>IF(D11="","-",+C55+1)</f>
        <v>2052</v>
      </c>
      <c r="D56" s="508">
        <f>IF(F55+SUM(E$17:E55)=D$10,F55,D$10-SUM(E$17:E55))</f>
        <v>0</v>
      </c>
      <c r="E56" s="509">
        <f t="shared" si="15"/>
        <v>0</v>
      </c>
      <c r="F56" s="510">
        <f t="shared" si="16"/>
        <v>0</v>
      </c>
      <c r="G56" s="511">
        <f t="shared" si="17"/>
        <v>0</v>
      </c>
      <c r="H56" s="477">
        <f t="shared" si="18"/>
        <v>0</v>
      </c>
      <c r="I56" s="500">
        <f t="shared" si="6"/>
        <v>0</v>
      </c>
      <c r="J56" s="500"/>
      <c r="K56" s="512"/>
      <c r="L56" s="504">
        <f t="shared" si="19"/>
        <v>0</v>
      </c>
      <c r="M56" s="512"/>
      <c r="N56" s="504">
        <f t="shared" si="4"/>
        <v>0</v>
      </c>
      <c r="O56" s="504">
        <f t="shared" si="5"/>
        <v>0</v>
      </c>
      <c r="P56" s="278"/>
      <c r="R56" s="243"/>
      <c r="S56" s="243"/>
      <c r="T56" s="243"/>
      <c r="U56" s="243"/>
    </row>
    <row r="57" spans="2:21" ht="12.5">
      <c r="B57" s="145" t="str">
        <f t="shared" si="0"/>
        <v/>
      </c>
      <c r="C57" s="495">
        <f>IF(D11="","-",+C56+1)</f>
        <v>2053</v>
      </c>
      <c r="D57" s="508">
        <f>IF(F56+SUM(E$17:E56)=D$10,F56,D$10-SUM(E$17:E56))</f>
        <v>0</v>
      </c>
      <c r="E57" s="509">
        <f t="shared" si="15"/>
        <v>0</v>
      </c>
      <c r="F57" s="510">
        <f t="shared" si="16"/>
        <v>0</v>
      </c>
      <c r="G57" s="511">
        <f t="shared" si="17"/>
        <v>0</v>
      </c>
      <c r="H57" s="477">
        <f t="shared" si="18"/>
        <v>0</v>
      </c>
      <c r="I57" s="500">
        <f t="shared" si="6"/>
        <v>0</v>
      </c>
      <c r="J57" s="500"/>
      <c r="K57" s="512"/>
      <c r="L57" s="504">
        <f t="shared" si="19"/>
        <v>0</v>
      </c>
      <c r="M57" s="512"/>
      <c r="N57" s="504">
        <f t="shared" si="4"/>
        <v>0</v>
      </c>
      <c r="O57" s="504">
        <f t="shared" si="5"/>
        <v>0</v>
      </c>
      <c r="P57" s="278"/>
      <c r="R57" s="243"/>
      <c r="S57" s="243"/>
      <c r="T57" s="243"/>
      <c r="U57" s="243"/>
    </row>
    <row r="58" spans="2:21" ht="12.5">
      <c r="B58" s="145" t="str">
        <f t="shared" si="0"/>
        <v/>
      </c>
      <c r="C58" s="495">
        <f>IF(D11="","-",+C57+1)</f>
        <v>2054</v>
      </c>
      <c r="D58" s="508">
        <f>IF(F57+SUM(E$17:E57)=D$10,F57,D$10-SUM(E$17:E57))</f>
        <v>0</v>
      </c>
      <c r="E58" s="509">
        <f t="shared" si="15"/>
        <v>0</v>
      </c>
      <c r="F58" s="510">
        <f t="shared" si="16"/>
        <v>0</v>
      </c>
      <c r="G58" s="511">
        <f t="shared" si="17"/>
        <v>0</v>
      </c>
      <c r="H58" s="477">
        <f t="shared" si="18"/>
        <v>0</v>
      </c>
      <c r="I58" s="500">
        <f t="shared" si="6"/>
        <v>0</v>
      </c>
      <c r="J58" s="500"/>
      <c r="K58" s="512"/>
      <c r="L58" s="504">
        <f t="shared" si="19"/>
        <v>0</v>
      </c>
      <c r="M58" s="512"/>
      <c r="N58" s="504">
        <f t="shared" si="4"/>
        <v>0</v>
      </c>
      <c r="O58" s="504">
        <f t="shared" si="5"/>
        <v>0</v>
      </c>
      <c r="P58" s="278"/>
      <c r="R58" s="243"/>
      <c r="S58" s="243"/>
      <c r="T58" s="243"/>
      <c r="U58" s="243"/>
    </row>
    <row r="59" spans="2:21" ht="12.5">
      <c r="B59" s="145" t="str">
        <f t="shared" si="0"/>
        <v/>
      </c>
      <c r="C59" s="495">
        <f>IF(D11="","-",+C58+1)</f>
        <v>2055</v>
      </c>
      <c r="D59" s="508">
        <f>IF(F58+SUM(E$17:E58)=D$10,F58,D$10-SUM(E$17:E58))</f>
        <v>0</v>
      </c>
      <c r="E59" s="509">
        <f t="shared" si="15"/>
        <v>0</v>
      </c>
      <c r="F59" s="510">
        <f t="shared" si="16"/>
        <v>0</v>
      </c>
      <c r="G59" s="511">
        <f t="shared" si="17"/>
        <v>0</v>
      </c>
      <c r="H59" s="477">
        <f t="shared" si="18"/>
        <v>0</v>
      </c>
      <c r="I59" s="500">
        <f t="shared" si="6"/>
        <v>0</v>
      </c>
      <c r="J59" s="500"/>
      <c r="K59" s="512"/>
      <c r="L59" s="504">
        <f t="shared" si="19"/>
        <v>0</v>
      </c>
      <c r="M59" s="512"/>
      <c r="N59" s="504">
        <f t="shared" si="4"/>
        <v>0</v>
      </c>
      <c r="O59" s="504">
        <f t="shared" si="5"/>
        <v>0</v>
      </c>
      <c r="P59" s="278"/>
      <c r="R59" s="243"/>
      <c r="S59" s="243"/>
      <c r="T59" s="243"/>
      <c r="U59" s="243"/>
    </row>
    <row r="60" spans="2:21" ht="12.5">
      <c r="B60" s="145" t="str">
        <f t="shared" si="0"/>
        <v/>
      </c>
      <c r="C60" s="495">
        <f>IF(D11="","-",+C59+1)</f>
        <v>2056</v>
      </c>
      <c r="D60" s="508">
        <f>IF(F59+SUM(E$17:E59)=D$10,F59,D$10-SUM(E$17:E59))</f>
        <v>0</v>
      </c>
      <c r="E60" s="509">
        <f t="shared" si="15"/>
        <v>0</v>
      </c>
      <c r="F60" s="510">
        <f t="shared" si="16"/>
        <v>0</v>
      </c>
      <c r="G60" s="511">
        <f t="shared" si="17"/>
        <v>0</v>
      </c>
      <c r="H60" s="477">
        <f t="shared" si="18"/>
        <v>0</v>
      </c>
      <c r="I60" s="500">
        <f t="shared" si="6"/>
        <v>0</v>
      </c>
      <c r="J60" s="500"/>
      <c r="K60" s="512"/>
      <c r="L60" s="504">
        <f t="shared" si="19"/>
        <v>0</v>
      </c>
      <c r="M60" s="512"/>
      <c r="N60" s="504">
        <f t="shared" si="4"/>
        <v>0</v>
      </c>
      <c r="O60" s="504">
        <f t="shared" si="5"/>
        <v>0</v>
      </c>
      <c r="P60" s="278"/>
      <c r="R60" s="243"/>
      <c r="S60" s="243"/>
      <c r="T60" s="243"/>
      <c r="U60" s="243"/>
    </row>
    <row r="61" spans="2:21" ht="12.5">
      <c r="B61" s="145" t="str">
        <f t="shared" si="0"/>
        <v/>
      </c>
      <c r="C61" s="495">
        <f>IF(D11="","-",+C60+1)</f>
        <v>2057</v>
      </c>
      <c r="D61" s="508">
        <f>IF(F60+SUM(E$17:E60)=D$10,F60,D$10-SUM(E$17:E60))</f>
        <v>0</v>
      </c>
      <c r="E61" s="509">
        <f t="shared" si="15"/>
        <v>0</v>
      </c>
      <c r="F61" s="510">
        <f t="shared" si="16"/>
        <v>0</v>
      </c>
      <c r="G61" s="511">
        <f t="shared" si="17"/>
        <v>0</v>
      </c>
      <c r="H61" s="477">
        <f t="shared" si="18"/>
        <v>0</v>
      </c>
      <c r="I61" s="500">
        <f t="shared" si="6"/>
        <v>0</v>
      </c>
      <c r="J61" s="500"/>
      <c r="K61" s="512"/>
      <c r="L61" s="504">
        <f t="shared" si="19"/>
        <v>0</v>
      </c>
      <c r="M61" s="512"/>
      <c r="N61" s="504">
        <f t="shared" si="4"/>
        <v>0</v>
      </c>
      <c r="O61" s="504">
        <f t="shared" si="5"/>
        <v>0</v>
      </c>
      <c r="P61" s="278"/>
      <c r="R61" s="243"/>
      <c r="S61" s="243"/>
      <c r="T61" s="243"/>
      <c r="U61" s="243"/>
    </row>
    <row r="62" spans="2:21" ht="12.5">
      <c r="B62" s="145" t="str">
        <f t="shared" si="0"/>
        <v/>
      </c>
      <c r="C62" s="495">
        <f>IF(D11="","-",+C61+1)</f>
        <v>2058</v>
      </c>
      <c r="D62" s="508">
        <f>IF(F61+SUM(E$17:E61)=D$10,F61,D$10-SUM(E$17:E61))</f>
        <v>0</v>
      </c>
      <c r="E62" s="509">
        <f t="shared" si="15"/>
        <v>0</v>
      </c>
      <c r="F62" s="510">
        <f t="shared" si="16"/>
        <v>0</v>
      </c>
      <c r="G62" s="511">
        <f t="shared" si="17"/>
        <v>0</v>
      </c>
      <c r="H62" s="477">
        <f t="shared" si="18"/>
        <v>0</v>
      </c>
      <c r="I62" s="500">
        <f t="shared" si="6"/>
        <v>0</v>
      </c>
      <c r="J62" s="500"/>
      <c r="K62" s="512"/>
      <c r="L62" s="504">
        <f t="shared" si="19"/>
        <v>0</v>
      </c>
      <c r="M62" s="512"/>
      <c r="N62" s="504">
        <f t="shared" si="4"/>
        <v>0</v>
      </c>
      <c r="O62" s="504">
        <f t="shared" si="5"/>
        <v>0</v>
      </c>
      <c r="P62" s="278"/>
      <c r="R62" s="243"/>
      <c r="S62" s="243"/>
      <c r="T62" s="243"/>
      <c r="U62" s="243"/>
    </row>
    <row r="63" spans="2:21" ht="12.5">
      <c r="B63" s="145" t="str">
        <f t="shared" si="0"/>
        <v/>
      </c>
      <c r="C63" s="495">
        <f>IF(D11="","-",+C62+1)</f>
        <v>2059</v>
      </c>
      <c r="D63" s="508">
        <f>IF(F62+SUM(E$17:E62)=D$10,F62,D$10-SUM(E$17:E62))</f>
        <v>0</v>
      </c>
      <c r="E63" s="509">
        <f t="shared" si="15"/>
        <v>0</v>
      </c>
      <c r="F63" s="510">
        <f t="shared" si="16"/>
        <v>0</v>
      </c>
      <c r="G63" s="511">
        <f t="shared" si="17"/>
        <v>0</v>
      </c>
      <c r="H63" s="477">
        <f t="shared" si="18"/>
        <v>0</v>
      </c>
      <c r="I63" s="500">
        <f t="shared" si="6"/>
        <v>0</v>
      </c>
      <c r="J63" s="500"/>
      <c r="K63" s="512"/>
      <c r="L63" s="504">
        <f t="shared" si="19"/>
        <v>0</v>
      </c>
      <c r="M63" s="512"/>
      <c r="N63" s="504">
        <f t="shared" si="4"/>
        <v>0</v>
      </c>
      <c r="O63" s="504">
        <f t="shared" si="5"/>
        <v>0</v>
      </c>
      <c r="P63" s="278"/>
      <c r="R63" s="243"/>
      <c r="S63" s="243"/>
      <c r="T63" s="243"/>
      <c r="U63" s="243"/>
    </row>
    <row r="64" spans="2:21" ht="12.5">
      <c r="B64" s="145" t="str">
        <f t="shared" si="0"/>
        <v/>
      </c>
      <c r="C64" s="495">
        <f>IF(D11="","-",+C63+1)</f>
        <v>2060</v>
      </c>
      <c r="D64" s="508">
        <f>IF(F63+SUM(E$17:E63)=D$10,F63,D$10-SUM(E$17:E63))</f>
        <v>0</v>
      </c>
      <c r="E64" s="509">
        <f t="shared" si="15"/>
        <v>0</v>
      </c>
      <c r="F64" s="510">
        <f t="shared" si="16"/>
        <v>0</v>
      </c>
      <c r="G64" s="511">
        <f t="shared" si="17"/>
        <v>0</v>
      </c>
      <c r="H64" s="477">
        <f t="shared" si="18"/>
        <v>0</v>
      </c>
      <c r="I64" s="500">
        <f t="shared" si="6"/>
        <v>0</v>
      </c>
      <c r="J64" s="500"/>
      <c r="K64" s="512"/>
      <c r="L64" s="504">
        <f t="shared" si="19"/>
        <v>0</v>
      </c>
      <c r="M64" s="512"/>
      <c r="N64" s="504">
        <f t="shared" si="4"/>
        <v>0</v>
      </c>
      <c r="O64" s="504">
        <f t="shared" si="5"/>
        <v>0</v>
      </c>
      <c r="P64" s="278"/>
      <c r="R64" s="243"/>
      <c r="S64" s="243"/>
      <c r="T64" s="243"/>
      <c r="U64" s="243"/>
    </row>
    <row r="65" spans="2:21" ht="12.5">
      <c r="B65" s="145" t="str">
        <f t="shared" si="0"/>
        <v/>
      </c>
      <c r="C65" s="495">
        <f>IF(D11="","-",+C64+1)</f>
        <v>2061</v>
      </c>
      <c r="D65" s="508">
        <f>IF(F64+SUM(E$17:E64)=D$10,F64,D$10-SUM(E$17:E64))</f>
        <v>0</v>
      </c>
      <c r="E65" s="509">
        <f t="shared" si="15"/>
        <v>0</v>
      </c>
      <c r="F65" s="510">
        <f t="shared" si="16"/>
        <v>0</v>
      </c>
      <c r="G65" s="511">
        <f t="shared" si="17"/>
        <v>0</v>
      </c>
      <c r="H65" s="477">
        <f t="shared" si="18"/>
        <v>0</v>
      </c>
      <c r="I65" s="500">
        <f t="shared" si="6"/>
        <v>0</v>
      </c>
      <c r="J65" s="500"/>
      <c r="K65" s="512"/>
      <c r="L65" s="504">
        <f t="shared" si="19"/>
        <v>0</v>
      </c>
      <c r="M65" s="512"/>
      <c r="N65" s="504">
        <f t="shared" si="4"/>
        <v>0</v>
      </c>
      <c r="O65" s="504">
        <f t="shared" si="5"/>
        <v>0</v>
      </c>
      <c r="P65" s="278"/>
      <c r="R65" s="243"/>
      <c r="S65" s="243"/>
      <c r="T65" s="243"/>
      <c r="U65" s="243"/>
    </row>
    <row r="66" spans="2:21" ht="12.5">
      <c r="B66" s="145" t="str">
        <f t="shared" si="0"/>
        <v/>
      </c>
      <c r="C66" s="495">
        <f>IF(D11="","-",+C65+1)</f>
        <v>2062</v>
      </c>
      <c r="D66" s="508">
        <f>IF(F65+SUM(E$17:E65)=D$10,F65,D$10-SUM(E$17:E65))</f>
        <v>0</v>
      </c>
      <c r="E66" s="509">
        <f t="shared" si="15"/>
        <v>0</v>
      </c>
      <c r="F66" s="510">
        <f t="shared" si="16"/>
        <v>0</v>
      </c>
      <c r="G66" s="511">
        <f t="shared" si="17"/>
        <v>0</v>
      </c>
      <c r="H66" s="477">
        <f t="shared" si="18"/>
        <v>0</v>
      </c>
      <c r="I66" s="500">
        <f t="shared" si="6"/>
        <v>0</v>
      </c>
      <c r="J66" s="500"/>
      <c r="K66" s="512"/>
      <c r="L66" s="504">
        <f t="shared" si="19"/>
        <v>0</v>
      </c>
      <c r="M66" s="512"/>
      <c r="N66" s="504">
        <f t="shared" si="4"/>
        <v>0</v>
      </c>
      <c r="O66" s="504">
        <f t="shared" si="5"/>
        <v>0</v>
      </c>
      <c r="P66" s="278"/>
      <c r="R66" s="243"/>
      <c r="S66" s="243"/>
      <c r="T66" s="243"/>
      <c r="U66" s="243"/>
    </row>
    <row r="67" spans="2:21" ht="12.5">
      <c r="B67" s="145" t="str">
        <f t="shared" si="0"/>
        <v/>
      </c>
      <c r="C67" s="495">
        <f>IF(D11="","-",+C66+1)</f>
        <v>2063</v>
      </c>
      <c r="D67" s="508">
        <f>IF(F66+SUM(E$17:E66)=D$10,F66,D$10-SUM(E$17:E66))</f>
        <v>0</v>
      </c>
      <c r="E67" s="509">
        <f t="shared" si="15"/>
        <v>0</v>
      </c>
      <c r="F67" s="510">
        <f t="shared" si="16"/>
        <v>0</v>
      </c>
      <c r="G67" s="511">
        <f t="shared" si="17"/>
        <v>0</v>
      </c>
      <c r="H67" s="477">
        <f t="shared" si="18"/>
        <v>0</v>
      </c>
      <c r="I67" s="500">
        <f t="shared" si="6"/>
        <v>0</v>
      </c>
      <c r="J67" s="500"/>
      <c r="K67" s="512"/>
      <c r="L67" s="504">
        <f t="shared" si="19"/>
        <v>0</v>
      </c>
      <c r="M67" s="512"/>
      <c r="N67" s="504">
        <f t="shared" si="4"/>
        <v>0</v>
      </c>
      <c r="O67" s="504">
        <f t="shared" si="5"/>
        <v>0</v>
      </c>
      <c r="P67" s="278"/>
      <c r="R67" s="243"/>
      <c r="S67" s="243"/>
      <c r="T67" s="243"/>
      <c r="U67" s="243"/>
    </row>
    <row r="68" spans="2:21" ht="12.5">
      <c r="B68" s="145" t="str">
        <f t="shared" si="0"/>
        <v/>
      </c>
      <c r="C68" s="495">
        <f>IF(D11="","-",+C67+1)</f>
        <v>2064</v>
      </c>
      <c r="D68" s="508">
        <f>IF(F67+SUM(E$17:E67)=D$10,F67,D$10-SUM(E$17:E67))</f>
        <v>0</v>
      </c>
      <c r="E68" s="509">
        <f t="shared" si="15"/>
        <v>0</v>
      </c>
      <c r="F68" s="510">
        <f t="shared" si="16"/>
        <v>0</v>
      </c>
      <c r="G68" s="511">
        <f t="shared" si="17"/>
        <v>0</v>
      </c>
      <c r="H68" s="477">
        <f t="shared" si="18"/>
        <v>0</v>
      </c>
      <c r="I68" s="500">
        <f t="shared" si="6"/>
        <v>0</v>
      </c>
      <c r="J68" s="500"/>
      <c r="K68" s="512"/>
      <c r="L68" s="504">
        <f t="shared" si="19"/>
        <v>0</v>
      </c>
      <c r="M68" s="512"/>
      <c r="N68" s="504">
        <f t="shared" si="4"/>
        <v>0</v>
      </c>
      <c r="O68" s="504">
        <f t="shared" si="5"/>
        <v>0</v>
      </c>
      <c r="P68" s="278"/>
      <c r="R68" s="243"/>
      <c r="S68" s="243"/>
      <c r="T68" s="243"/>
      <c r="U68" s="243"/>
    </row>
    <row r="69" spans="2:21" ht="12.5">
      <c r="B69" s="145" t="str">
        <f t="shared" si="0"/>
        <v/>
      </c>
      <c r="C69" s="495">
        <f>IF(D11="","-",+C68+1)</f>
        <v>2065</v>
      </c>
      <c r="D69" s="508">
        <f>IF(F68+SUM(E$17:E68)=D$10,F68,D$10-SUM(E$17:E68))</f>
        <v>0</v>
      </c>
      <c r="E69" s="509">
        <f t="shared" si="15"/>
        <v>0</v>
      </c>
      <c r="F69" s="510">
        <f t="shared" si="16"/>
        <v>0</v>
      </c>
      <c r="G69" s="511">
        <f t="shared" si="17"/>
        <v>0</v>
      </c>
      <c r="H69" s="477">
        <f t="shared" si="18"/>
        <v>0</v>
      </c>
      <c r="I69" s="500">
        <f t="shared" si="6"/>
        <v>0</v>
      </c>
      <c r="J69" s="500"/>
      <c r="K69" s="512"/>
      <c r="L69" s="504">
        <f t="shared" si="19"/>
        <v>0</v>
      </c>
      <c r="M69" s="512"/>
      <c r="N69" s="504">
        <f t="shared" si="4"/>
        <v>0</v>
      </c>
      <c r="O69" s="504">
        <f t="shared" si="5"/>
        <v>0</v>
      </c>
      <c r="P69" s="278"/>
      <c r="R69" s="243"/>
      <c r="S69" s="243"/>
      <c r="T69" s="243"/>
      <c r="U69" s="243"/>
    </row>
    <row r="70" spans="2:21" ht="12.5">
      <c r="B70" s="145" t="str">
        <f t="shared" si="0"/>
        <v/>
      </c>
      <c r="C70" s="495">
        <f>IF(D11="","-",+C69+1)</f>
        <v>2066</v>
      </c>
      <c r="D70" s="508">
        <f>IF(F69+SUM(E$17:E69)=D$10,F69,D$10-SUM(E$17:E69))</f>
        <v>0</v>
      </c>
      <c r="E70" s="509">
        <f t="shared" si="15"/>
        <v>0</v>
      </c>
      <c r="F70" s="510">
        <f t="shared" si="16"/>
        <v>0</v>
      </c>
      <c r="G70" s="511">
        <f t="shared" si="17"/>
        <v>0</v>
      </c>
      <c r="H70" s="477">
        <f t="shared" si="18"/>
        <v>0</v>
      </c>
      <c r="I70" s="500">
        <f t="shared" si="6"/>
        <v>0</v>
      </c>
      <c r="J70" s="500"/>
      <c r="K70" s="512"/>
      <c r="L70" s="504">
        <f t="shared" si="19"/>
        <v>0</v>
      </c>
      <c r="M70" s="512"/>
      <c r="N70" s="504">
        <f t="shared" si="4"/>
        <v>0</v>
      </c>
      <c r="O70" s="504">
        <f t="shared" si="5"/>
        <v>0</v>
      </c>
      <c r="P70" s="278"/>
      <c r="R70" s="243"/>
      <c r="S70" s="243"/>
      <c r="T70" s="243"/>
      <c r="U70" s="243"/>
    </row>
    <row r="71" spans="2:21" ht="12.5">
      <c r="B71" s="145" t="str">
        <f t="shared" si="0"/>
        <v/>
      </c>
      <c r="C71" s="495">
        <f>IF(D11="","-",+C70+1)</f>
        <v>2067</v>
      </c>
      <c r="D71" s="508">
        <f>IF(F70+SUM(E$17:E70)=D$10,F70,D$10-SUM(E$17:E70))</f>
        <v>0</v>
      </c>
      <c r="E71" s="509">
        <f t="shared" si="15"/>
        <v>0</v>
      </c>
      <c r="F71" s="510">
        <f t="shared" si="16"/>
        <v>0</v>
      </c>
      <c r="G71" s="511">
        <f t="shared" si="17"/>
        <v>0</v>
      </c>
      <c r="H71" s="477">
        <f t="shared" si="18"/>
        <v>0</v>
      </c>
      <c r="I71" s="500">
        <f t="shared" si="6"/>
        <v>0</v>
      </c>
      <c r="J71" s="500"/>
      <c r="K71" s="512"/>
      <c r="L71" s="504">
        <f t="shared" si="19"/>
        <v>0</v>
      </c>
      <c r="M71" s="512"/>
      <c r="N71" s="504">
        <f t="shared" si="4"/>
        <v>0</v>
      </c>
      <c r="O71" s="504">
        <f t="shared" si="5"/>
        <v>0</v>
      </c>
      <c r="P71" s="278"/>
      <c r="R71" s="243"/>
      <c r="S71" s="243"/>
      <c r="T71" s="243"/>
      <c r="U71" s="243"/>
    </row>
    <row r="72" spans="2:21" ht="12.5">
      <c r="B72" s="145" t="str">
        <f t="shared" si="0"/>
        <v/>
      </c>
      <c r="C72" s="495">
        <f>IF(D11="","-",+C71+1)</f>
        <v>2068</v>
      </c>
      <c r="D72" s="508">
        <f>IF(F71+SUM(E$17:E71)=D$10,F71,D$10-SUM(E$17:E71))</f>
        <v>0</v>
      </c>
      <c r="E72" s="509">
        <f t="shared" si="15"/>
        <v>0</v>
      </c>
      <c r="F72" s="510">
        <f t="shared" si="16"/>
        <v>0</v>
      </c>
      <c r="G72" s="511">
        <f t="shared" si="17"/>
        <v>0</v>
      </c>
      <c r="H72" s="477">
        <f t="shared" si="18"/>
        <v>0</v>
      </c>
      <c r="I72" s="500">
        <f t="shared" si="6"/>
        <v>0</v>
      </c>
      <c r="J72" s="500"/>
      <c r="K72" s="512"/>
      <c r="L72" s="504">
        <f t="shared" si="19"/>
        <v>0</v>
      </c>
      <c r="M72" s="512"/>
      <c r="N72" s="504">
        <f t="shared" si="4"/>
        <v>0</v>
      </c>
      <c r="O72" s="504">
        <f t="shared" si="5"/>
        <v>0</v>
      </c>
      <c r="P72" s="278"/>
      <c r="R72" s="243"/>
      <c r="S72" s="243"/>
      <c r="T72" s="243"/>
      <c r="U72" s="243"/>
    </row>
    <row r="73" spans="2:21" ht="13" thickBot="1">
      <c r="B73" s="145" t="str">
        <f t="shared" si="0"/>
        <v/>
      </c>
      <c r="C73" s="524">
        <f>IF(D11="","-",+C72+1)</f>
        <v>2069</v>
      </c>
      <c r="D73" s="525">
        <f>IF(F72+SUM(E$17:E72)=D$10,F72,D$10-SUM(E$17:E72))</f>
        <v>0</v>
      </c>
      <c r="E73" s="526">
        <f t="shared" si="15"/>
        <v>0</v>
      </c>
      <c r="F73" s="527">
        <f t="shared" si="16"/>
        <v>0</v>
      </c>
      <c r="G73" s="527">
        <f t="shared" si="17"/>
        <v>0</v>
      </c>
      <c r="H73" s="527">
        <f t="shared" si="18"/>
        <v>0</v>
      </c>
      <c r="I73" s="529">
        <f t="shared" si="6"/>
        <v>0</v>
      </c>
      <c r="J73" s="500"/>
      <c r="K73" s="530"/>
      <c r="L73" s="531">
        <f t="shared" si="19"/>
        <v>0</v>
      </c>
      <c r="M73" s="530"/>
      <c r="N73" s="531">
        <f t="shared" si="4"/>
        <v>0</v>
      </c>
      <c r="O73" s="531">
        <f t="shared" si="5"/>
        <v>0</v>
      </c>
      <c r="P73" s="278"/>
      <c r="R73" s="243"/>
      <c r="S73" s="243"/>
      <c r="T73" s="243"/>
      <c r="U73" s="243"/>
    </row>
    <row r="74" spans="2:21" ht="12.5">
      <c r="C74" s="349" t="s">
        <v>75</v>
      </c>
      <c r="D74" s="294"/>
      <c r="E74" s="294">
        <f>SUM(E17:E73)</f>
        <v>13254470.189999999</v>
      </c>
      <c r="F74" s="294"/>
      <c r="G74" s="294">
        <f>SUM(G17:G73)</f>
        <v>38251400.53290084</v>
      </c>
      <c r="H74" s="294">
        <f>SUM(H17:H73)</f>
        <v>38251400.53290084</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12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1609165.6729314029</v>
      </c>
      <c r="N88" s="544">
        <f>IF(J93&lt;D11,0,VLOOKUP(J93,C17:O73,11))</f>
        <v>1609165.6729314029</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1678111.9401217271</v>
      </c>
      <c r="N89" s="548">
        <f>IF(J93&lt;D11,0,VLOOKUP(J93,C100:P155,7))</f>
        <v>1678111.9401217271</v>
      </c>
      <c r="O89" s="549">
        <f>+N89-M89</f>
        <v>0</v>
      </c>
      <c r="P89" s="243"/>
      <c r="Q89" s="243"/>
      <c r="R89" s="243"/>
      <c r="S89" s="243"/>
      <c r="T89" s="243"/>
      <c r="U89" s="243"/>
    </row>
    <row r="90" spans="1:21" ht="13.5" thickBot="1">
      <c r="C90" s="454" t="s">
        <v>82</v>
      </c>
      <c r="D90" s="550" t="str">
        <f>+D7</f>
        <v>Darlington-Red Rock 138 kV line</v>
      </c>
      <c r="E90" s="243"/>
      <c r="F90" s="243"/>
      <c r="G90" s="243"/>
      <c r="H90" s="243"/>
      <c r="I90" s="325"/>
      <c r="J90" s="325"/>
      <c r="K90" s="551"/>
      <c r="L90" s="552" t="s">
        <v>135</v>
      </c>
      <c r="M90" s="553">
        <f>+M89-M88</f>
        <v>68946.267190324143</v>
      </c>
      <c r="N90" s="553">
        <f>+N89-N88</f>
        <v>68946.267190324143</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TP2012112</v>
      </c>
      <c r="E92" s="558"/>
      <c r="F92" s="558"/>
      <c r="G92" s="558"/>
      <c r="H92" s="558"/>
      <c r="I92" s="558"/>
      <c r="J92" s="558"/>
      <c r="K92" s="560"/>
      <c r="P92" s="468"/>
      <c r="Q92" s="243"/>
      <c r="R92" s="243"/>
      <c r="S92" s="243"/>
      <c r="T92" s="243"/>
      <c r="U92" s="243"/>
    </row>
    <row r="93" spans="1:21" ht="13">
      <c r="C93" s="472" t="s">
        <v>49</v>
      </c>
      <c r="D93" s="622">
        <v>13254470</v>
      </c>
      <c r="E93" s="248" t="s">
        <v>84</v>
      </c>
      <c r="H93" s="408"/>
      <c r="I93" s="408"/>
      <c r="J93" s="471">
        <f>+'OKT.WS.G.BPU.ATRR.True-up'!M16</f>
        <v>2019</v>
      </c>
      <c r="K93" s="467"/>
      <c r="L93" s="294" t="s">
        <v>85</v>
      </c>
      <c r="P93" s="278"/>
      <c r="Q93" s="243"/>
      <c r="R93" s="243"/>
      <c r="S93" s="243"/>
      <c r="T93" s="243"/>
      <c r="U93" s="243"/>
    </row>
    <row r="94" spans="1:21" ht="12.5">
      <c r="C94" s="472" t="s">
        <v>52</v>
      </c>
      <c r="D94" s="561">
        <f>D11</f>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D12</f>
        <v>4</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401650.60606060608</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2013</v>
      </c>
      <c r="D100" s="349"/>
      <c r="E100" s="511"/>
      <c r="F100" s="510"/>
      <c r="G100" s="605"/>
      <c r="H100" s="605"/>
      <c r="I100" s="605"/>
      <c r="J100" s="504"/>
      <c r="K100" s="504"/>
      <c r="L100" s="501"/>
      <c r="M100" s="502">
        <f t="shared" ref="M100:M131" si="20">IF(L100&lt;&gt;0,+H100-L100,0)</f>
        <v>0</v>
      </c>
      <c r="N100" s="501"/>
      <c r="O100" s="503">
        <f t="shared" ref="O100:O131" si="21">IF(N100&lt;&gt;0,+I100-N100,0)</f>
        <v>0</v>
      </c>
      <c r="P100" s="503">
        <f t="shared" ref="P100:P131" si="22">+O100-M100</f>
        <v>0</v>
      </c>
      <c r="Q100" s="243"/>
      <c r="R100" s="243"/>
      <c r="S100" s="243"/>
      <c r="T100" s="243"/>
      <c r="U100" s="243"/>
    </row>
    <row r="101" spans="1:21" ht="12.5">
      <c r="C101" s="495">
        <f>IF(D94="","-",+C100+1)</f>
        <v>2014</v>
      </c>
      <c r="D101" s="349"/>
      <c r="E101" s="509"/>
      <c r="F101" s="510"/>
      <c r="G101" s="510"/>
      <c r="H101" s="627"/>
      <c r="I101" s="628"/>
      <c r="J101" s="504"/>
      <c r="K101" s="504"/>
      <c r="L101" s="506"/>
      <c r="M101" s="507">
        <f t="shared" si="20"/>
        <v>0</v>
      </c>
      <c r="N101" s="506"/>
      <c r="O101" s="504">
        <f t="shared" si="21"/>
        <v>0</v>
      </c>
      <c r="P101" s="504">
        <f t="shared" si="22"/>
        <v>0</v>
      </c>
      <c r="Q101" s="243"/>
      <c r="R101" s="243"/>
      <c r="S101" s="243"/>
      <c r="T101" s="243"/>
      <c r="U101" s="243"/>
    </row>
    <row r="102" spans="1:21" ht="12.5">
      <c r="B102" s="145" t="str">
        <f t="shared" ref="B102:B155" si="23">IF(D102=F101,"","IU")</f>
        <v>IU</v>
      </c>
      <c r="C102" s="495">
        <f>IF(D94="","-",+C101+1)</f>
        <v>2015</v>
      </c>
      <c r="D102" s="496">
        <v>12986963.014521964</v>
      </c>
      <c r="E102" s="498">
        <v>276134.79166666669</v>
      </c>
      <c r="F102" s="505">
        <v>12710828.222855298</v>
      </c>
      <c r="G102" s="505">
        <v>12848895.618688632</v>
      </c>
      <c r="H102" s="498">
        <v>1706594.9989443137</v>
      </c>
      <c r="I102" s="499">
        <v>1706594.9989443137</v>
      </c>
      <c r="J102" s="504">
        <v>0</v>
      </c>
      <c r="K102" s="504"/>
      <c r="L102" s="506">
        <f>H102</f>
        <v>1706594.9989443137</v>
      </c>
      <c r="M102" s="504">
        <f>IF(L102&lt;&gt;0,+H102-L102,0)</f>
        <v>0</v>
      </c>
      <c r="N102" s="506">
        <f>I102</f>
        <v>1706594.9989443137</v>
      </c>
      <c r="O102" s="504">
        <f t="shared" si="21"/>
        <v>0</v>
      </c>
      <c r="P102" s="504">
        <f t="shared" si="22"/>
        <v>0</v>
      </c>
      <c r="Q102" s="243"/>
      <c r="R102" s="243"/>
      <c r="S102" s="243"/>
      <c r="T102" s="243"/>
      <c r="U102" s="243"/>
    </row>
    <row r="103" spans="1:21" ht="12.5">
      <c r="B103" s="145" t="str">
        <f t="shared" si="23"/>
        <v>IU</v>
      </c>
      <c r="C103" s="495">
        <f>IF(D94="","-",+C102+1)</f>
        <v>2016</v>
      </c>
      <c r="D103" s="496">
        <v>12978335.208333334</v>
      </c>
      <c r="E103" s="498">
        <v>259891.56862745099</v>
      </c>
      <c r="F103" s="505">
        <v>12718443.639705883</v>
      </c>
      <c r="G103" s="505">
        <v>12848389.424019609</v>
      </c>
      <c r="H103" s="498">
        <v>1652264.5848598198</v>
      </c>
      <c r="I103" s="499">
        <v>1652264.5848598198</v>
      </c>
      <c r="J103" s="504">
        <f>+I103-H103</f>
        <v>0</v>
      </c>
      <c r="K103" s="504"/>
      <c r="L103" s="506">
        <f>H103</f>
        <v>1652264.5848598198</v>
      </c>
      <c r="M103" s="504">
        <f>IF(L103&lt;&gt;0,+H103-L103,0)</f>
        <v>0</v>
      </c>
      <c r="N103" s="506">
        <f>I103</f>
        <v>1652264.5848598198</v>
      </c>
      <c r="O103" s="504">
        <f>IF(N103&lt;&gt;0,+I103-N103,0)</f>
        <v>0</v>
      </c>
      <c r="P103" s="504">
        <f>+O103-M103</f>
        <v>0</v>
      </c>
      <c r="Q103" s="243"/>
      <c r="R103" s="243"/>
      <c r="S103" s="243"/>
      <c r="T103" s="243"/>
      <c r="U103" s="243"/>
    </row>
    <row r="104" spans="1:21" ht="12.5">
      <c r="B104" s="145" t="str">
        <f t="shared" si="23"/>
        <v/>
      </c>
      <c r="C104" s="495">
        <f>IF(D94="","-",+C103+1)</f>
        <v>2017</v>
      </c>
      <c r="D104" s="496">
        <v>12718443.639705883</v>
      </c>
      <c r="E104" s="498">
        <v>331361.75</v>
      </c>
      <c r="F104" s="505">
        <v>12387081.889705883</v>
      </c>
      <c r="G104" s="505">
        <v>12552762.764705883</v>
      </c>
      <c r="H104" s="498">
        <v>1804251.0172391555</v>
      </c>
      <c r="I104" s="499">
        <v>1804251.0172391555</v>
      </c>
      <c r="J104" s="504">
        <v>0</v>
      </c>
      <c r="K104" s="504"/>
      <c r="L104" s="506">
        <f>H104</f>
        <v>1804251.0172391555</v>
      </c>
      <c r="M104" s="504">
        <f>IF(L104&lt;&gt;0,+H104-L104,0)</f>
        <v>0</v>
      </c>
      <c r="N104" s="506">
        <f>I104</f>
        <v>1804251.0172391555</v>
      </c>
      <c r="O104" s="504">
        <f>IF(N104&lt;&gt;0,+I104-N104,0)</f>
        <v>0</v>
      </c>
      <c r="P104" s="504">
        <f>+O104-M104</f>
        <v>0</v>
      </c>
      <c r="Q104" s="243"/>
      <c r="R104" s="243"/>
      <c r="S104" s="243"/>
      <c r="T104" s="243"/>
      <c r="U104" s="243"/>
    </row>
    <row r="105" spans="1:21" ht="12.5">
      <c r="B105" s="145" t="str">
        <f t="shared" si="23"/>
        <v/>
      </c>
      <c r="C105" s="495">
        <f>IF(D94="","-",+C104+1)</f>
        <v>2018</v>
      </c>
      <c r="D105" s="496">
        <v>12387081.889705883</v>
      </c>
      <c r="E105" s="498">
        <v>368179.72222222225</v>
      </c>
      <c r="F105" s="505">
        <v>12018902.167483661</v>
      </c>
      <c r="G105" s="505">
        <v>12202992.028594773</v>
      </c>
      <c r="H105" s="498">
        <v>1656357.447097271</v>
      </c>
      <c r="I105" s="499">
        <v>1656357.447097271</v>
      </c>
      <c r="J105" s="504">
        <f t="shared" ref="J105:J155" si="24">+I105-H105</f>
        <v>0</v>
      </c>
      <c r="K105" s="504"/>
      <c r="L105" s="506">
        <f>H105</f>
        <v>1656357.447097271</v>
      </c>
      <c r="M105" s="504">
        <f>IF(L105&lt;&gt;0,+H105-L105,0)</f>
        <v>0</v>
      </c>
      <c r="N105" s="506">
        <f>I105</f>
        <v>1656357.447097271</v>
      </c>
      <c r="O105" s="504">
        <f>IF(N105&lt;&gt;0,+I105-N105,0)</f>
        <v>0</v>
      </c>
      <c r="P105" s="504">
        <f>+O105-M105</f>
        <v>0</v>
      </c>
      <c r="Q105" s="243"/>
      <c r="R105" s="243"/>
      <c r="S105" s="243"/>
      <c r="T105" s="243"/>
      <c r="U105" s="243"/>
    </row>
    <row r="106" spans="1:21" ht="12.5">
      <c r="B106" s="145" t="str">
        <f t="shared" si="23"/>
        <v/>
      </c>
      <c r="C106" s="495">
        <f>IF(D94="","-",+C105+1)</f>
        <v>2019</v>
      </c>
      <c r="D106" s="349">
        <f>IF(F105+SUM(E$100:E105)=D$93,F105,D$93-SUM(E$100:E105))</f>
        <v>12018902.167483661</v>
      </c>
      <c r="E106" s="629">
        <f t="shared" ref="E106:E155" si="25">IF(+$J$97&lt;F105,$J$97,D106)</f>
        <v>401650.60606060608</v>
      </c>
      <c r="F106" s="510">
        <f t="shared" ref="F106:F155" si="26">+D106-E106</f>
        <v>11617251.561423056</v>
      </c>
      <c r="G106" s="510">
        <f t="shared" ref="G106:G155" si="27">+(F106+D106)/2</f>
        <v>11818076.864453359</v>
      </c>
      <c r="H106" s="630">
        <f t="shared" ref="H106:H155" si="28">+J$95*G106+E106</f>
        <v>1678111.9401217271</v>
      </c>
      <c r="I106" s="631">
        <f t="shared" ref="I106:I155" si="29">+J$96*G106+E106</f>
        <v>1678111.9401217271</v>
      </c>
      <c r="J106" s="504">
        <f t="shared" si="24"/>
        <v>0</v>
      </c>
      <c r="K106" s="504"/>
      <c r="L106" s="512"/>
      <c r="M106" s="504">
        <f t="shared" si="20"/>
        <v>0</v>
      </c>
      <c r="N106" s="512"/>
      <c r="O106" s="504">
        <f t="shared" si="21"/>
        <v>0</v>
      </c>
      <c r="P106" s="504">
        <f t="shared" si="22"/>
        <v>0</v>
      </c>
      <c r="Q106" s="243"/>
      <c r="R106" s="243"/>
      <c r="S106" s="243"/>
      <c r="T106" s="243"/>
      <c r="U106" s="243"/>
    </row>
    <row r="107" spans="1:21" ht="12.5">
      <c r="B107" s="145" t="str">
        <f t="shared" si="23"/>
        <v/>
      </c>
      <c r="C107" s="495">
        <f>IF(D94="","-",+C106+1)</f>
        <v>2020</v>
      </c>
      <c r="D107" s="349">
        <f>IF(F106+SUM(E$100:E106)=D$93,F106,D$93-SUM(E$100:E106))</f>
        <v>11617251.561423056</v>
      </c>
      <c r="E107" s="629">
        <f t="shared" si="25"/>
        <v>401650.60606060608</v>
      </c>
      <c r="F107" s="510">
        <f t="shared" si="26"/>
        <v>11215600.95536245</v>
      </c>
      <c r="G107" s="510">
        <f t="shared" si="27"/>
        <v>11416426.258392753</v>
      </c>
      <c r="H107" s="630">
        <f t="shared" si="28"/>
        <v>1634729.9690684956</v>
      </c>
      <c r="I107" s="631">
        <f t="shared" si="29"/>
        <v>1634729.9690684956</v>
      </c>
      <c r="J107" s="504">
        <f t="shared" si="24"/>
        <v>0</v>
      </c>
      <c r="K107" s="504"/>
      <c r="L107" s="512"/>
      <c r="M107" s="504">
        <f t="shared" si="20"/>
        <v>0</v>
      </c>
      <c r="N107" s="512"/>
      <c r="O107" s="504">
        <f t="shared" si="21"/>
        <v>0</v>
      </c>
      <c r="P107" s="504">
        <f t="shared" si="22"/>
        <v>0</v>
      </c>
      <c r="Q107" s="243"/>
      <c r="R107" s="243"/>
      <c r="S107" s="243"/>
      <c r="T107" s="243"/>
      <c r="U107" s="243"/>
    </row>
    <row r="108" spans="1:21" ht="12.5">
      <c r="B108" s="145" t="str">
        <f t="shared" si="23"/>
        <v/>
      </c>
      <c r="C108" s="495">
        <f>IF(D94="","-",+C107+1)</f>
        <v>2021</v>
      </c>
      <c r="D108" s="349">
        <f>IF(F107+SUM(E$100:E107)=D$93,F107,D$93-SUM(E$100:E107))</f>
        <v>11215600.95536245</v>
      </c>
      <c r="E108" s="629">
        <f t="shared" si="25"/>
        <v>401650.60606060608</v>
      </c>
      <c r="F108" s="510">
        <f t="shared" si="26"/>
        <v>10813950.349301845</v>
      </c>
      <c r="G108" s="510">
        <f t="shared" si="27"/>
        <v>11014775.652332148</v>
      </c>
      <c r="H108" s="630">
        <f t="shared" si="28"/>
        <v>1591347.998015264</v>
      </c>
      <c r="I108" s="631">
        <f t="shared" si="29"/>
        <v>1591347.998015264</v>
      </c>
      <c r="J108" s="504">
        <f t="shared" si="24"/>
        <v>0</v>
      </c>
      <c r="K108" s="504"/>
      <c r="L108" s="512"/>
      <c r="M108" s="504">
        <f t="shared" si="20"/>
        <v>0</v>
      </c>
      <c r="N108" s="512"/>
      <c r="O108" s="504">
        <f t="shared" si="21"/>
        <v>0</v>
      </c>
      <c r="P108" s="504">
        <f t="shared" si="22"/>
        <v>0</v>
      </c>
      <c r="Q108" s="243"/>
      <c r="R108" s="243"/>
      <c r="S108" s="243"/>
      <c r="T108" s="243"/>
      <c r="U108" s="243"/>
    </row>
    <row r="109" spans="1:21" ht="12.5">
      <c r="B109" s="145" t="str">
        <f t="shared" si="23"/>
        <v/>
      </c>
      <c r="C109" s="495">
        <f>IF(D94="","-",+C108+1)</f>
        <v>2022</v>
      </c>
      <c r="D109" s="349">
        <f>IF(F108+SUM(E$100:E108)=D$93,F108,D$93-SUM(E$100:E108))</f>
        <v>10813950.349301845</v>
      </c>
      <c r="E109" s="629">
        <f t="shared" si="25"/>
        <v>401650.60606060608</v>
      </c>
      <c r="F109" s="510">
        <f t="shared" si="26"/>
        <v>10412299.743241239</v>
      </c>
      <c r="G109" s="510">
        <f t="shared" si="27"/>
        <v>10613125.046271542</v>
      </c>
      <c r="H109" s="630">
        <f t="shared" si="28"/>
        <v>1547966.026962033</v>
      </c>
      <c r="I109" s="631">
        <f t="shared" si="29"/>
        <v>1547966.026962033</v>
      </c>
      <c r="J109" s="504">
        <f t="shared" si="24"/>
        <v>0</v>
      </c>
      <c r="K109" s="504"/>
      <c r="L109" s="512"/>
      <c r="M109" s="504">
        <f t="shared" si="20"/>
        <v>0</v>
      </c>
      <c r="N109" s="512"/>
      <c r="O109" s="504">
        <f t="shared" si="21"/>
        <v>0</v>
      </c>
      <c r="P109" s="504">
        <f t="shared" si="22"/>
        <v>0</v>
      </c>
      <c r="Q109" s="243"/>
      <c r="R109" s="243"/>
      <c r="S109" s="243"/>
      <c r="T109" s="243"/>
      <c r="U109" s="243"/>
    </row>
    <row r="110" spans="1:21" ht="12.5">
      <c r="B110" s="145" t="str">
        <f t="shared" si="23"/>
        <v/>
      </c>
      <c r="C110" s="495">
        <f>IF(D94="","-",+C109+1)</f>
        <v>2023</v>
      </c>
      <c r="D110" s="349">
        <f>IF(F109+SUM(E$100:E109)=D$93,F109,D$93-SUM(E$100:E109))</f>
        <v>10412299.743241239</v>
      </c>
      <c r="E110" s="629">
        <f t="shared" si="25"/>
        <v>401650.60606060608</v>
      </c>
      <c r="F110" s="510">
        <f t="shared" si="26"/>
        <v>10010649.137180634</v>
      </c>
      <c r="G110" s="510">
        <f t="shared" si="27"/>
        <v>10211474.440210937</v>
      </c>
      <c r="H110" s="630">
        <f t="shared" si="28"/>
        <v>1504584.0559088015</v>
      </c>
      <c r="I110" s="631">
        <f t="shared" si="29"/>
        <v>1504584.0559088015</v>
      </c>
      <c r="J110" s="504">
        <f t="shared" si="24"/>
        <v>0</v>
      </c>
      <c r="K110" s="504"/>
      <c r="L110" s="512"/>
      <c r="M110" s="504">
        <f t="shared" si="20"/>
        <v>0</v>
      </c>
      <c r="N110" s="512"/>
      <c r="O110" s="504">
        <f t="shared" si="21"/>
        <v>0</v>
      </c>
      <c r="P110" s="504">
        <f t="shared" si="22"/>
        <v>0</v>
      </c>
      <c r="Q110" s="243"/>
      <c r="R110" s="243"/>
      <c r="S110" s="243"/>
      <c r="T110" s="243"/>
      <c r="U110" s="243"/>
    </row>
    <row r="111" spans="1:21" ht="12.5">
      <c r="B111" s="145" t="str">
        <f t="shared" si="23"/>
        <v/>
      </c>
      <c r="C111" s="495">
        <f>IF(D94="","-",+C110+1)</f>
        <v>2024</v>
      </c>
      <c r="D111" s="349">
        <f>IF(F110+SUM(E$100:E110)=D$93,F110,D$93-SUM(E$100:E110))</f>
        <v>10010649.137180634</v>
      </c>
      <c r="E111" s="629">
        <f t="shared" si="25"/>
        <v>401650.60606060608</v>
      </c>
      <c r="F111" s="510">
        <f t="shared" si="26"/>
        <v>9608998.5311200283</v>
      </c>
      <c r="G111" s="510">
        <f t="shared" si="27"/>
        <v>9809823.8341503311</v>
      </c>
      <c r="H111" s="630">
        <f t="shared" si="28"/>
        <v>1461202.0848555705</v>
      </c>
      <c r="I111" s="631">
        <f t="shared" si="29"/>
        <v>1461202.0848555705</v>
      </c>
      <c r="J111" s="504">
        <f t="shared" si="24"/>
        <v>0</v>
      </c>
      <c r="K111" s="504"/>
      <c r="L111" s="512"/>
      <c r="M111" s="504">
        <f t="shared" si="20"/>
        <v>0</v>
      </c>
      <c r="N111" s="512"/>
      <c r="O111" s="504">
        <f t="shared" si="21"/>
        <v>0</v>
      </c>
      <c r="P111" s="504">
        <f t="shared" si="22"/>
        <v>0</v>
      </c>
      <c r="Q111" s="243"/>
      <c r="R111" s="243"/>
      <c r="S111" s="243"/>
      <c r="T111" s="243"/>
      <c r="U111" s="243"/>
    </row>
    <row r="112" spans="1:21" ht="12.5">
      <c r="B112" s="145" t="str">
        <f t="shared" si="23"/>
        <v/>
      </c>
      <c r="C112" s="495">
        <f>IF(D94="","-",+C111+1)</f>
        <v>2025</v>
      </c>
      <c r="D112" s="349">
        <f>IF(F111+SUM(E$100:E111)=D$93,F111,D$93-SUM(E$100:E111))</f>
        <v>9608998.5311200283</v>
      </c>
      <c r="E112" s="629">
        <f t="shared" si="25"/>
        <v>401650.60606060608</v>
      </c>
      <c r="F112" s="510">
        <f t="shared" si="26"/>
        <v>9207347.9250594229</v>
      </c>
      <c r="G112" s="510">
        <f t="shared" si="27"/>
        <v>9408173.2280897256</v>
      </c>
      <c r="H112" s="630">
        <f t="shared" si="28"/>
        <v>1417820.113802339</v>
      </c>
      <c r="I112" s="631">
        <f t="shared" si="29"/>
        <v>1417820.113802339</v>
      </c>
      <c r="J112" s="504">
        <f t="shared" si="24"/>
        <v>0</v>
      </c>
      <c r="K112" s="504"/>
      <c r="L112" s="512"/>
      <c r="M112" s="504">
        <f t="shared" si="20"/>
        <v>0</v>
      </c>
      <c r="N112" s="512"/>
      <c r="O112" s="504">
        <f t="shared" si="21"/>
        <v>0</v>
      </c>
      <c r="P112" s="504">
        <f t="shared" si="22"/>
        <v>0</v>
      </c>
      <c r="Q112" s="243"/>
      <c r="R112" s="243"/>
      <c r="S112" s="243"/>
      <c r="T112" s="243"/>
      <c r="U112" s="243"/>
    </row>
    <row r="113" spans="2:21" ht="12.5">
      <c r="B113" s="145" t="str">
        <f t="shared" si="23"/>
        <v/>
      </c>
      <c r="C113" s="495">
        <f>IF(D94="","-",+C112+1)</f>
        <v>2026</v>
      </c>
      <c r="D113" s="349">
        <f>IF(F112+SUM(E$100:E112)=D$93,F112,D$93-SUM(E$100:E112))</f>
        <v>9207347.9250594229</v>
      </c>
      <c r="E113" s="629">
        <f t="shared" si="25"/>
        <v>401650.60606060608</v>
      </c>
      <c r="F113" s="510">
        <f t="shared" si="26"/>
        <v>8805697.3189988174</v>
      </c>
      <c r="G113" s="510">
        <f t="shared" si="27"/>
        <v>9006522.6220291201</v>
      </c>
      <c r="H113" s="630">
        <f t="shared" si="28"/>
        <v>1374438.1427491077</v>
      </c>
      <c r="I113" s="631">
        <f t="shared" si="29"/>
        <v>1374438.1427491077</v>
      </c>
      <c r="J113" s="504">
        <f t="shared" si="24"/>
        <v>0</v>
      </c>
      <c r="K113" s="504"/>
      <c r="L113" s="512"/>
      <c r="M113" s="504">
        <f t="shared" si="20"/>
        <v>0</v>
      </c>
      <c r="N113" s="512"/>
      <c r="O113" s="504">
        <f t="shared" si="21"/>
        <v>0</v>
      </c>
      <c r="P113" s="504">
        <f t="shared" si="22"/>
        <v>0</v>
      </c>
      <c r="Q113" s="243"/>
      <c r="R113" s="243"/>
      <c r="S113" s="243"/>
      <c r="T113" s="243"/>
      <c r="U113" s="243"/>
    </row>
    <row r="114" spans="2:21" ht="12.5">
      <c r="B114" s="145" t="str">
        <f t="shared" si="23"/>
        <v/>
      </c>
      <c r="C114" s="495">
        <f>IF(D94="","-",+C113+1)</f>
        <v>2027</v>
      </c>
      <c r="D114" s="349">
        <f>IF(F113+SUM(E$100:E113)=D$93,F113,D$93-SUM(E$100:E113))</f>
        <v>8805697.3189988174</v>
      </c>
      <c r="E114" s="629">
        <f t="shared" si="25"/>
        <v>401650.60606060608</v>
      </c>
      <c r="F114" s="510">
        <f t="shared" si="26"/>
        <v>8404046.7129382119</v>
      </c>
      <c r="G114" s="510">
        <f t="shared" si="27"/>
        <v>8604872.0159685146</v>
      </c>
      <c r="H114" s="630">
        <f t="shared" si="28"/>
        <v>1331056.1716958764</v>
      </c>
      <c r="I114" s="631">
        <f t="shared" si="29"/>
        <v>1331056.1716958764</v>
      </c>
      <c r="J114" s="504">
        <f t="shared" si="24"/>
        <v>0</v>
      </c>
      <c r="K114" s="504"/>
      <c r="L114" s="512"/>
      <c r="M114" s="504">
        <f t="shared" si="20"/>
        <v>0</v>
      </c>
      <c r="N114" s="512"/>
      <c r="O114" s="504">
        <f t="shared" si="21"/>
        <v>0</v>
      </c>
      <c r="P114" s="504">
        <f t="shared" si="22"/>
        <v>0</v>
      </c>
      <c r="Q114" s="243"/>
      <c r="R114" s="243"/>
      <c r="S114" s="243"/>
      <c r="T114" s="243"/>
      <c r="U114" s="243"/>
    </row>
    <row r="115" spans="2:21" ht="12.5">
      <c r="B115" s="145" t="str">
        <f t="shared" si="23"/>
        <v/>
      </c>
      <c r="C115" s="495">
        <f>IF(D94="","-",+C114+1)</f>
        <v>2028</v>
      </c>
      <c r="D115" s="349">
        <f>IF(F114+SUM(E$100:E114)=D$93,F114,D$93-SUM(E$100:E114))</f>
        <v>8404046.7129382119</v>
      </c>
      <c r="E115" s="629">
        <f t="shared" si="25"/>
        <v>401650.60606060608</v>
      </c>
      <c r="F115" s="510">
        <f t="shared" si="26"/>
        <v>8002396.1068776054</v>
      </c>
      <c r="G115" s="510">
        <f t="shared" si="27"/>
        <v>8203221.4099079091</v>
      </c>
      <c r="H115" s="630">
        <f t="shared" si="28"/>
        <v>1287674.2006426451</v>
      </c>
      <c r="I115" s="631">
        <f t="shared" si="29"/>
        <v>1287674.2006426451</v>
      </c>
      <c r="J115" s="504">
        <f t="shared" si="24"/>
        <v>0</v>
      </c>
      <c r="K115" s="504"/>
      <c r="L115" s="512"/>
      <c r="M115" s="504">
        <f t="shared" si="20"/>
        <v>0</v>
      </c>
      <c r="N115" s="512"/>
      <c r="O115" s="504">
        <f t="shared" si="21"/>
        <v>0</v>
      </c>
      <c r="P115" s="504">
        <f t="shared" si="22"/>
        <v>0</v>
      </c>
      <c r="Q115" s="243"/>
      <c r="R115" s="243"/>
      <c r="S115" s="243"/>
      <c r="T115" s="243"/>
      <c r="U115" s="243"/>
    </row>
    <row r="116" spans="2:21" ht="12.5">
      <c r="B116" s="145" t="str">
        <f t="shared" si="23"/>
        <v/>
      </c>
      <c r="C116" s="495">
        <f>IF(D94="","-",+C115+1)</f>
        <v>2029</v>
      </c>
      <c r="D116" s="349">
        <f>IF(F115+SUM(E$100:E115)=D$93,F115,D$93-SUM(E$100:E115))</f>
        <v>8002396.1068776054</v>
      </c>
      <c r="E116" s="629">
        <f t="shared" si="25"/>
        <v>401650.60606060608</v>
      </c>
      <c r="F116" s="510">
        <f t="shared" si="26"/>
        <v>7600745.500816999</v>
      </c>
      <c r="G116" s="510">
        <f t="shared" si="27"/>
        <v>7801570.8038473018</v>
      </c>
      <c r="H116" s="630">
        <f t="shared" si="28"/>
        <v>1244292.2295894136</v>
      </c>
      <c r="I116" s="631">
        <f t="shared" si="29"/>
        <v>1244292.2295894136</v>
      </c>
      <c r="J116" s="504">
        <f t="shared" si="24"/>
        <v>0</v>
      </c>
      <c r="K116" s="504"/>
      <c r="L116" s="512"/>
      <c r="M116" s="504">
        <f t="shared" si="20"/>
        <v>0</v>
      </c>
      <c r="N116" s="512"/>
      <c r="O116" s="504">
        <f t="shared" si="21"/>
        <v>0</v>
      </c>
      <c r="P116" s="504">
        <f t="shared" si="22"/>
        <v>0</v>
      </c>
      <c r="Q116" s="243"/>
      <c r="R116" s="243"/>
      <c r="S116" s="243"/>
      <c r="T116" s="243"/>
      <c r="U116" s="243"/>
    </row>
    <row r="117" spans="2:21" ht="12.5">
      <c r="B117" s="145" t="str">
        <f t="shared" si="23"/>
        <v/>
      </c>
      <c r="C117" s="495">
        <f>IF(D94="","-",+C116+1)</f>
        <v>2030</v>
      </c>
      <c r="D117" s="349">
        <f>IF(F116+SUM(E$100:E116)=D$93,F116,D$93-SUM(E$100:E116))</f>
        <v>7600745.500816999</v>
      </c>
      <c r="E117" s="629">
        <f t="shared" si="25"/>
        <v>401650.60606060608</v>
      </c>
      <c r="F117" s="510">
        <f t="shared" si="26"/>
        <v>7199094.8947563926</v>
      </c>
      <c r="G117" s="510">
        <f t="shared" si="27"/>
        <v>7399920.1977866963</v>
      </c>
      <c r="H117" s="630">
        <f t="shared" si="28"/>
        <v>1200910.2585361823</v>
      </c>
      <c r="I117" s="631">
        <f t="shared" si="29"/>
        <v>1200910.2585361823</v>
      </c>
      <c r="J117" s="504">
        <f t="shared" si="24"/>
        <v>0</v>
      </c>
      <c r="K117" s="504"/>
      <c r="L117" s="512"/>
      <c r="M117" s="504">
        <f t="shared" si="20"/>
        <v>0</v>
      </c>
      <c r="N117" s="512"/>
      <c r="O117" s="504">
        <f t="shared" si="21"/>
        <v>0</v>
      </c>
      <c r="P117" s="504">
        <f t="shared" si="22"/>
        <v>0</v>
      </c>
      <c r="Q117" s="243"/>
      <c r="R117" s="243"/>
      <c r="S117" s="243"/>
      <c r="T117" s="243"/>
      <c r="U117" s="243"/>
    </row>
    <row r="118" spans="2:21" ht="12.5">
      <c r="B118" s="145" t="str">
        <f t="shared" si="23"/>
        <v/>
      </c>
      <c r="C118" s="495">
        <f>IF(D94="","-",+C117+1)</f>
        <v>2031</v>
      </c>
      <c r="D118" s="349">
        <f>IF(F117+SUM(E$100:E117)=D$93,F117,D$93-SUM(E$100:E117))</f>
        <v>7199094.8947563926</v>
      </c>
      <c r="E118" s="629">
        <f t="shared" si="25"/>
        <v>401650.60606060608</v>
      </c>
      <c r="F118" s="510">
        <f t="shared" si="26"/>
        <v>6797444.2886957861</v>
      </c>
      <c r="G118" s="510">
        <f t="shared" si="27"/>
        <v>6998269.5917260889</v>
      </c>
      <c r="H118" s="630">
        <f t="shared" si="28"/>
        <v>1157528.2874829508</v>
      </c>
      <c r="I118" s="631">
        <f t="shared" si="29"/>
        <v>1157528.2874829508</v>
      </c>
      <c r="J118" s="504">
        <f t="shared" si="24"/>
        <v>0</v>
      </c>
      <c r="K118" s="504"/>
      <c r="L118" s="512"/>
      <c r="M118" s="504">
        <f t="shared" si="20"/>
        <v>0</v>
      </c>
      <c r="N118" s="512"/>
      <c r="O118" s="504">
        <f t="shared" si="21"/>
        <v>0</v>
      </c>
      <c r="P118" s="504">
        <f t="shared" si="22"/>
        <v>0</v>
      </c>
      <c r="Q118" s="243"/>
      <c r="R118" s="243"/>
      <c r="S118" s="243"/>
      <c r="T118" s="243"/>
      <c r="U118" s="243"/>
    </row>
    <row r="119" spans="2:21" ht="12.5">
      <c r="B119" s="145" t="str">
        <f t="shared" si="23"/>
        <v/>
      </c>
      <c r="C119" s="495">
        <f>IF(D94="","-",+C118+1)</f>
        <v>2032</v>
      </c>
      <c r="D119" s="349">
        <f>IF(F118+SUM(E$100:E118)=D$93,F118,D$93-SUM(E$100:E118))</f>
        <v>6797444.2886957861</v>
      </c>
      <c r="E119" s="629">
        <f t="shared" si="25"/>
        <v>401650.60606060608</v>
      </c>
      <c r="F119" s="510">
        <f t="shared" si="26"/>
        <v>6395793.6826351797</v>
      </c>
      <c r="G119" s="510">
        <f t="shared" si="27"/>
        <v>6596618.9856654834</v>
      </c>
      <c r="H119" s="630">
        <f t="shared" si="28"/>
        <v>1114146.3164297193</v>
      </c>
      <c r="I119" s="631">
        <f t="shared" si="29"/>
        <v>1114146.3164297193</v>
      </c>
      <c r="J119" s="504">
        <f t="shared" si="24"/>
        <v>0</v>
      </c>
      <c r="K119" s="504"/>
      <c r="L119" s="512"/>
      <c r="M119" s="504">
        <f t="shared" si="20"/>
        <v>0</v>
      </c>
      <c r="N119" s="512"/>
      <c r="O119" s="504">
        <f t="shared" si="21"/>
        <v>0</v>
      </c>
      <c r="P119" s="504">
        <f t="shared" si="22"/>
        <v>0</v>
      </c>
      <c r="Q119" s="243"/>
      <c r="R119" s="243"/>
      <c r="S119" s="243"/>
      <c r="T119" s="243"/>
      <c r="U119" s="243"/>
    </row>
    <row r="120" spans="2:21" ht="12.5">
      <c r="B120" s="145" t="str">
        <f t="shared" si="23"/>
        <v/>
      </c>
      <c r="C120" s="495">
        <f>IF(D94="","-",+C119+1)</f>
        <v>2033</v>
      </c>
      <c r="D120" s="349">
        <f>IF(F119+SUM(E$100:E119)=D$93,F119,D$93-SUM(E$100:E119))</f>
        <v>6395793.6826351797</v>
      </c>
      <c r="E120" s="629">
        <f t="shared" si="25"/>
        <v>401650.60606060608</v>
      </c>
      <c r="F120" s="510">
        <f t="shared" si="26"/>
        <v>5994143.0765745733</v>
      </c>
      <c r="G120" s="510">
        <f t="shared" si="27"/>
        <v>6194968.379604876</v>
      </c>
      <c r="H120" s="630">
        <f t="shared" si="28"/>
        <v>1070764.3453764878</v>
      </c>
      <c r="I120" s="631">
        <f t="shared" si="29"/>
        <v>1070764.3453764878</v>
      </c>
      <c r="J120" s="504">
        <f t="shared" si="24"/>
        <v>0</v>
      </c>
      <c r="K120" s="504"/>
      <c r="L120" s="512"/>
      <c r="M120" s="504">
        <f t="shared" si="20"/>
        <v>0</v>
      </c>
      <c r="N120" s="512"/>
      <c r="O120" s="504">
        <f t="shared" si="21"/>
        <v>0</v>
      </c>
      <c r="P120" s="504">
        <f t="shared" si="22"/>
        <v>0</v>
      </c>
      <c r="Q120" s="243"/>
      <c r="R120" s="243"/>
      <c r="S120" s="243"/>
      <c r="T120" s="243"/>
      <c r="U120" s="243"/>
    </row>
    <row r="121" spans="2:21" ht="12.5">
      <c r="B121" s="145" t="str">
        <f t="shared" si="23"/>
        <v/>
      </c>
      <c r="C121" s="495">
        <f>IF(D94="","-",+C120+1)</f>
        <v>2034</v>
      </c>
      <c r="D121" s="349">
        <f>IF(F120+SUM(E$100:E120)=D$93,F120,D$93-SUM(E$100:E120))</f>
        <v>5994143.0765745733</v>
      </c>
      <c r="E121" s="629">
        <f t="shared" si="25"/>
        <v>401650.60606060608</v>
      </c>
      <c r="F121" s="510">
        <f t="shared" si="26"/>
        <v>5592492.4705139669</v>
      </c>
      <c r="G121" s="510">
        <f t="shared" si="27"/>
        <v>5793317.7735442705</v>
      </c>
      <c r="H121" s="630">
        <f t="shared" si="28"/>
        <v>1027382.3743232567</v>
      </c>
      <c r="I121" s="631">
        <f t="shared" si="29"/>
        <v>1027382.3743232567</v>
      </c>
      <c r="J121" s="504">
        <f t="shared" si="24"/>
        <v>0</v>
      </c>
      <c r="K121" s="504"/>
      <c r="L121" s="512"/>
      <c r="M121" s="504">
        <f t="shared" si="20"/>
        <v>0</v>
      </c>
      <c r="N121" s="512"/>
      <c r="O121" s="504">
        <f t="shared" si="21"/>
        <v>0</v>
      </c>
      <c r="P121" s="504">
        <f t="shared" si="22"/>
        <v>0</v>
      </c>
      <c r="Q121" s="243"/>
      <c r="R121" s="243"/>
      <c r="S121" s="243"/>
      <c r="T121" s="243"/>
      <c r="U121" s="243"/>
    </row>
    <row r="122" spans="2:21" ht="12.5">
      <c r="B122" s="145" t="str">
        <f t="shared" si="23"/>
        <v/>
      </c>
      <c r="C122" s="495">
        <f>IF(D94="","-",+C121+1)</f>
        <v>2035</v>
      </c>
      <c r="D122" s="349">
        <f>IF(F121+SUM(E$100:E121)=D$93,F121,D$93-SUM(E$100:E121))</f>
        <v>5592492.4705139669</v>
      </c>
      <c r="E122" s="629">
        <f t="shared" si="25"/>
        <v>401650.60606060608</v>
      </c>
      <c r="F122" s="510">
        <f t="shared" si="26"/>
        <v>5190841.8644533604</v>
      </c>
      <c r="G122" s="510">
        <f t="shared" si="27"/>
        <v>5391667.1674836632</v>
      </c>
      <c r="H122" s="630">
        <f t="shared" si="28"/>
        <v>984000.40327002516</v>
      </c>
      <c r="I122" s="631">
        <f t="shared" si="29"/>
        <v>984000.40327002516</v>
      </c>
      <c r="J122" s="504">
        <f t="shared" si="24"/>
        <v>0</v>
      </c>
      <c r="K122" s="504"/>
      <c r="L122" s="512"/>
      <c r="M122" s="504">
        <f t="shared" si="20"/>
        <v>0</v>
      </c>
      <c r="N122" s="512"/>
      <c r="O122" s="504">
        <f t="shared" si="21"/>
        <v>0</v>
      </c>
      <c r="P122" s="504">
        <f t="shared" si="22"/>
        <v>0</v>
      </c>
      <c r="Q122" s="243"/>
      <c r="R122" s="243"/>
      <c r="S122" s="243"/>
      <c r="T122" s="243"/>
      <c r="U122" s="243"/>
    </row>
    <row r="123" spans="2:21" ht="12.5">
      <c r="B123" s="145" t="str">
        <f t="shared" si="23"/>
        <v/>
      </c>
      <c r="C123" s="495">
        <f>IF(D94="","-",+C122+1)</f>
        <v>2036</v>
      </c>
      <c r="D123" s="349">
        <f>IF(F122+SUM(E$100:E122)=D$93,F122,D$93-SUM(E$100:E122))</f>
        <v>5190841.8644533604</v>
      </c>
      <c r="E123" s="629">
        <f t="shared" si="25"/>
        <v>401650.60606060608</v>
      </c>
      <c r="F123" s="510">
        <f t="shared" si="26"/>
        <v>4789191.258392754</v>
      </c>
      <c r="G123" s="510">
        <f t="shared" si="27"/>
        <v>4990016.5614230577</v>
      </c>
      <c r="H123" s="630">
        <f t="shared" si="28"/>
        <v>940618.43221679388</v>
      </c>
      <c r="I123" s="631">
        <f t="shared" si="29"/>
        <v>940618.43221679388</v>
      </c>
      <c r="J123" s="504">
        <f t="shared" si="24"/>
        <v>0</v>
      </c>
      <c r="K123" s="504"/>
      <c r="L123" s="512"/>
      <c r="M123" s="504">
        <f t="shared" si="20"/>
        <v>0</v>
      </c>
      <c r="N123" s="512"/>
      <c r="O123" s="504">
        <f t="shared" si="21"/>
        <v>0</v>
      </c>
      <c r="P123" s="504">
        <f t="shared" si="22"/>
        <v>0</v>
      </c>
      <c r="Q123" s="243"/>
      <c r="R123" s="243"/>
      <c r="S123" s="243"/>
      <c r="T123" s="243"/>
      <c r="U123" s="243"/>
    </row>
    <row r="124" spans="2:21" ht="12.5">
      <c r="B124" s="145" t="str">
        <f t="shared" si="23"/>
        <v/>
      </c>
      <c r="C124" s="495">
        <f>IF(D94="","-",+C123+1)</f>
        <v>2037</v>
      </c>
      <c r="D124" s="349">
        <f>IF(F123+SUM(E$100:E123)=D$93,F123,D$93-SUM(E$100:E123))</f>
        <v>4789191.258392754</v>
      </c>
      <c r="E124" s="629">
        <f t="shared" si="25"/>
        <v>401650.60606060608</v>
      </c>
      <c r="F124" s="510">
        <f t="shared" si="26"/>
        <v>4387540.6523321476</v>
      </c>
      <c r="G124" s="510">
        <f t="shared" si="27"/>
        <v>4588365.9553624503</v>
      </c>
      <c r="H124" s="630">
        <f t="shared" si="28"/>
        <v>897236.46116356237</v>
      </c>
      <c r="I124" s="631">
        <f t="shared" si="29"/>
        <v>897236.46116356237</v>
      </c>
      <c r="J124" s="504">
        <f t="shared" si="24"/>
        <v>0</v>
      </c>
      <c r="K124" s="504"/>
      <c r="L124" s="512"/>
      <c r="M124" s="504">
        <f t="shared" si="20"/>
        <v>0</v>
      </c>
      <c r="N124" s="512"/>
      <c r="O124" s="504">
        <f t="shared" si="21"/>
        <v>0</v>
      </c>
      <c r="P124" s="504">
        <f t="shared" si="22"/>
        <v>0</v>
      </c>
      <c r="Q124" s="243"/>
      <c r="R124" s="243"/>
      <c r="S124" s="243"/>
      <c r="T124" s="243"/>
      <c r="U124" s="243"/>
    </row>
    <row r="125" spans="2:21" ht="12.5">
      <c r="B125" s="145" t="str">
        <f t="shared" si="23"/>
        <v/>
      </c>
      <c r="C125" s="495">
        <f>IF(D94="","-",+C124+1)</f>
        <v>2038</v>
      </c>
      <c r="D125" s="349">
        <f>IF(F124+SUM(E$100:E124)=D$93,F124,D$93-SUM(E$100:E124))</f>
        <v>4387540.6523321476</v>
      </c>
      <c r="E125" s="629">
        <f t="shared" si="25"/>
        <v>401650.60606060608</v>
      </c>
      <c r="F125" s="510">
        <f t="shared" si="26"/>
        <v>3985890.0462715416</v>
      </c>
      <c r="G125" s="510">
        <f t="shared" si="27"/>
        <v>4186715.3493018448</v>
      </c>
      <c r="H125" s="630">
        <f t="shared" si="28"/>
        <v>853854.4901103311</v>
      </c>
      <c r="I125" s="631">
        <f t="shared" si="29"/>
        <v>853854.4901103311</v>
      </c>
      <c r="J125" s="504">
        <f t="shared" si="24"/>
        <v>0</v>
      </c>
      <c r="K125" s="504"/>
      <c r="L125" s="512"/>
      <c r="M125" s="504">
        <f t="shared" si="20"/>
        <v>0</v>
      </c>
      <c r="N125" s="512"/>
      <c r="O125" s="504">
        <f t="shared" si="21"/>
        <v>0</v>
      </c>
      <c r="P125" s="504">
        <f t="shared" si="22"/>
        <v>0</v>
      </c>
      <c r="Q125" s="243"/>
      <c r="R125" s="243"/>
      <c r="S125" s="243"/>
      <c r="T125" s="243"/>
      <c r="U125" s="243"/>
    </row>
    <row r="126" spans="2:21" ht="12.5">
      <c r="B126" s="145" t="str">
        <f t="shared" si="23"/>
        <v/>
      </c>
      <c r="C126" s="495">
        <f>IF(D94="","-",+C125+1)</f>
        <v>2039</v>
      </c>
      <c r="D126" s="349">
        <f>IF(F125+SUM(E$100:E125)=D$93,F125,D$93-SUM(E$100:E125))</f>
        <v>3985890.0462715416</v>
      </c>
      <c r="E126" s="629">
        <f t="shared" si="25"/>
        <v>401650.60606060608</v>
      </c>
      <c r="F126" s="510">
        <f t="shared" si="26"/>
        <v>3584239.4402109357</v>
      </c>
      <c r="G126" s="510">
        <f t="shared" si="27"/>
        <v>3785064.7432412384</v>
      </c>
      <c r="H126" s="630">
        <f t="shared" si="28"/>
        <v>810472.51905709971</v>
      </c>
      <c r="I126" s="631">
        <f t="shared" si="29"/>
        <v>810472.51905709971</v>
      </c>
      <c r="J126" s="504">
        <f t="shared" si="24"/>
        <v>0</v>
      </c>
      <c r="K126" s="504"/>
      <c r="L126" s="512"/>
      <c r="M126" s="504">
        <f t="shared" si="20"/>
        <v>0</v>
      </c>
      <c r="N126" s="512"/>
      <c r="O126" s="504">
        <f t="shared" si="21"/>
        <v>0</v>
      </c>
      <c r="P126" s="504">
        <f t="shared" si="22"/>
        <v>0</v>
      </c>
      <c r="Q126" s="243"/>
      <c r="R126" s="243"/>
      <c r="S126" s="243"/>
      <c r="T126" s="243"/>
      <c r="U126" s="243"/>
    </row>
    <row r="127" spans="2:21" ht="12.5">
      <c r="B127" s="145" t="str">
        <f t="shared" si="23"/>
        <v/>
      </c>
      <c r="C127" s="495">
        <f>IF(D94="","-",+C126+1)</f>
        <v>2040</v>
      </c>
      <c r="D127" s="349">
        <f>IF(F126+SUM(E$100:E126)=D$93,F126,D$93-SUM(E$100:E126))</f>
        <v>3584239.4402109357</v>
      </c>
      <c r="E127" s="629">
        <f t="shared" si="25"/>
        <v>401650.60606060608</v>
      </c>
      <c r="F127" s="510">
        <f t="shared" si="26"/>
        <v>3182588.8341503297</v>
      </c>
      <c r="G127" s="510">
        <f t="shared" si="27"/>
        <v>3383414.1371806329</v>
      </c>
      <c r="H127" s="630">
        <f t="shared" si="28"/>
        <v>767090.54800386843</v>
      </c>
      <c r="I127" s="631">
        <f t="shared" si="29"/>
        <v>767090.54800386843</v>
      </c>
      <c r="J127" s="504">
        <f t="shared" si="24"/>
        <v>0</v>
      </c>
      <c r="K127" s="504"/>
      <c r="L127" s="512"/>
      <c r="M127" s="504">
        <f t="shared" si="20"/>
        <v>0</v>
      </c>
      <c r="N127" s="512"/>
      <c r="O127" s="504">
        <f t="shared" si="21"/>
        <v>0</v>
      </c>
      <c r="P127" s="504">
        <f t="shared" si="22"/>
        <v>0</v>
      </c>
      <c r="Q127" s="243"/>
      <c r="R127" s="243"/>
      <c r="S127" s="243"/>
      <c r="T127" s="243"/>
      <c r="U127" s="243"/>
    </row>
    <row r="128" spans="2:21" ht="12.5">
      <c r="B128" s="145" t="str">
        <f t="shared" si="23"/>
        <v/>
      </c>
      <c r="C128" s="495">
        <f>IF(D94="","-",+C127+1)</f>
        <v>2041</v>
      </c>
      <c r="D128" s="349">
        <f>IF(F127+SUM(E$100:E127)=D$93,F127,D$93-SUM(E$100:E127))</f>
        <v>3182588.8341503297</v>
      </c>
      <c r="E128" s="629">
        <f t="shared" si="25"/>
        <v>401650.60606060608</v>
      </c>
      <c r="F128" s="510">
        <f t="shared" si="26"/>
        <v>2780938.2280897237</v>
      </c>
      <c r="G128" s="510">
        <f t="shared" si="27"/>
        <v>2981763.5311200265</v>
      </c>
      <c r="H128" s="630">
        <f t="shared" si="28"/>
        <v>723708.57695063693</v>
      </c>
      <c r="I128" s="631">
        <f t="shared" si="29"/>
        <v>723708.57695063693</v>
      </c>
      <c r="J128" s="504">
        <f t="shared" si="24"/>
        <v>0</v>
      </c>
      <c r="K128" s="504"/>
      <c r="L128" s="512"/>
      <c r="M128" s="504">
        <f t="shared" si="20"/>
        <v>0</v>
      </c>
      <c r="N128" s="512"/>
      <c r="O128" s="504">
        <f t="shared" si="21"/>
        <v>0</v>
      </c>
      <c r="P128" s="504">
        <f t="shared" si="22"/>
        <v>0</v>
      </c>
      <c r="Q128" s="243"/>
      <c r="R128" s="243"/>
      <c r="S128" s="243"/>
      <c r="T128" s="243"/>
      <c r="U128" s="243"/>
    </row>
    <row r="129" spans="2:21" ht="12.5">
      <c r="B129" s="145" t="str">
        <f t="shared" si="23"/>
        <v/>
      </c>
      <c r="C129" s="495">
        <f>IF(D94="","-",+C128+1)</f>
        <v>2042</v>
      </c>
      <c r="D129" s="349">
        <f>IF(F128+SUM(E$100:E128)=D$93,F128,D$93-SUM(E$100:E128))</f>
        <v>2780938.2280897237</v>
      </c>
      <c r="E129" s="629">
        <f t="shared" si="25"/>
        <v>401650.60606060608</v>
      </c>
      <c r="F129" s="510">
        <f t="shared" si="26"/>
        <v>2379287.6220291178</v>
      </c>
      <c r="G129" s="510">
        <f t="shared" si="27"/>
        <v>2580112.925059421</v>
      </c>
      <c r="H129" s="630">
        <f t="shared" si="28"/>
        <v>680326.60589740565</v>
      </c>
      <c r="I129" s="631">
        <f t="shared" si="29"/>
        <v>680326.60589740565</v>
      </c>
      <c r="J129" s="504">
        <f t="shared" si="24"/>
        <v>0</v>
      </c>
      <c r="K129" s="504"/>
      <c r="L129" s="512"/>
      <c r="M129" s="504">
        <f t="shared" si="20"/>
        <v>0</v>
      </c>
      <c r="N129" s="512"/>
      <c r="O129" s="504">
        <f t="shared" si="21"/>
        <v>0</v>
      </c>
      <c r="P129" s="504">
        <f t="shared" si="22"/>
        <v>0</v>
      </c>
      <c r="Q129" s="243"/>
      <c r="R129" s="243"/>
      <c r="S129" s="243"/>
      <c r="T129" s="243"/>
      <c r="U129" s="243"/>
    </row>
    <row r="130" spans="2:21" ht="12.5">
      <c r="B130" s="145" t="str">
        <f t="shared" si="23"/>
        <v/>
      </c>
      <c r="C130" s="495">
        <f>IF(D94="","-",+C129+1)</f>
        <v>2043</v>
      </c>
      <c r="D130" s="349">
        <f>IF(F129+SUM(E$100:E129)=D$93,F129,D$93-SUM(E$100:E129))</f>
        <v>2379287.6220291178</v>
      </c>
      <c r="E130" s="629">
        <f t="shared" si="25"/>
        <v>401650.60606060608</v>
      </c>
      <c r="F130" s="510">
        <f t="shared" si="26"/>
        <v>1977637.0159685118</v>
      </c>
      <c r="G130" s="510">
        <f t="shared" si="27"/>
        <v>2178462.3189988146</v>
      </c>
      <c r="H130" s="630">
        <f t="shared" si="28"/>
        <v>636944.63484417426</v>
      </c>
      <c r="I130" s="631">
        <f t="shared" si="29"/>
        <v>636944.63484417426</v>
      </c>
      <c r="J130" s="504">
        <f t="shared" si="24"/>
        <v>0</v>
      </c>
      <c r="K130" s="504"/>
      <c r="L130" s="512"/>
      <c r="M130" s="504">
        <f t="shared" si="20"/>
        <v>0</v>
      </c>
      <c r="N130" s="512"/>
      <c r="O130" s="504">
        <f t="shared" si="21"/>
        <v>0</v>
      </c>
      <c r="P130" s="504">
        <f t="shared" si="22"/>
        <v>0</v>
      </c>
      <c r="Q130" s="243"/>
      <c r="R130" s="243"/>
      <c r="S130" s="243"/>
      <c r="T130" s="243"/>
      <c r="U130" s="243"/>
    </row>
    <row r="131" spans="2:21" ht="12.5">
      <c r="B131" s="145" t="str">
        <f t="shared" si="23"/>
        <v/>
      </c>
      <c r="C131" s="495">
        <f>IF(D94="","-",+C130+1)</f>
        <v>2044</v>
      </c>
      <c r="D131" s="349">
        <f>IF(F130+SUM(E$100:E130)=D$93,F130,D$93-SUM(E$100:E130))</f>
        <v>1977637.0159685118</v>
      </c>
      <c r="E131" s="629">
        <f t="shared" si="25"/>
        <v>401650.60606060608</v>
      </c>
      <c r="F131" s="510">
        <f t="shared" si="26"/>
        <v>1575986.4099079059</v>
      </c>
      <c r="G131" s="510">
        <f t="shared" si="27"/>
        <v>1776811.7129382088</v>
      </c>
      <c r="H131" s="630">
        <f t="shared" si="28"/>
        <v>593562.66379094287</v>
      </c>
      <c r="I131" s="631">
        <f t="shared" si="29"/>
        <v>593562.66379094287</v>
      </c>
      <c r="J131" s="504">
        <f t="shared" si="24"/>
        <v>0</v>
      </c>
      <c r="K131" s="504"/>
      <c r="L131" s="512"/>
      <c r="M131" s="504">
        <f t="shared" si="20"/>
        <v>0</v>
      </c>
      <c r="N131" s="512"/>
      <c r="O131" s="504">
        <f t="shared" si="21"/>
        <v>0</v>
      </c>
      <c r="P131" s="504">
        <f t="shared" si="22"/>
        <v>0</v>
      </c>
      <c r="Q131" s="243"/>
      <c r="R131" s="243"/>
      <c r="S131" s="243"/>
      <c r="T131" s="243"/>
      <c r="U131" s="243"/>
    </row>
    <row r="132" spans="2:21" ht="12.5">
      <c r="B132" s="145" t="str">
        <f t="shared" si="23"/>
        <v/>
      </c>
      <c r="C132" s="495">
        <f>IF(D94="","-",+C131+1)</f>
        <v>2045</v>
      </c>
      <c r="D132" s="349">
        <f>IF(F131+SUM(E$100:E131)=D$93,F131,D$93-SUM(E$100:E131))</f>
        <v>1575986.4099079059</v>
      </c>
      <c r="E132" s="629">
        <f t="shared" si="25"/>
        <v>401650.60606060608</v>
      </c>
      <c r="F132" s="510">
        <f t="shared" si="26"/>
        <v>1174335.8038472999</v>
      </c>
      <c r="G132" s="510">
        <f t="shared" si="27"/>
        <v>1375161.1068776029</v>
      </c>
      <c r="H132" s="630">
        <f t="shared" si="28"/>
        <v>550180.69273771159</v>
      </c>
      <c r="I132" s="631">
        <f t="shared" si="29"/>
        <v>550180.69273771159</v>
      </c>
      <c r="J132" s="504">
        <f t="shared" si="24"/>
        <v>0</v>
      </c>
      <c r="K132" s="504"/>
      <c r="L132" s="512"/>
      <c r="M132" s="504">
        <f t="shared" ref="M132:M155" si="30">IF(L542&lt;&gt;0,+H542-L542,0)</f>
        <v>0</v>
      </c>
      <c r="N132" s="512"/>
      <c r="O132" s="504">
        <f t="shared" ref="O132:O155" si="31">IF(N542&lt;&gt;0,+I542-N542,0)</f>
        <v>0</v>
      </c>
      <c r="P132" s="504">
        <f t="shared" ref="P132:P155" si="32">+O542-M542</f>
        <v>0</v>
      </c>
      <c r="Q132" s="243"/>
      <c r="R132" s="243"/>
      <c r="S132" s="243"/>
      <c r="T132" s="243"/>
      <c r="U132" s="243"/>
    </row>
    <row r="133" spans="2:21" ht="12.5">
      <c r="B133" s="145" t="str">
        <f t="shared" si="23"/>
        <v/>
      </c>
      <c r="C133" s="495">
        <f>IF(D94="","-",+C132+1)</f>
        <v>2046</v>
      </c>
      <c r="D133" s="349">
        <f>IF(F132+SUM(E$100:E132)=D$93,F132,D$93-SUM(E$100:E132))</f>
        <v>1174335.8038472999</v>
      </c>
      <c r="E133" s="629">
        <f t="shared" si="25"/>
        <v>401650.60606060608</v>
      </c>
      <c r="F133" s="510">
        <f t="shared" si="26"/>
        <v>772685.19778669381</v>
      </c>
      <c r="G133" s="510">
        <f t="shared" si="27"/>
        <v>973510.50081699691</v>
      </c>
      <c r="H133" s="630">
        <f t="shared" si="28"/>
        <v>506798.7216844802</v>
      </c>
      <c r="I133" s="631">
        <f t="shared" si="29"/>
        <v>506798.7216844802</v>
      </c>
      <c r="J133" s="504">
        <f t="shared" si="24"/>
        <v>0</v>
      </c>
      <c r="K133" s="504"/>
      <c r="L133" s="512"/>
      <c r="M133" s="504">
        <f t="shared" si="30"/>
        <v>0</v>
      </c>
      <c r="N133" s="512"/>
      <c r="O133" s="504">
        <f t="shared" si="31"/>
        <v>0</v>
      </c>
      <c r="P133" s="504">
        <f t="shared" si="32"/>
        <v>0</v>
      </c>
      <c r="Q133" s="243"/>
      <c r="R133" s="243"/>
      <c r="S133" s="243"/>
      <c r="T133" s="243"/>
      <c r="U133" s="243"/>
    </row>
    <row r="134" spans="2:21" ht="12.5">
      <c r="B134" s="145" t="str">
        <f t="shared" si="23"/>
        <v/>
      </c>
      <c r="C134" s="495">
        <f>IF(D94="","-",+C133+1)</f>
        <v>2047</v>
      </c>
      <c r="D134" s="349">
        <f>IF(F133+SUM(E$100:E133)=D$93,F133,D$93-SUM(E$100:E133))</f>
        <v>772685.19778669381</v>
      </c>
      <c r="E134" s="629">
        <f t="shared" si="25"/>
        <v>401650.60606060608</v>
      </c>
      <c r="F134" s="510">
        <f t="shared" si="26"/>
        <v>371034.59172608773</v>
      </c>
      <c r="G134" s="510">
        <f t="shared" si="27"/>
        <v>571859.89475639071</v>
      </c>
      <c r="H134" s="630">
        <f t="shared" si="28"/>
        <v>463416.75063124881</v>
      </c>
      <c r="I134" s="631">
        <f t="shared" si="29"/>
        <v>463416.75063124881</v>
      </c>
      <c r="J134" s="504">
        <f t="shared" si="24"/>
        <v>0</v>
      </c>
      <c r="K134" s="504"/>
      <c r="L134" s="512"/>
      <c r="M134" s="504">
        <f t="shared" si="30"/>
        <v>0</v>
      </c>
      <c r="N134" s="512"/>
      <c r="O134" s="504">
        <f t="shared" si="31"/>
        <v>0</v>
      </c>
      <c r="P134" s="504">
        <f t="shared" si="32"/>
        <v>0</v>
      </c>
      <c r="Q134" s="243"/>
      <c r="R134" s="243"/>
      <c r="S134" s="243"/>
      <c r="T134" s="243"/>
      <c r="U134" s="243"/>
    </row>
    <row r="135" spans="2:21" ht="12.5">
      <c r="B135" s="145" t="str">
        <f t="shared" si="23"/>
        <v/>
      </c>
      <c r="C135" s="495">
        <f>IF(D94="","-",+C134+1)</f>
        <v>2048</v>
      </c>
      <c r="D135" s="349">
        <f>IF(F134+SUM(E$100:E134)=D$93,F134,D$93-SUM(E$100:E134))</f>
        <v>371034.59172608773</v>
      </c>
      <c r="E135" s="629">
        <f t="shared" si="25"/>
        <v>371034.59172608773</v>
      </c>
      <c r="F135" s="510">
        <f t="shared" si="26"/>
        <v>0</v>
      </c>
      <c r="G135" s="510">
        <f t="shared" si="27"/>
        <v>185517.29586304387</v>
      </c>
      <c r="H135" s="630">
        <f t="shared" si="28"/>
        <v>391072.17124810128</v>
      </c>
      <c r="I135" s="631">
        <f t="shared" si="29"/>
        <v>391072.17124810128</v>
      </c>
      <c r="J135" s="504">
        <f t="shared" si="24"/>
        <v>0</v>
      </c>
      <c r="K135" s="504"/>
      <c r="L135" s="512"/>
      <c r="M135" s="504">
        <f t="shared" si="30"/>
        <v>0</v>
      </c>
      <c r="N135" s="512"/>
      <c r="O135" s="504">
        <f t="shared" si="31"/>
        <v>0</v>
      </c>
      <c r="P135" s="504">
        <f t="shared" si="32"/>
        <v>0</v>
      </c>
      <c r="Q135" s="243"/>
      <c r="R135" s="243"/>
      <c r="S135" s="243"/>
      <c r="T135" s="243"/>
      <c r="U135" s="243"/>
    </row>
    <row r="136" spans="2:21" ht="12.5">
      <c r="B136" s="145" t="str">
        <f t="shared" si="23"/>
        <v/>
      </c>
      <c r="C136" s="495">
        <f>IF(D94="","-",+C135+1)</f>
        <v>2049</v>
      </c>
      <c r="D136" s="349">
        <f>IF(F135+SUM(E$100:E135)=D$93,F135,D$93-SUM(E$100:E135))</f>
        <v>0</v>
      </c>
      <c r="E136" s="629">
        <f t="shared" si="25"/>
        <v>0</v>
      </c>
      <c r="F136" s="510">
        <f t="shared" si="26"/>
        <v>0</v>
      </c>
      <c r="G136" s="510">
        <f t="shared" si="27"/>
        <v>0</v>
      </c>
      <c r="H136" s="630">
        <f t="shared" si="28"/>
        <v>0</v>
      </c>
      <c r="I136" s="631">
        <f t="shared" si="29"/>
        <v>0</v>
      </c>
      <c r="J136" s="504">
        <f t="shared" si="24"/>
        <v>0</v>
      </c>
      <c r="K136" s="504"/>
      <c r="L136" s="512"/>
      <c r="M136" s="504">
        <f t="shared" si="30"/>
        <v>0</v>
      </c>
      <c r="N136" s="512"/>
      <c r="O136" s="504">
        <f t="shared" si="31"/>
        <v>0</v>
      </c>
      <c r="P136" s="504">
        <f t="shared" si="32"/>
        <v>0</v>
      </c>
      <c r="Q136" s="243"/>
      <c r="R136" s="243"/>
      <c r="S136" s="243"/>
      <c r="T136" s="243"/>
      <c r="U136" s="243"/>
    </row>
    <row r="137" spans="2:21" ht="12.5">
      <c r="B137" s="145" t="str">
        <f t="shared" si="23"/>
        <v/>
      </c>
      <c r="C137" s="495">
        <f>IF(D94="","-",+C136+1)</f>
        <v>2050</v>
      </c>
      <c r="D137" s="349">
        <f>IF(F136+SUM(E$100:E136)=D$93,F136,D$93-SUM(E$100:E136))</f>
        <v>0</v>
      </c>
      <c r="E137" s="629">
        <f t="shared" si="25"/>
        <v>0</v>
      </c>
      <c r="F137" s="510">
        <f t="shared" si="26"/>
        <v>0</v>
      </c>
      <c r="G137" s="510">
        <f t="shared" si="27"/>
        <v>0</v>
      </c>
      <c r="H137" s="630">
        <f t="shared" si="28"/>
        <v>0</v>
      </c>
      <c r="I137" s="631">
        <f t="shared" si="29"/>
        <v>0</v>
      </c>
      <c r="J137" s="504">
        <f t="shared" si="24"/>
        <v>0</v>
      </c>
      <c r="K137" s="504"/>
      <c r="L137" s="512"/>
      <c r="M137" s="504">
        <f t="shared" si="30"/>
        <v>0</v>
      </c>
      <c r="N137" s="512"/>
      <c r="O137" s="504">
        <f t="shared" si="31"/>
        <v>0</v>
      </c>
      <c r="P137" s="504">
        <f t="shared" si="32"/>
        <v>0</v>
      </c>
      <c r="Q137" s="243"/>
      <c r="R137" s="243"/>
      <c r="S137" s="243"/>
      <c r="T137" s="243"/>
      <c r="U137" s="243"/>
    </row>
    <row r="138" spans="2:21" ht="12.5">
      <c r="B138" s="145" t="str">
        <f t="shared" si="23"/>
        <v/>
      </c>
      <c r="C138" s="495">
        <f>IF(D94="","-",+C137+1)</f>
        <v>2051</v>
      </c>
      <c r="D138" s="349">
        <f>IF(F137+SUM(E$100:E137)=D$93,F137,D$93-SUM(E$100:E137))</f>
        <v>0</v>
      </c>
      <c r="E138" s="629">
        <f t="shared" si="25"/>
        <v>0</v>
      </c>
      <c r="F138" s="510">
        <f t="shared" si="26"/>
        <v>0</v>
      </c>
      <c r="G138" s="510">
        <f t="shared" si="27"/>
        <v>0</v>
      </c>
      <c r="H138" s="630">
        <f t="shared" si="28"/>
        <v>0</v>
      </c>
      <c r="I138" s="631">
        <f t="shared" si="29"/>
        <v>0</v>
      </c>
      <c r="J138" s="504">
        <f t="shared" si="24"/>
        <v>0</v>
      </c>
      <c r="K138" s="504"/>
      <c r="L138" s="512"/>
      <c r="M138" s="504">
        <f t="shared" si="30"/>
        <v>0</v>
      </c>
      <c r="N138" s="512"/>
      <c r="O138" s="504">
        <f t="shared" si="31"/>
        <v>0</v>
      </c>
      <c r="P138" s="504">
        <f t="shared" si="32"/>
        <v>0</v>
      </c>
      <c r="Q138" s="243"/>
      <c r="R138" s="243"/>
      <c r="S138" s="243"/>
      <c r="T138" s="243"/>
      <c r="U138" s="243"/>
    </row>
    <row r="139" spans="2:21" ht="12.5">
      <c r="B139" s="145" t="str">
        <f t="shared" si="23"/>
        <v/>
      </c>
      <c r="C139" s="495">
        <f>IF(D94="","-",+C138+1)</f>
        <v>2052</v>
      </c>
      <c r="D139" s="349">
        <f>IF(F138+SUM(E$100:E138)=D$93,F138,D$93-SUM(E$100:E138))</f>
        <v>0</v>
      </c>
      <c r="E139" s="629">
        <f t="shared" si="25"/>
        <v>0</v>
      </c>
      <c r="F139" s="510">
        <f t="shared" si="26"/>
        <v>0</v>
      </c>
      <c r="G139" s="510">
        <f t="shared" si="27"/>
        <v>0</v>
      </c>
      <c r="H139" s="630">
        <f t="shared" si="28"/>
        <v>0</v>
      </c>
      <c r="I139" s="631">
        <f t="shared" si="29"/>
        <v>0</v>
      </c>
      <c r="J139" s="504">
        <f t="shared" si="24"/>
        <v>0</v>
      </c>
      <c r="K139" s="504"/>
      <c r="L139" s="512"/>
      <c r="M139" s="504">
        <f t="shared" si="30"/>
        <v>0</v>
      </c>
      <c r="N139" s="512"/>
      <c r="O139" s="504">
        <f t="shared" si="31"/>
        <v>0</v>
      </c>
      <c r="P139" s="504">
        <f t="shared" si="32"/>
        <v>0</v>
      </c>
      <c r="Q139" s="243"/>
      <c r="R139" s="243"/>
      <c r="S139" s="243"/>
      <c r="T139" s="243"/>
      <c r="U139" s="243"/>
    </row>
    <row r="140" spans="2:21" ht="12.5">
      <c r="B140" s="145" t="str">
        <f t="shared" si="23"/>
        <v/>
      </c>
      <c r="C140" s="495">
        <f>IF(D94="","-",+C139+1)</f>
        <v>2053</v>
      </c>
      <c r="D140" s="349">
        <f>IF(F139+SUM(E$100:E139)=D$93,F139,D$93-SUM(E$100:E139))</f>
        <v>0</v>
      </c>
      <c r="E140" s="629">
        <f t="shared" si="25"/>
        <v>0</v>
      </c>
      <c r="F140" s="510">
        <f t="shared" si="26"/>
        <v>0</v>
      </c>
      <c r="G140" s="510">
        <f t="shared" si="27"/>
        <v>0</v>
      </c>
      <c r="H140" s="630">
        <f t="shared" si="28"/>
        <v>0</v>
      </c>
      <c r="I140" s="631">
        <f t="shared" si="29"/>
        <v>0</v>
      </c>
      <c r="J140" s="504">
        <f t="shared" si="24"/>
        <v>0</v>
      </c>
      <c r="K140" s="504"/>
      <c r="L140" s="512"/>
      <c r="M140" s="504">
        <f t="shared" si="30"/>
        <v>0</v>
      </c>
      <c r="N140" s="512"/>
      <c r="O140" s="504">
        <f t="shared" si="31"/>
        <v>0</v>
      </c>
      <c r="P140" s="504">
        <f t="shared" si="32"/>
        <v>0</v>
      </c>
      <c r="Q140" s="243"/>
      <c r="R140" s="243"/>
      <c r="S140" s="243"/>
      <c r="T140" s="243"/>
      <c r="U140" s="243"/>
    </row>
    <row r="141" spans="2:21" ht="12.5">
      <c r="B141" s="145" t="str">
        <f t="shared" si="23"/>
        <v/>
      </c>
      <c r="C141" s="495">
        <f>IF(D94="","-",+C140+1)</f>
        <v>2054</v>
      </c>
      <c r="D141" s="349">
        <f>IF(F140+SUM(E$100:E140)=D$93,F140,D$93-SUM(E$100:E140))</f>
        <v>0</v>
      </c>
      <c r="E141" s="629">
        <f t="shared" si="25"/>
        <v>0</v>
      </c>
      <c r="F141" s="510">
        <f t="shared" si="26"/>
        <v>0</v>
      </c>
      <c r="G141" s="510">
        <f t="shared" si="27"/>
        <v>0</v>
      </c>
      <c r="H141" s="630">
        <f t="shared" si="28"/>
        <v>0</v>
      </c>
      <c r="I141" s="631">
        <f t="shared" si="29"/>
        <v>0</v>
      </c>
      <c r="J141" s="504">
        <f t="shared" si="24"/>
        <v>0</v>
      </c>
      <c r="K141" s="504"/>
      <c r="L141" s="512"/>
      <c r="M141" s="504">
        <f t="shared" si="30"/>
        <v>0</v>
      </c>
      <c r="N141" s="512"/>
      <c r="O141" s="504">
        <f t="shared" si="31"/>
        <v>0</v>
      </c>
      <c r="P141" s="504">
        <f t="shared" si="32"/>
        <v>0</v>
      </c>
      <c r="Q141" s="243"/>
      <c r="R141" s="243"/>
      <c r="S141" s="243"/>
      <c r="T141" s="243"/>
      <c r="U141" s="243"/>
    </row>
    <row r="142" spans="2:21" ht="12.5">
      <c r="B142" s="145" t="str">
        <f t="shared" si="23"/>
        <v/>
      </c>
      <c r="C142" s="495">
        <f>IF(D94="","-",+C141+1)</f>
        <v>2055</v>
      </c>
      <c r="D142" s="349">
        <f>IF(F141+SUM(E$100:E141)=D$93,F141,D$93-SUM(E$100:E141))</f>
        <v>0</v>
      </c>
      <c r="E142" s="629">
        <f t="shared" si="25"/>
        <v>0</v>
      </c>
      <c r="F142" s="510">
        <f t="shared" si="26"/>
        <v>0</v>
      </c>
      <c r="G142" s="510">
        <f t="shared" si="27"/>
        <v>0</v>
      </c>
      <c r="H142" s="630">
        <f t="shared" si="28"/>
        <v>0</v>
      </c>
      <c r="I142" s="631">
        <f t="shared" si="29"/>
        <v>0</v>
      </c>
      <c r="J142" s="504">
        <f t="shared" si="24"/>
        <v>0</v>
      </c>
      <c r="K142" s="504"/>
      <c r="L142" s="512"/>
      <c r="M142" s="504">
        <f t="shared" si="30"/>
        <v>0</v>
      </c>
      <c r="N142" s="512"/>
      <c r="O142" s="504">
        <f t="shared" si="31"/>
        <v>0</v>
      </c>
      <c r="P142" s="504">
        <f t="shared" si="32"/>
        <v>0</v>
      </c>
      <c r="Q142" s="243"/>
      <c r="R142" s="243"/>
      <c r="S142" s="243"/>
      <c r="T142" s="243"/>
      <c r="U142" s="243"/>
    </row>
    <row r="143" spans="2:21" ht="12.5">
      <c r="B143" s="145" t="str">
        <f t="shared" si="23"/>
        <v/>
      </c>
      <c r="C143" s="495">
        <f>IF(D94="","-",+C142+1)</f>
        <v>2056</v>
      </c>
      <c r="D143" s="349">
        <f>IF(F142+SUM(E$100:E142)=D$93,F142,D$93-SUM(E$100:E142))</f>
        <v>0</v>
      </c>
      <c r="E143" s="629">
        <f t="shared" si="25"/>
        <v>0</v>
      </c>
      <c r="F143" s="510">
        <f t="shared" si="26"/>
        <v>0</v>
      </c>
      <c r="G143" s="510">
        <f t="shared" si="27"/>
        <v>0</v>
      </c>
      <c r="H143" s="630">
        <f t="shared" si="28"/>
        <v>0</v>
      </c>
      <c r="I143" s="631">
        <f t="shared" si="29"/>
        <v>0</v>
      </c>
      <c r="J143" s="504">
        <f t="shared" si="24"/>
        <v>0</v>
      </c>
      <c r="K143" s="504"/>
      <c r="L143" s="512"/>
      <c r="M143" s="504">
        <f t="shared" si="30"/>
        <v>0</v>
      </c>
      <c r="N143" s="512"/>
      <c r="O143" s="504">
        <f t="shared" si="31"/>
        <v>0</v>
      </c>
      <c r="P143" s="504">
        <f t="shared" si="32"/>
        <v>0</v>
      </c>
      <c r="Q143" s="243"/>
      <c r="R143" s="243"/>
      <c r="S143" s="243"/>
      <c r="T143" s="243"/>
      <c r="U143" s="243"/>
    </row>
    <row r="144" spans="2:21" ht="12.5">
      <c r="B144" s="145" t="str">
        <f t="shared" si="23"/>
        <v/>
      </c>
      <c r="C144" s="495">
        <f>IF(D94="","-",+C143+1)</f>
        <v>2057</v>
      </c>
      <c r="D144" s="349">
        <f>IF(F143+SUM(E$100:E143)=D$93,F143,D$93-SUM(E$100:E143))</f>
        <v>0</v>
      </c>
      <c r="E144" s="629">
        <f t="shared" si="25"/>
        <v>0</v>
      </c>
      <c r="F144" s="510">
        <f t="shared" si="26"/>
        <v>0</v>
      </c>
      <c r="G144" s="510">
        <f t="shared" si="27"/>
        <v>0</v>
      </c>
      <c r="H144" s="630">
        <f t="shared" si="28"/>
        <v>0</v>
      </c>
      <c r="I144" s="631">
        <f t="shared" si="29"/>
        <v>0</v>
      </c>
      <c r="J144" s="504">
        <f t="shared" si="24"/>
        <v>0</v>
      </c>
      <c r="K144" s="504"/>
      <c r="L144" s="512"/>
      <c r="M144" s="504">
        <f t="shared" si="30"/>
        <v>0</v>
      </c>
      <c r="N144" s="512"/>
      <c r="O144" s="504">
        <f t="shared" si="31"/>
        <v>0</v>
      </c>
      <c r="P144" s="504">
        <f t="shared" si="32"/>
        <v>0</v>
      </c>
      <c r="Q144" s="243"/>
      <c r="R144" s="243"/>
      <c r="S144" s="243"/>
      <c r="T144" s="243"/>
      <c r="U144" s="243"/>
    </row>
    <row r="145" spans="2:21" ht="12.5">
      <c r="B145" s="145" t="str">
        <f t="shared" si="23"/>
        <v/>
      </c>
      <c r="C145" s="495">
        <f>IF(D94="","-",+C144+1)</f>
        <v>2058</v>
      </c>
      <c r="D145" s="349">
        <f>IF(F144+SUM(E$100:E144)=D$93,F144,D$93-SUM(E$100:E144))</f>
        <v>0</v>
      </c>
      <c r="E145" s="629">
        <f t="shared" si="25"/>
        <v>0</v>
      </c>
      <c r="F145" s="510">
        <f t="shared" si="26"/>
        <v>0</v>
      </c>
      <c r="G145" s="510">
        <f t="shared" si="27"/>
        <v>0</v>
      </c>
      <c r="H145" s="630">
        <f t="shared" si="28"/>
        <v>0</v>
      </c>
      <c r="I145" s="631">
        <f t="shared" si="29"/>
        <v>0</v>
      </c>
      <c r="J145" s="504">
        <f t="shared" si="24"/>
        <v>0</v>
      </c>
      <c r="K145" s="504"/>
      <c r="L145" s="512"/>
      <c r="M145" s="504">
        <f t="shared" si="30"/>
        <v>0</v>
      </c>
      <c r="N145" s="512"/>
      <c r="O145" s="504">
        <f t="shared" si="31"/>
        <v>0</v>
      </c>
      <c r="P145" s="504">
        <f t="shared" si="32"/>
        <v>0</v>
      </c>
      <c r="Q145" s="243"/>
      <c r="R145" s="243"/>
      <c r="S145" s="243"/>
      <c r="T145" s="243"/>
      <c r="U145" s="243"/>
    </row>
    <row r="146" spans="2:21" ht="12.5">
      <c r="B146" s="145" t="str">
        <f t="shared" si="23"/>
        <v/>
      </c>
      <c r="C146" s="495">
        <f>IF(D94="","-",+C145+1)</f>
        <v>2059</v>
      </c>
      <c r="D146" s="349">
        <f>IF(F145+SUM(E$100:E145)=D$93,F145,D$93-SUM(E$100:E145))</f>
        <v>0</v>
      </c>
      <c r="E146" s="629">
        <f t="shared" si="25"/>
        <v>0</v>
      </c>
      <c r="F146" s="510">
        <f t="shared" si="26"/>
        <v>0</v>
      </c>
      <c r="G146" s="510">
        <f t="shared" si="27"/>
        <v>0</v>
      </c>
      <c r="H146" s="630">
        <f t="shared" si="28"/>
        <v>0</v>
      </c>
      <c r="I146" s="631">
        <f t="shared" si="29"/>
        <v>0</v>
      </c>
      <c r="J146" s="504">
        <f t="shared" si="24"/>
        <v>0</v>
      </c>
      <c r="K146" s="504"/>
      <c r="L146" s="512"/>
      <c r="M146" s="504">
        <f t="shared" si="30"/>
        <v>0</v>
      </c>
      <c r="N146" s="512"/>
      <c r="O146" s="504">
        <f t="shared" si="31"/>
        <v>0</v>
      </c>
      <c r="P146" s="504">
        <f t="shared" si="32"/>
        <v>0</v>
      </c>
      <c r="Q146" s="243"/>
      <c r="R146" s="243"/>
      <c r="S146" s="243"/>
      <c r="T146" s="243"/>
      <c r="U146" s="243"/>
    </row>
    <row r="147" spans="2:21" ht="12.5">
      <c r="B147" s="145" t="str">
        <f t="shared" si="23"/>
        <v/>
      </c>
      <c r="C147" s="495">
        <f>IF(D94="","-",+C146+1)</f>
        <v>2060</v>
      </c>
      <c r="D147" s="349">
        <f>IF(F146+SUM(E$100:E146)=D$93,F146,D$93-SUM(E$100:E146))</f>
        <v>0</v>
      </c>
      <c r="E147" s="629">
        <f t="shared" si="25"/>
        <v>0</v>
      </c>
      <c r="F147" s="510">
        <f t="shared" si="26"/>
        <v>0</v>
      </c>
      <c r="G147" s="510">
        <f t="shared" si="27"/>
        <v>0</v>
      </c>
      <c r="H147" s="630">
        <f t="shared" si="28"/>
        <v>0</v>
      </c>
      <c r="I147" s="631">
        <f t="shared" si="29"/>
        <v>0</v>
      </c>
      <c r="J147" s="504">
        <f t="shared" si="24"/>
        <v>0</v>
      </c>
      <c r="K147" s="504"/>
      <c r="L147" s="512"/>
      <c r="M147" s="504">
        <f t="shared" si="30"/>
        <v>0</v>
      </c>
      <c r="N147" s="512"/>
      <c r="O147" s="504">
        <f t="shared" si="31"/>
        <v>0</v>
      </c>
      <c r="P147" s="504">
        <f t="shared" si="32"/>
        <v>0</v>
      </c>
      <c r="Q147" s="243"/>
      <c r="R147" s="243"/>
      <c r="S147" s="243"/>
      <c r="T147" s="243"/>
      <c r="U147" s="243"/>
    </row>
    <row r="148" spans="2:21" ht="12.5">
      <c r="B148" s="145" t="str">
        <f t="shared" si="23"/>
        <v/>
      </c>
      <c r="C148" s="495">
        <f>IF(D94="","-",+C147+1)</f>
        <v>2061</v>
      </c>
      <c r="D148" s="349">
        <f>IF(F147+SUM(E$100:E147)=D$93,F147,D$93-SUM(E$100:E147))</f>
        <v>0</v>
      </c>
      <c r="E148" s="629">
        <f t="shared" si="25"/>
        <v>0</v>
      </c>
      <c r="F148" s="510">
        <f t="shared" si="26"/>
        <v>0</v>
      </c>
      <c r="G148" s="510">
        <f t="shared" si="27"/>
        <v>0</v>
      </c>
      <c r="H148" s="630">
        <f t="shared" si="28"/>
        <v>0</v>
      </c>
      <c r="I148" s="631">
        <f t="shared" si="29"/>
        <v>0</v>
      </c>
      <c r="J148" s="504">
        <f t="shared" si="24"/>
        <v>0</v>
      </c>
      <c r="K148" s="504"/>
      <c r="L148" s="512"/>
      <c r="M148" s="504">
        <f t="shared" si="30"/>
        <v>0</v>
      </c>
      <c r="N148" s="512"/>
      <c r="O148" s="504">
        <f t="shared" si="31"/>
        <v>0</v>
      </c>
      <c r="P148" s="504">
        <f t="shared" si="32"/>
        <v>0</v>
      </c>
      <c r="Q148" s="243"/>
      <c r="R148" s="243"/>
      <c r="S148" s="243"/>
      <c r="T148" s="243"/>
      <c r="U148" s="243"/>
    </row>
    <row r="149" spans="2:21" ht="12.5">
      <c r="B149" s="145" t="str">
        <f t="shared" si="23"/>
        <v/>
      </c>
      <c r="C149" s="495">
        <f>IF(D94="","-",+C148+1)</f>
        <v>2062</v>
      </c>
      <c r="D149" s="349">
        <f>IF(F148+SUM(E$100:E148)=D$93,F148,D$93-SUM(E$100:E148))</f>
        <v>0</v>
      </c>
      <c r="E149" s="629">
        <f t="shared" si="25"/>
        <v>0</v>
      </c>
      <c r="F149" s="510">
        <f t="shared" si="26"/>
        <v>0</v>
      </c>
      <c r="G149" s="510">
        <f t="shared" si="27"/>
        <v>0</v>
      </c>
      <c r="H149" s="630">
        <f t="shared" si="28"/>
        <v>0</v>
      </c>
      <c r="I149" s="631">
        <f t="shared" si="29"/>
        <v>0</v>
      </c>
      <c r="J149" s="504">
        <f t="shared" si="24"/>
        <v>0</v>
      </c>
      <c r="K149" s="504"/>
      <c r="L149" s="512"/>
      <c r="M149" s="504">
        <f t="shared" si="30"/>
        <v>0</v>
      </c>
      <c r="N149" s="512"/>
      <c r="O149" s="504">
        <f t="shared" si="31"/>
        <v>0</v>
      </c>
      <c r="P149" s="504">
        <f t="shared" si="32"/>
        <v>0</v>
      </c>
      <c r="Q149" s="243"/>
      <c r="R149" s="243"/>
      <c r="S149" s="243"/>
      <c r="T149" s="243"/>
      <c r="U149" s="243"/>
    </row>
    <row r="150" spans="2:21" ht="12.5">
      <c r="B150" s="145" t="str">
        <f t="shared" si="23"/>
        <v/>
      </c>
      <c r="C150" s="495">
        <f>IF(D94="","-",+C149+1)</f>
        <v>2063</v>
      </c>
      <c r="D150" s="349">
        <f>IF(F149+SUM(E$100:E149)=D$93,F149,D$93-SUM(E$100:E149))</f>
        <v>0</v>
      </c>
      <c r="E150" s="629">
        <f t="shared" si="25"/>
        <v>0</v>
      </c>
      <c r="F150" s="510">
        <f t="shared" si="26"/>
        <v>0</v>
      </c>
      <c r="G150" s="510">
        <f t="shared" si="27"/>
        <v>0</v>
      </c>
      <c r="H150" s="630">
        <f t="shared" si="28"/>
        <v>0</v>
      </c>
      <c r="I150" s="631">
        <f t="shared" si="29"/>
        <v>0</v>
      </c>
      <c r="J150" s="504">
        <f t="shared" si="24"/>
        <v>0</v>
      </c>
      <c r="K150" s="504"/>
      <c r="L150" s="512"/>
      <c r="M150" s="504">
        <f t="shared" si="30"/>
        <v>0</v>
      </c>
      <c r="N150" s="512"/>
      <c r="O150" s="504">
        <f t="shared" si="31"/>
        <v>0</v>
      </c>
      <c r="P150" s="504">
        <f t="shared" si="32"/>
        <v>0</v>
      </c>
      <c r="Q150" s="243"/>
      <c r="R150" s="243"/>
      <c r="S150" s="243"/>
      <c r="T150" s="243"/>
      <c r="U150" s="243"/>
    </row>
    <row r="151" spans="2:21" ht="12.5">
      <c r="B151" s="145" t="str">
        <f t="shared" si="23"/>
        <v/>
      </c>
      <c r="C151" s="495">
        <f>IF(D94="","-",+C150+1)</f>
        <v>2064</v>
      </c>
      <c r="D151" s="349">
        <f>IF(F150+SUM(E$100:E150)=D$93,F150,D$93-SUM(E$100:E150))</f>
        <v>0</v>
      </c>
      <c r="E151" s="629">
        <f t="shared" si="25"/>
        <v>0</v>
      </c>
      <c r="F151" s="510">
        <f t="shared" si="26"/>
        <v>0</v>
      </c>
      <c r="G151" s="510">
        <f t="shared" si="27"/>
        <v>0</v>
      </c>
      <c r="H151" s="630">
        <f t="shared" si="28"/>
        <v>0</v>
      </c>
      <c r="I151" s="631">
        <f t="shared" si="29"/>
        <v>0</v>
      </c>
      <c r="J151" s="504">
        <f t="shared" si="24"/>
        <v>0</v>
      </c>
      <c r="K151" s="504"/>
      <c r="L151" s="512"/>
      <c r="M151" s="504">
        <f t="shared" si="30"/>
        <v>0</v>
      </c>
      <c r="N151" s="512"/>
      <c r="O151" s="504">
        <f t="shared" si="31"/>
        <v>0</v>
      </c>
      <c r="P151" s="504">
        <f t="shared" si="32"/>
        <v>0</v>
      </c>
      <c r="Q151" s="243"/>
      <c r="R151" s="243"/>
      <c r="S151" s="243"/>
      <c r="T151" s="243"/>
      <c r="U151" s="243"/>
    </row>
    <row r="152" spans="2:21" ht="12.5">
      <c r="B152" s="145" t="str">
        <f t="shared" si="23"/>
        <v/>
      </c>
      <c r="C152" s="495">
        <f>IF(D94="","-",+C151+1)</f>
        <v>2065</v>
      </c>
      <c r="D152" s="349">
        <f>IF(F151+SUM(E$100:E151)=D$93,F151,D$93-SUM(E$100:E151))</f>
        <v>0</v>
      </c>
      <c r="E152" s="629">
        <f t="shared" si="25"/>
        <v>0</v>
      </c>
      <c r="F152" s="510">
        <f t="shared" si="26"/>
        <v>0</v>
      </c>
      <c r="G152" s="510">
        <f t="shared" si="27"/>
        <v>0</v>
      </c>
      <c r="H152" s="630">
        <f t="shared" si="28"/>
        <v>0</v>
      </c>
      <c r="I152" s="631">
        <f t="shared" si="29"/>
        <v>0</v>
      </c>
      <c r="J152" s="504">
        <f t="shared" si="24"/>
        <v>0</v>
      </c>
      <c r="K152" s="504"/>
      <c r="L152" s="512"/>
      <c r="M152" s="504">
        <f t="shared" si="30"/>
        <v>0</v>
      </c>
      <c r="N152" s="512"/>
      <c r="O152" s="504">
        <f t="shared" si="31"/>
        <v>0</v>
      </c>
      <c r="P152" s="504">
        <f t="shared" si="32"/>
        <v>0</v>
      </c>
      <c r="Q152" s="243"/>
      <c r="R152" s="243"/>
      <c r="S152" s="243"/>
      <c r="T152" s="243"/>
      <c r="U152" s="243"/>
    </row>
    <row r="153" spans="2:21" ht="12.5">
      <c r="B153" s="145" t="str">
        <f t="shared" si="23"/>
        <v/>
      </c>
      <c r="C153" s="495">
        <f>IF(D94="","-",+C152+1)</f>
        <v>2066</v>
      </c>
      <c r="D153" s="349">
        <f>IF(F152+SUM(E$100:E152)=D$93,F152,D$93-SUM(E$100:E152))</f>
        <v>0</v>
      </c>
      <c r="E153" s="629">
        <f t="shared" si="25"/>
        <v>0</v>
      </c>
      <c r="F153" s="510">
        <f t="shared" si="26"/>
        <v>0</v>
      </c>
      <c r="G153" s="510">
        <f t="shared" si="27"/>
        <v>0</v>
      </c>
      <c r="H153" s="630">
        <f t="shared" si="28"/>
        <v>0</v>
      </c>
      <c r="I153" s="631">
        <f t="shared" si="29"/>
        <v>0</v>
      </c>
      <c r="J153" s="504">
        <f t="shared" si="24"/>
        <v>0</v>
      </c>
      <c r="K153" s="504"/>
      <c r="L153" s="512"/>
      <c r="M153" s="504">
        <f t="shared" si="30"/>
        <v>0</v>
      </c>
      <c r="N153" s="512"/>
      <c r="O153" s="504">
        <f t="shared" si="31"/>
        <v>0</v>
      </c>
      <c r="P153" s="504">
        <f t="shared" si="32"/>
        <v>0</v>
      </c>
      <c r="Q153" s="243"/>
      <c r="R153" s="243"/>
      <c r="S153" s="243"/>
      <c r="T153" s="243"/>
      <c r="U153" s="243"/>
    </row>
    <row r="154" spans="2:21" ht="12.5">
      <c r="B154" s="145" t="str">
        <f t="shared" si="23"/>
        <v/>
      </c>
      <c r="C154" s="495">
        <f>IF(D94="","-",+C153+1)</f>
        <v>2067</v>
      </c>
      <c r="D154" s="349">
        <f>IF(F153+SUM(E$100:E153)=D$93,F153,D$93-SUM(E$100:E153))</f>
        <v>0</v>
      </c>
      <c r="E154" s="629">
        <f t="shared" si="25"/>
        <v>0</v>
      </c>
      <c r="F154" s="510">
        <f t="shared" si="26"/>
        <v>0</v>
      </c>
      <c r="G154" s="510">
        <f t="shared" si="27"/>
        <v>0</v>
      </c>
      <c r="H154" s="630">
        <f t="shared" si="28"/>
        <v>0</v>
      </c>
      <c r="I154" s="631">
        <f t="shared" si="29"/>
        <v>0</v>
      </c>
      <c r="J154" s="504">
        <f t="shared" si="24"/>
        <v>0</v>
      </c>
      <c r="K154" s="504"/>
      <c r="L154" s="512"/>
      <c r="M154" s="504">
        <f t="shared" si="30"/>
        <v>0</v>
      </c>
      <c r="N154" s="512"/>
      <c r="O154" s="504">
        <f t="shared" si="31"/>
        <v>0</v>
      </c>
      <c r="P154" s="504">
        <f t="shared" si="32"/>
        <v>0</v>
      </c>
      <c r="Q154" s="243"/>
      <c r="R154" s="243"/>
      <c r="S154" s="243"/>
      <c r="T154" s="243"/>
      <c r="U154" s="243"/>
    </row>
    <row r="155" spans="2:21" ht="13" thickBot="1">
      <c r="B155" s="145" t="str">
        <f t="shared" si="23"/>
        <v/>
      </c>
      <c r="C155" s="524">
        <f>IF(D94="","-",+C154+1)</f>
        <v>2068</v>
      </c>
      <c r="D155" s="618">
        <f>IF(F154+SUM(E$100:E154)=D$93,F154,D$93-SUM(E$100:E154))</f>
        <v>0</v>
      </c>
      <c r="E155" s="632">
        <f t="shared" si="25"/>
        <v>0</v>
      </c>
      <c r="F155" s="527">
        <f t="shared" si="26"/>
        <v>0</v>
      </c>
      <c r="G155" s="527">
        <f t="shared" si="27"/>
        <v>0</v>
      </c>
      <c r="H155" s="633">
        <f t="shared" si="28"/>
        <v>0</v>
      </c>
      <c r="I155" s="634">
        <f t="shared" si="29"/>
        <v>0</v>
      </c>
      <c r="J155" s="531">
        <f t="shared" si="24"/>
        <v>0</v>
      </c>
      <c r="K155" s="504"/>
      <c r="L155" s="530"/>
      <c r="M155" s="531">
        <f t="shared" si="30"/>
        <v>0</v>
      </c>
      <c r="N155" s="530"/>
      <c r="O155" s="531">
        <f t="shared" si="31"/>
        <v>0</v>
      </c>
      <c r="P155" s="531">
        <f t="shared" si="32"/>
        <v>0</v>
      </c>
      <c r="Q155" s="243"/>
      <c r="R155" s="243"/>
      <c r="S155" s="243"/>
      <c r="T155" s="243"/>
      <c r="U155" s="243"/>
    </row>
    <row r="156" spans="2:21" ht="12.5">
      <c r="C156" s="349" t="s">
        <v>75</v>
      </c>
      <c r="D156" s="294"/>
      <c r="E156" s="294">
        <f>SUM(E100:E155)</f>
        <v>13254470</v>
      </c>
      <c r="F156" s="294"/>
      <c r="G156" s="294"/>
      <c r="H156" s="294">
        <f>SUM(H100:H155)</f>
        <v>38262706.235306814</v>
      </c>
      <c r="I156" s="294">
        <f>SUM(I100:I155)</f>
        <v>38262706.235306814</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28" priority="1" stopIfTrue="1" operator="equal">
      <formula>$I$10</formula>
    </cfRule>
  </conditionalFormatting>
  <conditionalFormatting sqref="C100:C155">
    <cfRule type="cellIs" dxfId="27"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39997558519241921"/>
  </sheetPr>
  <dimension ref="A1:U163"/>
  <sheetViews>
    <sheetView view="pageBreakPreview" zoomScale="78" zoomScaleNormal="100" zoomScaleSheetLayoutView="78" workbookViewId="0">
      <selection activeCell="E10" sqref="E1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13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0</v>
      </c>
      <c r="P5" s="243"/>
      <c r="R5" s="243"/>
      <c r="S5" s="243"/>
      <c r="T5" s="243"/>
      <c r="U5" s="243"/>
    </row>
    <row r="6" spans="1:21" ht="15.5">
      <c r="C6" s="636" t="s">
        <v>266</v>
      </c>
      <c r="D6" s="292"/>
      <c r="E6" s="243"/>
      <c r="F6" s="243"/>
      <c r="G6" s="243"/>
      <c r="H6" s="449"/>
      <c r="I6" s="449"/>
      <c r="J6" s="450"/>
      <c r="K6" s="451" t="s">
        <v>243</v>
      </c>
      <c r="L6" s="452"/>
      <c r="M6" s="278"/>
      <c r="N6" s="453">
        <f>VLOOKUP(I10,C17:I73,6)</f>
        <v>0</v>
      </c>
      <c r="O6" s="243"/>
      <c r="P6" s="243"/>
      <c r="R6" s="243"/>
      <c r="S6" s="243"/>
      <c r="T6" s="243"/>
      <c r="U6" s="243"/>
    </row>
    <row r="7" spans="1:21" ht="13.5" thickBot="1">
      <c r="C7" s="454" t="s">
        <v>46</v>
      </c>
      <c r="D7" s="455" t="s">
        <v>231</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232</v>
      </c>
      <c r="E9" s="647" t="s">
        <v>301</v>
      </c>
      <c r="F9" s="465"/>
      <c r="G9" s="465"/>
      <c r="H9" s="465"/>
      <c r="I9" s="466"/>
      <c r="J9" s="467"/>
      <c r="O9" s="468"/>
      <c r="P9" s="278"/>
      <c r="R9" s="243"/>
      <c r="S9" s="243"/>
      <c r="T9" s="243"/>
      <c r="U9" s="243"/>
    </row>
    <row r="10" spans="1:21" ht="13">
      <c r="C10" s="469" t="s">
        <v>49</v>
      </c>
      <c r="D10" s="470">
        <v>4817114</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2013</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10</v>
      </c>
      <c r="E12" s="472" t="s">
        <v>55</v>
      </c>
      <c r="F12" s="408"/>
      <c r="G12" s="220"/>
      <c r="H12" s="220"/>
      <c r="I12" s="476">
        <f>OKT.WS.F.BPU.ATRR.Projected!$F$79</f>
        <v>0.10818506718567715</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155390.77419354839</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495">
        <f>IF(D11= "","-",D11)</f>
        <v>2013</v>
      </c>
      <c r="D17" s="612">
        <v>4086696.07</v>
      </c>
      <c r="E17" s="620">
        <v>11782.768994177641</v>
      </c>
      <c r="F17" s="612">
        <v>4074913.3010058221</v>
      </c>
      <c r="G17" s="620">
        <v>123870.72395190655</v>
      </c>
      <c r="H17" s="617">
        <v>123870.72395190655</v>
      </c>
      <c r="I17" s="635">
        <v>0</v>
      </c>
      <c r="J17" s="500"/>
      <c r="K17" s="501">
        <f t="shared" ref="K17:K22" si="1">G17</f>
        <v>123870.72395190655</v>
      </c>
      <c r="L17" s="502">
        <f t="shared" ref="L17:L73" si="2">IF(K17&lt;&gt;0,+G17-K17,0)</f>
        <v>0</v>
      </c>
      <c r="M17" s="501">
        <f t="shared" ref="M17:M22" si="3">H17</f>
        <v>123870.72395190655</v>
      </c>
      <c r="N17" s="503">
        <f t="shared" ref="N17:N73" si="4">IF(M17&lt;&gt;0,+H17-M17,0)</f>
        <v>0</v>
      </c>
      <c r="O17" s="504">
        <f t="shared" ref="O17:O73" si="5">+N17-L17</f>
        <v>0</v>
      </c>
      <c r="P17" s="278"/>
      <c r="R17" s="243"/>
      <c r="S17" s="243"/>
      <c r="T17" s="243"/>
      <c r="U17" s="243"/>
    </row>
    <row r="18" spans="2:21" ht="12.5">
      <c r="B18" s="145" t="str">
        <f t="shared" si="0"/>
        <v/>
      </c>
      <c r="C18" s="495">
        <f>IF(D11="","-",+C17+1)</f>
        <v>2014</v>
      </c>
      <c r="D18" s="614">
        <v>4074913.3010058221</v>
      </c>
      <c r="E18" s="613">
        <v>70696.613965065844</v>
      </c>
      <c r="F18" s="614">
        <v>4004216.6870407565</v>
      </c>
      <c r="G18" s="613">
        <v>511269.87430631154</v>
      </c>
      <c r="H18" s="617">
        <v>511269.87430631154</v>
      </c>
      <c r="I18" s="635">
        <v>0</v>
      </c>
      <c r="J18" s="500"/>
      <c r="K18" s="592">
        <f t="shared" si="1"/>
        <v>511269.87430631154</v>
      </c>
      <c r="L18" s="596">
        <f t="shared" si="2"/>
        <v>0</v>
      </c>
      <c r="M18" s="592">
        <f t="shared" si="3"/>
        <v>511269.87430631154</v>
      </c>
      <c r="N18" s="594">
        <f t="shared" si="4"/>
        <v>0</v>
      </c>
      <c r="O18" s="596">
        <f t="shared" si="5"/>
        <v>0</v>
      </c>
      <c r="P18" s="278"/>
      <c r="R18" s="243"/>
      <c r="S18" s="243"/>
      <c r="T18" s="243"/>
      <c r="U18" s="243"/>
    </row>
    <row r="19" spans="2:21" ht="12.5">
      <c r="B19" s="145" t="str">
        <f t="shared" si="0"/>
        <v/>
      </c>
      <c r="C19" s="495">
        <f>IF(D11="","-",+C18+1)</f>
        <v>2015</v>
      </c>
      <c r="D19" s="614">
        <v>4004216.6870407565</v>
      </c>
      <c r="E19" s="613">
        <v>70696.613965065844</v>
      </c>
      <c r="F19" s="614">
        <v>3933520.0730756908</v>
      </c>
      <c r="G19" s="613">
        <v>476106.58378878143</v>
      </c>
      <c r="H19" s="617">
        <v>476106.58378878143</v>
      </c>
      <c r="I19" s="584">
        <v>0</v>
      </c>
      <c r="J19" s="500"/>
      <c r="K19" s="592">
        <f t="shared" si="1"/>
        <v>476106.58378878143</v>
      </c>
      <c r="L19" s="596">
        <f>IF(K19&lt;&gt;0,+G19-K19,0)</f>
        <v>0</v>
      </c>
      <c r="M19" s="592">
        <f t="shared" si="3"/>
        <v>476106.58378878143</v>
      </c>
      <c r="N19" s="594">
        <f>IF(M19&lt;&gt;0,+H19-M19,0)</f>
        <v>0</v>
      </c>
      <c r="O19" s="596">
        <f>+N19-L19</f>
        <v>0</v>
      </c>
      <c r="P19" s="278"/>
      <c r="R19" s="243"/>
      <c r="S19" s="243"/>
      <c r="T19" s="243"/>
      <c r="U19" s="243"/>
    </row>
    <row r="20" spans="2:21" ht="12.5">
      <c r="B20" s="145" t="str">
        <f t="shared" si="0"/>
        <v/>
      </c>
      <c r="C20" s="495">
        <f>IF(D11="","-",+C19+1)</f>
        <v>2016</v>
      </c>
      <c r="D20" s="614">
        <v>3933520.0730756908</v>
      </c>
      <c r="E20" s="613">
        <v>84919.313620452886</v>
      </c>
      <c r="F20" s="614">
        <v>3848600.759455238</v>
      </c>
      <c r="G20" s="613">
        <v>500107.78781700449</v>
      </c>
      <c r="H20" s="617">
        <v>500107.78781700449</v>
      </c>
      <c r="I20" s="500">
        <f>H20-G20</f>
        <v>0</v>
      </c>
      <c r="J20" s="500"/>
      <c r="K20" s="592">
        <f t="shared" si="1"/>
        <v>500107.78781700449</v>
      </c>
      <c r="L20" s="596">
        <f>IF(K20&lt;&gt;0,+G20-K20,0)</f>
        <v>0</v>
      </c>
      <c r="M20" s="592">
        <f t="shared" si="3"/>
        <v>500107.78781700449</v>
      </c>
      <c r="N20" s="504">
        <f t="shared" si="4"/>
        <v>0</v>
      </c>
      <c r="O20" s="504">
        <f t="shared" si="5"/>
        <v>0</v>
      </c>
      <c r="P20" s="278"/>
      <c r="R20" s="243"/>
      <c r="S20" s="243"/>
      <c r="T20" s="243"/>
      <c r="U20" s="243"/>
    </row>
    <row r="21" spans="2:21" ht="12.5">
      <c r="B21" s="145" t="str">
        <f t="shared" si="0"/>
        <v>IU</v>
      </c>
      <c r="C21" s="495">
        <f>IF(D11="","-",+C20+1)</f>
        <v>2017</v>
      </c>
      <c r="D21" s="614">
        <v>4561942.6894552382</v>
      </c>
      <c r="E21" s="613">
        <v>94378.250117010364</v>
      </c>
      <c r="F21" s="614">
        <v>4467564.4393382277</v>
      </c>
      <c r="G21" s="613">
        <v>590730.13217900996</v>
      </c>
      <c r="H21" s="617">
        <v>590730.13217900996</v>
      </c>
      <c r="I21" s="500">
        <f t="shared" ref="I21:I73" si="6">H21-G21</f>
        <v>0</v>
      </c>
      <c r="J21" s="500"/>
      <c r="K21" s="592">
        <f t="shared" si="1"/>
        <v>590730.13217900996</v>
      </c>
      <c r="L21" s="596">
        <f>IF(K21&lt;&gt;0,+G21-K21,0)</f>
        <v>0</v>
      </c>
      <c r="M21" s="592">
        <f t="shared" si="3"/>
        <v>590730.13217900996</v>
      </c>
      <c r="N21" s="504">
        <f>IF(M21&lt;&gt;0,+H21-M21,0)</f>
        <v>0</v>
      </c>
      <c r="O21" s="504">
        <f>+N21-L21</f>
        <v>0</v>
      </c>
      <c r="P21" s="278"/>
      <c r="R21" s="243"/>
      <c r="S21" s="243"/>
      <c r="T21" s="243"/>
      <c r="U21" s="243"/>
    </row>
    <row r="22" spans="2:21" ht="12.5">
      <c r="B22" s="145" t="str">
        <f t="shared" si="0"/>
        <v>IU</v>
      </c>
      <c r="C22" s="495">
        <f>IF(D11="","-",+C21+1)</f>
        <v>2018</v>
      </c>
      <c r="D22" s="614"/>
      <c r="E22" s="613"/>
      <c r="F22" s="614"/>
      <c r="G22" s="613"/>
      <c r="H22" s="617"/>
      <c r="I22" s="500">
        <v>0</v>
      </c>
      <c r="J22" s="500"/>
      <c r="K22" s="592">
        <f t="shared" si="1"/>
        <v>0</v>
      </c>
      <c r="L22" s="596">
        <f>IF(K22&lt;&gt;0,+G22-K22,0)</f>
        <v>0</v>
      </c>
      <c r="M22" s="592">
        <f t="shared" si="3"/>
        <v>0</v>
      </c>
      <c r="N22" s="504">
        <f>IF(M22&lt;&gt;0,+H22-M22,0)</f>
        <v>0</v>
      </c>
      <c r="O22" s="504">
        <f>+N22-L22</f>
        <v>0</v>
      </c>
      <c r="P22" s="278"/>
      <c r="R22" s="243"/>
      <c r="S22" s="243"/>
      <c r="T22" s="243"/>
      <c r="U22" s="243"/>
    </row>
    <row r="23" spans="2:21" ht="12.5">
      <c r="B23" s="145" t="str">
        <f t="shared" si="0"/>
        <v/>
      </c>
      <c r="C23" s="495">
        <f>IF(D11="","-",+C22+1)</f>
        <v>2019</v>
      </c>
      <c r="D23" s="508">
        <v>0</v>
      </c>
      <c r="E23" s="509">
        <f t="shared" ref="E23:E73" si="7">IF(+$I$14&lt;F22,$I$14,D23)</f>
        <v>0</v>
      </c>
      <c r="F23" s="510">
        <f t="shared" ref="F23:F73" si="8">+D23-E23</f>
        <v>0</v>
      </c>
      <c r="G23" s="511">
        <f t="shared" ref="G23:G73" si="9">(D23+F23)/2*I$12+E23</f>
        <v>0</v>
      </c>
      <c r="H23" s="477">
        <f t="shared" ref="H23:H73" si="10">+(D23+F23)/2*I$13+E23</f>
        <v>0</v>
      </c>
      <c r="I23" s="500">
        <f t="shared" si="6"/>
        <v>0</v>
      </c>
      <c r="J23" s="500"/>
      <c r="K23" s="512"/>
      <c r="L23" s="504">
        <f t="shared" si="2"/>
        <v>0</v>
      </c>
      <c r="M23" s="512"/>
      <c r="N23" s="504">
        <f t="shared" si="4"/>
        <v>0</v>
      </c>
      <c r="O23" s="504">
        <f t="shared" si="5"/>
        <v>0</v>
      </c>
      <c r="P23" s="278"/>
      <c r="R23" s="243"/>
      <c r="S23" s="243"/>
      <c r="T23" s="243"/>
      <c r="U23" s="243"/>
    </row>
    <row r="24" spans="2:21" ht="12.5">
      <c r="B24" s="145" t="str">
        <f t="shared" si="0"/>
        <v/>
      </c>
      <c r="C24" s="495">
        <f>IF(D11="","-",+C23+1)</f>
        <v>2020</v>
      </c>
      <c r="D24" s="508">
        <v>0</v>
      </c>
      <c r="E24" s="509">
        <v>0</v>
      </c>
      <c r="F24" s="510">
        <f t="shared" si="8"/>
        <v>0</v>
      </c>
      <c r="G24" s="511">
        <f t="shared" si="9"/>
        <v>0</v>
      </c>
      <c r="H24" s="477">
        <f t="shared" si="10"/>
        <v>0</v>
      </c>
      <c r="I24" s="500">
        <f t="shared" si="6"/>
        <v>0</v>
      </c>
      <c r="J24" s="500"/>
      <c r="K24" s="512"/>
      <c r="L24" s="504">
        <f t="shared" si="2"/>
        <v>0</v>
      </c>
      <c r="M24" s="512"/>
      <c r="N24" s="504">
        <f t="shared" si="4"/>
        <v>0</v>
      </c>
      <c r="O24" s="504">
        <f t="shared" si="5"/>
        <v>0</v>
      </c>
      <c r="P24" s="278"/>
      <c r="R24" s="243"/>
      <c r="S24" s="243"/>
      <c r="T24" s="243"/>
      <c r="U24" s="243"/>
    </row>
    <row r="25" spans="2:21" ht="12.5">
      <c r="B25" s="145" t="str">
        <f t="shared" si="0"/>
        <v/>
      </c>
      <c r="C25" s="495">
        <f>IF(D11="","-",+C24+1)</f>
        <v>2021</v>
      </c>
      <c r="D25" s="508">
        <v>0</v>
      </c>
      <c r="E25" s="509">
        <f t="shared" si="7"/>
        <v>0</v>
      </c>
      <c r="F25" s="510">
        <f t="shared" si="8"/>
        <v>0</v>
      </c>
      <c r="G25" s="511">
        <f t="shared" si="9"/>
        <v>0</v>
      </c>
      <c r="H25" s="477">
        <f t="shared" si="10"/>
        <v>0</v>
      </c>
      <c r="I25" s="500">
        <f t="shared" si="6"/>
        <v>0</v>
      </c>
      <c r="J25" s="500"/>
      <c r="K25" s="512"/>
      <c r="L25" s="504">
        <f t="shared" si="2"/>
        <v>0</v>
      </c>
      <c r="M25" s="512"/>
      <c r="N25" s="504">
        <f t="shared" si="4"/>
        <v>0</v>
      </c>
      <c r="O25" s="504">
        <f t="shared" si="5"/>
        <v>0</v>
      </c>
      <c r="P25" s="278"/>
      <c r="R25" s="243"/>
      <c r="S25" s="243"/>
      <c r="T25" s="243"/>
      <c r="U25" s="243"/>
    </row>
    <row r="26" spans="2:21" ht="12.5">
      <c r="B26" s="145" t="str">
        <f t="shared" si="0"/>
        <v/>
      </c>
      <c r="C26" s="495">
        <f>IF(D11="","-",+C25+1)</f>
        <v>2022</v>
      </c>
      <c r="D26" s="508">
        <v>0</v>
      </c>
      <c r="E26" s="509">
        <f t="shared" si="7"/>
        <v>0</v>
      </c>
      <c r="F26" s="510">
        <f t="shared" si="8"/>
        <v>0</v>
      </c>
      <c r="G26" s="511">
        <f t="shared" si="9"/>
        <v>0</v>
      </c>
      <c r="H26" s="477">
        <f t="shared" si="10"/>
        <v>0</v>
      </c>
      <c r="I26" s="500">
        <f t="shared" si="6"/>
        <v>0</v>
      </c>
      <c r="J26" s="500"/>
      <c r="K26" s="512"/>
      <c r="L26" s="504">
        <f t="shared" si="2"/>
        <v>0</v>
      </c>
      <c r="M26" s="512"/>
      <c r="N26" s="504">
        <f t="shared" si="4"/>
        <v>0</v>
      </c>
      <c r="O26" s="504">
        <f t="shared" si="5"/>
        <v>0</v>
      </c>
      <c r="P26" s="278"/>
      <c r="R26" s="243"/>
      <c r="S26" s="243"/>
      <c r="T26" s="243"/>
      <c r="U26" s="243"/>
    </row>
    <row r="27" spans="2:21" ht="12.5">
      <c r="B27" s="145" t="str">
        <f t="shared" si="0"/>
        <v>IU</v>
      </c>
      <c r="C27" s="495">
        <f>IF(D11="","-",+C26+1)</f>
        <v>2023</v>
      </c>
      <c r="D27" s="508">
        <f>IF(F26+SUM(E$17:E26)=D$10,F26,D$10-SUM(E$17:E26))</f>
        <v>4484640.4393382277</v>
      </c>
      <c r="E27" s="509">
        <f t="shared" si="7"/>
        <v>4484640.4393382277</v>
      </c>
      <c r="F27" s="510">
        <f t="shared" si="8"/>
        <v>0</v>
      </c>
      <c r="G27" s="511">
        <f t="shared" si="9"/>
        <v>4727226.0029549329</v>
      </c>
      <c r="H27" s="477">
        <f t="shared" si="10"/>
        <v>4727226.0029549329</v>
      </c>
      <c r="I27" s="500">
        <f t="shared" si="6"/>
        <v>0</v>
      </c>
      <c r="J27" s="500"/>
      <c r="K27" s="512"/>
      <c r="L27" s="504">
        <f t="shared" si="2"/>
        <v>0</v>
      </c>
      <c r="M27" s="512"/>
      <c r="N27" s="504">
        <f t="shared" si="4"/>
        <v>0</v>
      </c>
      <c r="O27" s="504">
        <f t="shared" si="5"/>
        <v>0</v>
      </c>
      <c r="P27" s="278"/>
      <c r="R27" s="243"/>
      <c r="S27" s="243"/>
      <c r="T27" s="243"/>
      <c r="U27" s="243"/>
    </row>
    <row r="28" spans="2:21" ht="12.5">
      <c r="B28" s="145" t="str">
        <f t="shared" si="0"/>
        <v/>
      </c>
      <c r="C28" s="495">
        <f>IF(D11="","-",+C27+1)</f>
        <v>2024</v>
      </c>
      <c r="D28" s="508">
        <f>IF(F27+SUM(E$17:E27)=D$10,F27,D$10-SUM(E$17:E27))</f>
        <v>0</v>
      </c>
      <c r="E28" s="509">
        <f t="shared" si="7"/>
        <v>0</v>
      </c>
      <c r="F28" s="510">
        <f t="shared" si="8"/>
        <v>0</v>
      </c>
      <c r="G28" s="511">
        <f t="shared" si="9"/>
        <v>0</v>
      </c>
      <c r="H28" s="477">
        <f t="shared" si="10"/>
        <v>0</v>
      </c>
      <c r="I28" s="500">
        <f t="shared" si="6"/>
        <v>0</v>
      </c>
      <c r="J28" s="500"/>
      <c r="K28" s="512"/>
      <c r="L28" s="504">
        <f t="shared" si="2"/>
        <v>0</v>
      </c>
      <c r="M28" s="512"/>
      <c r="N28" s="504">
        <f t="shared" si="4"/>
        <v>0</v>
      </c>
      <c r="O28" s="504">
        <f t="shared" si="5"/>
        <v>0</v>
      </c>
      <c r="P28" s="278"/>
      <c r="R28" s="243"/>
      <c r="S28" s="243"/>
      <c r="T28" s="243"/>
      <c r="U28" s="243"/>
    </row>
    <row r="29" spans="2:21" ht="12.5">
      <c r="B29" s="145" t="str">
        <f t="shared" si="0"/>
        <v/>
      </c>
      <c r="C29" s="495">
        <f>IF(D11="","-",+C28+1)</f>
        <v>2025</v>
      </c>
      <c r="D29" s="508">
        <f>IF(F28+SUM(E$17:E28)=D$10,F28,D$10-SUM(E$17:E28))</f>
        <v>0</v>
      </c>
      <c r="E29" s="509">
        <f t="shared" si="7"/>
        <v>0</v>
      </c>
      <c r="F29" s="510">
        <f t="shared" si="8"/>
        <v>0</v>
      </c>
      <c r="G29" s="511">
        <f t="shared" si="9"/>
        <v>0</v>
      </c>
      <c r="H29" s="477">
        <f t="shared" si="10"/>
        <v>0</v>
      </c>
      <c r="I29" s="500">
        <f t="shared" si="6"/>
        <v>0</v>
      </c>
      <c r="J29" s="500"/>
      <c r="K29" s="512"/>
      <c r="L29" s="504">
        <f t="shared" si="2"/>
        <v>0</v>
      </c>
      <c r="M29" s="512"/>
      <c r="N29" s="504">
        <f t="shared" si="4"/>
        <v>0</v>
      </c>
      <c r="O29" s="504">
        <f t="shared" si="5"/>
        <v>0</v>
      </c>
      <c r="P29" s="278"/>
      <c r="R29" s="243"/>
      <c r="S29" s="243"/>
      <c r="T29" s="243"/>
      <c r="U29" s="243"/>
    </row>
    <row r="30" spans="2:21" ht="12.5">
      <c r="B30" s="145" t="str">
        <f t="shared" si="0"/>
        <v/>
      </c>
      <c r="C30" s="495">
        <f>IF(D11="","-",+C29+1)</f>
        <v>2026</v>
      </c>
      <c r="D30" s="508">
        <f>IF(F29+SUM(E$17:E29)=D$10,F29,D$10-SUM(E$17:E29))</f>
        <v>0</v>
      </c>
      <c r="E30" s="509">
        <f t="shared" si="7"/>
        <v>0</v>
      </c>
      <c r="F30" s="510">
        <f t="shared" si="8"/>
        <v>0</v>
      </c>
      <c r="G30" s="511">
        <f t="shared" si="9"/>
        <v>0</v>
      </c>
      <c r="H30" s="477">
        <f t="shared" si="10"/>
        <v>0</v>
      </c>
      <c r="I30" s="500">
        <f t="shared" si="6"/>
        <v>0</v>
      </c>
      <c r="J30" s="500"/>
      <c r="K30" s="512"/>
      <c r="L30" s="504">
        <f t="shared" si="2"/>
        <v>0</v>
      </c>
      <c r="M30" s="512"/>
      <c r="N30" s="504">
        <f t="shared" si="4"/>
        <v>0</v>
      </c>
      <c r="O30" s="504">
        <f t="shared" si="5"/>
        <v>0</v>
      </c>
      <c r="P30" s="278"/>
      <c r="R30" s="243"/>
      <c r="S30" s="243"/>
      <c r="T30" s="243"/>
      <c r="U30" s="243"/>
    </row>
    <row r="31" spans="2:21" ht="12.5">
      <c r="B31" s="145" t="str">
        <f t="shared" si="0"/>
        <v/>
      </c>
      <c r="C31" s="495">
        <f>IF(D11="","-",+C30+1)</f>
        <v>2027</v>
      </c>
      <c r="D31" s="508">
        <f>IF(F30+SUM(E$17:E30)=D$10,F30,D$10-SUM(E$17:E30))</f>
        <v>0</v>
      </c>
      <c r="E31" s="509">
        <f t="shared" si="7"/>
        <v>0</v>
      </c>
      <c r="F31" s="510">
        <f t="shared" si="8"/>
        <v>0</v>
      </c>
      <c r="G31" s="511">
        <f t="shared" si="9"/>
        <v>0</v>
      </c>
      <c r="H31" s="477">
        <f t="shared" si="10"/>
        <v>0</v>
      </c>
      <c r="I31" s="500">
        <f t="shared" si="6"/>
        <v>0</v>
      </c>
      <c r="J31" s="500"/>
      <c r="K31" s="512"/>
      <c r="L31" s="504">
        <f t="shared" si="2"/>
        <v>0</v>
      </c>
      <c r="M31" s="512"/>
      <c r="N31" s="504">
        <f t="shared" si="4"/>
        <v>0</v>
      </c>
      <c r="O31" s="504">
        <f t="shared" si="5"/>
        <v>0</v>
      </c>
      <c r="P31" s="278"/>
      <c r="Q31" s="220"/>
      <c r="R31" s="278"/>
      <c r="S31" s="278"/>
      <c r="T31" s="278"/>
      <c r="U31" s="243"/>
    </row>
    <row r="32" spans="2:21" ht="12.5">
      <c r="B32" s="145" t="str">
        <f t="shared" si="0"/>
        <v/>
      </c>
      <c r="C32" s="495">
        <f>IF(D12="","-",+C31+1)</f>
        <v>2028</v>
      </c>
      <c r="D32" s="508">
        <f>IF(F31+SUM(E$17:E31)=D$10,F31,D$10-SUM(E$17:E31))</f>
        <v>0</v>
      </c>
      <c r="E32" s="509">
        <f>IF(+$I$14&lt;F31,$I$14,D32)</f>
        <v>0</v>
      </c>
      <c r="F32" s="510">
        <f>+D32-E32</f>
        <v>0</v>
      </c>
      <c r="G32" s="511">
        <f t="shared" si="9"/>
        <v>0</v>
      </c>
      <c r="H32" s="477">
        <f t="shared" si="10"/>
        <v>0</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2029</v>
      </c>
      <c r="D33" s="508">
        <f>IF(F32+SUM(E$17:E32)=D$10,F32,D$10-SUM(E$17:E32))</f>
        <v>0</v>
      </c>
      <c r="E33" s="509">
        <f>IF(+$I$14&lt;F32,$I$14,D33)</f>
        <v>0</v>
      </c>
      <c r="F33" s="510">
        <f>+D33-E33</f>
        <v>0</v>
      </c>
      <c r="G33" s="511">
        <f t="shared" si="9"/>
        <v>0</v>
      </c>
      <c r="H33" s="477">
        <f t="shared" si="10"/>
        <v>0</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2030</v>
      </c>
      <c r="D34" s="514">
        <f>IF(F33+SUM(E$17:E33)=D$10,F33,D$10-SUM(E$17:E33))</f>
        <v>0</v>
      </c>
      <c r="E34" s="515">
        <f t="shared" si="7"/>
        <v>0</v>
      </c>
      <c r="F34" s="516">
        <f t="shared" si="8"/>
        <v>0</v>
      </c>
      <c r="G34" s="511">
        <f t="shared" si="9"/>
        <v>0</v>
      </c>
      <c r="H34" s="477">
        <f t="shared" si="10"/>
        <v>0</v>
      </c>
      <c r="I34" s="519">
        <f t="shared" si="6"/>
        <v>0</v>
      </c>
      <c r="J34" s="519"/>
      <c r="K34" s="520"/>
      <c r="L34" s="521">
        <f t="shared" si="2"/>
        <v>0</v>
      </c>
      <c r="M34" s="520"/>
      <c r="N34" s="521">
        <f t="shared" si="4"/>
        <v>0</v>
      </c>
      <c r="O34" s="521">
        <f t="shared" si="5"/>
        <v>0</v>
      </c>
      <c r="P34" s="522"/>
      <c r="Q34" s="216"/>
      <c r="R34" s="522"/>
      <c r="S34" s="522"/>
      <c r="T34" s="522"/>
      <c r="U34" s="243"/>
    </row>
    <row r="35" spans="2:21" ht="12.5">
      <c r="B35" s="145" t="str">
        <f t="shared" si="0"/>
        <v/>
      </c>
      <c r="C35" s="495">
        <f>IF(D11="","-",+C34+1)</f>
        <v>2031</v>
      </c>
      <c r="D35" s="508">
        <f>IF(F34+SUM(E$17:E34)=D$10,F34,D$10-SUM(E$17:E34))</f>
        <v>0</v>
      </c>
      <c r="E35" s="509">
        <f t="shared" si="7"/>
        <v>0</v>
      </c>
      <c r="F35" s="510">
        <f t="shared" si="8"/>
        <v>0</v>
      </c>
      <c r="G35" s="511">
        <f t="shared" si="9"/>
        <v>0</v>
      </c>
      <c r="H35" s="477">
        <f t="shared" si="10"/>
        <v>0</v>
      </c>
      <c r="I35" s="500">
        <f t="shared" si="6"/>
        <v>0</v>
      </c>
      <c r="J35" s="500"/>
      <c r="K35" s="512"/>
      <c r="L35" s="504">
        <f t="shared" si="2"/>
        <v>0</v>
      </c>
      <c r="M35" s="512"/>
      <c r="N35" s="504">
        <f t="shared" si="4"/>
        <v>0</v>
      </c>
      <c r="O35" s="504">
        <f t="shared" si="5"/>
        <v>0</v>
      </c>
      <c r="P35" s="278"/>
      <c r="R35" s="243"/>
      <c r="S35" s="243"/>
      <c r="T35" s="243"/>
      <c r="U35" s="243"/>
    </row>
    <row r="36" spans="2:21" ht="12.5">
      <c r="B36" s="145" t="str">
        <f t="shared" si="0"/>
        <v/>
      </c>
      <c r="C36" s="495">
        <f>IF(D11="","-",+C35+1)</f>
        <v>2032</v>
      </c>
      <c r="D36" s="508">
        <f>IF(F35+SUM(E$17:E35)=D$10,F35,D$10-SUM(E$17:E35))</f>
        <v>0</v>
      </c>
      <c r="E36" s="509">
        <f t="shared" si="7"/>
        <v>0</v>
      </c>
      <c r="F36" s="510">
        <f t="shared" si="8"/>
        <v>0</v>
      </c>
      <c r="G36" s="511">
        <f t="shared" si="9"/>
        <v>0</v>
      </c>
      <c r="H36" s="477">
        <f t="shared" si="10"/>
        <v>0</v>
      </c>
      <c r="I36" s="500">
        <f t="shared" si="6"/>
        <v>0</v>
      </c>
      <c r="J36" s="500"/>
      <c r="K36" s="512"/>
      <c r="L36" s="504">
        <f t="shared" si="2"/>
        <v>0</v>
      </c>
      <c r="M36" s="512"/>
      <c r="N36" s="504">
        <f t="shared" si="4"/>
        <v>0</v>
      </c>
      <c r="O36" s="504">
        <f t="shared" si="5"/>
        <v>0</v>
      </c>
      <c r="P36" s="278"/>
      <c r="R36" s="243"/>
      <c r="S36" s="243"/>
      <c r="T36" s="243"/>
      <c r="U36" s="243"/>
    </row>
    <row r="37" spans="2:21" ht="12.5">
      <c r="B37" s="145" t="str">
        <f t="shared" si="0"/>
        <v/>
      </c>
      <c r="C37" s="495">
        <f>IF(D11="","-",+C36+1)</f>
        <v>2033</v>
      </c>
      <c r="D37" s="508">
        <f>IF(F36+SUM(E$17:E36)=D$10,F36,D$10-SUM(E$17:E36))</f>
        <v>0</v>
      </c>
      <c r="E37" s="509">
        <f t="shared" si="7"/>
        <v>0</v>
      </c>
      <c r="F37" s="510">
        <f t="shared" si="8"/>
        <v>0</v>
      </c>
      <c r="G37" s="511">
        <f t="shared" si="9"/>
        <v>0</v>
      </c>
      <c r="H37" s="477">
        <f t="shared" si="10"/>
        <v>0</v>
      </c>
      <c r="I37" s="500">
        <f t="shared" si="6"/>
        <v>0</v>
      </c>
      <c r="J37" s="500"/>
      <c r="K37" s="512"/>
      <c r="L37" s="504">
        <f t="shared" si="2"/>
        <v>0</v>
      </c>
      <c r="M37" s="512"/>
      <c r="N37" s="504">
        <f t="shared" si="4"/>
        <v>0</v>
      </c>
      <c r="O37" s="504">
        <f t="shared" si="5"/>
        <v>0</v>
      </c>
      <c r="P37" s="278"/>
      <c r="R37" s="243"/>
      <c r="S37" s="243"/>
      <c r="T37" s="243"/>
      <c r="U37" s="243"/>
    </row>
    <row r="38" spans="2:21" ht="12.5">
      <c r="B38" s="145" t="str">
        <f t="shared" si="0"/>
        <v/>
      </c>
      <c r="C38" s="495">
        <f>IF(D11="","-",+C37+1)</f>
        <v>2034</v>
      </c>
      <c r="D38" s="508">
        <f>IF(F37+SUM(E$17:E37)=D$10,F37,D$10-SUM(E$17:E37))</f>
        <v>0</v>
      </c>
      <c r="E38" s="509">
        <f t="shared" si="7"/>
        <v>0</v>
      </c>
      <c r="F38" s="510">
        <f t="shared" si="8"/>
        <v>0</v>
      </c>
      <c r="G38" s="511">
        <f t="shared" si="9"/>
        <v>0</v>
      </c>
      <c r="H38" s="477">
        <f t="shared" si="10"/>
        <v>0</v>
      </c>
      <c r="I38" s="500">
        <f t="shared" si="6"/>
        <v>0</v>
      </c>
      <c r="J38" s="500"/>
      <c r="K38" s="512"/>
      <c r="L38" s="504">
        <f t="shared" si="2"/>
        <v>0</v>
      </c>
      <c r="M38" s="512"/>
      <c r="N38" s="504">
        <f t="shared" si="4"/>
        <v>0</v>
      </c>
      <c r="O38" s="504">
        <f t="shared" si="5"/>
        <v>0</v>
      </c>
      <c r="P38" s="278"/>
      <c r="R38" s="243"/>
      <c r="S38" s="243"/>
      <c r="T38" s="243"/>
      <c r="U38" s="243"/>
    </row>
    <row r="39" spans="2:21" ht="12.5">
      <c r="B39" s="145" t="str">
        <f t="shared" si="0"/>
        <v/>
      </c>
      <c r="C39" s="495">
        <f>IF(D11="","-",+C38+1)</f>
        <v>2035</v>
      </c>
      <c r="D39" s="508">
        <f>IF(F38+SUM(E$17:E38)=D$10,F38,D$10-SUM(E$17:E38))</f>
        <v>0</v>
      </c>
      <c r="E39" s="509">
        <f t="shared" si="7"/>
        <v>0</v>
      </c>
      <c r="F39" s="510">
        <f t="shared" si="8"/>
        <v>0</v>
      </c>
      <c r="G39" s="511">
        <f t="shared" si="9"/>
        <v>0</v>
      </c>
      <c r="H39" s="477">
        <f t="shared" si="10"/>
        <v>0</v>
      </c>
      <c r="I39" s="500">
        <f t="shared" si="6"/>
        <v>0</v>
      </c>
      <c r="J39" s="500"/>
      <c r="K39" s="512"/>
      <c r="L39" s="504">
        <f t="shared" si="2"/>
        <v>0</v>
      </c>
      <c r="M39" s="512"/>
      <c r="N39" s="504">
        <f t="shared" si="4"/>
        <v>0</v>
      </c>
      <c r="O39" s="504">
        <f t="shared" si="5"/>
        <v>0</v>
      </c>
      <c r="P39" s="278"/>
      <c r="R39" s="243"/>
      <c r="S39" s="243"/>
      <c r="T39" s="243"/>
      <c r="U39" s="243"/>
    </row>
    <row r="40" spans="2:21" ht="12.5">
      <c r="B40" s="145" t="str">
        <f t="shared" si="0"/>
        <v/>
      </c>
      <c r="C40" s="495">
        <f>IF(D11="","-",+C39+1)</f>
        <v>2036</v>
      </c>
      <c r="D40" s="508">
        <f>IF(F39+SUM(E$17:E39)=D$10,F39,D$10-SUM(E$17:E39))</f>
        <v>0</v>
      </c>
      <c r="E40" s="509">
        <f t="shared" si="7"/>
        <v>0</v>
      </c>
      <c r="F40" s="510">
        <f t="shared" si="8"/>
        <v>0</v>
      </c>
      <c r="G40" s="511">
        <f t="shared" si="9"/>
        <v>0</v>
      </c>
      <c r="H40" s="477">
        <f t="shared" si="10"/>
        <v>0</v>
      </c>
      <c r="I40" s="500">
        <f t="shared" si="6"/>
        <v>0</v>
      </c>
      <c r="J40" s="500"/>
      <c r="K40" s="512"/>
      <c r="L40" s="504">
        <f t="shared" si="2"/>
        <v>0</v>
      </c>
      <c r="M40" s="512"/>
      <c r="N40" s="504">
        <f t="shared" si="4"/>
        <v>0</v>
      </c>
      <c r="O40" s="504">
        <f t="shared" si="5"/>
        <v>0</v>
      </c>
      <c r="P40" s="278"/>
      <c r="R40" s="243"/>
      <c r="S40" s="243"/>
      <c r="T40" s="243"/>
      <c r="U40" s="243"/>
    </row>
    <row r="41" spans="2:21" ht="12.5">
      <c r="B41" s="145" t="str">
        <f t="shared" si="0"/>
        <v/>
      </c>
      <c r="C41" s="495">
        <f>IF(D12="","-",+C40+1)</f>
        <v>2037</v>
      </c>
      <c r="D41" s="508">
        <f>IF(F40+SUM(E$17:E40)=D$10,F40,D$10-SUM(E$17:E40))</f>
        <v>0</v>
      </c>
      <c r="E41" s="509">
        <f t="shared" si="7"/>
        <v>0</v>
      </c>
      <c r="F41" s="510">
        <f t="shared" si="8"/>
        <v>0</v>
      </c>
      <c r="G41" s="511">
        <f t="shared" si="9"/>
        <v>0</v>
      </c>
      <c r="H41" s="477">
        <f t="shared" si="10"/>
        <v>0</v>
      </c>
      <c r="I41" s="500">
        <f t="shared" si="6"/>
        <v>0</v>
      </c>
      <c r="J41" s="500"/>
      <c r="K41" s="512"/>
      <c r="L41" s="504">
        <f t="shared" si="2"/>
        <v>0</v>
      </c>
      <c r="M41" s="512"/>
      <c r="N41" s="504">
        <f t="shared" si="4"/>
        <v>0</v>
      </c>
      <c r="O41" s="504">
        <f t="shared" si="5"/>
        <v>0</v>
      </c>
      <c r="P41" s="278"/>
      <c r="R41" s="243"/>
      <c r="S41" s="243"/>
      <c r="T41" s="243"/>
      <c r="U41" s="243"/>
    </row>
    <row r="42" spans="2:21" ht="12.5">
      <c r="B42" s="145" t="str">
        <f t="shared" si="0"/>
        <v/>
      </c>
      <c r="C42" s="495">
        <f>IF(D13="","-",+C41+1)</f>
        <v>2038</v>
      </c>
      <c r="D42" s="508">
        <f>IF(F41+SUM(E$17:E41)=D$10,F41,D$10-SUM(E$17:E41))</f>
        <v>0</v>
      </c>
      <c r="E42" s="509">
        <f t="shared" si="7"/>
        <v>0</v>
      </c>
      <c r="F42" s="510">
        <f t="shared" si="8"/>
        <v>0</v>
      </c>
      <c r="G42" s="511">
        <f t="shared" si="9"/>
        <v>0</v>
      </c>
      <c r="H42" s="477">
        <f t="shared" si="10"/>
        <v>0</v>
      </c>
      <c r="I42" s="500">
        <f t="shared" si="6"/>
        <v>0</v>
      </c>
      <c r="J42" s="500"/>
      <c r="K42" s="512"/>
      <c r="L42" s="504">
        <f t="shared" si="2"/>
        <v>0</v>
      </c>
      <c r="M42" s="512"/>
      <c r="N42" s="504">
        <f t="shared" si="4"/>
        <v>0</v>
      </c>
      <c r="O42" s="504">
        <f t="shared" si="5"/>
        <v>0</v>
      </c>
      <c r="P42" s="278"/>
      <c r="R42" s="243"/>
      <c r="S42" s="243"/>
      <c r="T42" s="243"/>
      <c r="U42" s="243"/>
    </row>
    <row r="43" spans="2:21" ht="12.5">
      <c r="B43" s="145" t="str">
        <f t="shared" si="0"/>
        <v/>
      </c>
      <c r="C43" s="495">
        <f>IF(D11="","-",+C42+1)</f>
        <v>2039</v>
      </c>
      <c r="D43" s="508">
        <f>IF(F42+SUM(E$17:E42)=D$10,F42,D$10-SUM(E$17:E42))</f>
        <v>0</v>
      </c>
      <c r="E43" s="509">
        <f t="shared" si="7"/>
        <v>0</v>
      </c>
      <c r="F43" s="510">
        <f t="shared" si="8"/>
        <v>0</v>
      </c>
      <c r="G43" s="511">
        <f t="shared" si="9"/>
        <v>0</v>
      </c>
      <c r="H43" s="477">
        <f t="shared" si="10"/>
        <v>0</v>
      </c>
      <c r="I43" s="500">
        <f t="shared" si="6"/>
        <v>0</v>
      </c>
      <c r="J43" s="500"/>
      <c r="K43" s="512"/>
      <c r="L43" s="504">
        <f t="shared" si="2"/>
        <v>0</v>
      </c>
      <c r="M43" s="512"/>
      <c r="N43" s="504">
        <f t="shared" si="4"/>
        <v>0</v>
      </c>
      <c r="O43" s="504">
        <f t="shared" si="5"/>
        <v>0</v>
      </c>
      <c r="P43" s="278"/>
      <c r="R43" s="243"/>
      <c r="S43" s="243"/>
      <c r="T43" s="243"/>
      <c r="U43" s="243"/>
    </row>
    <row r="44" spans="2:21" ht="12.5">
      <c r="B44" s="145" t="str">
        <f t="shared" si="0"/>
        <v/>
      </c>
      <c r="C44" s="495">
        <f>IF(D11="","-",+C43+1)</f>
        <v>2040</v>
      </c>
      <c r="D44" s="508">
        <f>IF(F43+SUM(E$17:E43)=D$10,F43,D$10-SUM(E$17:E43))</f>
        <v>0</v>
      </c>
      <c r="E44" s="509">
        <f t="shared" si="7"/>
        <v>0</v>
      </c>
      <c r="F44" s="510">
        <f t="shared" si="8"/>
        <v>0</v>
      </c>
      <c r="G44" s="511">
        <f t="shared" si="9"/>
        <v>0</v>
      </c>
      <c r="H44" s="477">
        <f t="shared" si="10"/>
        <v>0</v>
      </c>
      <c r="I44" s="500">
        <f t="shared" si="6"/>
        <v>0</v>
      </c>
      <c r="J44" s="500"/>
      <c r="K44" s="512"/>
      <c r="L44" s="504">
        <f t="shared" si="2"/>
        <v>0</v>
      </c>
      <c r="M44" s="512"/>
      <c r="N44" s="504">
        <f t="shared" si="4"/>
        <v>0</v>
      </c>
      <c r="O44" s="504">
        <f t="shared" si="5"/>
        <v>0</v>
      </c>
      <c r="P44" s="278"/>
      <c r="R44" s="243"/>
      <c r="S44" s="243"/>
      <c r="T44" s="243"/>
      <c r="U44" s="243"/>
    </row>
    <row r="45" spans="2:21" ht="12.5">
      <c r="B45" s="145" t="str">
        <f t="shared" si="0"/>
        <v/>
      </c>
      <c r="C45" s="495">
        <f>IF(D11="","-",+C44+1)</f>
        <v>2041</v>
      </c>
      <c r="D45" s="508">
        <f>IF(F44+SUM(E$17:E44)=D$10,F44,D$10-SUM(E$17:E44))</f>
        <v>0</v>
      </c>
      <c r="E45" s="509">
        <f t="shared" si="7"/>
        <v>0</v>
      </c>
      <c r="F45" s="510">
        <f t="shared" si="8"/>
        <v>0</v>
      </c>
      <c r="G45" s="511">
        <f t="shared" si="9"/>
        <v>0</v>
      </c>
      <c r="H45" s="477">
        <f t="shared" si="10"/>
        <v>0</v>
      </c>
      <c r="I45" s="500">
        <f t="shared" si="6"/>
        <v>0</v>
      </c>
      <c r="J45" s="500"/>
      <c r="K45" s="512"/>
      <c r="L45" s="504">
        <f t="shared" si="2"/>
        <v>0</v>
      </c>
      <c r="M45" s="512"/>
      <c r="N45" s="504">
        <f t="shared" si="4"/>
        <v>0</v>
      </c>
      <c r="O45" s="504">
        <f t="shared" si="5"/>
        <v>0</v>
      </c>
      <c r="P45" s="278"/>
      <c r="R45" s="243"/>
      <c r="S45" s="243"/>
      <c r="T45" s="243"/>
      <c r="U45" s="243"/>
    </row>
    <row r="46" spans="2:21" ht="12.5">
      <c r="B46" s="145" t="str">
        <f t="shared" si="0"/>
        <v/>
      </c>
      <c r="C46" s="495">
        <f>IF(D11="","-",+C45+1)</f>
        <v>2042</v>
      </c>
      <c r="D46" s="508">
        <f>IF(F45+SUM(E$17:E45)=D$10,F45,D$10-SUM(E$17:E45))</f>
        <v>0</v>
      </c>
      <c r="E46" s="509">
        <f t="shared" si="7"/>
        <v>0</v>
      </c>
      <c r="F46" s="510">
        <f t="shared" si="8"/>
        <v>0</v>
      </c>
      <c r="G46" s="511">
        <f t="shared" si="9"/>
        <v>0</v>
      </c>
      <c r="H46" s="477">
        <f t="shared" si="10"/>
        <v>0</v>
      </c>
      <c r="I46" s="500">
        <f t="shared" si="6"/>
        <v>0</v>
      </c>
      <c r="J46" s="500"/>
      <c r="K46" s="512"/>
      <c r="L46" s="504">
        <f t="shared" si="2"/>
        <v>0</v>
      </c>
      <c r="M46" s="512"/>
      <c r="N46" s="504">
        <f t="shared" si="4"/>
        <v>0</v>
      </c>
      <c r="O46" s="504">
        <f t="shared" si="5"/>
        <v>0</v>
      </c>
      <c r="P46" s="278"/>
      <c r="R46" s="243"/>
      <c r="S46" s="243"/>
      <c r="T46" s="243"/>
      <c r="U46" s="243"/>
    </row>
    <row r="47" spans="2:21" ht="12.5">
      <c r="B47" s="145" t="str">
        <f t="shared" si="0"/>
        <v/>
      </c>
      <c r="C47" s="495">
        <f>IF(D11="","-",+C46+1)</f>
        <v>2043</v>
      </c>
      <c r="D47" s="508">
        <f>IF(F46+SUM(E$17:E46)=D$10,F46,D$10-SUM(E$17:E46))</f>
        <v>0</v>
      </c>
      <c r="E47" s="509">
        <f t="shared" si="7"/>
        <v>0</v>
      </c>
      <c r="F47" s="510">
        <f t="shared" si="8"/>
        <v>0</v>
      </c>
      <c r="G47" s="511">
        <f t="shared" si="9"/>
        <v>0</v>
      </c>
      <c r="H47" s="477">
        <f t="shared" si="10"/>
        <v>0</v>
      </c>
      <c r="I47" s="500">
        <f t="shared" si="6"/>
        <v>0</v>
      </c>
      <c r="J47" s="500"/>
      <c r="K47" s="512"/>
      <c r="L47" s="504">
        <f t="shared" si="2"/>
        <v>0</v>
      </c>
      <c r="M47" s="512"/>
      <c r="N47" s="504">
        <f t="shared" si="4"/>
        <v>0</v>
      </c>
      <c r="O47" s="504">
        <f t="shared" si="5"/>
        <v>0</v>
      </c>
      <c r="P47" s="278"/>
      <c r="R47" s="243"/>
      <c r="S47" s="243"/>
      <c r="T47" s="243"/>
      <c r="U47" s="243"/>
    </row>
    <row r="48" spans="2:21" ht="12.5">
      <c r="B48" s="145" t="str">
        <f t="shared" si="0"/>
        <v/>
      </c>
      <c r="C48" s="495">
        <f>IF(D11="","-",+C47+1)</f>
        <v>2044</v>
      </c>
      <c r="D48" s="508">
        <f>IF(F47+SUM(E$17:E47)=D$10,F47,D$10-SUM(E$17:E47))</f>
        <v>0</v>
      </c>
      <c r="E48" s="509">
        <f t="shared" si="7"/>
        <v>0</v>
      </c>
      <c r="F48" s="510">
        <f t="shared" si="8"/>
        <v>0</v>
      </c>
      <c r="G48" s="511">
        <f t="shared" si="9"/>
        <v>0</v>
      </c>
      <c r="H48" s="477">
        <f t="shared" si="10"/>
        <v>0</v>
      </c>
      <c r="I48" s="500">
        <f t="shared" si="6"/>
        <v>0</v>
      </c>
      <c r="J48" s="500"/>
      <c r="K48" s="512"/>
      <c r="L48" s="504">
        <f t="shared" si="2"/>
        <v>0</v>
      </c>
      <c r="M48" s="512"/>
      <c r="N48" s="504">
        <f t="shared" si="4"/>
        <v>0</v>
      </c>
      <c r="O48" s="504">
        <f t="shared" si="5"/>
        <v>0</v>
      </c>
      <c r="P48" s="278"/>
      <c r="R48" s="243"/>
      <c r="S48" s="243"/>
      <c r="T48" s="243"/>
      <c r="U48" s="243"/>
    </row>
    <row r="49" spans="2:21" ht="12.5">
      <c r="B49" s="145" t="str">
        <f t="shared" si="0"/>
        <v/>
      </c>
      <c r="C49" s="495">
        <f>IF(D11="","-",+C48+1)</f>
        <v>2045</v>
      </c>
      <c r="D49" s="508">
        <f>IF(F48+SUM(E$17:E48)=D$10,F48,D$10-SUM(E$17:E48))</f>
        <v>0</v>
      </c>
      <c r="E49" s="509">
        <f t="shared" si="7"/>
        <v>0</v>
      </c>
      <c r="F49" s="510">
        <f t="shared" si="8"/>
        <v>0</v>
      </c>
      <c r="G49" s="511">
        <f t="shared" si="9"/>
        <v>0</v>
      </c>
      <c r="H49" s="477">
        <f t="shared" si="10"/>
        <v>0</v>
      </c>
      <c r="I49" s="500">
        <f t="shared" si="6"/>
        <v>0</v>
      </c>
      <c r="J49" s="500"/>
      <c r="K49" s="512"/>
      <c r="L49" s="504">
        <f t="shared" si="2"/>
        <v>0</v>
      </c>
      <c r="M49" s="512"/>
      <c r="N49" s="504">
        <f t="shared" si="4"/>
        <v>0</v>
      </c>
      <c r="O49" s="504">
        <f t="shared" si="5"/>
        <v>0</v>
      </c>
      <c r="P49" s="278"/>
      <c r="R49" s="243"/>
      <c r="S49" s="243"/>
      <c r="T49" s="243"/>
      <c r="U49" s="243"/>
    </row>
    <row r="50" spans="2:21" ht="12.5">
      <c r="B50" s="145" t="str">
        <f t="shared" si="0"/>
        <v/>
      </c>
      <c r="C50" s="495">
        <f>IF(D11="","-",+C49+1)</f>
        <v>2046</v>
      </c>
      <c r="D50" s="508">
        <f>IF(F49+SUM(E$17:E49)=D$10,F49,D$10-SUM(E$17:E49))</f>
        <v>0</v>
      </c>
      <c r="E50" s="509">
        <f t="shared" si="7"/>
        <v>0</v>
      </c>
      <c r="F50" s="510">
        <f t="shared" si="8"/>
        <v>0</v>
      </c>
      <c r="G50" s="511">
        <f t="shared" si="9"/>
        <v>0</v>
      </c>
      <c r="H50" s="477">
        <f t="shared" si="10"/>
        <v>0</v>
      </c>
      <c r="I50" s="500">
        <f t="shared" si="6"/>
        <v>0</v>
      </c>
      <c r="J50" s="500"/>
      <c r="K50" s="512"/>
      <c r="L50" s="504">
        <f t="shared" si="2"/>
        <v>0</v>
      </c>
      <c r="M50" s="512"/>
      <c r="N50" s="504">
        <f t="shared" si="4"/>
        <v>0</v>
      </c>
      <c r="O50" s="504">
        <f t="shared" si="5"/>
        <v>0</v>
      </c>
      <c r="P50" s="278"/>
      <c r="R50" s="243"/>
      <c r="S50" s="243"/>
      <c r="T50" s="243"/>
      <c r="U50" s="243"/>
    </row>
    <row r="51" spans="2:21" ht="12.5">
      <c r="B51" s="145" t="str">
        <f t="shared" si="0"/>
        <v/>
      </c>
      <c r="C51" s="495">
        <f>IF(D11="","-",+C50+1)</f>
        <v>2047</v>
      </c>
      <c r="D51" s="508">
        <f>IF(F50+SUM(E$17:E50)=D$10,F50,D$10-SUM(E$17:E50))</f>
        <v>0</v>
      </c>
      <c r="E51" s="509">
        <f t="shared" si="7"/>
        <v>0</v>
      </c>
      <c r="F51" s="510">
        <f t="shared" si="8"/>
        <v>0</v>
      </c>
      <c r="G51" s="511">
        <f t="shared" si="9"/>
        <v>0</v>
      </c>
      <c r="H51" s="477">
        <f t="shared" si="10"/>
        <v>0</v>
      </c>
      <c r="I51" s="500">
        <f t="shared" si="6"/>
        <v>0</v>
      </c>
      <c r="J51" s="500"/>
      <c r="K51" s="512"/>
      <c r="L51" s="504">
        <f t="shared" si="2"/>
        <v>0</v>
      </c>
      <c r="M51" s="512"/>
      <c r="N51" s="504">
        <f t="shared" si="4"/>
        <v>0</v>
      </c>
      <c r="O51" s="504">
        <f t="shared" si="5"/>
        <v>0</v>
      </c>
      <c r="P51" s="278"/>
      <c r="R51" s="243"/>
      <c r="S51" s="243"/>
      <c r="T51" s="243"/>
      <c r="U51" s="243"/>
    </row>
    <row r="52" spans="2:21" ht="12.5">
      <c r="B52" s="145" t="str">
        <f t="shared" si="0"/>
        <v/>
      </c>
      <c r="C52" s="495">
        <f>IF(D11="","-",+C51+1)</f>
        <v>2048</v>
      </c>
      <c r="D52" s="508">
        <f>IF(F51+SUM(E$17:E51)=D$10,F51,D$10-SUM(E$17:E51))</f>
        <v>0</v>
      </c>
      <c r="E52" s="509">
        <f t="shared" si="7"/>
        <v>0</v>
      </c>
      <c r="F52" s="510">
        <f t="shared" si="8"/>
        <v>0</v>
      </c>
      <c r="G52" s="511">
        <f t="shared" si="9"/>
        <v>0</v>
      </c>
      <c r="H52" s="477">
        <f t="shared" si="10"/>
        <v>0</v>
      </c>
      <c r="I52" s="500">
        <f t="shared" si="6"/>
        <v>0</v>
      </c>
      <c r="J52" s="500"/>
      <c r="K52" s="512"/>
      <c r="L52" s="504">
        <f t="shared" si="2"/>
        <v>0</v>
      </c>
      <c r="M52" s="512"/>
      <c r="N52" s="504">
        <f t="shared" si="4"/>
        <v>0</v>
      </c>
      <c r="O52" s="504">
        <f t="shared" si="5"/>
        <v>0</v>
      </c>
      <c r="P52" s="278"/>
      <c r="R52" s="243"/>
      <c r="S52" s="243"/>
      <c r="T52" s="243"/>
      <c r="U52" s="243"/>
    </row>
    <row r="53" spans="2:21" ht="12.5">
      <c r="B53" s="145" t="str">
        <f t="shared" si="0"/>
        <v/>
      </c>
      <c r="C53" s="495">
        <f>IF(D11="","-",+C52+1)</f>
        <v>2049</v>
      </c>
      <c r="D53" s="508">
        <f>IF(F52+SUM(E$17:E52)=D$10,F52,D$10-SUM(E$17:E52))</f>
        <v>0</v>
      </c>
      <c r="E53" s="509">
        <f t="shared" si="7"/>
        <v>0</v>
      </c>
      <c r="F53" s="510">
        <f t="shared" si="8"/>
        <v>0</v>
      </c>
      <c r="G53" s="511">
        <f t="shared" si="9"/>
        <v>0</v>
      </c>
      <c r="H53" s="477">
        <f t="shared" si="10"/>
        <v>0</v>
      </c>
      <c r="I53" s="500">
        <f t="shared" si="6"/>
        <v>0</v>
      </c>
      <c r="J53" s="500"/>
      <c r="K53" s="512"/>
      <c r="L53" s="504">
        <f t="shared" si="2"/>
        <v>0</v>
      </c>
      <c r="M53" s="512"/>
      <c r="N53" s="504">
        <f t="shared" si="4"/>
        <v>0</v>
      </c>
      <c r="O53" s="504">
        <f t="shared" si="5"/>
        <v>0</v>
      </c>
      <c r="P53" s="278"/>
      <c r="R53" s="243"/>
      <c r="S53" s="243"/>
      <c r="T53" s="243"/>
      <c r="U53" s="243"/>
    </row>
    <row r="54" spans="2:21" ht="12.5">
      <c r="B54" s="145" t="str">
        <f t="shared" si="0"/>
        <v/>
      </c>
      <c r="C54" s="495">
        <f>IF(D11="","-",+C53+1)</f>
        <v>2050</v>
      </c>
      <c r="D54" s="508">
        <f>IF(F53+SUM(E$17:E53)=D$10,F53,D$10-SUM(E$17:E53))</f>
        <v>0</v>
      </c>
      <c r="E54" s="509">
        <f t="shared" si="7"/>
        <v>0</v>
      </c>
      <c r="F54" s="510">
        <f t="shared" si="8"/>
        <v>0</v>
      </c>
      <c r="G54" s="511">
        <f t="shared" si="9"/>
        <v>0</v>
      </c>
      <c r="H54" s="477">
        <f t="shared" si="10"/>
        <v>0</v>
      </c>
      <c r="I54" s="500">
        <f t="shared" si="6"/>
        <v>0</v>
      </c>
      <c r="J54" s="500"/>
      <c r="K54" s="512"/>
      <c r="L54" s="504">
        <f t="shared" si="2"/>
        <v>0</v>
      </c>
      <c r="M54" s="512"/>
      <c r="N54" s="504">
        <f t="shared" si="4"/>
        <v>0</v>
      </c>
      <c r="O54" s="504">
        <f t="shared" si="5"/>
        <v>0</v>
      </c>
      <c r="P54" s="278"/>
      <c r="R54" s="243"/>
      <c r="S54" s="243"/>
      <c r="T54" s="243"/>
      <c r="U54" s="243"/>
    </row>
    <row r="55" spans="2:21" ht="12.5">
      <c r="B55" s="145" t="str">
        <f t="shared" si="0"/>
        <v/>
      </c>
      <c r="C55" s="495">
        <f>IF(D11="","-",+C54+1)</f>
        <v>2051</v>
      </c>
      <c r="D55" s="508">
        <f>IF(F54+SUM(E$17:E54)=D$10,F54,D$10-SUM(E$17:E54))</f>
        <v>0</v>
      </c>
      <c r="E55" s="509">
        <f t="shared" si="7"/>
        <v>0</v>
      </c>
      <c r="F55" s="510">
        <f t="shared" si="8"/>
        <v>0</v>
      </c>
      <c r="G55" s="511">
        <f t="shared" si="9"/>
        <v>0</v>
      </c>
      <c r="H55" s="477">
        <f t="shared" si="10"/>
        <v>0</v>
      </c>
      <c r="I55" s="500">
        <f t="shared" si="6"/>
        <v>0</v>
      </c>
      <c r="J55" s="500"/>
      <c r="K55" s="512"/>
      <c r="L55" s="504">
        <f t="shared" si="2"/>
        <v>0</v>
      </c>
      <c r="M55" s="512"/>
      <c r="N55" s="504">
        <f t="shared" si="4"/>
        <v>0</v>
      </c>
      <c r="O55" s="504">
        <f t="shared" si="5"/>
        <v>0</v>
      </c>
      <c r="P55" s="278"/>
      <c r="R55" s="243"/>
      <c r="S55" s="243"/>
      <c r="T55" s="243"/>
      <c r="U55" s="243"/>
    </row>
    <row r="56" spans="2:21" ht="12.5">
      <c r="B56" s="145" t="str">
        <f t="shared" si="0"/>
        <v/>
      </c>
      <c r="C56" s="495">
        <f>IF(D11="","-",+C55+1)</f>
        <v>2052</v>
      </c>
      <c r="D56" s="508">
        <f>IF(F55+SUM(E$17:E55)=D$10,F55,D$10-SUM(E$17:E55))</f>
        <v>0</v>
      </c>
      <c r="E56" s="509">
        <f t="shared" si="7"/>
        <v>0</v>
      </c>
      <c r="F56" s="510">
        <f t="shared" si="8"/>
        <v>0</v>
      </c>
      <c r="G56" s="511">
        <f t="shared" si="9"/>
        <v>0</v>
      </c>
      <c r="H56" s="477">
        <f t="shared" si="10"/>
        <v>0</v>
      </c>
      <c r="I56" s="500">
        <f t="shared" si="6"/>
        <v>0</v>
      </c>
      <c r="J56" s="500"/>
      <c r="K56" s="512"/>
      <c r="L56" s="504">
        <f t="shared" si="2"/>
        <v>0</v>
      </c>
      <c r="M56" s="512"/>
      <c r="N56" s="504">
        <f t="shared" si="4"/>
        <v>0</v>
      </c>
      <c r="O56" s="504">
        <f t="shared" si="5"/>
        <v>0</v>
      </c>
      <c r="P56" s="278"/>
      <c r="R56" s="243"/>
      <c r="S56" s="243"/>
      <c r="T56" s="243"/>
      <c r="U56" s="243"/>
    </row>
    <row r="57" spans="2:21" ht="12.5">
      <c r="B57" s="145" t="str">
        <f t="shared" si="0"/>
        <v/>
      </c>
      <c r="C57" s="495">
        <f>IF(D11="","-",+C56+1)</f>
        <v>2053</v>
      </c>
      <c r="D57" s="508">
        <f>IF(F56+SUM(E$17:E56)=D$10,F56,D$10-SUM(E$17:E56))</f>
        <v>0</v>
      </c>
      <c r="E57" s="509">
        <f t="shared" si="7"/>
        <v>0</v>
      </c>
      <c r="F57" s="510">
        <f t="shared" si="8"/>
        <v>0</v>
      </c>
      <c r="G57" s="511">
        <f t="shared" si="9"/>
        <v>0</v>
      </c>
      <c r="H57" s="477">
        <f t="shared" si="10"/>
        <v>0</v>
      </c>
      <c r="I57" s="500">
        <f t="shared" si="6"/>
        <v>0</v>
      </c>
      <c r="J57" s="500"/>
      <c r="K57" s="512"/>
      <c r="L57" s="504">
        <f t="shared" si="2"/>
        <v>0</v>
      </c>
      <c r="M57" s="512"/>
      <c r="N57" s="504">
        <f t="shared" si="4"/>
        <v>0</v>
      </c>
      <c r="O57" s="504">
        <f t="shared" si="5"/>
        <v>0</v>
      </c>
      <c r="P57" s="278"/>
      <c r="R57" s="243"/>
      <c r="S57" s="243"/>
      <c r="T57" s="243"/>
      <c r="U57" s="243"/>
    </row>
    <row r="58" spans="2:21" ht="12.5">
      <c r="B58" s="145" t="str">
        <f t="shared" si="0"/>
        <v/>
      </c>
      <c r="C58" s="495">
        <f>IF(D11="","-",+C57+1)</f>
        <v>2054</v>
      </c>
      <c r="D58" s="508">
        <f>IF(F57+SUM(E$17:E57)=D$10,F57,D$10-SUM(E$17:E57))</f>
        <v>0</v>
      </c>
      <c r="E58" s="509">
        <f t="shared" si="7"/>
        <v>0</v>
      </c>
      <c r="F58" s="510">
        <f t="shared" si="8"/>
        <v>0</v>
      </c>
      <c r="G58" s="511">
        <f t="shared" si="9"/>
        <v>0</v>
      </c>
      <c r="H58" s="477">
        <f t="shared" si="10"/>
        <v>0</v>
      </c>
      <c r="I58" s="500">
        <f t="shared" si="6"/>
        <v>0</v>
      </c>
      <c r="J58" s="500"/>
      <c r="K58" s="512"/>
      <c r="L58" s="504">
        <f t="shared" si="2"/>
        <v>0</v>
      </c>
      <c r="M58" s="512"/>
      <c r="N58" s="504">
        <f t="shared" si="4"/>
        <v>0</v>
      </c>
      <c r="O58" s="504">
        <f t="shared" si="5"/>
        <v>0</v>
      </c>
      <c r="P58" s="278"/>
      <c r="R58" s="243"/>
      <c r="S58" s="243"/>
      <c r="T58" s="243"/>
      <c r="U58" s="243"/>
    </row>
    <row r="59" spans="2:21" ht="12.5">
      <c r="B59" s="145" t="str">
        <f t="shared" si="0"/>
        <v/>
      </c>
      <c r="C59" s="495">
        <f>IF(D11="","-",+C58+1)</f>
        <v>2055</v>
      </c>
      <c r="D59" s="508">
        <f>IF(F58+SUM(E$17:E58)=D$10,F58,D$10-SUM(E$17:E58))</f>
        <v>0</v>
      </c>
      <c r="E59" s="509">
        <f t="shared" si="7"/>
        <v>0</v>
      </c>
      <c r="F59" s="510">
        <f t="shared" si="8"/>
        <v>0</v>
      </c>
      <c r="G59" s="511">
        <f t="shared" si="9"/>
        <v>0</v>
      </c>
      <c r="H59" s="477">
        <f t="shared" si="10"/>
        <v>0</v>
      </c>
      <c r="I59" s="500">
        <f t="shared" si="6"/>
        <v>0</v>
      </c>
      <c r="J59" s="500"/>
      <c r="K59" s="512"/>
      <c r="L59" s="504">
        <f t="shared" si="2"/>
        <v>0</v>
      </c>
      <c r="M59" s="512"/>
      <c r="N59" s="504">
        <f t="shared" si="4"/>
        <v>0</v>
      </c>
      <c r="O59" s="504">
        <f t="shared" si="5"/>
        <v>0</v>
      </c>
      <c r="P59" s="278"/>
      <c r="R59" s="243"/>
      <c r="S59" s="243"/>
      <c r="T59" s="243"/>
      <c r="U59" s="243"/>
    </row>
    <row r="60" spans="2:21" ht="12.5">
      <c r="B60" s="145" t="str">
        <f t="shared" si="0"/>
        <v/>
      </c>
      <c r="C60" s="495">
        <f>IF(D11="","-",+C59+1)</f>
        <v>2056</v>
      </c>
      <c r="D60" s="508">
        <f>IF(F59+SUM(E$17:E59)=D$10,F59,D$10-SUM(E$17:E59))</f>
        <v>0</v>
      </c>
      <c r="E60" s="509">
        <f t="shared" si="7"/>
        <v>0</v>
      </c>
      <c r="F60" s="510">
        <f t="shared" si="8"/>
        <v>0</v>
      </c>
      <c r="G60" s="511">
        <f t="shared" si="9"/>
        <v>0</v>
      </c>
      <c r="H60" s="477">
        <f t="shared" si="10"/>
        <v>0</v>
      </c>
      <c r="I60" s="500">
        <f t="shared" si="6"/>
        <v>0</v>
      </c>
      <c r="J60" s="500"/>
      <c r="K60" s="512"/>
      <c r="L60" s="504">
        <f t="shared" si="2"/>
        <v>0</v>
      </c>
      <c r="M60" s="512"/>
      <c r="N60" s="504">
        <f t="shared" si="4"/>
        <v>0</v>
      </c>
      <c r="O60" s="504">
        <f t="shared" si="5"/>
        <v>0</v>
      </c>
      <c r="P60" s="278"/>
      <c r="R60" s="243"/>
      <c r="S60" s="243"/>
      <c r="T60" s="243"/>
      <c r="U60" s="243"/>
    </row>
    <row r="61" spans="2:21" ht="12.5">
      <c r="B61" s="145" t="str">
        <f t="shared" si="0"/>
        <v/>
      </c>
      <c r="C61" s="495">
        <f>IF(D11="","-",+C60+1)</f>
        <v>2057</v>
      </c>
      <c r="D61" s="508">
        <f>IF(F60+SUM(E$17:E60)=D$10,F60,D$10-SUM(E$17:E60))</f>
        <v>0</v>
      </c>
      <c r="E61" s="509">
        <f t="shared" si="7"/>
        <v>0</v>
      </c>
      <c r="F61" s="510">
        <f t="shared" si="8"/>
        <v>0</v>
      </c>
      <c r="G61" s="511">
        <f t="shared" si="9"/>
        <v>0</v>
      </c>
      <c r="H61" s="477">
        <f t="shared" si="10"/>
        <v>0</v>
      </c>
      <c r="I61" s="500">
        <f t="shared" si="6"/>
        <v>0</v>
      </c>
      <c r="J61" s="500"/>
      <c r="K61" s="512"/>
      <c r="L61" s="504">
        <f t="shared" si="2"/>
        <v>0</v>
      </c>
      <c r="M61" s="512"/>
      <c r="N61" s="504">
        <f t="shared" si="4"/>
        <v>0</v>
      </c>
      <c r="O61" s="504">
        <f t="shared" si="5"/>
        <v>0</v>
      </c>
      <c r="P61" s="278"/>
      <c r="R61" s="243"/>
      <c r="S61" s="243"/>
      <c r="T61" s="243"/>
      <c r="U61" s="243"/>
    </row>
    <row r="62" spans="2:21" ht="12.5">
      <c r="B62" s="145" t="str">
        <f t="shared" si="0"/>
        <v/>
      </c>
      <c r="C62" s="495">
        <f>IF(D11="","-",+C61+1)</f>
        <v>2058</v>
      </c>
      <c r="D62" s="508">
        <f>IF(F61+SUM(E$17:E61)=D$10,F61,D$10-SUM(E$17:E61))</f>
        <v>0</v>
      </c>
      <c r="E62" s="509">
        <f t="shared" si="7"/>
        <v>0</v>
      </c>
      <c r="F62" s="510">
        <f t="shared" si="8"/>
        <v>0</v>
      </c>
      <c r="G62" s="511">
        <f t="shared" si="9"/>
        <v>0</v>
      </c>
      <c r="H62" s="477">
        <f t="shared" si="10"/>
        <v>0</v>
      </c>
      <c r="I62" s="500">
        <f t="shared" si="6"/>
        <v>0</v>
      </c>
      <c r="J62" s="500"/>
      <c r="K62" s="512"/>
      <c r="L62" s="504">
        <f t="shared" si="2"/>
        <v>0</v>
      </c>
      <c r="M62" s="512"/>
      <c r="N62" s="504">
        <f t="shared" si="4"/>
        <v>0</v>
      </c>
      <c r="O62" s="504">
        <f t="shared" si="5"/>
        <v>0</v>
      </c>
      <c r="P62" s="278"/>
      <c r="R62" s="243"/>
      <c r="S62" s="243"/>
      <c r="T62" s="243"/>
      <c r="U62" s="243"/>
    </row>
    <row r="63" spans="2:21" ht="12.5">
      <c r="B63" s="145" t="str">
        <f t="shared" si="0"/>
        <v/>
      </c>
      <c r="C63" s="495">
        <f>IF(D11="","-",+C62+1)</f>
        <v>2059</v>
      </c>
      <c r="D63" s="508">
        <f>IF(F62+SUM(E$17:E62)=D$10,F62,D$10-SUM(E$17:E62))</f>
        <v>0</v>
      </c>
      <c r="E63" s="509">
        <f t="shared" si="7"/>
        <v>0</v>
      </c>
      <c r="F63" s="510">
        <f t="shared" si="8"/>
        <v>0</v>
      </c>
      <c r="G63" s="511">
        <f t="shared" si="9"/>
        <v>0</v>
      </c>
      <c r="H63" s="477">
        <f t="shared" si="10"/>
        <v>0</v>
      </c>
      <c r="I63" s="500">
        <f t="shared" si="6"/>
        <v>0</v>
      </c>
      <c r="J63" s="500"/>
      <c r="K63" s="512"/>
      <c r="L63" s="504">
        <f t="shared" si="2"/>
        <v>0</v>
      </c>
      <c r="M63" s="512"/>
      <c r="N63" s="504">
        <f t="shared" si="4"/>
        <v>0</v>
      </c>
      <c r="O63" s="504">
        <f t="shared" si="5"/>
        <v>0</v>
      </c>
      <c r="P63" s="278"/>
      <c r="R63" s="243"/>
      <c r="S63" s="243"/>
      <c r="T63" s="243"/>
      <c r="U63" s="243"/>
    </row>
    <row r="64" spans="2:21" ht="12.5">
      <c r="B64" s="145" t="str">
        <f t="shared" si="0"/>
        <v/>
      </c>
      <c r="C64" s="495">
        <f>IF(D11="","-",+C63+1)</f>
        <v>2060</v>
      </c>
      <c r="D64" s="508">
        <f>IF(F63+SUM(E$17:E63)=D$10,F63,D$10-SUM(E$17:E63))</f>
        <v>0</v>
      </c>
      <c r="E64" s="509">
        <f t="shared" si="7"/>
        <v>0</v>
      </c>
      <c r="F64" s="510">
        <f t="shared" si="8"/>
        <v>0</v>
      </c>
      <c r="G64" s="511">
        <f t="shared" si="9"/>
        <v>0</v>
      </c>
      <c r="H64" s="477">
        <f t="shared" si="10"/>
        <v>0</v>
      </c>
      <c r="I64" s="500">
        <f t="shared" si="6"/>
        <v>0</v>
      </c>
      <c r="J64" s="500"/>
      <c r="K64" s="512"/>
      <c r="L64" s="504">
        <f t="shared" si="2"/>
        <v>0</v>
      </c>
      <c r="M64" s="512"/>
      <c r="N64" s="504">
        <f t="shared" si="4"/>
        <v>0</v>
      </c>
      <c r="O64" s="504">
        <f t="shared" si="5"/>
        <v>0</v>
      </c>
      <c r="P64" s="278"/>
      <c r="R64" s="243"/>
      <c r="S64" s="243"/>
      <c r="T64" s="243"/>
      <c r="U64" s="243"/>
    </row>
    <row r="65" spans="2:21" ht="12.5">
      <c r="B65" s="145" t="str">
        <f t="shared" si="0"/>
        <v/>
      </c>
      <c r="C65" s="495">
        <f>IF(D11="","-",+C64+1)</f>
        <v>2061</v>
      </c>
      <c r="D65" s="508">
        <f>IF(F64+SUM(E$17:E64)=D$10,F64,D$10-SUM(E$17:E64))</f>
        <v>0</v>
      </c>
      <c r="E65" s="509">
        <f t="shared" si="7"/>
        <v>0</v>
      </c>
      <c r="F65" s="510">
        <f t="shared" si="8"/>
        <v>0</v>
      </c>
      <c r="G65" s="511">
        <f t="shared" si="9"/>
        <v>0</v>
      </c>
      <c r="H65" s="477">
        <f t="shared" si="10"/>
        <v>0</v>
      </c>
      <c r="I65" s="500">
        <f t="shared" si="6"/>
        <v>0</v>
      </c>
      <c r="J65" s="500"/>
      <c r="K65" s="512"/>
      <c r="L65" s="504">
        <f t="shared" si="2"/>
        <v>0</v>
      </c>
      <c r="M65" s="512"/>
      <c r="N65" s="504">
        <f t="shared" si="4"/>
        <v>0</v>
      </c>
      <c r="O65" s="504">
        <f t="shared" si="5"/>
        <v>0</v>
      </c>
      <c r="P65" s="278"/>
      <c r="R65" s="243"/>
      <c r="S65" s="243"/>
      <c r="T65" s="243"/>
      <c r="U65" s="243"/>
    </row>
    <row r="66" spans="2:21" ht="12.5">
      <c r="B66" s="145" t="str">
        <f t="shared" si="0"/>
        <v/>
      </c>
      <c r="C66" s="495">
        <f>IF(D11="","-",+C65+1)</f>
        <v>2062</v>
      </c>
      <c r="D66" s="508">
        <f>IF(F65+SUM(E$17:E65)=D$10,F65,D$10-SUM(E$17:E65))</f>
        <v>0</v>
      </c>
      <c r="E66" s="509">
        <f t="shared" si="7"/>
        <v>0</v>
      </c>
      <c r="F66" s="510">
        <f t="shared" si="8"/>
        <v>0</v>
      </c>
      <c r="G66" s="511">
        <f t="shared" si="9"/>
        <v>0</v>
      </c>
      <c r="H66" s="477">
        <f t="shared" si="10"/>
        <v>0</v>
      </c>
      <c r="I66" s="500">
        <f t="shared" si="6"/>
        <v>0</v>
      </c>
      <c r="J66" s="500"/>
      <c r="K66" s="512"/>
      <c r="L66" s="504">
        <f t="shared" si="2"/>
        <v>0</v>
      </c>
      <c r="M66" s="512"/>
      <c r="N66" s="504">
        <f t="shared" si="4"/>
        <v>0</v>
      </c>
      <c r="O66" s="504">
        <f t="shared" si="5"/>
        <v>0</v>
      </c>
      <c r="P66" s="278"/>
      <c r="R66" s="243"/>
      <c r="S66" s="243"/>
      <c r="T66" s="243"/>
      <c r="U66" s="243"/>
    </row>
    <row r="67" spans="2:21" ht="12.5">
      <c r="B67" s="145" t="str">
        <f t="shared" si="0"/>
        <v/>
      </c>
      <c r="C67" s="495">
        <f>IF(D11="","-",+C66+1)</f>
        <v>2063</v>
      </c>
      <c r="D67" s="508">
        <f>IF(F66+SUM(E$17:E66)=D$10,F66,D$10-SUM(E$17:E66))</f>
        <v>0</v>
      </c>
      <c r="E67" s="509">
        <f t="shared" si="7"/>
        <v>0</v>
      </c>
      <c r="F67" s="510">
        <f t="shared" si="8"/>
        <v>0</v>
      </c>
      <c r="G67" s="511">
        <f t="shared" si="9"/>
        <v>0</v>
      </c>
      <c r="H67" s="477">
        <f t="shared" si="10"/>
        <v>0</v>
      </c>
      <c r="I67" s="500">
        <f t="shared" si="6"/>
        <v>0</v>
      </c>
      <c r="J67" s="500"/>
      <c r="K67" s="512"/>
      <c r="L67" s="504">
        <f t="shared" si="2"/>
        <v>0</v>
      </c>
      <c r="M67" s="512"/>
      <c r="N67" s="504">
        <f t="shared" si="4"/>
        <v>0</v>
      </c>
      <c r="O67" s="504">
        <f t="shared" si="5"/>
        <v>0</v>
      </c>
      <c r="P67" s="278"/>
      <c r="R67" s="243"/>
      <c r="S67" s="243"/>
      <c r="T67" s="243"/>
      <c r="U67" s="243"/>
    </row>
    <row r="68" spans="2:21" ht="12.5">
      <c r="B68" s="145" t="str">
        <f t="shared" si="0"/>
        <v/>
      </c>
      <c r="C68" s="495">
        <f>IF(D11="","-",+C67+1)</f>
        <v>2064</v>
      </c>
      <c r="D68" s="508">
        <f>IF(F67+SUM(E$17:E67)=D$10,F67,D$10-SUM(E$17:E67))</f>
        <v>0</v>
      </c>
      <c r="E68" s="509">
        <f t="shared" si="7"/>
        <v>0</v>
      </c>
      <c r="F68" s="510">
        <f t="shared" si="8"/>
        <v>0</v>
      </c>
      <c r="G68" s="511">
        <f t="shared" si="9"/>
        <v>0</v>
      </c>
      <c r="H68" s="477">
        <f t="shared" si="10"/>
        <v>0</v>
      </c>
      <c r="I68" s="500">
        <f t="shared" si="6"/>
        <v>0</v>
      </c>
      <c r="J68" s="500"/>
      <c r="K68" s="512"/>
      <c r="L68" s="504">
        <f t="shared" si="2"/>
        <v>0</v>
      </c>
      <c r="M68" s="512"/>
      <c r="N68" s="504">
        <f t="shared" si="4"/>
        <v>0</v>
      </c>
      <c r="O68" s="504">
        <f t="shared" si="5"/>
        <v>0</v>
      </c>
      <c r="P68" s="278"/>
      <c r="R68" s="243"/>
      <c r="S68" s="243"/>
      <c r="T68" s="243"/>
      <c r="U68" s="243"/>
    </row>
    <row r="69" spans="2:21" ht="12.5">
      <c r="B69" s="145" t="str">
        <f t="shared" si="0"/>
        <v/>
      </c>
      <c r="C69" s="495">
        <f>IF(D11="","-",+C68+1)</f>
        <v>2065</v>
      </c>
      <c r="D69" s="508">
        <f>IF(F68+SUM(E$17:E68)=D$10,F68,D$10-SUM(E$17:E68))</f>
        <v>0</v>
      </c>
      <c r="E69" s="509">
        <f t="shared" si="7"/>
        <v>0</v>
      </c>
      <c r="F69" s="510">
        <f t="shared" si="8"/>
        <v>0</v>
      </c>
      <c r="G69" s="511">
        <f t="shared" si="9"/>
        <v>0</v>
      </c>
      <c r="H69" s="477">
        <f t="shared" si="10"/>
        <v>0</v>
      </c>
      <c r="I69" s="500">
        <f t="shared" si="6"/>
        <v>0</v>
      </c>
      <c r="J69" s="500"/>
      <c r="K69" s="512"/>
      <c r="L69" s="504">
        <f t="shared" si="2"/>
        <v>0</v>
      </c>
      <c r="M69" s="512"/>
      <c r="N69" s="504">
        <f t="shared" si="4"/>
        <v>0</v>
      </c>
      <c r="O69" s="504">
        <f t="shared" si="5"/>
        <v>0</v>
      </c>
      <c r="P69" s="278"/>
      <c r="R69" s="243"/>
      <c r="S69" s="243"/>
      <c r="T69" s="243"/>
      <c r="U69" s="243"/>
    </row>
    <row r="70" spans="2:21" ht="12.5">
      <c r="B70" s="145" t="str">
        <f t="shared" si="0"/>
        <v/>
      </c>
      <c r="C70" s="495">
        <f>IF(D11="","-",+C69+1)</f>
        <v>2066</v>
      </c>
      <c r="D70" s="508">
        <f>IF(F69+SUM(E$17:E69)=D$10,F69,D$10-SUM(E$17:E69))</f>
        <v>0</v>
      </c>
      <c r="E70" s="509">
        <f t="shared" si="7"/>
        <v>0</v>
      </c>
      <c r="F70" s="510">
        <f t="shared" si="8"/>
        <v>0</v>
      </c>
      <c r="G70" s="511">
        <f t="shared" si="9"/>
        <v>0</v>
      </c>
      <c r="H70" s="477">
        <f t="shared" si="10"/>
        <v>0</v>
      </c>
      <c r="I70" s="500">
        <f t="shared" si="6"/>
        <v>0</v>
      </c>
      <c r="J70" s="500"/>
      <c r="K70" s="512"/>
      <c r="L70" s="504">
        <f t="shared" si="2"/>
        <v>0</v>
      </c>
      <c r="M70" s="512"/>
      <c r="N70" s="504">
        <f t="shared" si="4"/>
        <v>0</v>
      </c>
      <c r="O70" s="504">
        <f t="shared" si="5"/>
        <v>0</v>
      </c>
      <c r="P70" s="278"/>
      <c r="R70" s="243"/>
      <c r="S70" s="243"/>
      <c r="T70" s="243"/>
      <c r="U70" s="243"/>
    </row>
    <row r="71" spans="2:21" ht="12.5">
      <c r="B71" s="145" t="str">
        <f t="shared" si="0"/>
        <v/>
      </c>
      <c r="C71" s="495">
        <f>IF(D11="","-",+C70+1)</f>
        <v>2067</v>
      </c>
      <c r="D71" s="508">
        <f>IF(F70+SUM(E$17:E70)=D$10,F70,D$10-SUM(E$17:E70))</f>
        <v>0</v>
      </c>
      <c r="E71" s="509">
        <f t="shared" si="7"/>
        <v>0</v>
      </c>
      <c r="F71" s="510">
        <f t="shared" si="8"/>
        <v>0</v>
      </c>
      <c r="G71" s="511">
        <f t="shared" si="9"/>
        <v>0</v>
      </c>
      <c r="H71" s="477">
        <f t="shared" si="10"/>
        <v>0</v>
      </c>
      <c r="I71" s="500">
        <f t="shared" si="6"/>
        <v>0</v>
      </c>
      <c r="J71" s="500"/>
      <c r="K71" s="512"/>
      <c r="L71" s="504">
        <f t="shared" si="2"/>
        <v>0</v>
      </c>
      <c r="M71" s="512"/>
      <c r="N71" s="504">
        <f t="shared" si="4"/>
        <v>0</v>
      </c>
      <c r="O71" s="504">
        <f t="shared" si="5"/>
        <v>0</v>
      </c>
      <c r="P71" s="278"/>
      <c r="R71" s="243"/>
      <c r="S71" s="243"/>
      <c r="T71" s="243"/>
      <c r="U71" s="243"/>
    </row>
    <row r="72" spans="2:21" ht="12.5">
      <c r="B72" s="145" t="str">
        <f t="shared" si="0"/>
        <v/>
      </c>
      <c r="C72" s="495">
        <f>IF(D11="","-",+C71+1)</f>
        <v>2068</v>
      </c>
      <c r="D72" s="508">
        <f>IF(F71+SUM(E$17:E71)=D$10,F71,D$10-SUM(E$17:E71))</f>
        <v>0</v>
      </c>
      <c r="E72" s="509">
        <f t="shared" si="7"/>
        <v>0</v>
      </c>
      <c r="F72" s="510">
        <f t="shared" si="8"/>
        <v>0</v>
      </c>
      <c r="G72" s="511">
        <f t="shared" si="9"/>
        <v>0</v>
      </c>
      <c r="H72" s="477">
        <f t="shared" si="10"/>
        <v>0</v>
      </c>
      <c r="I72" s="500">
        <f t="shared" si="6"/>
        <v>0</v>
      </c>
      <c r="J72" s="500"/>
      <c r="K72" s="512"/>
      <c r="L72" s="504">
        <f t="shared" si="2"/>
        <v>0</v>
      </c>
      <c r="M72" s="512"/>
      <c r="N72" s="504">
        <f t="shared" si="4"/>
        <v>0</v>
      </c>
      <c r="O72" s="504">
        <f t="shared" si="5"/>
        <v>0</v>
      </c>
      <c r="P72" s="278"/>
      <c r="R72" s="243"/>
      <c r="S72" s="243"/>
      <c r="T72" s="243"/>
      <c r="U72" s="243"/>
    </row>
    <row r="73" spans="2:21" ht="13" thickBot="1">
      <c r="B73" s="145" t="str">
        <f t="shared" si="0"/>
        <v/>
      </c>
      <c r="C73" s="524">
        <f>IF(D11="","-",+C72+1)</f>
        <v>2069</v>
      </c>
      <c r="D73" s="525">
        <f>IF(F72+SUM(E$17:E72)=D$10,F72,D$10-SUM(E$17:E72))</f>
        <v>0</v>
      </c>
      <c r="E73" s="526">
        <f t="shared" si="7"/>
        <v>0</v>
      </c>
      <c r="F73" s="527">
        <f t="shared" si="8"/>
        <v>0</v>
      </c>
      <c r="G73" s="527">
        <f t="shared" si="9"/>
        <v>0</v>
      </c>
      <c r="H73" s="527">
        <f t="shared" si="10"/>
        <v>0</v>
      </c>
      <c r="I73" s="529">
        <f t="shared" si="6"/>
        <v>0</v>
      </c>
      <c r="J73" s="500"/>
      <c r="K73" s="530"/>
      <c r="L73" s="531">
        <f t="shared" si="2"/>
        <v>0</v>
      </c>
      <c r="M73" s="530"/>
      <c r="N73" s="531">
        <f t="shared" si="4"/>
        <v>0</v>
      </c>
      <c r="O73" s="531">
        <f t="shared" si="5"/>
        <v>0</v>
      </c>
      <c r="P73" s="278"/>
      <c r="R73" s="243"/>
      <c r="S73" s="243"/>
      <c r="T73" s="243"/>
      <c r="U73" s="243"/>
    </row>
    <row r="74" spans="2:21" ht="12.5">
      <c r="C74" s="349" t="s">
        <v>75</v>
      </c>
      <c r="D74" s="294"/>
      <c r="E74" s="294">
        <f>SUM(E17:E73)</f>
        <v>4817114</v>
      </c>
      <c r="F74" s="294"/>
      <c r="G74" s="294">
        <f>SUM(G17:G73)</f>
        <v>6929311.1049979469</v>
      </c>
      <c r="H74" s="294">
        <f>SUM(H17:H73)</f>
        <v>6929311.1049979469</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13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0</v>
      </c>
      <c r="N88" s="544">
        <f>IF(J93&lt;D11,0,VLOOKUP(J93,C17:O73,11))</f>
        <v>0</v>
      </c>
      <c r="O88" s="545">
        <f>+N88-M88</f>
        <v>0</v>
      </c>
      <c r="P88" s="243"/>
      <c r="Q88" s="243"/>
      <c r="R88" s="243"/>
      <c r="S88" s="243"/>
      <c r="T88" s="243"/>
      <c r="U88" s="243"/>
    </row>
    <row r="89" spans="1:21" ht="15.5">
      <c r="C89" s="636" t="s">
        <v>266</v>
      </c>
      <c r="D89" s="292"/>
      <c r="E89" s="243"/>
      <c r="F89" s="243"/>
      <c r="G89" s="243"/>
      <c r="H89" s="243"/>
      <c r="I89" s="449"/>
      <c r="J89" s="449"/>
      <c r="K89" s="546"/>
      <c r="L89" s="547" t="s">
        <v>254</v>
      </c>
      <c r="M89" s="548">
        <f>IF(J93&lt;D11,0,VLOOKUP(J93,C100:P155,6))</f>
        <v>611561.28076019743</v>
      </c>
      <c r="N89" s="548">
        <f>IF(J93&lt;D11,0,VLOOKUP(J93,C100:P155,7))</f>
        <v>611561.28076019743</v>
      </c>
      <c r="O89" s="549">
        <f>+N89-M89</f>
        <v>0</v>
      </c>
      <c r="P89" s="243"/>
      <c r="Q89" s="243"/>
      <c r="R89" s="243"/>
      <c r="S89" s="243"/>
      <c r="T89" s="243"/>
      <c r="U89" s="243"/>
    </row>
    <row r="90" spans="1:21" ht="13.5" thickBot="1">
      <c r="C90" s="454" t="s">
        <v>82</v>
      </c>
      <c r="D90" s="550" t="str">
        <f>+D7</f>
        <v>Ellis 138 kV</v>
      </c>
      <c r="E90" s="243"/>
      <c r="F90" s="243"/>
      <c r="G90" s="243"/>
      <c r="H90" s="243"/>
      <c r="I90" s="325"/>
      <c r="J90" s="325"/>
      <c r="K90" s="551"/>
      <c r="L90" s="552" t="s">
        <v>135</v>
      </c>
      <c r="M90" s="553">
        <f>+M89-M88</f>
        <v>611561.28076019743</v>
      </c>
      <c r="N90" s="553">
        <f>+N89-N88</f>
        <v>611561.28076019743</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TP2012055</v>
      </c>
      <c r="E92" s="558"/>
      <c r="F92" s="558"/>
      <c r="G92" s="558"/>
      <c r="H92" s="558"/>
      <c r="I92" s="558"/>
      <c r="J92" s="558"/>
      <c r="K92" s="560"/>
      <c r="P92" s="468"/>
      <c r="Q92" s="243"/>
      <c r="R92" s="243"/>
      <c r="S92" s="243"/>
      <c r="T92" s="243"/>
      <c r="U92" s="243"/>
    </row>
    <row r="93" spans="1:21" ht="13">
      <c r="C93" s="472" t="s">
        <v>49</v>
      </c>
      <c r="D93" s="470">
        <v>4817114</v>
      </c>
      <c r="E93" s="248" t="s">
        <v>84</v>
      </c>
      <c r="H93" s="408"/>
      <c r="I93" s="408"/>
      <c r="J93" s="471">
        <f>+'OKT.WS.G.BPU.ATRR.True-up'!M16</f>
        <v>2019</v>
      </c>
      <c r="K93" s="467"/>
      <c r="L93" s="294" t="s">
        <v>85</v>
      </c>
      <c r="P93" s="278"/>
      <c r="Q93" s="243"/>
      <c r="R93" s="243"/>
      <c r="S93" s="243"/>
      <c r="T93" s="243"/>
      <c r="U93" s="243"/>
    </row>
    <row r="94" spans="1:21" ht="12.5">
      <c r="C94" s="472" t="s">
        <v>52</v>
      </c>
      <c r="D94" s="561">
        <f>D11</f>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D12</f>
        <v>10</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145973.15151515152</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2013</v>
      </c>
      <c r="D100" s="349"/>
      <c r="E100" s="511"/>
      <c r="F100" s="510"/>
      <c r="G100" s="605"/>
      <c r="H100" s="605"/>
      <c r="I100" s="605"/>
      <c r="J100" s="504"/>
      <c r="K100" s="504"/>
      <c r="L100" s="501"/>
      <c r="M100" s="502">
        <f t="shared" ref="M100:M131" si="11">IF(L100&lt;&gt;0,+H100-L100,0)</f>
        <v>0</v>
      </c>
      <c r="N100" s="501"/>
      <c r="O100" s="503">
        <f t="shared" ref="O100:O131" si="12">IF(N100&lt;&gt;0,+I100-N100,0)</f>
        <v>0</v>
      </c>
      <c r="P100" s="503">
        <f t="shared" ref="P100:P131" si="13">+O100-M100</f>
        <v>0</v>
      </c>
      <c r="Q100" s="243"/>
      <c r="R100" s="243"/>
      <c r="S100" s="243"/>
      <c r="T100" s="243"/>
      <c r="U100" s="243"/>
    </row>
    <row r="101" spans="1:21" ht="12.5">
      <c r="C101" s="495">
        <f>IF(D94="","-",+C100+1)</f>
        <v>2014</v>
      </c>
      <c r="D101" s="349"/>
      <c r="E101" s="509"/>
      <c r="F101" s="510"/>
      <c r="G101" s="510"/>
      <c r="H101" s="627"/>
      <c r="I101" s="628"/>
      <c r="J101" s="504"/>
      <c r="K101" s="504"/>
      <c r="L101" s="506"/>
      <c r="M101" s="507">
        <f t="shared" si="11"/>
        <v>0</v>
      </c>
      <c r="N101" s="506"/>
      <c r="O101" s="504">
        <f t="shared" si="12"/>
        <v>0</v>
      </c>
      <c r="P101" s="504">
        <f t="shared" si="13"/>
        <v>0</v>
      </c>
      <c r="Q101" s="243"/>
      <c r="R101" s="243"/>
      <c r="S101" s="243"/>
      <c r="T101" s="243"/>
      <c r="U101" s="243"/>
    </row>
    <row r="102" spans="1:21" ht="12.5">
      <c r="B102" s="145" t="str">
        <f t="shared" ref="B102:B155" si="14">IF(D102=F101,"","IU")</f>
        <v>IU</v>
      </c>
      <c r="C102" s="495">
        <f>IF(D94="","-",+C101+1)</f>
        <v>2015</v>
      </c>
      <c r="D102" s="496">
        <v>4004216.6870407565</v>
      </c>
      <c r="E102" s="498">
        <v>85139.5</v>
      </c>
      <c r="F102" s="505">
        <v>3919077.1870407565</v>
      </c>
      <c r="G102" s="505">
        <v>3961646.9370407565</v>
      </c>
      <c r="H102" s="498">
        <v>526187.38978732098</v>
      </c>
      <c r="I102" s="499">
        <v>526187.38978732098</v>
      </c>
      <c r="J102" s="504">
        <v>0</v>
      </c>
      <c r="K102" s="504"/>
      <c r="L102" s="506">
        <f>H102</f>
        <v>526187.38978732098</v>
      </c>
      <c r="M102" s="504">
        <f>IF(L102&lt;&gt;0,+H102-L102,0)</f>
        <v>0</v>
      </c>
      <c r="N102" s="506">
        <f>I102</f>
        <v>526187.38978732098</v>
      </c>
      <c r="O102" s="504">
        <f t="shared" si="12"/>
        <v>0</v>
      </c>
      <c r="P102" s="504">
        <f t="shared" si="13"/>
        <v>0</v>
      </c>
      <c r="Q102" s="243"/>
      <c r="R102" s="243"/>
      <c r="S102" s="243"/>
      <c r="T102" s="243"/>
      <c r="U102" s="243"/>
    </row>
    <row r="103" spans="1:21" ht="12.5">
      <c r="B103" s="145" t="str">
        <f t="shared" si="14"/>
        <v>IU</v>
      </c>
      <c r="C103" s="495">
        <f>IF(D94="","-",+C102+1)</f>
        <v>2016</v>
      </c>
      <c r="D103" s="496">
        <v>4714898.5</v>
      </c>
      <c r="E103" s="498">
        <v>94118.392156862741</v>
      </c>
      <c r="F103" s="505">
        <v>4620780.1078431373</v>
      </c>
      <c r="G103" s="505">
        <v>4667839.3039215691</v>
      </c>
      <c r="H103" s="498">
        <v>599969.61415819218</v>
      </c>
      <c r="I103" s="499">
        <v>599969.61415819218</v>
      </c>
      <c r="J103" s="504">
        <f>+I103-H103</f>
        <v>0</v>
      </c>
      <c r="K103" s="504"/>
      <c r="L103" s="506">
        <f>H103</f>
        <v>599969.61415819218</v>
      </c>
      <c r="M103" s="504">
        <f>IF(L103&lt;&gt;0,+H103-L103,0)</f>
        <v>0</v>
      </c>
      <c r="N103" s="506">
        <f>I103</f>
        <v>599969.61415819218</v>
      </c>
      <c r="O103" s="504">
        <f>IF(N103&lt;&gt;0,+I103-N103,0)</f>
        <v>0</v>
      </c>
      <c r="P103" s="504">
        <f>+O103-M103</f>
        <v>0</v>
      </c>
      <c r="Q103" s="243"/>
      <c r="R103" s="243"/>
      <c r="S103" s="243"/>
      <c r="T103" s="243"/>
      <c r="U103" s="243"/>
    </row>
    <row r="104" spans="1:21" ht="12.5">
      <c r="B104" s="145" t="str">
        <f t="shared" si="14"/>
        <v>IU</v>
      </c>
      <c r="C104" s="495">
        <f>IF(D94="","-",+C103+1)</f>
        <v>2017</v>
      </c>
      <c r="D104" s="496">
        <v>4637856.1078431373</v>
      </c>
      <c r="E104" s="498">
        <v>120427.85</v>
      </c>
      <c r="F104" s="505">
        <v>4517428.2578431377</v>
      </c>
      <c r="G104" s="505">
        <v>4577642.1828431375</v>
      </c>
      <c r="H104" s="498">
        <v>657549.4515750818</v>
      </c>
      <c r="I104" s="499">
        <v>657549.4515750818</v>
      </c>
      <c r="J104" s="504">
        <v>0</v>
      </c>
      <c r="K104" s="504"/>
      <c r="L104" s="506">
        <f>H104</f>
        <v>657549.4515750818</v>
      </c>
      <c r="M104" s="504">
        <f>IF(L104&lt;&gt;0,+H104-L104,0)</f>
        <v>0</v>
      </c>
      <c r="N104" s="506">
        <f>I104</f>
        <v>657549.4515750818</v>
      </c>
      <c r="O104" s="504">
        <f>IF(N104&lt;&gt;0,+I104-N104,0)</f>
        <v>0</v>
      </c>
      <c r="P104" s="504">
        <f>+O104-M104</f>
        <v>0</v>
      </c>
      <c r="Q104" s="243"/>
      <c r="R104" s="243"/>
      <c r="S104" s="243"/>
      <c r="T104" s="243"/>
      <c r="U104" s="243"/>
    </row>
    <row r="105" spans="1:21" ht="12.5">
      <c r="B105" s="145" t="str">
        <f t="shared" si="14"/>
        <v/>
      </c>
      <c r="C105" s="495">
        <f>IF(D94="","-",+C104+1)</f>
        <v>2018</v>
      </c>
      <c r="D105" s="496">
        <v>4517428.2578431377</v>
      </c>
      <c r="E105" s="498">
        <v>133808.72222222222</v>
      </c>
      <c r="F105" s="505">
        <v>4383619.5356209157</v>
      </c>
      <c r="G105" s="505">
        <v>4450523.8967320267</v>
      </c>
      <c r="H105" s="498">
        <v>603616.92453524831</v>
      </c>
      <c r="I105" s="499">
        <v>603616.92453524831</v>
      </c>
      <c r="J105" s="504">
        <f t="shared" ref="J105:J155" si="15">+I105-H105</f>
        <v>0</v>
      </c>
      <c r="K105" s="504"/>
      <c r="L105" s="506">
        <f>H105</f>
        <v>603616.92453524831</v>
      </c>
      <c r="M105" s="504">
        <f>IF(L105&lt;&gt;0,+H105-L105,0)</f>
        <v>0</v>
      </c>
      <c r="N105" s="506">
        <f>I105</f>
        <v>603616.92453524831</v>
      </c>
      <c r="O105" s="504">
        <f>IF(N105&lt;&gt;0,+I105-N105,0)</f>
        <v>0</v>
      </c>
      <c r="P105" s="504">
        <f>+O105-M105</f>
        <v>0</v>
      </c>
      <c r="Q105" s="243"/>
      <c r="R105" s="243"/>
      <c r="S105" s="243"/>
      <c r="T105" s="243"/>
      <c r="U105" s="243"/>
    </row>
    <row r="106" spans="1:21" ht="12.5">
      <c r="B106" s="145" t="str">
        <f t="shared" si="14"/>
        <v/>
      </c>
      <c r="C106" s="495">
        <f>IF(D94="","-",+C105+1)</f>
        <v>2019</v>
      </c>
      <c r="D106" s="349">
        <f>IF(F105+SUM(E$100:E105)=D$93,F105,D$93-SUM(E$100:E105))</f>
        <v>4383619.5356209157</v>
      </c>
      <c r="E106" s="629">
        <f t="shared" ref="E106:E155" si="16">IF(+$J$97&lt;F105,$J$97,D106)</f>
        <v>145973.15151515152</v>
      </c>
      <c r="F106" s="510">
        <f t="shared" ref="F106:F155" si="17">+D106-E106</f>
        <v>4237646.3841057643</v>
      </c>
      <c r="G106" s="510">
        <f t="shared" ref="G106:G155" si="18">+(F106+D106)/2</f>
        <v>4310632.9598633405</v>
      </c>
      <c r="H106" s="630">
        <f t="shared" ref="H106:H155" si="19">+J$95*G106+E106</f>
        <v>611561.28076019743</v>
      </c>
      <c r="I106" s="631">
        <f t="shared" ref="I106:I155" si="20">+J$96*G106+E106</f>
        <v>611561.28076019743</v>
      </c>
      <c r="J106" s="504">
        <f t="shared" si="15"/>
        <v>0</v>
      </c>
      <c r="K106" s="504"/>
      <c r="L106" s="512"/>
      <c r="M106" s="504">
        <f t="shared" si="11"/>
        <v>0</v>
      </c>
      <c r="N106" s="512"/>
      <c r="O106" s="504">
        <f t="shared" si="12"/>
        <v>0</v>
      </c>
      <c r="P106" s="504">
        <f t="shared" si="13"/>
        <v>0</v>
      </c>
      <c r="Q106" s="243"/>
      <c r="R106" s="243"/>
      <c r="S106" s="243"/>
      <c r="T106" s="243"/>
      <c r="U106" s="243"/>
    </row>
    <row r="107" spans="1:21" ht="12.5">
      <c r="B107" s="145" t="str">
        <f t="shared" si="14"/>
        <v/>
      </c>
      <c r="C107" s="495">
        <f>IF(D94="","-",+C106+1)</f>
        <v>2020</v>
      </c>
      <c r="D107" s="349">
        <f>IF(F106+SUM(E$100:E106)=D$93,F106,D$93-SUM(E$100:E106))</f>
        <v>4237646.3841057643</v>
      </c>
      <c r="E107" s="629">
        <f t="shared" si="16"/>
        <v>145973.15151515152</v>
      </c>
      <c r="F107" s="510">
        <f t="shared" si="17"/>
        <v>4091673.232590613</v>
      </c>
      <c r="G107" s="510">
        <f t="shared" si="18"/>
        <v>4164659.8083481886</v>
      </c>
      <c r="H107" s="630">
        <f t="shared" si="19"/>
        <v>595794.83365909755</v>
      </c>
      <c r="I107" s="631">
        <f t="shared" si="20"/>
        <v>595794.83365909755</v>
      </c>
      <c r="J107" s="504">
        <f t="shared" si="15"/>
        <v>0</v>
      </c>
      <c r="K107" s="504"/>
      <c r="L107" s="512"/>
      <c r="M107" s="504">
        <f t="shared" si="11"/>
        <v>0</v>
      </c>
      <c r="N107" s="512"/>
      <c r="O107" s="504">
        <f t="shared" si="12"/>
        <v>0</v>
      </c>
      <c r="P107" s="504">
        <f t="shared" si="13"/>
        <v>0</v>
      </c>
      <c r="Q107" s="243"/>
      <c r="R107" s="243"/>
      <c r="S107" s="243"/>
      <c r="T107" s="243"/>
      <c r="U107" s="243"/>
    </row>
    <row r="108" spans="1:21" ht="12.5">
      <c r="B108" s="145" t="str">
        <f t="shared" si="14"/>
        <v/>
      </c>
      <c r="C108" s="495">
        <f>IF(D94="","-",+C107+1)</f>
        <v>2021</v>
      </c>
      <c r="D108" s="349">
        <f>IF(F107+SUM(E$100:E107)=D$93,F107,D$93-SUM(E$100:E107))</f>
        <v>4091673.232590613</v>
      </c>
      <c r="E108" s="629">
        <f t="shared" si="16"/>
        <v>145973.15151515152</v>
      </c>
      <c r="F108" s="510">
        <f t="shared" si="17"/>
        <v>3945700.0810754616</v>
      </c>
      <c r="G108" s="510">
        <f t="shared" si="18"/>
        <v>4018686.6568330373</v>
      </c>
      <c r="H108" s="630">
        <f t="shared" si="19"/>
        <v>580028.38655799767</v>
      </c>
      <c r="I108" s="631">
        <f t="shared" si="20"/>
        <v>580028.38655799767</v>
      </c>
      <c r="J108" s="504">
        <f t="shared" si="15"/>
        <v>0</v>
      </c>
      <c r="K108" s="504"/>
      <c r="L108" s="512"/>
      <c r="M108" s="504">
        <f t="shared" si="11"/>
        <v>0</v>
      </c>
      <c r="N108" s="512"/>
      <c r="O108" s="504">
        <f t="shared" si="12"/>
        <v>0</v>
      </c>
      <c r="P108" s="504">
        <f t="shared" si="13"/>
        <v>0</v>
      </c>
      <c r="Q108" s="243"/>
      <c r="R108" s="243"/>
      <c r="S108" s="243"/>
      <c r="T108" s="243"/>
      <c r="U108" s="243"/>
    </row>
    <row r="109" spans="1:21" ht="12.5">
      <c r="B109" s="145" t="str">
        <f t="shared" si="14"/>
        <v/>
      </c>
      <c r="C109" s="495">
        <f>IF(D94="","-",+C108+1)</f>
        <v>2022</v>
      </c>
      <c r="D109" s="349">
        <f>IF(F108+SUM(E$100:E108)=D$93,F108,D$93-SUM(E$100:E108))</f>
        <v>3945700.0810754616</v>
      </c>
      <c r="E109" s="629">
        <f t="shared" si="16"/>
        <v>145973.15151515152</v>
      </c>
      <c r="F109" s="510">
        <f t="shared" si="17"/>
        <v>3799726.9295603102</v>
      </c>
      <c r="G109" s="510">
        <f t="shared" si="18"/>
        <v>3872713.5053178859</v>
      </c>
      <c r="H109" s="630">
        <f t="shared" si="19"/>
        <v>564261.93945689779</v>
      </c>
      <c r="I109" s="631">
        <f t="shared" si="20"/>
        <v>564261.93945689779</v>
      </c>
      <c r="J109" s="504">
        <f t="shared" si="15"/>
        <v>0</v>
      </c>
      <c r="K109" s="504"/>
      <c r="L109" s="512"/>
      <c r="M109" s="504">
        <f t="shared" si="11"/>
        <v>0</v>
      </c>
      <c r="N109" s="512"/>
      <c r="O109" s="504">
        <f t="shared" si="12"/>
        <v>0</v>
      </c>
      <c r="P109" s="504">
        <f t="shared" si="13"/>
        <v>0</v>
      </c>
      <c r="Q109" s="243"/>
      <c r="R109" s="243"/>
      <c r="S109" s="243"/>
      <c r="T109" s="243"/>
      <c r="U109" s="243"/>
    </row>
    <row r="110" spans="1:21" ht="12.5">
      <c r="B110" s="145" t="str">
        <f t="shared" si="14"/>
        <v/>
      </c>
      <c r="C110" s="495">
        <f>IF(D94="","-",+C109+1)</f>
        <v>2023</v>
      </c>
      <c r="D110" s="349">
        <f>IF(F109+SUM(E$100:E109)=D$93,F109,D$93-SUM(E$100:E109))</f>
        <v>3799726.9295603102</v>
      </c>
      <c r="E110" s="629">
        <f t="shared" si="16"/>
        <v>145973.15151515152</v>
      </c>
      <c r="F110" s="510">
        <f t="shared" si="17"/>
        <v>3653753.7780451588</v>
      </c>
      <c r="G110" s="510">
        <f t="shared" si="18"/>
        <v>3726740.3538027345</v>
      </c>
      <c r="H110" s="630">
        <f t="shared" si="19"/>
        <v>548495.49235579791</v>
      </c>
      <c r="I110" s="631">
        <f t="shared" si="20"/>
        <v>548495.49235579791</v>
      </c>
      <c r="J110" s="504">
        <f t="shared" si="15"/>
        <v>0</v>
      </c>
      <c r="K110" s="504"/>
      <c r="L110" s="512"/>
      <c r="M110" s="504">
        <f t="shared" si="11"/>
        <v>0</v>
      </c>
      <c r="N110" s="512"/>
      <c r="O110" s="504">
        <f t="shared" si="12"/>
        <v>0</v>
      </c>
      <c r="P110" s="504">
        <f t="shared" si="13"/>
        <v>0</v>
      </c>
      <c r="Q110" s="243"/>
      <c r="R110" s="243"/>
      <c r="S110" s="243"/>
      <c r="T110" s="243"/>
      <c r="U110" s="243"/>
    </row>
    <row r="111" spans="1:21" ht="12.5">
      <c r="B111" s="145" t="str">
        <f t="shared" si="14"/>
        <v/>
      </c>
      <c r="C111" s="495">
        <f>IF(D94="","-",+C110+1)</f>
        <v>2024</v>
      </c>
      <c r="D111" s="349">
        <f>IF(F110+SUM(E$100:E110)=D$93,F110,D$93-SUM(E$100:E110))</f>
        <v>3653753.7780451588</v>
      </c>
      <c r="E111" s="629">
        <f t="shared" si="16"/>
        <v>145973.15151515152</v>
      </c>
      <c r="F111" s="510">
        <f t="shared" si="17"/>
        <v>3507780.6265300075</v>
      </c>
      <c r="G111" s="510">
        <f t="shared" si="18"/>
        <v>3580767.2022875831</v>
      </c>
      <c r="H111" s="630">
        <f t="shared" si="19"/>
        <v>532729.04525469802</v>
      </c>
      <c r="I111" s="631">
        <f t="shared" si="20"/>
        <v>532729.04525469802</v>
      </c>
      <c r="J111" s="504">
        <f t="shared" si="15"/>
        <v>0</v>
      </c>
      <c r="K111" s="504"/>
      <c r="L111" s="512"/>
      <c r="M111" s="504">
        <f t="shared" si="11"/>
        <v>0</v>
      </c>
      <c r="N111" s="512"/>
      <c r="O111" s="504">
        <f t="shared" si="12"/>
        <v>0</v>
      </c>
      <c r="P111" s="504">
        <f t="shared" si="13"/>
        <v>0</v>
      </c>
      <c r="Q111" s="243"/>
      <c r="R111" s="243"/>
      <c r="S111" s="243"/>
      <c r="T111" s="243"/>
      <c r="U111" s="243"/>
    </row>
    <row r="112" spans="1:21" ht="12.5">
      <c r="B112" s="145" t="str">
        <f t="shared" si="14"/>
        <v/>
      </c>
      <c r="C112" s="495">
        <f>IF(D94="","-",+C111+1)</f>
        <v>2025</v>
      </c>
      <c r="D112" s="349">
        <f>IF(F111+SUM(E$100:E111)=D$93,F111,D$93-SUM(E$100:E111))</f>
        <v>3507780.6265300075</v>
      </c>
      <c r="E112" s="629">
        <f t="shared" si="16"/>
        <v>145973.15151515152</v>
      </c>
      <c r="F112" s="510">
        <f t="shared" si="17"/>
        <v>3361807.4750148561</v>
      </c>
      <c r="G112" s="510">
        <f t="shared" si="18"/>
        <v>3434794.0507724318</v>
      </c>
      <c r="H112" s="630">
        <f t="shared" si="19"/>
        <v>516962.59815359814</v>
      </c>
      <c r="I112" s="631">
        <f t="shared" si="20"/>
        <v>516962.59815359814</v>
      </c>
      <c r="J112" s="504">
        <f t="shared" si="15"/>
        <v>0</v>
      </c>
      <c r="K112" s="504"/>
      <c r="L112" s="512"/>
      <c r="M112" s="504">
        <f t="shared" si="11"/>
        <v>0</v>
      </c>
      <c r="N112" s="512"/>
      <c r="O112" s="504">
        <f t="shared" si="12"/>
        <v>0</v>
      </c>
      <c r="P112" s="504">
        <f t="shared" si="13"/>
        <v>0</v>
      </c>
      <c r="Q112" s="243"/>
      <c r="R112" s="243"/>
      <c r="S112" s="243"/>
      <c r="T112" s="243"/>
      <c r="U112" s="243"/>
    </row>
    <row r="113" spans="2:21" ht="12.5">
      <c r="B113" s="145" t="str">
        <f t="shared" si="14"/>
        <v/>
      </c>
      <c r="C113" s="495">
        <f>IF(D94="","-",+C112+1)</f>
        <v>2026</v>
      </c>
      <c r="D113" s="349">
        <f>IF(F112+SUM(E$100:E112)=D$93,F112,D$93-SUM(E$100:E112))</f>
        <v>3361807.4750148561</v>
      </c>
      <c r="E113" s="629">
        <f t="shared" si="16"/>
        <v>145973.15151515152</v>
      </c>
      <c r="F113" s="510">
        <f t="shared" si="17"/>
        <v>3215834.3234997047</v>
      </c>
      <c r="G113" s="510">
        <f t="shared" si="18"/>
        <v>3288820.8992572804</v>
      </c>
      <c r="H113" s="630">
        <f t="shared" si="19"/>
        <v>501196.15105249826</v>
      </c>
      <c r="I113" s="631">
        <f t="shared" si="20"/>
        <v>501196.15105249826</v>
      </c>
      <c r="J113" s="504">
        <f t="shared" si="15"/>
        <v>0</v>
      </c>
      <c r="K113" s="504"/>
      <c r="L113" s="512"/>
      <c r="M113" s="504">
        <f t="shared" si="11"/>
        <v>0</v>
      </c>
      <c r="N113" s="512"/>
      <c r="O113" s="504">
        <f t="shared" si="12"/>
        <v>0</v>
      </c>
      <c r="P113" s="504">
        <f t="shared" si="13"/>
        <v>0</v>
      </c>
      <c r="Q113" s="243"/>
      <c r="R113" s="243"/>
      <c r="S113" s="243"/>
      <c r="T113" s="243"/>
      <c r="U113" s="243"/>
    </row>
    <row r="114" spans="2:21" ht="12.5">
      <c r="B114" s="145" t="str">
        <f t="shared" si="14"/>
        <v/>
      </c>
      <c r="C114" s="495">
        <f>IF(D94="","-",+C113+1)</f>
        <v>2027</v>
      </c>
      <c r="D114" s="349">
        <f>IF(F113+SUM(E$100:E113)=D$93,F113,D$93-SUM(E$100:E113))</f>
        <v>3215834.3234997047</v>
      </c>
      <c r="E114" s="629">
        <f t="shared" si="16"/>
        <v>145973.15151515152</v>
      </c>
      <c r="F114" s="510">
        <f t="shared" si="17"/>
        <v>3069861.1719845533</v>
      </c>
      <c r="G114" s="510">
        <f t="shared" si="18"/>
        <v>3142847.747742129</v>
      </c>
      <c r="H114" s="630">
        <f t="shared" si="19"/>
        <v>485429.70395139838</v>
      </c>
      <c r="I114" s="631">
        <f t="shared" si="20"/>
        <v>485429.70395139838</v>
      </c>
      <c r="J114" s="504">
        <f t="shared" si="15"/>
        <v>0</v>
      </c>
      <c r="K114" s="504"/>
      <c r="L114" s="512"/>
      <c r="M114" s="504">
        <f t="shared" si="11"/>
        <v>0</v>
      </c>
      <c r="N114" s="512"/>
      <c r="O114" s="504">
        <f t="shared" si="12"/>
        <v>0</v>
      </c>
      <c r="P114" s="504">
        <f t="shared" si="13"/>
        <v>0</v>
      </c>
      <c r="Q114" s="243"/>
      <c r="R114" s="243"/>
      <c r="S114" s="243"/>
      <c r="T114" s="243"/>
      <c r="U114" s="243"/>
    </row>
    <row r="115" spans="2:21" ht="12.5">
      <c r="B115" s="145" t="str">
        <f t="shared" si="14"/>
        <v/>
      </c>
      <c r="C115" s="495">
        <f>IF(D94="","-",+C114+1)</f>
        <v>2028</v>
      </c>
      <c r="D115" s="349">
        <f>IF(F114+SUM(E$100:E114)=D$93,F114,D$93-SUM(E$100:E114))</f>
        <v>3069861.1719845533</v>
      </c>
      <c r="E115" s="629">
        <f t="shared" si="16"/>
        <v>145973.15151515152</v>
      </c>
      <c r="F115" s="510">
        <f t="shared" si="17"/>
        <v>2923888.020469402</v>
      </c>
      <c r="G115" s="510">
        <f t="shared" si="18"/>
        <v>2996874.5962269777</v>
      </c>
      <c r="H115" s="630">
        <f t="shared" si="19"/>
        <v>469663.25685029849</v>
      </c>
      <c r="I115" s="631">
        <f t="shared" si="20"/>
        <v>469663.25685029849</v>
      </c>
      <c r="J115" s="504">
        <f t="shared" si="15"/>
        <v>0</v>
      </c>
      <c r="K115" s="504"/>
      <c r="L115" s="512"/>
      <c r="M115" s="504">
        <f t="shared" si="11"/>
        <v>0</v>
      </c>
      <c r="N115" s="512"/>
      <c r="O115" s="504">
        <f t="shared" si="12"/>
        <v>0</v>
      </c>
      <c r="P115" s="504">
        <f t="shared" si="13"/>
        <v>0</v>
      </c>
      <c r="Q115" s="243"/>
      <c r="R115" s="243"/>
      <c r="S115" s="243"/>
      <c r="T115" s="243"/>
      <c r="U115" s="243"/>
    </row>
    <row r="116" spans="2:21" ht="12.5">
      <c r="B116" s="145" t="str">
        <f t="shared" si="14"/>
        <v/>
      </c>
      <c r="C116" s="495">
        <f>IF(D94="","-",+C115+1)</f>
        <v>2029</v>
      </c>
      <c r="D116" s="349">
        <f>IF(F115+SUM(E$100:E115)=D$93,F115,D$93-SUM(E$100:E115))</f>
        <v>2923888.020469402</v>
      </c>
      <c r="E116" s="629">
        <f t="shared" si="16"/>
        <v>145973.15151515152</v>
      </c>
      <c r="F116" s="510">
        <f t="shared" si="17"/>
        <v>2777914.8689542506</v>
      </c>
      <c r="G116" s="510">
        <f t="shared" si="18"/>
        <v>2850901.4447118263</v>
      </c>
      <c r="H116" s="630">
        <f t="shared" si="19"/>
        <v>453896.80974919861</v>
      </c>
      <c r="I116" s="631">
        <f t="shared" si="20"/>
        <v>453896.80974919861</v>
      </c>
      <c r="J116" s="504">
        <f t="shared" si="15"/>
        <v>0</v>
      </c>
      <c r="K116" s="504"/>
      <c r="L116" s="512"/>
      <c r="M116" s="504">
        <f t="shared" si="11"/>
        <v>0</v>
      </c>
      <c r="N116" s="512"/>
      <c r="O116" s="504">
        <f t="shared" si="12"/>
        <v>0</v>
      </c>
      <c r="P116" s="504">
        <f t="shared" si="13"/>
        <v>0</v>
      </c>
      <c r="Q116" s="243"/>
      <c r="R116" s="243"/>
      <c r="S116" s="243"/>
      <c r="T116" s="243"/>
      <c r="U116" s="243"/>
    </row>
    <row r="117" spans="2:21" ht="12.5">
      <c r="B117" s="145" t="str">
        <f t="shared" si="14"/>
        <v/>
      </c>
      <c r="C117" s="495">
        <f>IF(D94="","-",+C116+1)</f>
        <v>2030</v>
      </c>
      <c r="D117" s="349">
        <f>IF(F116+SUM(E$100:E116)=D$93,F116,D$93-SUM(E$100:E116))</f>
        <v>2777914.8689542506</v>
      </c>
      <c r="E117" s="629">
        <f t="shared" si="16"/>
        <v>145973.15151515152</v>
      </c>
      <c r="F117" s="510">
        <f t="shared" si="17"/>
        <v>2631941.7174390992</v>
      </c>
      <c r="G117" s="510">
        <f t="shared" si="18"/>
        <v>2704928.2931966749</v>
      </c>
      <c r="H117" s="630">
        <f t="shared" si="19"/>
        <v>438130.36264809873</v>
      </c>
      <c r="I117" s="631">
        <f t="shared" si="20"/>
        <v>438130.36264809873</v>
      </c>
      <c r="J117" s="504">
        <f t="shared" si="15"/>
        <v>0</v>
      </c>
      <c r="K117" s="504"/>
      <c r="L117" s="512"/>
      <c r="M117" s="504">
        <f t="shared" si="11"/>
        <v>0</v>
      </c>
      <c r="N117" s="512"/>
      <c r="O117" s="504">
        <f t="shared" si="12"/>
        <v>0</v>
      </c>
      <c r="P117" s="504">
        <f t="shared" si="13"/>
        <v>0</v>
      </c>
      <c r="Q117" s="243"/>
      <c r="R117" s="243"/>
      <c r="S117" s="243"/>
      <c r="T117" s="243"/>
      <c r="U117" s="243"/>
    </row>
    <row r="118" spans="2:21" ht="12.5">
      <c r="B118" s="145" t="str">
        <f t="shared" si="14"/>
        <v/>
      </c>
      <c r="C118" s="495">
        <f>IF(D94="","-",+C117+1)</f>
        <v>2031</v>
      </c>
      <c r="D118" s="349">
        <f>IF(F117+SUM(E$100:E117)=D$93,F117,D$93-SUM(E$100:E117))</f>
        <v>2631941.7174390992</v>
      </c>
      <c r="E118" s="629">
        <f t="shared" si="16"/>
        <v>145973.15151515152</v>
      </c>
      <c r="F118" s="510">
        <f t="shared" si="17"/>
        <v>2485968.5659239478</v>
      </c>
      <c r="G118" s="510">
        <f t="shared" si="18"/>
        <v>2558955.1416815235</v>
      </c>
      <c r="H118" s="630">
        <f t="shared" si="19"/>
        <v>422363.91554699885</v>
      </c>
      <c r="I118" s="631">
        <f t="shared" si="20"/>
        <v>422363.91554699885</v>
      </c>
      <c r="J118" s="504">
        <f t="shared" si="15"/>
        <v>0</v>
      </c>
      <c r="K118" s="504"/>
      <c r="L118" s="512"/>
      <c r="M118" s="504">
        <f t="shared" si="11"/>
        <v>0</v>
      </c>
      <c r="N118" s="512"/>
      <c r="O118" s="504">
        <f t="shared" si="12"/>
        <v>0</v>
      </c>
      <c r="P118" s="504">
        <f t="shared" si="13"/>
        <v>0</v>
      </c>
      <c r="Q118" s="243"/>
      <c r="R118" s="243"/>
      <c r="S118" s="243"/>
      <c r="T118" s="243"/>
      <c r="U118" s="243"/>
    </row>
    <row r="119" spans="2:21" ht="12.5">
      <c r="B119" s="145" t="str">
        <f t="shared" si="14"/>
        <v/>
      </c>
      <c r="C119" s="495">
        <f>IF(D94="","-",+C118+1)</f>
        <v>2032</v>
      </c>
      <c r="D119" s="349">
        <f>IF(F118+SUM(E$100:E118)=D$93,F118,D$93-SUM(E$100:E118))</f>
        <v>2485968.5659239478</v>
      </c>
      <c r="E119" s="629">
        <f t="shared" si="16"/>
        <v>145973.15151515152</v>
      </c>
      <c r="F119" s="510">
        <f t="shared" si="17"/>
        <v>2339995.4144087965</v>
      </c>
      <c r="G119" s="510">
        <f t="shared" si="18"/>
        <v>2412981.9901663722</v>
      </c>
      <c r="H119" s="630">
        <f t="shared" si="19"/>
        <v>406597.46844589891</v>
      </c>
      <c r="I119" s="631">
        <f t="shared" si="20"/>
        <v>406597.46844589891</v>
      </c>
      <c r="J119" s="504">
        <f t="shared" si="15"/>
        <v>0</v>
      </c>
      <c r="K119" s="504"/>
      <c r="L119" s="512"/>
      <c r="M119" s="504">
        <f t="shared" si="11"/>
        <v>0</v>
      </c>
      <c r="N119" s="512"/>
      <c r="O119" s="504">
        <f t="shared" si="12"/>
        <v>0</v>
      </c>
      <c r="P119" s="504">
        <f t="shared" si="13"/>
        <v>0</v>
      </c>
      <c r="Q119" s="243"/>
      <c r="R119" s="243"/>
      <c r="S119" s="243"/>
      <c r="T119" s="243"/>
      <c r="U119" s="243"/>
    </row>
    <row r="120" spans="2:21" ht="12.5">
      <c r="B120" s="145" t="str">
        <f t="shared" si="14"/>
        <v/>
      </c>
      <c r="C120" s="495">
        <f>IF(D94="","-",+C119+1)</f>
        <v>2033</v>
      </c>
      <c r="D120" s="349">
        <f>IF(F119+SUM(E$100:E119)=D$93,F119,D$93-SUM(E$100:E119))</f>
        <v>2339995.4144087965</v>
      </c>
      <c r="E120" s="629">
        <f t="shared" si="16"/>
        <v>145973.15151515152</v>
      </c>
      <c r="F120" s="510">
        <f t="shared" si="17"/>
        <v>2194022.2628936451</v>
      </c>
      <c r="G120" s="510">
        <f t="shared" si="18"/>
        <v>2267008.8386512208</v>
      </c>
      <c r="H120" s="630">
        <f t="shared" si="19"/>
        <v>390831.02134479902</v>
      </c>
      <c r="I120" s="631">
        <f t="shared" si="20"/>
        <v>390831.02134479902</v>
      </c>
      <c r="J120" s="504">
        <f t="shared" si="15"/>
        <v>0</v>
      </c>
      <c r="K120" s="504"/>
      <c r="L120" s="512"/>
      <c r="M120" s="504">
        <f t="shared" si="11"/>
        <v>0</v>
      </c>
      <c r="N120" s="512"/>
      <c r="O120" s="504">
        <f t="shared" si="12"/>
        <v>0</v>
      </c>
      <c r="P120" s="504">
        <f t="shared" si="13"/>
        <v>0</v>
      </c>
      <c r="Q120" s="243"/>
      <c r="R120" s="243"/>
      <c r="S120" s="243"/>
      <c r="T120" s="243"/>
      <c r="U120" s="243"/>
    </row>
    <row r="121" spans="2:21" ht="12.5">
      <c r="B121" s="145" t="str">
        <f t="shared" si="14"/>
        <v/>
      </c>
      <c r="C121" s="495">
        <f>IF(D94="","-",+C120+1)</f>
        <v>2034</v>
      </c>
      <c r="D121" s="349">
        <f>IF(F120+SUM(E$100:E120)=D$93,F120,D$93-SUM(E$100:E120))</f>
        <v>2194022.2628936451</v>
      </c>
      <c r="E121" s="629">
        <f t="shared" si="16"/>
        <v>145973.15151515152</v>
      </c>
      <c r="F121" s="510">
        <f t="shared" si="17"/>
        <v>2048049.1113784935</v>
      </c>
      <c r="G121" s="510">
        <f t="shared" si="18"/>
        <v>2121035.6871360694</v>
      </c>
      <c r="H121" s="630">
        <f t="shared" si="19"/>
        <v>375064.57424369914</v>
      </c>
      <c r="I121" s="631">
        <f t="shared" si="20"/>
        <v>375064.57424369914</v>
      </c>
      <c r="J121" s="504">
        <f t="shared" si="15"/>
        <v>0</v>
      </c>
      <c r="K121" s="504"/>
      <c r="L121" s="512"/>
      <c r="M121" s="504">
        <f t="shared" si="11"/>
        <v>0</v>
      </c>
      <c r="N121" s="512"/>
      <c r="O121" s="504">
        <f t="shared" si="12"/>
        <v>0</v>
      </c>
      <c r="P121" s="504">
        <f t="shared" si="13"/>
        <v>0</v>
      </c>
      <c r="Q121" s="243"/>
      <c r="R121" s="243"/>
      <c r="S121" s="243"/>
      <c r="T121" s="243"/>
      <c r="U121" s="243"/>
    </row>
    <row r="122" spans="2:21" ht="12.5">
      <c r="B122" s="145" t="str">
        <f t="shared" si="14"/>
        <v/>
      </c>
      <c r="C122" s="495">
        <f>IF(D94="","-",+C121+1)</f>
        <v>2035</v>
      </c>
      <c r="D122" s="349">
        <f>IF(F121+SUM(E$100:E121)=D$93,F121,D$93-SUM(E$100:E121))</f>
        <v>2048049.1113784935</v>
      </c>
      <c r="E122" s="629">
        <f t="shared" si="16"/>
        <v>145973.15151515152</v>
      </c>
      <c r="F122" s="510">
        <f t="shared" si="17"/>
        <v>1902075.9598633419</v>
      </c>
      <c r="G122" s="510">
        <f t="shared" si="18"/>
        <v>1975062.5356209176</v>
      </c>
      <c r="H122" s="630">
        <f t="shared" si="19"/>
        <v>359298.1271425992</v>
      </c>
      <c r="I122" s="631">
        <f t="shared" si="20"/>
        <v>359298.1271425992</v>
      </c>
      <c r="J122" s="504">
        <f t="shared" si="15"/>
        <v>0</v>
      </c>
      <c r="K122" s="504"/>
      <c r="L122" s="512"/>
      <c r="M122" s="504">
        <f t="shared" si="11"/>
        <v>0</v>
      </c>
      <c r="N122" s="512"/>
      <c r="O122" s="504">
        <f t="shared" si="12"/>
        <v>0</v>
      </c>
      <c r="P122" s="504">
        <f t="shared" si="13"/>
        <v>0</v>
      </c>
      <c r="Q122" s="243"/>
      <c r="R122" s="243"/>
      <c r="S122" s="243"/>
      <c r="T122" s="243"/>
      <c r="U122" s="243"/>
    </row>
    <row r="123" spans="2:21" ht="12.5">
      <c r="B123" s="145" t="str">
        <f t="shared" si="14"/>
        <v/>
      </c>
      <c r="C123" s="495">
        <f>IF(D94="","-",+C122+1)</f>
        <v>2036</v>
      </c>
      <c r="D123" s="349">
        <f>IF(F122+SUM(E$100:E122)=D$93,F122,D$93-SUM(E$100:E122))</f>
        <v>1902075.9598633419</v>
      </c>
      <c r="E123" s="629">
        <f t="shared" si="16"/>
        <v>145973.15151515152</v>
      </c>
      <c r="F123" s="510">
        <f t="shared" si="17"/>
        <v>1756102.8083481903</v>
      </c>
      <c r="G123" s="510">
        <f t="shared" si="18"/>
        <v>1829089.3841057662</v>
      </c>
      <c r="H123" s="630">
        <f t="shared" si="19"/>
        <v>343531.68004149932</v>
      </c>
      <c r="I123" s="631">
        <f t="shared" si="20"/>
        <v>343531.68004149932</v>
      </c>
      <c r="J123" s="504">
        <f t="shared" si="15"/>
        <v>0</v>
      </c>
      <c r="K123" s="504"/>
      <c r="L123" s="512"/>
      <c r="M123" s="504">
        <f t="shared" si="11"/>
        <v>0</v>
      </c>
      <c r="N123" s="512"/>
      <c r="O123" s="504">
        <f t="shared" si="12"/>
        <v>0</v>
      </c>
      <c r="P123" s="504">
        <f t="shared" si="13"/>
        <v>0</v>
      </c>
      <c r="Q123" s="243"/>
      <c r="R123" s="243"/>
      <c r="S123" s="243"/>
      <c r="T123" s="243"/>
      <c r="U123" s="243"/>
    </row>
    <row r="124" spans="2:21" ht="12.5">
      <c r="B124" s="145" t="str">
        <f t="shared" si="14"/>
        <v/>
      </c>
      <c r="C124" s="495">
        <f>IF(D94="","-",+C123+1)</f>
        <v>2037</v>
      </c>
      <c r="D124" s="349">
        <f>IF(F123+SUM(E$100:E123)=D$93,F123,D$93-SUM(E$100:E123))</f>
        <v>1756102.8083481903</v>
      </c>
      <c r="E124" s="629">
        <f t="shared" si="16"/>
        <v>145973.15151515152</v>
      </c>
      <c r="F124" s="510">
        <f t="shared" si="17"/>
        <v>1610129.6568330387</v>
      </c>
      <c r="G124" s="510">
        <f t="shared" si="18"/>
        <v>1683116.2325906144</v>
      </c>
      <c r="H124" s="630">
        <f t="shared" si="19"/>
        <v>327765.23294039944</v>
      </c>
      <c r="I124" s="631">
        <f t="shared" si="20"/>
        <v>327765.23294039944</v>
      </c>
      <c r="J124" s="504">
        <f t="shared" si="15"/>
        <v>0</v>
      </c>
      <c r="K124" s="504"/>
      <c r="L124" s="512"/>
      <c r="M124" s="504">
        <f t="shared" si="11"/>
        <v>0</v>
      </c>
      <c r="N124" s="512"/>
      <c r="O124" s="504">
        <f t="shared" si="12"/>
        <v>0</v>
      </c>
      <c r="P124" s="504">
        <f t="shared" si="13"/>
        <v>0</v>
      </c>
      <c r="Q124" s="243"/>
      <c r="R124" s="243"/>
      <c r="S124" s="243"/>
      <c r="T124" s="243"/>
      <c r="U124" s="243"/>
    </row>
    <row r="125" spans="2:21" ht="12.5">
      <c r="B125" s="145" t="str">
        <f t="shared" si="14"/>
        <v/>
      </c>
      <c r="C125" s="495">
        <f>IF(D94="","-",+C124+1)</f>
        <v>2038</v>
      </c>
      <c r="D125" s="349">
        <f>IF(F124+SUM(E$100:E124)=D$93,F124,D$93-SUM(E$100:E124))</f>
        <v>1610129.6568330387</v>
      </c>
      <c r="E125" s="629">
        <f t="shared" si="16"/>
        <v>145973.15151515152</v>
      </c>
      <c r="F125" s="510">
        <f t="shared" si="17"/>
        <v>1464156.5053178871</v>
      </c>
      <c r="G125" s="510">
        <f t="shared" si="18"/>
        <v>1537143.081075463</v>
      </c>
      <c r="H125" s="630">
        <f t="shared" si="19"/>
        <v>311998.78583929955</v>
      </c>
      <c r="I125" s="631">
        <f t="shared" si="20"/>
        <v>311998.78583929955</v>
      </c>
      <c r="J125" s="504">
        <f t="shared" si="15"/>
        <v>0</v>
      </c>
      <c r="K125" s="504"/>
      <c r="L125" s="512"/>
      <c r="M125" s="504">
        <f t="shared" si="11"/>
        <v>0</v>
      </c>
      <c r="N125" s="512"/>
      <c r="O125" s="504">
        <f t="shared" si="12"/>
        <v>0</v>
      </c>
      <c r="P125" s="504">
        <f t="shared" si="13"/>
        <v>0</v>
      </c>
      <c r="Q125" s="243"/>
      <c r="R125" s="243"/>
      <c r="S125" s="243"/>
      <c r="T125" s="243"/>
      <c r="U125" s="243"/>
    </row>
    <row r="126" spans="2:21" ht="12.5">
      <c r="B126" s="145" t="str">
        <f t="shared" si="14"/>
        <v/>
      </c>
      <c r="C126" s="495">
        <f>IF(D94="","-",+C125+1)</f>
        <v>2039</v>
      </c>
      <c r="D126" s="349">
        <f>IF(F125+SUM(E$100:E125)=D$93,F125,D$93-SUM(E$100:E125))</f>
        <v>1464156.5053178871</v>
      </c>
      <c r="E126" s="629">
        <f t="shared" si="16"/>
        <v>145973.15151515152</v>
      </c>
      <c r="F126" s="510">
        <f t="shared" si="17"/>
        <v>1318183.3538027355</v>
      </c>
      <c r="G126" s="510">
        <f t="shared" si="18"/>
        <v>1391169.9295603111</v>
      </c>
      <c r="H126" s="630">
        <f t="shared" si="19"/>
        <v>296232.33873819956</v>
      </c>
      <c r="I126" s="631">
        <f t="shared" si="20"/>
        <v>296232.33873819956</v>
      </c>
      <c r="J126" s="504">
        <f t="shared" si="15"/>
        <v>0</v>
      </c>
      <c r="K126" s="504"/>
      <c r="L126" s="512"/>
      <c r="M126" s="504">
        <f t="shared" si="11"/>
        <v>0</v>
      </c>
      <c r="N126" s="512"/>
      <c r="O126" s="504">
        <f t="shared" si="12"/>
        <v>0</v>
      </c>
      <c r="P126" s="504">
        <f t="shared" si="13"/>
        <v>0</v>
      </c>
      <c r="Q126" s="243"/>
      <c r="R126" s="243"/>
      <c r="S126" s="243"/>
      <c r="T126" s="243"/>
      <c r="U126" s="243"/>
    </row>
    <row r="127" spans="2:21" ht="12.5">
      <c r="B127" s="145" t="str">
        <f t="shared" si="14"/>
        <v/>
      </c>
      <c r="C127" s="495">
        <f>IF(D94="","-",+C126+1)</f>
        <v>2040</v>
      </c>
      <c r="D127" s="349">
        <f>IF(F126+SUM(E$100:E126)=D$93,F126,D$93-SUM(E$100:E126))</f>
        <v>1318183.3538027355</v>
      </c>
      <c r="E127" s="629">
        <f t="shared" si="16"/>
        <v>145973.15151515152</v>
      </c>
      <c r="F127" s="510">
        <f t="shared" si="17"/>
        <v>1172210.2022875838</v>
      </c>
      <c r="G127" s="510">
        <f t="shared" si="18"/>
        <v>1245196.7780451598</v>
      </c>
      <c r="H127" s="630">
        <f t="shared" si="19"/>
        <v>280465.89163709967</v>
      </c>
      <c r="I127" s="631">
        <f t="shared" si="20"/>
        <v>280465.89163709967</v>
      </c>
      <c r="J127" s="504">
        <f t="shared" si="15"/>
        <v>0</v>
      </c>
      <c r="K127" s="504"/>
      <c r="L127" s="512"/>
      <c r="M127" s="504">
        <f t="shared" si="11"/>
        <v>0</v>
      </c>
      <c r="N127" s="512"/>
      <c r="O127" s="504">
        <f t="shared" si="12"/>
        <v>0</v>
      </c>
      <c r="P127" s="504">
        <f t="shared" si="13"/>
        <v>0</v>
      </c>
      <c r="Q127" s="243"/>
      <c r="R127" s="243"/>
      <c r="S127" s="243"/>
      <c r="T127" s="243"/>
      <c r="U127" s="243"/>
    </row>
    <row r="128" spans="2:21" ht="12.5">
      <c r="B128" s="145" t="str">
        <f t="shared" si="14"/>
        <v/>
      </c>
      <c r="C128" s="495">
        <f>IF(D94="","-",+C127+1)</f>
        <v>2041</v>
      </c>
      <c r="D128" s="349">
        <f>IF(F127+SUM(E$100:E127)=D$93,F127,D$93-SUM(E$100:E127))</f>
        <v>1172210.2022875838</v>
      </c>
      <c r="E128" s="629">
        <f t="shared" si="16"/>
        <v>145973.15151515152</v>
      </c>
      <c r="F128" s="510">
        <f t="shared" si="17"/>
        <v>1026237.0507724324</v>
      </c>
      <c r="G128" s="510">
        <f t="shared" si="18"/>
        <v>1099223.6265300082</v>
      </c>
      <c r="H128" s="630">
        <f t="shared" si="19"/>
        <v>264699.44453599979</v>
      </c>
      <c r="I128" s="631">
        <f t="shared" si="20"/>
        <v>264699.44453599979</v>
      </c>
      <c r="J128" s="504">
        <f t="shared" si="15"/>
        <v>0</v>
      </c>
      <c r="K128" s="504"/>
      <c r="L128" s="512"/>
      <c r="M128" s="504">
        <f t="shared" si="11"/>
        <v>0</v>
      </c>
      <c r="N128" s="512"/>
      <c r="O128" s="504">
        <f t="shared" si="12"/>
        <v>0</v>
      </c>
      <c r="P128" s="504">
        <f t="shared" si="13"/>
        <v>0</v>
      </c>
      <c r="Q128" s="243"/>
      <c r="R128" s="243"/>
      <c r="S128" s="243"/>
      <c r="T128" s="243"/>
      <c r="U128" s="243"/>
    </row>
    <row r="129" spans="2:21" ht="12.5">
      <c r="B129" s="145" t="str">
        <f t="shared" si="14"/>
        <v/>
      </c>
      <c r="C129" s="495">
        <f>IF(D94="","-",+C128+1)</f>
        <v>2042</v>
      </c>
      <c r="D129" s="349">
        <f>IF(F128+SUM(E$100:E128)=D$93,F128,D$93-SUM(E$100:E128))</f>
        <v>1026237.0507724324</v>
      </c>
      <c r="E129" s="629">
        <f t="shared" si="16"/>
        <v>145973.15151515152</v>
      </c>
      <c r="F129" s="510">
        <f t="shared" si="17"/>
        <v>880263.89925728086</v>
      </c>
      <c r="G129" s="510">
        <f t="shared" si="18"/>
        <v>953250.47501485655</v>
      </c>
      <c r="H129" s="630">
        <f t="shared" si="19"/>
        <v>248932.99743489991</v>
      </c>
      <c r="I129" s="631">
        <f t="shared" si="20"/>
        <v>248932.99743489991</v>
      </c>
      <c r="J129" s="504">
        <f t="shared" si="15"/>
        <v>0</v>
      </c>
      <c r="K129" s="504"/>
      <c r="L129" s="512"/>
      <c r="M129" s="504">
        <f t="shared" si="11"/>
        <v>0</v>
      </c>
      <c r="N129" s="512"/>
      <c r="O129" s="504">
        <f t="shared" si="12"/>
        <v>0</v>
      </c>
      <c r="P129" s="504">
        <f t="shared" si="13"/>
        <v>0</v>
      </c>
      <c r="Q129" s="243"/>
      <c r="R129" s="243"/>
      <c r="S129" s="243"/>
      <c r="T129" s="243"/>
      <c r="U129" s="243"/>
    </row>
    <row r="130" spans="2:21" ht="12.5">
      <c r="B130" s="145" t="str">
        <f t="shared" si="14"/>
        <v/>
      </c>
      <c r="C130" s="495">
        <f>IF(D94="","-",+C129+1)</f>
        <v>2043</v>
      </c>
      <c r="D130" s="349">
        <f>IF(F129+SUM(E$100:E129)=D$93,F129,D$93-SUM(E$100:E129))</f>
        <v>880263.89925728086</v>
      </c>
      <c r="E130" s="629">
        <f t="shared" si="16"/>
        <v>145973.15151515152</v>
      </c>
      <c r="F130" s="510">
        <f t="shared" si="17"/>
        <v>734290.74774212937</v>
      </c>
      <c r="G130" s="510">
        <f t="shared" si="18"/>
        <v>807277.32349970518</v>
      </c>
      <c r="H130" s="630">
        <f t="shared" si="19"/>
        <v>233166.55033380003</v>
      </c>
      <c r="I130" s="631">
        <f t="shared" si="20"/>
        <v>233166.55033380003</v>
      </c>
      <c r="J130" s="504">
        <f t="shared" si="15"/>
        <v>0</v>
      </c>
      <c r="K130" s="504"/>
      <c r="L130" s="512"/>
      <c r="M130" s="504">
        <f t="shared" si="11"/>
        <v>0</v>
      </c>
      <c r="N130" s="512"/>
      <c r="O130" s="504">
        <f t="shared" si="12"/>
        <v>0</v>
      </c>
      <c r="P130" s="504">
        <f t="shared" si="13"/>
        <v>0</v>
      </c>
      <c r="Q130" s="243"/>
      <c r="R130" s="243"/>
      <c r="S130" s="243"/>
      <c r="T130" s="243"/>
      <c r="U130" s="243"/>
    </row>
    <row r="131" spans="2:21" ht="12.5">
      <c r="B131" s="145" t="str">
        <f t="shared" si="14"/>
        <v/>
      </c>
      <c r="C131" s="495">
        <f>IF(D94="","-",+C130+1)</f>
        <v>2044</v>
      </c>
      <c r="D131" s="349">
        <f>IF(F130+SUM(E$100:E130)=D$93,F130,D$93-SUM(E$100:E130))</f>
        <v>734290.74774212937</v>
      </c>
      <c r="E131" s="629">
        <f t="shared" si="16"/>
        <v>145973.15151515152</v>
      </c>
      <c r="F131" s="510">
        <f t="shared" si="17"/>
        <v>588317.59622697788</v>
      </c>
      <c r="G131" s="510">
        <f t="shared" si="18"/>
        <v>661304.17198455357</v>
      </c>
      <c r="H131" s="630">
        <f t="shared" si="19"/>
        <v>217400.10323270012</v>
      </c>
      <c r="I131" s="631">
        <f t="shared" si="20"/>
        <v>217400.10323270012</v>
      </c>
      <c r="J131" s="504">
        <f t="shared" si="15"/>
        <v>0</v>
      </c>
      <c r="K131" s="504"/>
      <c r="L131" s="512"/>
      <c r="M131" s="504">
        <f t="shared" si="11"/>
        <v>0</v>
      </c>
      <c r="N131" s="512"/>
      <c r="O131" s="504">
        <f t="shared" si="12"/>
        <v>0</v>
      </c>
      <c r="P131" s="504">
        <f t="shared" si="13"/>
        <v>0</v>
      </c>
      <c r="Q131" s="243"/>
      <c r="R131" s="243"/>
      <c r="S131" s="243"/>
      <c r="T131" s="243"/>
      <c r="U131" s="243"/>
    </row>
    <row r="132" spans="2:21" ht="12.5">
      <c r="B132" s="145" t="str">
        <f t="shared" si="14"/>
        <v/>
      </c>
      <c r="C132" s="495">
        <f>IF(D94="","-",+C131+1)</f>
        <v>2045</v>
      </c>
      <c r="D132" s="349">
        <f>IF(F131+SUM(E$100:E131)=D$93,F131,D$93-SUM(E$100:E131))</f>
        <v>588317.59622697788</v>
      </c>
      <c r="E132" s="629">
        <f t="shared" si="16"/>
        <v>145973.15151515152</v>
      </c>
      <c r="F132" s="510">
        <f t="shared" si="17"/>
        <v>442344.44471182639</v>
      </c>
      <c r="G132" s="510">
        <f t="shared" si="18"/>
        <v>515331.02046940214</v>
      </c>
      <c r="H132" s="630">
        <f t="shared" si="19"/>
        <v>201633.65613160023</v>
      </c>
      <c r="I132" s="631">
        <f t="shared" si="20"/>
        <v>201633.65613160023</v>
      </c>
      <c r="J132" s="504">
        <f t="shared" si="15"/>
        <v>0</v>
      </c>
      <c r="K132" s="504"/>
      <c r="L132" s="512"/>
      <c r="M132" s="504">
        <f t="shared" ref="M132:M155" si="21">IF(L542&lt;&gt;0,+H542-L542,0)</f>
        <v>0</v>
      </c>
      <c r="N132" s="512"/>
      <c r="O132" s="504">
        <f t="shared" ref="O132:O155" si="22">IF(N542&lt;&gt;0,+I542-N542,0)</f>
        <v>0</v>
      </c>
      <c r="P132" s="504">
        <f t="shared" ref="P132:P155" si="23">+O542-M542</f>
        <v>0</v>
      </c>
      <c r="Q132" s="243"/>
      <c r="R132" s="243"/>
      <c r="S132" s="243"/>
      <c r="T132" s="243"/>
      <c r="U132" s="243"/>
    </row>
    <row r="133" spans="2:21" ht="12.5">
      <c r="B133" s="145" t="str">
        <f t="shared" si="14"/>
        <v/>
      </c>
      <c r="C133" s="495">
        <f>IF(D94="","-",+C132+1)</f>
        <v>2046</v>
      </c>
      <c r="D133" s="349">
        <f>IF(F132+SUM(E$100:E132)=D$93,F132,D$93-SUM(E$100:E132))</f>
        <v>442344.44471182639</v>
      </c>
      <c r="E133" s="629">
        <f t="shared" si="16"/>
        <v>145973.15151515152</v>
      </c>
      <c r="F133" s="510">
        <f t="shared" si="17"/>
        <v>296371.2931966749</v>
      </c>
      <c r="G133" s="510">
        <f t="shared" si="18"/>
        <v>369357.86895425065</v>
      </c>
      <c r="H133" s="630">
        <f t="shared" si="19"/>
        <v>185867.20903050032</v>
      </c>
      <c r="I133" s="631">
        <f t="shared" si="20"/>
        <v>185867.20903050032</v>
      </c>
      <c r="J133" s="504">
        <f t="shared" si="15"/>
        <v>0</v>
      </c>
      <c r="K133" s="504"/>
      <c r="L133" s="512"/>
      <c r="M133" s="504">
        <f t="shared" si="21"/>
        <v>0</v>
      </c>
      <c r="N133" s="512"/>
      <c r="O133" s="504">
        <f t="shared" si="22"/>
        <v>0</v>
      </c>
      <c r="P133" s="504">
        <f t="shared" si="23"/>
        <v>0</v>
      </c>
      <c r="Q133" s="243"/>
      <c r="R133" s="243"/>
      <c r="S133" s="243"/>
      <c r="T133" s="243"/>
      <c r="U133" s="243"/>
    </row>
    <row r="134" spans="2:21" ht="12.5">
      <c r="B134" s="145" t="str">
        <f t="shared" si="14"/>
        <v/>
      </c>
      <c r="C134" s="495">
        <f>IF(D94="","-",+C133+1)</f>
        <v>2047</v>
      </c>
      <c r="D134" s="349">
        <f>IF(F133+SUM(E$100:E133)=D$93,F133,D$93-SUM(E$100:E133))</f>
        <v>296371.2931966749</v>
      </c>
      <c r="E134" s="629">
        <f t="shared" si="16"/>
        <v>145973.15151515152</v>
      </c>
      <c r="F134" s="510">
        <f t="shared" si="17"/>
        <v>150398.14168152338</v>
      </c>
      <c r="G134" s="510">
        <f t="shared" si="18"/>
        <v>223384.71743909916</v>
      </c>
      <c r="H134" s="630">
        <f t="shared" si="19"/>
        <v>170100.76192940044</v>
      </c>
      <c r="I134" s="631">
        <f t="shared" si="20"/>
        <v>170100.76192940044</v>
      </c>
      <c r="J134" s="504">
        <f t="shared" si="15"/>
        <v>0</v>
      </c>
      <c r="K134" s="504"/>
      <c r="L134" s="512"/>
      <c r="M134" s="504">
        <f t="shared" si="21"/>
        <v>0</v>
      </c>
      <c r="N134" s="512"/>
      <c r="O134" s="504">
        <f t="shared" si="22"/>
        <v>0</v>
      </c>
      <c r="P134" s="504">
        <f t="shared" si="23"/>
        <v>0</v>
      </c>
      <c r="Q134" s="243"/>
      <c r="R134" s="243"/>
      <c r="S134" s="243"/>
      <c r="T134" s="243"/>
      <c r="U134" s="243"/>
    </row>
    <row r="135" spans="2:21" ht="12.5">
      <c r="B135" s="145" t="str">
        <f t="shared" si="14"/>
        <v/>
      </c>
      <c r="C135" s="495">
        <f>IF(D94="","-",+C134+1)</f>
        <v>2048</v>
      </c>
      <c r="D135" s="349">
        <f>IF(F134+SUM(E$100:E134)=D$93,F134,D$93-SUM(E$100:E134))</f>
        <v>150398.14168152338</v>
      </c>
      <c r="E135" s="629">
        <f t="shared" si="16"/>
        <v>145973.15151515152</v>
      </c>
      <c r="F135" s="510">
        <f t="shared" si="17"/>
        <v>4424.9901663718629</v>
      </c>
      <c r="G135" s="510">
        <f t="shared" si="18"/>
        <v>77411.565923947623</v>
      </c>
      <c r="H135" s="630">
        <f t="shared" si="19"/>
        <v>154334.31482830053</v>
      </c>
      <c r="I135" s="631">
        <f t="shared" si="20"/>
        <v>154334.31482830053</v>
      </c>
      <c r="J135" s="504">
        <f t="shared" si="15"/>
        <v>0</v>
      </c>
      <c r="K135" s="504"/>
      <c r="L135" s="512"/>
      <c r="M135" s="504">
        <f t="shared" si="21"/>
        <v>0</v>
      </c>
      <c r="N135" s="512"/>
      <c r="O135" s="504">
        <f t="shared" si="22"/>
        <v>0</v>
      </c>
      <c r="P135" s="504">
        <f t="shared" si="23"/>
        <v>0</v>
      </c>
      <c r="Q135" s="243"/>
      <c r="R135" s="243"/>
      <c r="S135" s="243"/>
      <c r="T135" s="243"/>
      <c r="U135" s="243"/>
    </row>
    <row r="136" spans="2:21" ht="12.5">
      <c r="B136" s="145" t="str">
        <f t="shared" si="14"/>
        <v/>
      </c>
      <c r="C136" s="495">
        <f>IF(D94="","-",+C135+1)</f>
        <v>2049</v>
      </c>
      <c r="D136" s="349">
        <f>IF(F135+SUM(E$100:E135)=D$93,F135,D$93-SUM(E$100:E135))</f>
        <v>4424.9901663718629</v>
      </c>
      <c r="E136" s="629">
        <f t="shared" si="16"/>
        <v>4424.9901663718629</v>
      </c>
      <c r="F136" s="510">
        <f t="shared" si="17"/>
        <v>0</v>
      </c>
      <c r="G136" s="510">
        <f t="shared" si="18"/>
        <v>2212.4950831859314</v>
      </c>
      <c r="H136" s="630">
        <f t="shared" si="19"/>
        <v>4663.9600476713968</v>
      </c>
      <c r="I136" s="631">
        <f t="shared" si="20"/>
        <v>4663.9600476713968</v>
      </c>
      <c r="J136" s="504">
        <f t="shared" si="15"/>
        <v>0</v>
      </c>
      <c r="K136" s="504"/>
      <c r="L136" s="512"/>
      <c r="M136" s="504">
        <f t="shared" si="21"/>
        <v>0</v>
      </c>
      <c r="N136" s="512"/>
      <c r="O136" s="504">
        <f t="shared" si="22"/>
        <v>0</v>
      </c>
      <c r="P136" s="504">
        <f t="shared" si="23"/>
        <v>0</v>
      </c>
      <c r="Q136" s="243"/>
      <c r="R136" s="243"/>
      <c r="S136" s="243"/>
      <c r="T136" s="243"/>
      <c r="U136" s="243"/>
    </row>
    <row r="137" spans="2:21" ht="12.5">
      <c r="B137" s="145" t="str">
        <f t="shared" si="14"/>
        <v/>
      </c>
      <c r="C137" s="495">
        <f>IF(D94="","-",+C136+1)</f>
        <v>2050</v>
      </c>
      <c r="D137" s="349">
        <f>IF(F136+SUM(E$100:E136)=D$93,F136,D$93-SUM(E$100:E136))</f>
        <v>0</v>
      </c>
      <c r="E137" s="629">
        <f t="shared" si="16"/>
        <v>0</v>
      </c>
      <c r="F137" s="510">
        <f t="shared" si="17"/>
        <v>0</v>
      </c>
      <c r="G137" s="510">
        <f t="shared" si="18"/>
        <v>0</v>
      </c>
      <c r="H137" s="630">
        <f t="shared" si="19"/>
        <v>0</v>
      </c>
      <c r="I137" s="631">
        <f t="shared" si="20"/>
        <v>0</v>
      </c>
      <c r="J137" s="504">
        <f t="shared" si="15"/>
        <v>0</v>
      </c>
      <c r="K137" s="504"/>
      <c r="L137" s="512"/>
      <c r="M137" s="504">
        <f t="shared" si="21"/>
        <v>0</v>
      </c>
      <c r="N137" s="512"/>
      <c r="O137" s="504">
        <f t="shared" si="22"/>
        <v>0</v>
      </c>
      <c r="P137" s="504">
        <f t="shared" si="23"/>
        <v>0</v>
      </c>
      <c r="Q137" s="243"/>
      <c r="R137" s="243"/>
      <c r="S137" s="243"/>
      <c r="T137" s="243"/>
      <c r="U137" s="243"/>
    </row>
    <row r="138" spans="2:21" ht="12.5">
      <c r="B138" s="145" t="str">
        <f t="shared" si="14"/>
        <v/>
      </c>
      <c r="C138" s="495">
        <f>IF(D94="","-",+C137+1)</f>
        <v>2051</v>
      </c>
      <c r="D138" s="349">
        <f>IF(F137+SUM(E$100:E137)=D$93,F137,D$93-SUM(E$100:E137))</f>
        <v>0</v>
      </c>
      <c r="E138" s="629">
        <f t="shared" si="16"/>
        <v>0</v>
      </c>
      <c r="F138" s="510">
        <f t="shared" si="17"/>
        <v>0</v>
      </c>
      <c r="G138" s="510">
        <f t="shared" si="18"/>
        <v>0</v>
      </c>
      <c r="H138" s="630">
        <f t="shared" si="19"/>
        <v>0</v>
      </c>
      <c r="I138" s="631">
        <f t="shared" si="20"/>
        <v>0</v>
      </c>
      <c r="J138" s="504">
        <f t="shared" si="15"/>
        <v>0</v>
      </c>
      <c r="K138" s="504"/>
      <c r="L138" s="512"/>
      <c r="M138" s="504">
        <f t="shared" si="21"/>
        <v>0</v>
      </c>
      <c r="N138" s="512"/>
      <c r="O138" s="504">
        <f t="shared" si="22"/>
        <v>0</v>
      </c>
      <c r="P138" s="504">
        <f t="shared" si="23"/>
        <v>0</v>
      </c>
      <c r="Q138" s="243"/>
      <c r="R138" s="243"/>
      <c r="S138" s="243"/>
      <c r="T138" s="243"/>
      <c r="U138" s="243"/>
    </row>
    <row r="139" spans="2:21" ht="12.5">
      <c r="B139" s="145" t="str">
        <f t="shared" si="14"/>
        <v/>
      </c>
      <c r="C139" s="495">
        <f>IF(D94="","-",+C138+1)</f>
        <v>2052</v>
      </c>
      <c r="D139" s="349">
        <f>IF(F138+SUM(E$100:E138)=D$93,F138,D$93-SUM(E$100:E138))</f>
        <v>0</v>
      </c>
      <c r="E139" s="629">
        <f t="shared" si="16"/>
        <v>0</v>
      </c>
      <c r="F139" s="510">
        <f t="shared" si="17"/>
        <v>0</v>
      </c>
      <c r="G139" s="510">
        <f t="shared" si="18"/>
        <v>0</v>
      </c>
      <c r="H139" s="630">
        <f t="shared" si="19"/>
        <v>0</v>
      </c>
      <c r="I139" s="631">
        <f t="shared" si="20"/>
        <v>0</v>
      </c>
      <c r="J139" s="504">
        <f t="shared" si="15"/>
        <v>0</v>
      </c>
      <c r="K139" s="504"/>
      <c r="L139" s="512"/>
      <c r="M139" s="504">
        <f t="shared" si="21"/>
        <v>0</v>
      </c>
      <c r="N139" s="512"/>
      <c r="O139" s="504">
        <f t="shared" si="22"/>
        <v>0</v>
      </c>
      <c r="P139" s="504">
        <f t="shared" si="23"/>
        <v>0</v>
      </c>
      <c r="Q139" s="243"/>
      <c r="R139" s="243"/>
      <c r="S139" s="243"/>
      <c r="T139" s="243"/>
      <c r="U139" s="243"/>
    </row>
    <row r="140" spans="2:21" ht="12.5">
      <c r="B140" s="145" t="str">
        <f t="shared" si="14"/>
        <v/>
      </c>
      <c r="C140" s="495">
        <f>IF(D94="","-",+C139+1)</f>
        <v>2053</v>
      </c>
      <c r="D140" s="349">
        <f>IF(F139+SUM(E$100:E139)=D$93,F139,D$93-SUM(E$100:E139))</f>
        <v>0</v>
      </c>
      <c r="E140" s="629">
        <f t="shared" si="16"/>
        <v>0</v>
      </c>
      <c r="F140" s="510">
        <f t="shared" si="17"/>
        <v>0</v>
      </c>
      <c r="G140" s="510">
        <f t="shared" si="18"/>
        <v>0</v>
      </c>
      <c r="H140" s="630">
        <f t="shared" si="19"/>
        <v>0</v>
      </c>
      <c r="I140" s="631">
        <f t="shared" si="20"/>
        <v>0</v>
      </c>
      <c r="J140" s="504">
        <f t="shared" si="15"/>
        <v>0</v>
      </c>
      <c r="K140" s="504"/>
      <c r="L140" s="512"/>
      <c r="M140" s="504">
        <f t="shared" si="21"/>
        <v>0</v>
      </c>
      <c r="N140" s="512"/>
      <c r="O140" s="504">
        <f t="shared" si="22"/>
        <v>0</v>
      </c>
      <c r="P140" s="504">
        <f t="shared" si="23"/>
        <v>0</v>
      </c>
      <c r="Q140" s="243"/>
      <c r="R140" s="243"/>
      <c r="S140" s="243"/>
      <c r="T140" s="243"/>
      <c r="U140" s="243"/>
    </row>
    <row r="141" spans="2:21" ht="12.5">
      <c r="B141" s="145" t="str">
        <f t="shared" si="14"/>
        <v/>
      </c>
      <c r="C141" s="495">
        <f>IF(D94="","-",+C140+1)</f>
        <v>2054</v>
      </c>
      <c r="D141" s="349">
        <f>IF(F140+SUM(E$100:E140)=D$93,F140,D$93-SUM(E$100:E140))</f>
        <v>0</v>
      </c>
      <c r="E141" s="629">
        <f t="shared" si="16"/>
        <v>0</v>
      </c>
      <c r="F141" s="510">
        <f t="shared" si="17"/>
        <v>0</v>
      </c>
      <c r="G141" s="510">
        <f t="shared" si="18"/>
        <v>0</v>
      </c>
      <c r="H141" s="630">
        <f t="shared" si="19"/>
        <v>0</v>
      </c>
      <c r="I141" s="631">
        <f t="shared" si="20"/>
        <v>0</v>
      </c>
      <c r="J141" s="504">
        <f t="shared" si="15"/>
        <v>0</v>
      </c>
      <c r="K141" s="504"/>
      <c r="L141" s="512"/>
      <c r="M141" s="504">
        <f t="shared" si="21"/>
        <v>0</v>
      </c>
      <c r="N141" s="512"/>
      <c r="O141" s="504">
        <f t="shared" si="22"/>
        <v>0</v>
      </c>
      <c r="P141" s="504">
        <f t="shared" si="23"/>
        <v>0</v>
      </c>
      <c r="Q141" s="243"/>
      <c r="R141" s="243"/>
      <c r="S141" s="243"/>
      <c r="T141" s="243"/>
      <c r="U141" s="243"/>
    </row>
    <row r="142" spans="2:21" ht="12.5">
      <c r="B142" s="145" t="str">
        <f t="shared" si="14"/>
        <v/>
      </c>
      <c r="C142" s="495">
        <f>IF(D94="","-",+C141+1)</f>
        <v>2055</v>
      </c>
      <c r="D142" s="349">
        <f>IF(F141+SUM(E$100:E141)=D$93,F141,D$93-SUM(E$100:E141))</f>
        <v>0</v>
      </c>
      <c r="E142" s="629">
        <f t="shared" si="16"/>
        <v>0</v>
      </c>
      <c r="F142" s="510">
        <f t="shared" si="17"/>
        <v>0</v>
      </c>
      <c r="G142" s="510">
        <f t="shared" si="18"/>
        <v>0</v>
      </c>
      <c r="H142" s="630">
        <f t="shared" si="19"/>
        <v>0</v>
      </c>
      <c r="I142" s="631">
        <f t="shared" si="20"/>
        <v>0</v>
      </c>
      <c r="J142" s="504">
        <f t="shared" si="15"/>
        <v>0</v>
      </c>
      <c r="K142" s="504"/>
      <c r="L142" s="512"/>
      <c r="M142" s="504">
        <f t="shared" si="21"/>
        <v>0</v>
      </c>
      <c r="N142" s="512"/>
      <c r="O142" s="504">
        <f t="shared" si="22"/>
        <v>0</v>
      </c>
      <c r="P142" s="504">
        <f t="shared" si="23"/>
        <v>0</v>
      </c>
      <c r="Q142" s="243"/>
      <c r="R142" s="243"/>
      <c r="S142" s="243"/>
      <c r="T142" s="243"/>
      <c r="U142" s="243"/>
    </row>
    <row r="143" spans="2:21" ht="12.5">
      <c r="B143" s="145" t="str">
        <f t="shared" si="14"/>
        <v/>
      </c>
      <c r="C143" s="495">
        <f>IF(D94="","-",+C142+1)</f>
        <v>2056</v>
      </c>
      <c r="D143" s="349">
        <f>IF(F142+SUM(E$100:E142)=D$93,F142,D$93-SUM(E$100:E142))</f>
        <v>0</v>
      </c>
      <c r="E143" s="629">
        <f t="shared" si="16"/>
        <v>0</v>
      </c>
      <c r="F143" s="510">
        <f t="shared" si="17"/>
        <v>0</v>
      </c>
      <c r="G143" s="510">
        <f t="shared" si="18"/>
        <v>0</v>
      </c>
      <c r="H143" s="630">
        <f t="shared" si="19"/>
        <v>0</v>
      </c>
      <c r="I143" s="631">
        <f t="shared" si="20"/>
        <v>0</v>
      </c>
      <c r="J143" s="504">
        <f t="shared" si="15"/>
        <v>0</v>
      </c>
      <c r="K143" s="504"/>
      <c r="L143" s="512"/>
      <c r="M143" s="504">
        <f t="shared" si="21"/>
        <v>0</v>
      </c>
      <c r="N143" s="512"/>
      <c r="O143" s="504">
        <f t="shared" si="22"/>
        <v>0</v>
      </c>
      <c r="P143" s="504">
        <f t="shared" si="23"/>
        <v>0</v>
      </c>
      <c r="Q143" s="243"/>
      <c r="R143" s="243"/>
      <c r="S143" s="243"/>
      <c r="T143" s="243"/>
      <c r="U143" s="243"/>
    </row>
    <row r="144" spans="2:21" ht="12.5">
      <c r="B144" s="145" t="str">
        <f t="shared" si="14"/>
        <v/>
      </c>
      <c r="C144" s="495">
        <f>IF(D94="","-",+C143+1)</f>
        <v>2057</v>
      </c>
      <c r="D144" s="349">
        <f>IF(F143+SUM(E$100:E143)=D$93,F143,D$93-SUM(E$100:E143))</f>
        <v>0</v>
      </c>
      <c r="E144" s="629">
        <f t="shared" si="16"/>
        <v>0</v>
      </c>
      <c r="F144" s="510">
        <f t="shared" si="17"/>
        <v>0</v>
      </c>
      <c r="G144" s="510">
        <f t="shared" si="18"/>
        <v>0</v>
      </c>
      <c r="H144" s="630">
        <f t="shared" si="19"/>
        <v>0</v>
      </c>
      <c r="I144" s="631">
        <f t="shared" si="20"/>
        <v>0</v>
      </c>
      <c r="J144" s="504">
        <f t="shared" si="15"/>
        <v>0</v>
      </c>
      <c r="K144" s="504"/>
      <c r="L144" s="512"/>
      <c r="M144" s="504">
        <f t="shared" si="21"/>
        <v>0</v>
      </c>
      <c r="N144" s="512"/>
      <c r="O144" s="504">
        <f t="shared" si="22"/>
        <v>0</v>
      </c>
      <c r="P144" s="504">
        <f t="shared" si="23"/>
        <v>0</v>
      </c>
      <c r="Q144" s="243"/>
      <c r="R144" s="243"/>
      <c r="S144" s="243"/>
      <c r="T144" s="243"/>
      <c r="U144" s="243"/>
    </row>
    <row r="145" spans="2:21" ht="12.5">
      <c r="B145" s="145" t="str">
        <f t="shared" si="14"/>
        <v/>
      </c>
      <c r="C145" s="495">
        <f>IF(D94="","-",+C144+1)</f>
        <v>2058</v>
      </c>
      <c r="D145" s="349">
        <f>IF(F144+SUM(E$100:E144)=D$93,F144,D$93-SUM(E$100:E144))</f>
        <v>0</v>
      </c>
      <c r="E145" s="629">
        <f t="shared" si="16"/>
        <v>0</v>
      </c>
      <c r="F145" s="510">
        <f t="shared" si="17"/>
        <v>0</v>
      </c>
      <c r="G145" s="510">
        <f t="shared" si="18"/>
        <v>0</v>
      </c>
      <c r="H145" s="630">
        <f t="shared" si="19"/>
        <v>0</v>
      </c>
      <c r="I145" s="631">
        <f t="shared" si="20"/>
        <v>0</v>
      </c>
      <c r="J145" s="504">
        <f t="shared" si="15"/>
        <v>0</v>
      </c>
      <c r="K145" s="504"/>
      <c r="L145" s="512"/>
      <c r="M145" s="504">
        <f t="shared" si="21"/>
        <v>0</v>
      </c>
      <c r="N145" s="512"/>
      <c r="O145" s="504">
        <f t="shared" si="22"/>
        <v>0</v>
      </c>
      <c r="P145" s="504">
        <f t="shared" si="23"/>
        <v>0</v>
      </c>
      <c r="Q145" s="243"/>
      <c r="R145" s="243"/>
      <c r="S145" s="243"/>
      <c r="T145" s="243"/>
      <c r="U145" s="243"/>
    </row>
    <row r="146" spans="2:21" ht="12.5">
      <c r="B146" s="145" t="str">
        <f t="shared" si="14"/>
        <v/>
      </c>
      <c r="C146" s="495">
        <f>IF(D94="","-",+C145+1)</f>
        <v>2059</v>
      </c>
      <c r="D146" s="349">
        <f>IF(F145+SUM(E$100:E145)=D$93,F145,D$93-SUM(E$100:E145))</f>
        <v>0</v>
      </c>
      <c r="E146" s="629">
        <f t="shared" si="16"/>
        <v>0</v>
      </c>
      <c r="F146" s="510">
        <f t="shared" si="17"/>
        <v>0</v>
      </c>
      <c r="G146" s="510">
        <f t="shared" si="18"/>
        <v>0</v>
      </c>
      <c r="H146" s="630">
        <f t="shared" si="19"/>
        <v>0</v>
      </c>
      <c r="I146" s="631">
        <f t="shared" si="20"/>
        <v>0</v>
      </c>
      <c r="J146" s="504">
        <f t="shared" si="15"/>
        <v>0</v>
      </c>
      <c r="K146" s="504"/>
      <c r="L146" s="512"/>
      <c r="M146" s="504">
        <f t="shared" si="21"/>
        <v>0</v>
      </c>
      <c r="N146" s="512"/>
      <c r="O146" s="504">
        <f t="shared" si="22"/>
        <v>0</v>
      </c>
      <c r="P146" s="504">
        <f t="shared" si="23"/>
        <v>0</v>
      </c>
      <c r="Q146" s="243"/>
      <c r="R146" s="243"/>
      <c r="S146" s="243"/>
      <c r="T146" s="243"/>
      <c r="U146" s="243"/>
    </row>
    <row r="147" spans="2:21" ht="12.5">
      <c r="B147" s="145" t="str">
        <f t="shared" si="14"/>
        <v/>
      </c>
      <c r="C147" s="495">
        <f>IF(D94="","-",+C146+1)</f>
        <v>2060</v>
      </c>
      <c r="D147" s="349">
        <f>IF(F146+SUM(E$100:E146)=D$93,F146,D$93-SUM(E$100:E146))</f>
        <v>0</v>
      </c>
      <c r="E147" s="629">
        <f t="shared" si="16"/>
        <v>0</v>
      </c>
      <c r="F147" s="510">
        <f t="shared" si="17"/>
        <v>0</v>
      </c>
      <c r="G147" s="510">
        <f t="shared" si="18"/>
        <v>0</v>
      </c>
      <c r="H147" s="630">
        <f t="shared" si="19"/>
        <v>0</v>
      </c>
      <c r="I147" s="631">
        <f t="shared" si="20"/>
        <v>0</v>
      </c>
      <c r="J147" s="504">
        <f t="shared" si="15"/>
        <v>0</v>
      </c>
      <c r="K147" s="504"/>
      <c r="L147" s="512"/>
      <c r="M147" s="504">
        <f t="shared" si="21"/>
        <v>0</v>
      </c>
      <c r="N147" s="512"/>
      <c r="O147" s="504">
        <f t="shared" si="22"/>
        <v>0</v>
      </c>
      <c r="P147" s="504">
        <f t="shared" si="23"/>
        <v>0</v>
      </c>
      <c r="Q147" s="243"/>
      <c r="R147" s="243"/>
      <c r="S147" s="243"/>
      <c r="T147" s="243"/>
      <c r="U147" s="243"/>
    </row>
    <row r="148" spans="2:21" ht="12.5">
      <c r="B148" s="145" t="str">
        <f t="shared" si="14"/>
        <v/>
      </c>
      <c r="C148" s="495">
        <f>IF(D94="","-",+C147+1)</f>
        <v>2061</v>
      </c>
      <c r="D148" s="349">
        <f>IF(F147+SUM(E$100:E147)=D$93,F147,D$93-SUM(E$100:E147))</f>
        <v>0</v>
      </c>
      <c r="E148" s="629">
        <f t="shared" si="16"/>
        <v>0</v>
      </c>
      <c r="F148" s="510">
        <f t="shared" si="17"/>
        <v>0</v>
      </c>
      <c r="G148" s="510">
        <f t="shared" si="18"/>
        <v>0</v>
      </c>
      <c r="H148" s="630">
        <f t="shared" si="19"/>
        <v>0</v>
      </c>
      <c r="I148" s="631">
        <f t="shared" si="20"/>
        <v>0</v>
      </c>
      <c r="J148" s="504">
        <f t="shared" si="15"/>
        <v>0</v>
      </c>
      <c r="K148" s="504"/>
      <c r="L148" s="512"/>
      <c r="M148" s="504">
        <f t="shared" si="21"/>
        <v>0</v>
      </c>
      <c r="N148" s="512"/>
      <c r="O148" s="504">
        <f t="shared" si="22"/>
        <v>0</v>
      </c>
      <c r="P148" s="504">
        <f t="shared" si="23"/>
        <v>0</v>
      </c>
      <c r="Q148" s="243"/>
      <c r="R148" s="243"/>
      <c r="S148" s="243"/>
      <c r="T148" s="243"/>
      <c r="U148" s="243"/>
    </row>
    <row r="149" spans="2:21" ht="12.5">
      <c r="B149" s="145" t="str">
        <f t="shared" si="14"/>
        <v/>
      </c>
      <c r="C149" s="495">
        <f>IF(D94="","-",+C148+1)</f>
        <v>2062</v>
      </c>
      <c r="D149" s="349">
        <f>IF(F148+SUM(E$100:E148)=D$93,F148,D$93-SUM(E$100:E148))</f>
        <v>0</v>
      </c>
      <c r="E149" s="629">
        <f t="shared" si="16"/>
        <v>0</v>
      </c>
      <c r="F149" s="510">
        <f t="shared" si="17"/>
        <v>0</v>
      </c>
      <c r="G149" s="510">
        <f t="shared" si="18"/>
        <v>0</v>
      </c>
      <c r="H149" s="630">
        <f t="shared" si="19"/>
        <v>0</v>
      </c>
      <c r="I149" s="631">
        <f t="shared" si="20"/>
        <v>0</v>
      </c>
      <c r="J149" s="504">
        <f t="shared" si="15"/>
        <v>0</v>
      </c>
      <c r="K149" s="504"/>
      <c r="L149" s="512"/>
      <c r="M149" s="504">
        <f t="shared" si="21"/>
        <v>0</v>
      </c>
      <c r="N149" s="512"/>
      <c r="O149" s="504">
        <f t="shared" si="22"/>
        <v>0</v>
      </c>
      <c r="P149" s="504">
        <f t="shared" si="23"/>
        <v>0</v>
      </c>
      <c r="Q149" s="243"/>
      <c r="R149" s="243"/>
      <c r="S149" s="243"/>
      <c r="T149" s="243"/>
      <c r="U149" s="243"/>
    </row>
    <row r="150" spans="2:21" ht="12.5">
      <c r="B150" s="145" t="str">
        <f t="shared" si="14"/>
        <v/>
      </c>
      <c r="C150" s="495">
        <f>IF(D94="","-",+C149+1)</f>
        <v>2063</v>
      </c>
      <c r="D150" s="349">
        <f>IF(F149+SUM(E$100:E149)=D$93,F149,D$93-SUM(E$100:E149))</f>
        <v>0</v>
      </c>
      <c r="E150" s="629">
        <f t="shared" si="16"/>
        <v>0</v>
      </c>
      <c r="F150" s="510">
        <f t="shared" si="17"/>
        <v>0</v>
      </c>
      <c r="G150" s="510">
        <f t="shared" si="18"/>
        <v>0</v>
      </c>
      <c r="H150" s="630">
        <f t="shared" si="19"/>
        <v>0</v>
      </c>
      <c r="I150" s="631">
        <f t="shared" si="20"/>
        <v>0</v>
      </c>
      <c r="J150" s="504">
        <f t="shared" si="15"/>
        <v>0</v>
      </c>
      <c r="K150" s="504"/>
      <c r="L150" s="512"/>
      <c r="M150" s="504">
        <f t="shared" si="21"/>
        <v>0</v>
      </c>
      <c r="N150" s="512"/>
      <c r="O150" s="504">
        <f t="shared" si="22"/>
        <v>0</v>
      </c>
      <c r="P150" s="504">
        <f t="shared" si="23"/>
        <v>0</v>
      </c>
      <c r="Q150" s="243"/>
      <c r="R150" s="243"/>
      <c r="S150" s="243"/>
      <c r="T150" s="243"/>
      <c r="U150" s="243"/>
    </row>
    <row r="151" spans="2:21" ht="12.5">
      <c r="B151" s="145" t="str">
        <f t="shared" si="14"/>
        <v/>
      </c>
      <c r="C151" s="495">
        <f>IF(D94="","-",+C150+1)</f>
        <v>2064</v>
      </c>
      <c r="D151" s="349">
        <f>IF(F150+SUM(E$100:E150)=D$93,F150,D$93-SUM(E$100:E150))</f>
        <v>0</v>
      </c>
      <c r="E151" s="629">
        <f t="shared" si="16"/>
        <v>0</v>
      </c>
      <c r="F151" s="510">
        <f t="shared" si="17"/>
        <v>0</v>
      </c>
      <c r="G151" s="510">
        <f t="shared" si="18"/>
        <v>0</v>
      </c>
      <c r="H151" s="630">
        <f t="shared" si="19"/>
        <v>0</v>
      </c>
      <c r="I151" s="631">
        <f t="shared" si="20"/>
        <v>0</v>
      </c>
      <c r="J151" s="504">
        <f t="shared" si="15"/>
        <v>0</v>
      </c>
      <c r="K151" s="504"/>
      <c r="L151" s="512"/>
      <c r="M151" s="504">
        <f t="shared" si="21"/>
        <v>0</v>
      </c>
      <c r="N151" s="512"/>
      <c r="O151" s="504">
        <f t="shared" si="22"/>
        <v>0</v>
      </c>
      <c r="P151" s="504">
        <f t="shared" si="23"/>
        <v>0</v>
      </c>
      <c r="Q151" s="243"/>
      <c r="R151" s="243"/>
      <c r="S151" s="243"/>
      <c r="T151" s="243"/>
      <c r="U151" s="243"/>
    </row>
    <row r="152" spans="2:21" ht="12.5">
      <c r="B152" s="145" t="str">
        <f t="shared" si="14"/>
        <v/>
      </c>
      <c r="C152" s="495">
        <f>IF(D94="","-",+C151+1)</f>
        <v>2065</v>
      </c>
      <c r="D152" s="349">
        <f>IF(F151+SUM(E$100:E151)=D$93,F151,D$93-SUM(E$100:E151))</f>
        <v>0</v>
      </c>
      <c r="E152" s="629">
        <f t="shared" si="16"/>
        <v>0</v>
      </c>
      <c r="F152" s="510">
        <f t="shared" si="17"/>
        <v>0</v>
      </c>
      <c r="G152" s="510">
        <f t="shared" si="18"/>
        <v>0</v>
      </c>
      <c r="H152" s="630">
        <f t="shared" si="19"/>
        <v>0</v>
      </c>
      <c r="I152" s="631">
        <f t="shared" si="20"/>
        <v>0</v>
      </c>
      <c r="J152" s="504">
        <f t="shared" si="15"/>
        <v>0</v>
      </c>
      <c r="K152" s="504"/>
      <c r="L152" s="512"/>
      <c r="M152" s="504">
        <f t="shared" si="21"/>
        <v>0</v>
      </c>
      <c r="N152" s="512"/>
      <c r="O152" s="504">
        <f t="shared" si="22"/>
        <v>0</v>
      </c>
      <c r="P152" s="504">
        <f t="shared" si="23"/>
        <v>0</v>
      </c>
      <c r="Q152" s="243"/>
      <c r="R152" s="243"/>
      <c r="S152" s="243"/>
      <c r="T152" s="243"/>
      <c r="U152" s="243"/>
    </row>
    <row r="153" spans="2:21" ht="12.5">
      <c r="B153" s="145" t="str">
        <f t="shared" si="14"/>
        <v/>
      </c>
      <c r="C153" s="495">
        <f>IF(D94="","-",+C152+1)</f>
        <v>2066</v>
      </c>
      <c r="D153" s="349">
        <f>IF(F152+SUM(E$100:E152)=D$93,F152,D$93-SUM(E$100:E152))</f>
        <v>0</v>
      </c>
      <c r="E153" s="629">
        <f t="shared" si="16"/>
        <v>0</v>
      </c>
      <c r="F153" s="510">
        <f t="shared" si="17"/>
        <v>0</v>
      </c>
      <c r="G153" s="510">
        <f t="shared" si="18"/>
        <v>0</v>
      </c>
      <c r="H153" s="630">
        <f t="shared" si="19"/>
        <v>0</v>
      </c>
      <c r="I153" s="631">
        <f t="shared" si="20"/>
        <v>0</v>
      </c>
      <c r="J153" s="504">
        <f t="shared" si="15"/>
        <v>0</v>
      </c>
      <c r="K153" s="504"/>
      <c r="L153" s="512"/>
      <c r="M153" s="504">
        <f t="shared" si="21"/>
        <v>0</v>
      </c>
      <c r="N153" s="512"/>
      <c r="O153" s="504">
        <f t="shared" si="22"/>
        <v>0</v>
      </c>
      <c r="P153" s="504">
        <f t="shared" si="23"/>
        <v>0</v>
      </c>
      <c r="Q153" s="243"/>
      <c r="R153" s="243"/>
      <c r="S153" s="243"/>
      <c r="T153" s="243"/>
      <c r="U153" s="243"/>
    </row>
    <row r="154" spans="2:21" ht="12.5">
      <c r="B154" s="145" t="str">
        <f t="shared" si="14"/>
        <v/>
      </c>
      <c r="C154" s="495">
        <f>IF(D94="","-",+C153+1)</f>
        <v>2067</v>
      </c>
      <c r="D154" s="349">
        <f>IF(F153+SUM(E$100:E153)=D$93,F153,D$93-SUM(E$100:E153))</f>
        <v>0</v>
      </c>
      <c r="E154" s="629">
        <f t="shared" si="16"/>
        <v>0</v>
      </c>
      <c r="F154" s="510">
        <f t="shared" si="17"/>
        <v>0</v>
      </c>
      <c r="G154" s="510">
        <f t="shared" si="18"/>
        <v>0</v>
      </c>
      <c r="H154" s="630">
        <f t="shared" si="19"/>
        <v>0</v>
      </c>
      <c r="I154" s="631">
        <f t="shared" si="20"/>
        <v>0</v>
      </c>
      <c r="J154" s="504">
        <f t="shared" si="15"/>
        <v>0</v>
      </c>
      <c r="K154" s="504"/>
      <c r="L154" s="512"/>
      <c r="M154" s="504">
        <f t="shared" si="21"/>
        <v>0</v>
      </c>
      <c r="N154" s="512"/>
      <c r="O154" s="504">
        <f t="shared" si="22"/>
        <v>0</v>
      </c>
      <c r="P154" s="504">
        <f t="shared" si="23"/>
        <v>0</v>
      </c>
      <c r="Q154" s="243"/>
      <c r="R154" s="243"/>
      <c r="S154" s="243"/>
      <c r="T154" s="243"/>
      <c r="U154" s="243"/>
    </row>
    <row r="155" spans="2:21" ht="13" thickBot="1">
      <c r="B155" s="145" t="str">
        <f t="shared" si="14"/>
        <v/>
      </c>
      <c r="C155" s="524">
        <f>IF(D94="","-",+C154+1)</f>
        <v>2068</v>
      </c>
      <c r="D155" s="618">
        <f>IF(F154+SUM(E$100:E154)=D$93,F154,D$93-SUM(E$100:E154))</f>
        <v>0</v>
      </c>
      <c r="E155" s="632">
        <f t="shared" si="16"/>
        <v>0</v>
      </c>
      <c r="F155" s="527">
        <f t="shared" si="17"/>
        <v>0</v>
      </c>
      <c r="G155" s="527">
        <f t="shared" si="18"/>
        <v>0</v>
      </c>
      <c r="H155" s="633">
        <f t="shared" si="19"/>
        <v>0</v>
      </c>
      <c r="I155" s="634">
        <f t="shared" si="20"/>
        <v>0</v>
      </c>
      <c r="J155" s="531">
        <f t="shared" si="15"/>
        <v>0</v>
      </c>
      <c r="K155" s="504"/>
      <c r="L155" s="530"/>
      <c r="M155" s="531">
        <f t="shared" si="21"/>
        <v>0</v>
      </c>
      <c r="N155" s="530"/>
      <c r="O155" s="531">
        <f t="shared" si="22"/>
        <v>0</v>
      </c>
      <c r="P155" s="531">
        <f t="shared" si="23"/>
        <v>0</v>
      </c>
      <c r="Q155" s="243"/>
      <c r="R155" s="243"/>
      <c r="S155" s="243"/>
      <c r="T155" s="243"/>
      <c r="U155" s="243"/>
    </row>
    <row r="156" spans="2:21" ht="12.5">
      <c r="C156" s="349" t="s">
        <v>75</v>
      </c>
      <c r="D156" s="294"/>
      <c r="E156" s="294">
        <f>SUM(E100:E155)</f>
        <v>4817114</v>
      </c>
      <c r="F156" s="294"/>
      <c r="G156" s="294"/>
      <c r="H156" s="294">
        <f>SUM(H100:H155)</f>
        <v>13880421.273930985</v>
      </c>
      <c r="I156" s="294">
        <f>SUM(I100:I155)</f>
        <v>13880421.273930985</v>
      </c>
      <c r="J156" s="294">
        <f>SUM(J100:J155)</f>
        <v>0</v>
      </c>
      <c r="K156" s="294"/>
      <c r="L156" s="294"/>
      <c r="M156" s="294"/>
      <c r="N156" s="294"/>
      <c r="O156" s="294"/>
      <c r="P156" s="243"/>
      <c r="Q156" s="243"/>
      <c r="R156" s="243"/>
      <c r="S156" s="243"/>
      <c r="T156" s="243"/>
      <c r="U156" s="243"/>
    </row>
    <row r="157" spans="2: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ht="12.5">
      <c r="C158" s="574"/>
      <c r="D158" s="292"/>
      <c r="E158" s="243"/>
      <c r="F158" s="243"/>
      <c r="G158" s="243"/>
      <c r="H158" s="243"/>
      <c r="I158" s="325"/>
      <c r="J158" s="325"/>
      <c r="K158" s="294"/>
      <c r="L158" s="325"/>
      <c r="M158" s="325"/>
      <c r="N158" s="325"/>
      <c r="O158" s="325"/>
      <c r="P158" s="243"/>
      <c r="Q158" s="243"/>
      <c r="R158" s="243"/>
      <c r="S158" s="243"/>
      <c r="T158" s="243"/>
      <c r="U158" s="243"/>
    </row>
    <row r="159" spans="2: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26" priority="1" stopIfTrue="1" operator="equal">
      <formula>$I$10</formula>
    </cfRule>
  </conditionalFormatting>
  <conditionalFormatting sqref="C100:C155">
    <cfRule type="cellIs" dxfId="25"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U163"/>
  <sheetViews>
    <sheetView view="pageBreakPreview" zoomScale="78" zoomScaleNormal="100" zoomScaleSheetLayoutView="78"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14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8692924.255398104</v>
      </c>
      <c r="P5" s="243"/>
      <c r="R5" s="243"/>
      <c r="S5" s="243"/>
      <c r="T5" s="243"/>
      <c r="U5" s="243"/>
    </row>
    <row r="6" spans="1:21" ht="15.5">
      <c r="C6" s="235"/>
      <c r="D6" s="292"/>
      <c r="E6" s="243"/>
      <c r="F6" s="243"/>
      <c r="G6" s="243"/>
      <c r="H6" s="449"/>
      <c r="I6" s="449"/>
      <c r="J6" s="450"/>
      <c r="K6" s="451" t="s">
        <v>243</v>
      </c>
      <c r="L6" s="452"/>
      <c r="M6" s="278"/>
      <c r="N6" s="453">
        <f>VLOOKUP(I10,C17:I73,6)</f>
        <v>8692924.255398104</v>
      </c>
      <c r="O6" s="243"/>
      <c r="P6" s="243"/>
      <c r="R6" s="243"/>
      <c r="S6" s="243"/>
      <c r="T6" s="243"/>
      <c r="U6" s="243"/>
    </row>
    <row r="7" spans="1:21" ht="13.5" thickBot="1">
      <c r="C7" s="454" t="s">
        <v>46</v>
      </c>
      <c r="D7" s="637" t="s">
        <v>234</v>
      </c>
      <c r="E7" s="637"/>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235</v>
      </c>
      <c r="E9" s="647" t="s">
        <v>299</v>
      </c>
      <c r="F9" s="465"/>
      <c r="G9" s="465"/>
      <c r="H9" s="465"/>
      <c r="I9" s="466"/>
      <c r="J9" s="467"/>
      <c r="O9" s="468"/>
      <c r="P9" s="278"/>
      <c r="R9" s="243"/>
      <c r="S9" s="243"/>
      <c r="T9" s="243"/>
      <c r="U9" s="243"/>
    </row>
    <row r="10" spans="1:21" ht="13">
      <c r="C10" s="469" t="s">
        <v>49</v>
      </c>
      <c r="D10" s="470">
        <v>68247469</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2016</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12</v>
      </c>
      <c r="E12" s="472" t="s">
        <v>55</v>
      </c>
      <c r="F12" s="408"/>
      <c r="G12" s="220"/>
      <c r="H12" s="220"/>
      <c r="I12" s="476">
        <f>OKT.WS.F.BPU.ATRR.Projected!$F$79</f>
        <v>0.10818506718567715</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2201531.2580645164</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3:21" ht="12.5">
      <c r="C17" s="495">
        <f>IF(D11= "","-",D11)</f>
        <v>2016</v>
      </c>
      <c r="D17" s="612">
        <v>3408237</v>
      </c>
      <c r="E17" s="620">
        <v>41312.427614067317</v>
      </c>
      <c r="F17" s="612">
        <v>3366924.5723859328</v>
      </c>
      <c r="G17" s="620">
        <v>283462.47353390156</v>
      </c>
      <c r="H17" s="617">
        <v>283462.47353390156</v>
      </c>
      <c r="I17" s="500">
        <f t="shared" ref="I17:I73" si="0">H17-G17</f>
        <v>0</v>
      </c>
      <c r="J17" s="500"/>
      <c r="K17" s="501">
        <f>G17</f>
        <v>283462.47353390156</v>
      </c>
      <c r="L17" s="502">
        <f>IF(K17&lt;&gt;0,+G17-K17,0)</f>
        <v>0</v>
      </c>
      <c r="M17" s="501">
        <f>H17</f>
        <v>283462.47353390156</v>
      </c>
      <c r="N17" s="503">
        <f t="shared" ref="N17:N73" si="1">IF(M17&lt;&gt;0,+H17-M17,0)</f>
        <v>0</v>
      </c>
      <c r="O17" s="504">
        <f t="shared" ref="O17:O73" si="2">+N17-L17</f>
        <v>0</v>
      </c>
      <c r="P17" s="278"/>
      <c r="R17" s="243"/>
      <c r="S17" s="243"/>
      <c r="T17" s="243"/>
      <c r="U17" s="243"/>
    </row>
    <row r="18" spans="3:21" ht="12.5">
      <c r="C18" s="495">
        <f>IF(D11="","-",+C17+1)</f>
        <v>2017</v>
      </c>
      <c r="D18" s="614">
        <v>69080283.572385937</v>
      </c>
      <c r="E18" s="613">
        <v>1359067.4231693465</v>
      </c>
      <c r="F18" s="614">
        <v>67721216.149216592</v>
      </c>
      <c r="G18" s="613">
        <v>8879043.9719662741</v>
      </c>
      <c r="H18" s="617">
        <v>8879043.9719662741</v>
      </c>
      <c r="I18" s="500">
        <f t="shared" si="0"/>
        <v>0</v>
      </c>
      <c r="J18" s="500"/>
      <c r="K18" s="592">
        <f>G18</f>
        <v>8879043.9719662741</v>
      </c>
      <c r="L18" s="596">
        <f>IF(K18&lt;&gt;0,+G18-K18,0)</f>
        <v>0</v>
      </c>
      <c r="M18" s="592">
        <f>H18</f>
        <v>8879043.9719662741</v>
      </c>
      <c r="N18" s="504">
        <f>IF(M18&lt;&gt;0,+H18-M18,0)</f>
        <v>0</v>
      </c>
      <c r="O18" s="504">
        <f>+N18-L18</f>
        <v>0</v>
      </c>
      <c r="P18" s="278"/>
      <c r="R18" s="243"/>
      <c r="S18" s="243"/>
      <c r="T18" s="243"/>
      <c r="U18" s="243"/>
    </row>
    <row r="19" spans="3:21" ht="12.5">
      <c r="C19" s="495">
        <f>IF(D11="","-",+C18+1)</f>
        <v>2018</v>
      </c>
      <c r="D19" s="614">
        <v>67721216.149216592</v>
      </c>
      <c r="E19" s="613">
        <v>1695178.2446698518</v>
      </c>
      <c r="F19" s="614">
        <v>66026037.904546738</v>
      </c>
      <c r="G19" s="613">
        <v>8491120.286725603</v>
      </c>
      <c r="H19" s="617">
        <v>8491120.286725603</v>
      </c>
      <c r="I19" s="500">
        <f t="shared" si="0"/>
        <v>0</v>
      </c>
      <c r="J19" s="500"/>
      <c r="K19" s="592">
        <f>G19</f>
        <v>8491120.286725603</v>
      </c>
      <c r="L19" s="596">
        <f>IF(K19&lt;&gt;0,+G19-K19,0)</f>
        <v>0</v>
      </c>
      <c r="M19" s="592">
        <f>H19</f>
        <v>8491120.286725603</v>
      </c>
      <c r="N19" s="504">
        <f>IF(M19&lt;&gt;0,+H19-M19,0)</f>
        <v>0</v>
      </c>
      <c r="O19" s="504">
        <f>+N19-L19</f>
        <v>0</v>
      </c>
      <c r="P19" s="278"/>
      <c r="R19" s="243"/>
      <c r="S19" s="243"/>
      <c r="T19" s="243"/>
      <c r="U19" s="243"/>
    </row>
    <row r="20" spans="3:21" ht="12.5">
      <c r="C20" s="495">
        <f>IF(D11="","-",+C19+1)</f>
        <v>2019</v>
      </c>
      <c r="D20" s="614">
        <v>66026037.904546738</v>
      </c>
      <c r="E20" s="613">
        <v>2050066.834779863</v>
      </c>
      <c r="F20" s="614">
        <v>63975971.069766872</v>
      </c>
      <c r="G20" s="613">
        <v>8806008.9305919912</v>
      </c>
      <c r="H20" s="617">
        <v>8806008.9305919912</v>
      </c>
      <c r="I20" s="500">
        <f t="shared" si="0"/>
        <v>0</v>
      </c>
      <c r="J20" s="500"/>
      <c r="K20" s="592">
        <f>G20</f>
        <v>8806008.9305919912</v>
      </c>
      <c r="L20" s="596">
        <f>IF(K20&lt;&gt;0,+G20-K20,0)</f>
        <v>0</v>
      </c>
      <c r="M20" s="592">
        <f>H20</f>
        <v>8806008.9305919912</v>
      </c>
      <c r="N20" s="504">
        <f>IF(M20&lt;&gt;0,+H20-M20,0)</f>
        <v>0</v>
      </c>
      <c r="O20" s="504">
        <f>+N20-L20</f>
        <v>0</v>
      </c>
      <c r="P20" s="278"/>
      <c r="R20" s="243"/>
      <c r="S20" s="243"/>
      <c r="T20" s="243"/>
      <c r="U20" s="243"/>
    </row>
    <row r="21" spans="3:21" ht="12.5">
      <c r="C21" s="495">
        <f>IF(D11="","-",+C20+1)</f>
        <v>2020</v>
      </c>
      <c r="D21" s="614">
        <v>63456732.659876883</v>
      </c>
      <c r="E21" s="613">
        <v>1998407.404883953</v>
      </c>
      <c r="F21" s="614">
        <v>61458325.254992932</v>
      </c>
      <c r="G21" s="613">
        <v>8552229.9584809169</v>
      </c>
      <c r="H21" s="617">
        <v>8552229.9584809169</v>
      </c>
      <c r="I21" s="500">
        <f t="shared" si="0"/>
        <v>0</v>
      </c>
      <c r="J21" s="500"/>
      <c r="K21" s="592">
        <f>G21</f>
        <v>8552229.9584809169</v>
      </c>
      <c r="L21" s="596">
        <f>IF(K21&lt;&gt;0,+G21-K21,0)</f>
        <v>0</v>
      </c>
      <c r="M21" s="592">
        <f>H21</f>
        <v>8552229.9584809169</v>
      </c>
      <c r="N21" s="504">
        <f t="shared" si="1"/>
        <v>0</v>
      </c>
      <c r="O21" s="504">
        <f t="shared" si="2"/>
        <v>0</v>
      </c>
      <c r="P21" s="278"/>
      <c r="R21" s="243"/>
      <c r="S21" s="243"/>
      <c r="T21" s="243"/>
      <c r="U21" s="243"/>
    </row>
    <row r="22" spans="3:21" ht="12.5">
      <c r="C22" s="495">
        <f>IF(D11="","-",+C21+1)</f>
        <v>2021</v>
      </c>
      <c r="D22" s="510">
        <f>IF(F21+SUM(E$17:E21)=D$10,F21,D$10-SUM(E$17:E21))</f>
        <v>61103436.664882921</v>
      </c>
      <c r="E22" s="509">
        <f>IF(+I14&lt;F21,I14,D22)</f>
        <v>2201531.2580645164</v>
      </c>
      <c r="F22" s="510">
        <f t="shared" ref="F22:F73" si="3">+D22-E22</f>
        <v>58901905.406818405</v>
      </c>
      <c r="G22" s="511">
        <f t="shared" ref="G22:G73" si="4">(D22+F22)/2*I$12+E22</f>
        <v>8692924.255398104</v>
      </c>
      <c r="H22" s="477">
        <f t="shared" ref="H22:H73" si="5">+(D22+F22)/2*I$13+E22</f>
        <v>8692924.255398104</v>
      </c>
      <c r="I22" s="500">
        <f t="shared" si="0"/>
        <v>0</v>
      </c>
      <c r="J22" s="500"/>
      <c r="K22" s="512"/>
      <c r="L22" s="504">
        <f t="shared" ref="L22:L73" si="6">IF(K22&lt;&gt;0,+G22-K22,0)</f>
        <v>0</v>
      </c>
      <c r="M22" s="512"/>
      <c r="N22" s="504">
        <f t="shared" si="1"/>
        <v>0</v>
      </c>
      <c r="O22" s="504">
        <f t="shared" si="2"/>
        <v>0</v>
      </c>
      <c r="P22" s="278"/>
      <c r="R22" s="243"/>
      <c r="S22" s="243"/>
      <c r="T22" s="243"/>
      <c r="U22" s="243"/>
    </row>
    <row r="23" spans="3:21" ht="12.5">
      <c r="C23" s="495">
        <f>IF(D11="","-",+C22+1)</f>
        <v>2022</v>
      </c>
      <c r="D23" s="510">
        <f>IF(F22+SUM(E$17:E22)=D$10,F22,D$10-SUM(E$17:E22))</f>
        <v>58901905.406818405</v>
      </c>
      <c r="E23" s="509">
        <f>IF(+I14&lt;F22,I14,D23)</f>
        <v>2201531.2580645164</v>
      </c>
      <c r="F23" s="510">
        <f t="shared" si="3"/>
        <v>56700374.148753889</v>
      </c>
      <c r="G23" s="511">
        <f t="shared" si="4"/>
        <v>8454751.4483330268</v>
      </c>
      <c r="H23" s="477">
        <f t="shared" si="5"/>
        <v>8454751.4483330268</v>
      </c>
      <c r="I23" s="500">
        <f t="shared" si="0"/>
        <v>0</v>
      </c>
      <c r="J23" s="500"/>
      <c r="K23" s="512"/>
      <c r="L23" s="504">
        <f t="shared" si="6"/>
        <v>0</v>
      </c>
      <c r="M23" s="512"/>
      <c r="N23" s="504">
        <f t="shared" si="1"/>
        <v>0</v>
      </c>
      <c r="O23" s="504">
        <f t="shared" si="2"/>
        <v>0</v>
      </c>
      <c r="P23" s="278"/>
      <c r="R23" s="243"/>
      <c r="S23" s="243"/>
      <c r="T23" s="243"/>
      <c r="U23" s="243"/>
    </row>
    <row r="24" spans="3:21" ht="12.5">
      <c r="C24" s="495">
        <f>IF(D11="","-",+C23+1)</f>
        <v>2023</v>
      </c>
      <c r="D24" s="510">
        <f>IF(F23+SUM(E$17:E23)=D$10,F23,D$10-SUM(E$17:E23))</f>
        <v>56700374.148753889</v>
      </c>
      <c r="E24" s="509">
        <f>IF(+I14&lt;F23,I14,D24)</f>
        <v>2201531.2580645164</v>
      </c>
      <c r="F24" s="510">
        <f t="shared" si="3"/>
        <v>54498842.890689373</v>
      </c>
      <c r="G24" s="511">
        <f t="shared" si="4"/>
        <v>8216578.6412679479</v>
      </c>
      <c r="H24" s="477">
        <f t="shared" si="5"/>
        <v>8216578.6412679479</v>
      </c>
      <c r="I24" s="500">
        <f t="shared" si="0"/>
        <v>0</v>
      </c>
      <c r="J24" s="500"/>
      <c r="K24" s="512"/>
      <c r="L24" s="504">
        <f t="shared" si="6"/>
        <v>0</v>
      </c>
      <c r="M24" s="512"/>
      <c r="N24" s="504">
        <f t="shared" si="1"/>
        <v>0</v>
      </c>
      <c r="O24" s="504">
        <f t="shared" si="2"/>
        <v>0</v>
      </c>
      <c r="P24" s="278"/>
      <c r="R24" s="243"/>
      <c r="S24" s="243"/>
      <c r="T24" s="243"/>
      <c r="U24" s="243"/>
    </row>
    <row r="25" spans="3:21" ht="12.5">
      <c r="C25" s="495">
        <f>IF(D11="","-",+C24+1)</f>
        <v>2024</v>
      </c>
      <c r="D25" s="510">
        <f>IF(F24+SUM(E$17:E24)=D$10,F24,D$10-SUM(E$17:E24))</f>
        <v>54498842.890689373</v>
      </c>
      <c r="E25" s="509">
        <f>IF(+I14&lt;F24,I14,D25)</f>
        <v>2201531.2580645164</v>
      </c>
      <c r="F25" s="510">
        <f t="shared" si="3"/>
        <v>52297311.632624857</v>
      </c>
      <c r="G25" s="511">
        <f t="shared" si="4"/>
        <v>7978405.8342028707</v>
      </c>
      <c r="H25" s="477">
        <f t="shared" si="5"/>
        <v>7978405.8342028707</v>
      </c>
      <c r="I25" s="500">
        <f t="shared" si="0"/>
        <v>0</v>
      </c>
      <c r="J25" s="500"/>
      <c r="K25" s="512"/>
      <c r="L25" s="504">
        <f t="shared" si="6"/>
        <v>0</v>
      </c>
      <c r="M25" s="512"/>
      <c r="N25" s="504">
        <f t="shared" si="1"/>
        <v>0</v>
      </c>
      <c r="O25" s="504">
        <f t="shared" si="2"/>
        <v>0</v>
      </c>
      <c r="P25" s="278"/>
      <c r="R25" s="243"/>
      <c r="S25" s="243"/>
      <c r="T25" s="243"/>
      <c r="U25" s="243"/>
    </row>
    <row r="26" spans="3:21" ht="12.5">
      <c r="C26" s="495">
        <f>IF(D11="","-",+C25+1)</f>
        <v>2025</v>
      </c>
      <c r="D26" s="510">
        <f>IF(F25+SUM(E$17:E25)=D$10,F25,D$10-SUM(E$17:E25))</f>
        <v>52297311.632624857</v>
      </c>
      <c r="E26" s="509">
        <f>IF(+I14&lt;F25,I14,D26)</f>
        <v>2201531.2580645164</v>
      </c>
      <c r="F26" s="510">
        <f t="shared" si="3"/>
        <v>50095780.374560341</v>
      </c>
      <c r="G26" s="511">
        <f t="shared" si="4"/>
        <v>7740233.0271377917</v>
      </c>
      <c r="H26" s="477">
        <f t="shared" si="5"/>
        <v>7740233.0271377917</v>
      </c>
      <c r="I26" s="500">
        <f t="shared" si="0"/>
        <v>0</v>
      </c>
      <c r="J26" s="500"/>
      <c r="K26" s="512"/>
      <c r="L26" s="504">
        <f t="shared" si="6"/>
        <v>0</v>
      </c>
      <c r="M26" s="512"/>
      <c r="N26" s="504">
        <f t="shared" si="1"/>
        <v>0</v>
      </c>
      <c r="O26" s="504">
        <f t="shared" si="2"/>
        <v>0</v>
      </c>
      <c r="P26" s="278"/>
      <c r="R26" s="243"/>
      <c r="S26" s="243"/>
      <c r="T26" s="243"/>
      <c r="U26" s="243"/>
    </row>
    <row r="27" spans="3:21" ht="12.5">
      <c r="C27" s="495">
        <f>IF(D11="","-",+C26+1)</f>
        <v>2026</v>
      </c>
      <c r="D27" s="508">
        <f>IF(F26+SUM(E$17:E26)=D$10,F26,D$10-SUM(E$17:E26))</f>
        <v>50095780.374560341</v>
      </c>
      <c r="E27" s="509">
        <f>IF(+I14&lt;F26,I14,D27)</f>
        <v>2201531.2580645164</v>
      </c>
      <c r="F27" s="510">
        <f t="shared" si="3"/>
        <v>47894249.116495825</v>
      </c>
      <c r="G27" s="511">
        <f t="shared" si="4"/>
        <v>7502060.2200727146</v>
      </c>
      <c r="H27" s="477">
        <f t="shared" si="5"/>
        <v>7502060.2200727146</v>
      </c>
      <c r="I27" s="500">
        <f t="shared" si="0"/>
        <v>0</v>
      </c>
      <c r="J27" s="500"/>
      <c r="K27" s="512"/>
      <c r="L27" s="504">
        <f t="shared" si="6"/>
        <v>0</v>
      </c>
      <c r="M27" s="512"/>
      <c r="N27" s="504">
        <f t="shared" si="1"/>
        <v>0</v>
      </c>
      <c r="O27" s="504">
        <f t="shared" si="2"/>
        <v>0</v>
      </c>
      <c r="P27" s="278"/>
      <c r="R27" s="243"/>
      <c r="S27" s="243"/>
      <c r="T27" s="243"/>
      <c r="U27" s="243"/>
    </row>
    <row r="28" spans="3:21" ht="12.5">
      <c r="C28" s="495">
        <f>IF(D11="","-",+C27+1)</f>
        <v>2027</v>
      </c>
      <c r="D28" s="510">
        <f>IF(F27+SUM(E$17:E27)=D$10,F27,D$10-SUM(E$17:E27))</f>
        <v>47894249.116495825</v>
      </c>
      <c r="E28" s="509">
        <f>IF(+I14&lt;F27,I14,D28)</f>
        <v>2201531.2580645164</v>
      </c>
      <c r="F28" s="510">
        <f t="shared" si="3"/>
        <v>45692717.858431309</v>
      </c>
      <c r="G28" s="511">
        <f t="shared" si="4"/>
        <v>7263887.4130076356</v>
      </c>
      <c r="H28" s="477">
        <f t="shared" si="5"/>
        <v>7263887.4130076356</v>
      </c>
      <c r="I28" s="500">
        <f t="shared" si="0"/>
        <v>0</v>
      </c>
      <c r="J28" s="500"/>
      <c r="K28" s="512"/>
      <c r="L28" s="504">
        <f t="shared" si="6"/>
        <v>0</v>
      </c>
      <c r="M28" s="512"/>
      <c r="N28" s="504">
        <f t="shared" si="1"/>
        <v>0</v>
      </c>
      <c r="O28" s="504">
        <f t="shared" si="2"/>
        <v>0</v>
      </c>
      <c r="P28" s="278"/>
      <c r="R28" s="243"/>
      <c r="S28" s="243"/>
      <c r="T28" s="243"/>
      <c r="U28" s="243"/>
    </row>
    <row r="29" spans="3:21" ht="12.5">
      <c r="C29" s="495">
        <f>IF(D11="","-",+C28+1)</f>
        <v>2028</v>
      </c>
      <c r="D29" s="510">
        <f>IF(F28+SUM(E$17:E28)=D$10,F28,D$10-SUM(E$17:E28))</f>
        <v>45692717.858431309</v>
      </c>
      <c r="E29" s="509">
        <f>IF(+I14&lt;F28,I14,D29)</f>
        <v>2201531.2580645164</v>
      </c>
      <c r="F29" s="510">
        <f t="shared" si="3"/>
        <v>43491186.600366794</v>
      </c>
      <c r="G29" s="511">
        <f t="shared" si="4"/>
        <v>7025714.6059425585</v>
      </c>
      <c r="H29" s="477">
        <f t="shared" si="5"/>
        <v>7025714.6059425585</v>
      </c>
      <c r="I29" s="500">
        <f t="shared" si="0"/>
        <v>0</v>
      </c>
      <c r="J29" s="500"/>
      <c r="K29" s="512"/>
      <c r="L29" s="504">
        <f t="shared" si="6"/>
        <v>0</v>
      </c>
      <c r="M29" s="512"/>
      <c r="N29" s="504">
        <f t="shared" si="1"/>
        <v>0</v>
      </c>
      <c r="O29" s="504">
        <f t="shared" si="2"/>
        <v>0</v>
      </c>
      <c r="P29" s="278"/>
      <c r="R29" s="243"/>
      <c r="S29" s="243"/>
      <c r="T29" s="243"/>
      <c r="U29" s="243"/>
    </row>
    <row r="30" spans="3:21" ht="12.5">
      <c r="C30" s="495">
        <f>IF(D11="","-",+C29+1)</f>
        <v>2029</v>
      </c>
      <c r="D30" s="510">
        <f>IF(F29+SUM(E$17:E29)=D$10,F29,D$10-SUM(E$17:E29))</f>
        <v>43491186.600366794</v>
      </c>
      <c r="E30" s="509">
        <f>IF(+I14&lt;F29,I14,D30)</f>
        <v>2201531.2580645164</v>
      </c>
      <c r="F30" s="510">
        <f t="shared" si="3"/>
        <v>41289655.342302278</v>
      </c>
      <c r="G30" s="511">
        <f t="shared" si="4"/>
        <v>6787541.7988774795</v>
      </c>
      <c r="H30" s="477">
        <f t="shared" si="5"/>
        <v>6787541.7988774795</v>
      </c>
      <c r="I30" s="500">
        <f t="shared" si="0"/>
        <v>0</v>
      </c>
      <c r="J30" s="500"/>
      <c r="K30" s="512"/>
      <c r="L30" s="504">
        <f t="shared" si="6"/>
        <v>0</v>
      </c>
      <c r="M30" s="512"/>
      <c r="N30" s="504">
        <f t="shared" si="1"/>
        <v>0</v>
      </c>
      <c r="O30" s="504">
        <f t="shared" si="2"/>
        <v>0</v>
      </c>
      <c r="P30" s="278"/>
      <c r="R30" s="243"/>
      <c r="S30" s="243"/>
      <c r="T30" s="243"/>
      <c r="U30" s="243"/>
    </row>
    <row r="31" spans="3:21" ht="12.5">
      <c r="C31" s="495">
        <f>IF(D11="","-",+C30+1)</f>
        <v>2030</v>
      </c>
      <c r="D31" s="510">
        <f>IF(F30+SUM(E$17:E30)=D$10,F30,D$10-SUM(E$17:E30))</f>
        <v>41289655.342302278</v>
      </c>
      <c r="E31" s="509">
        <f>IF(+I14&lt;F30,I14,D31)</f>
        <v>2201531.2580645164</v>
      </c>
      <c r="F31" s="510">
        <f t="shared" si="3"/>
        <v>39088124.084237762</v>
      </c>
      <c r="G31" s="511">
        <f t="shared" si="4"/>
        <v>6549368.9918124024</v>
      </c>
      <c r="H31" s="477">
        <f t="shared" si="5"/>
        <v>6549368.9918124024</v>
      </c>
      <c r="I31" s="500">
        <f t="shared" si="0"/>
        <v>0</v>
      </c>
      <c r="J31" s="500"/>
      <c r="K31" s="512"/>
      <c r="L31" s="504">
        <f t="shared" si="6"/>
        <v>0</v>
      </c>
      <c r="M31" s="512"/>
      <c r="N31" s="504">
        <f t="shared" si="1"/>
        <v>0</v>
      </c>
      <c r="O31" s="504">
        <f t="shared" si="2"/>
        <v>0</v>
      </c>
      <c r="P31" s="278"/>
      <c r="Q31" s="220"/>
      <c r="R31" s="278"/>
      <c r="S31" s="278"/>
      <c r="T31" s="278"/>
      <c r="U31" s="243"/>
    </row>
    <row r="32" spans="3:21" ht="12.5">
      <c r="C32" s="495">
        <f>IF(D12="","-",+C31+1)</f>
        <v>2031</v>
      </c>
      <c r="D32" s="510">
        <f>IF(F31+SUM(E$17:E31)=D$10,F31,D$10-SUM(E$17:E31))</f>
        <v>39088124.084237762</v>
      </c>
      <c r="E32" s="509">
        <f>IF(+I14&lt;F31,I14,D32)</f>
        <v>2201531.2580645164</v>
      </c>
      <c r="F32" s="510">
        <f>+D32-E32</f>
        <v>36886592.826173246</v>
      </c>
      <c r="G32" s="511">
        <f t="shared" si="4"/>
        <v>6311196.1847473243</v>
      </c>
      <c r="H32" s="477">
        <f t="shared" si="5"/>
        <v>6311196.1847473243</v>
      </c>
      <c r="I32" s="500">
        <f>H32-G32</f>
        <v>0</v>
      </c>
      <c r="J32" s="500"/>
      <c r="K32" s="512"/>
      <c r="L32" s="504">
        <f>IF(K32&lt;&gt;0,+G32-K32,0)</f>
        <v>0</v>
      </c>
      <c r="M32" s="512"/>
      <c r="N32" s="504">
        <f>IF(M32&lt;&gt;0,+H32-M32,0)</f>
        <v>0</v>
      </c>
      <c r="O32" s="504">
        <f>+N32-L32</f>
        <v>0</v>
      </c>
      <c r="P32" s="278"/>
      <c r="Q32" s="220"/>
      <c r="R32" s="278"/>
      <c r="S32" s="278"/>
      <c r="T32" s="278"/>
      <c r="U32" s="243"/>
    </row>
    <row r="33" spans="3:21" ht="12.5">
      <c r="C33" s="495">
        <f>IF(D13="","-",+C32+1)</f>
        <v>2032</v>
      </c>
      <c r="D33" s="510">
        <f>IF(F32+SUM(E$17:E32)=D$10,F32,D$10-SUM(E$17:E32))</f>
        <v>36886592.826173246</v>
      </c>
      <c r="E33" s="509">
        <f>IF(+I14&lt;F32,I14,D33)</f>
        <v>2201531.2580645164</v>
      </c>
      <c r="F33" s="510">
        <f>+D33-E33</f>
        <v>34685061.56810873</v>
      </c>
      <c r="G33" s="511">
        <f t="shared" si="4"/>
        <v>6073023.3776822472</v>
      </c>
      <c r="H33" s="477">
        <f t="shared" si="5"/>
        <v>6073023.3776822472</v>
      </c>
      <c r="I33" s="500">
        <f>H33-G33</f>
        <v>0</v>
      </c>
      <c r="J33" s="500"/>
      <c r="K33" s="512"/>
      <c r="L33" s="504">
        <f>IF(K33&lt;&gt;0,+G33-K33,0)</f>
        <v>0</v>
      </c>
      <c r="M33" s="512"/>
      <c r="N33" s="504">
        <f>IF(M33&lt;&gt;0,+H33-M33,0)</f>
        <v>0</v>
      </c>
      <c r="O33" s="504">
        <f>+N33-L33</f>
        <v>0</v>
      </c>
      <c r="P33" s="278"/>
      <c r="R33" s="243"/>
      <c r="S33" s="243"/>
      <c r="T33" s="243"/>
      <c r="U33" s="243"/>
    </row>
    <row r="34" spans="3:21" ht="12.5">
      <c r="C34" s="513">
        <f>IF(D11="","-",+C33+1)</f>
        <v>2033</v>
      </c>
      <c r="D34" s="516">
        <f>IF(F33+SUM(E$17:E33)=D$10,F33,D$10-SUM(E$17:E33))</f>
        <v>34685061.56810873</v>
      </c>
      <c r="E34" s="515">
        <f>IF(+I14&lt;F33,I14,D34)</f>
        <v>2201531.2580645164</v>
      </c>
      <c r="F34" s="516">
        <f t="shared" si="3"/>
        <v>32483530.310044214</v>
      </c>
      <c r="G34" s="511">
        <f t="shared" si="4"/>
        <v>5834850.5706171682</v>
      </c>
      <c r="H34" s="477">
        <f t="shared" si="5"/>
        <v>5834850.5706171682</v>
      </c>
      <c r="I34" s="519">
        <f t="shared" si="0"/>
        <v>0</v>
      </c>
      <c r="J34" s="519"/>
      <c r="K34" s="520"/>
      <c r="L34" s="521">
        <f t="shared" si="6"/>
        <v>0</v>
      </c>
      <c r="M34" s="520"/>
      <c r="N34" s="521">
        <f t="shared" si="1"/>
        <v>0</v>
      </c>
      <c r="O34" s="521">
        <f t="shared" si="2"/>
        <v>0</v>
      </c>
      <c r="P34" s="522"/>
      <c r="Q34" s="216"/>
      <c r="R34" s="522"/>
      <c r="S34" s="522"/>
      <c r="T34" s="522"/>
      <c r="U34" s="243"/>
    </row>
    <row r="35" spans="3:21" ht="12.5">
      <c r="C35" s="495">
        <f>IF(D11="","-",+C34+1)</f>
        <v>2034</v>
      </c>
      <c r="D35" s="510">
        <f>IF(F34+SUM(E$17:E34)=D$10,F34,D$10-SUM(E$17:E34))</f>
        <v>32483530.310044214</v>
      </c>
      <c r="E35" s="509">
        <f>IF(+I14&lt;F34,I14,D35)</f>
        <v>2201531.2580645164</v>
      </c>
      <c r="F35" s="510">
        <f t="shared" si="3"/>
        <v>30281999.051979698</v>
      </c>
      <c r="G35" s="511">
        <f t="shared" si="4"/>
        <v>5596677.7635520902</v>
      </c>
      <c r="H35" s="477">
        <f t="shared" si="5"/>
        <v>5596677.7635520902</v>
      </c>
      <c r="I35" s="500">
        <f t="shared" si="0"/>
        <v>0</v>
      </c>
      <c r="J35" s="500"/>
      <c r="K35" s="512"/>
      <c r="L35" s="504">
        <f t="shared" si="6"/>
        <v>0</v>
      </c>
      <c r="M35" s="512"/>
      <c r="N35" s="504">
        <f t="shared" si="1"/>
        <v>0</v>
      </c>
      <c r="O35" s="504">
        <f t="shared" si="2"/>
        <v>0</v>
      </c>
      <c r="P35" s="278"/>
      <c r="R35" s="243"/>
      <c r="S35" s="243"/>
      <c r="T35" s="243"/>
      <c r="U35" s="243"/>
    </row>
    <row r="36" spans="3:21" ht="12.5">
      <c r="C36" s="495">
        <f>IF(D11="","-",+C35+1)</f>
        <v>2035</v>
      </c>
      <c r="D36" s="510">
        <f>IF(F35+SUM(E$17:E35)=D$10,F35,D$10-SUM(E$17:E35))</f>
        <v>30281999.051979698</v>
      </c>
      <c r="E36" s="509">
        <f>IF(+I14&lt;F35,I14,D36)</f>
        <v>2201531.2580645164</v>
      </c>
      <c r="F36" s="510">
        <f t="shared" si="3"/>
        <v>28080467.793915182</v>
      </c>
      <c r="G36" s="511">
        <f t="shared" si="4"/>
        <v>5358504.956487013</v>
      </c>
      <c r="H36" s="477">
        <f t="shared" si="5"/>
        <v>5358504.956487013</v>
      </c>
      <c r="I36" s="500">
        <f t="shared" si="0"/>
        <v>0</v>
      </c>
      <c r="J36" s="500"/>
      <c r="K36" s="512"/>
      <c r="L36" s="504">
        <f t="shared" si="6"/>
        <v>0</v>
      </c>
      <c r="M36" s="512"/>
      <c r="N36" s="504">
        <f t="shared" si="1"/>
        <v>0</v>
      </c>
      <c r="O36" s="504">
        <f t="shared" si="2"/>
        <v>0</v>
      </c>
      <c r="P36" s="278"/>
      <c r="R36" s="243"/>
      <c r="S36" s="243"/>
      <c r="T36" s="243"/>
      <c r="U36" s="243"/>
    </row>
    <row r="37" spans="3:21" ht="12.5">
      <c r="C37" s="495">
        <f>IF(D11="","-",+C36+1)</f>
        <v>2036</v>
      </c>
      <c r="D37" s="510">
        <f>IF(F36+SUM(E$17:E36)=D$10,F36,D$10-SUM(E$17:E36))</f>
        <v>28080467.793915182</v>
      </c>
      <c r="E37" s="509">
        <f>IF(+I14&lt;F36,I14,D37)</f>
        <v>2201531.2580645164</v>
      </c>
      <c r="F37" s="510">
        <f t="shared" si="3"/>
        <v>25878936.535850666</v>
      </c>
      <c r="G37" s="511">
        <f t="shared" si="4"/>
        <v>5120332.149421935</v>
      </c>
      <c r="H37" s="477">
        <f t="shared" si="5"/>
        <v>5120332.149421935</v>
      </c>
      <c r="I37" s="500">
        <f t="shared" si="0"/>
        <v>0</v>
      </c>
      <c r="J37" s="500"/>
      <c r="K37" s="512"/>
      <c r="L37" s="504">
        <f t="shared" si="6"/>
        <v>0</v>
      </c>
      <c r="M37" s="512"/>
      <c r="N37" s="504">
        <f t="shared" si="1"/>
        <v>0</v>
      </c>
      <c r="O37" s="504">
        <f t="shared" si="2"/>
        <v>0</v>
      </c>
      <c r="P37" s="278"/>
      <c r="R37" s="243"/>
      <c r="S37" s="243"/>
      <c r="T37" s="243"/>
      <c r="U37" s="243"/>
    </row>
    <row r="38" spans="3:21" ht="12.5">
      <c r="C38" s="495">
        <f>IF(D11="","-",+C37+1)</f>
        <v>2037</v>
      </c>
      <c r="D38" s="510">
        <f>IF(F37+SUM(E$17:E37)=D$10,F37,D$10-SUM(E$17:E37))</f>
        <v>25878936.535850666</v>
      </c>
      <c r="E38" s="509">
        <f>IF(+I14&lt;F37,I14,D38)</f>
        <v>2201531.2580645164</v>
      </c>
      <c r="F38" s="510">
        <f t="shared" si="3"/>
        <v>23677405.277786151</v>
      </c>
      <c r="G38" s="511">
        <f t="shared" si="4"/>
        <v>4882159.3423568569</v>
      </c>
      <c r="H38" s="477">
        <f t="shared" si="5"/>
        <v>4882159.3423568569</v>
      </c>
      <c r="I38" s="500">
        <f t="shared" si="0"/>
        <v>0</v>
      </c>
      <c r="J38" s="500"/>
      <c r="K38" s="512"/>
      <c r="L38" s="504">
        <f t="shared" si="6"/>
        <v>0</v>
      </c>
      <c r="M38" s="512"/>
      <c r="N38" s="504">
        <f t="shared" si="1"/>
        <v>0</v>
      </c>
      <c r="O38" s="504">
        <f t="shared" si="2"/>
        <v>0</v>
      </c>
      <c r="P38" s="278"/>
      <c r="R38" s="243"/>
      <c r="S38" s="243"/>
      <c r="T38" s="243"/>
      <c r="U38" s="243"/>
    </row>
    <row r="39" spans="3:21" ht="12.5">
      <c r="C39" s="495">
        <f>IF(D11="","-",+C38+1)</f>
        <v>2038</v>
      </c>
      <c r="D39" s="510">
        <f>IF(F38+SUM(E$17:E38)=D$10,F38,D$10-SUM(E$17:E38))</f>
        <v>23677405.277786151</v>
      </c>
      <c r="E39" s="509">
        <f>IF(+I14&lt;F38,I14,D39)</f>
        <v>2201531.2580645164</v>
      </c>
      <c r="F39" s="510">
        <f t="shared" si="3"/>
        <v>21475874.019721635</v>
      </c>
      <c r="G39" s="511">
        <f t="shared" si="4"/>
        <v>4643986.5352917789</v>
      </c>
      <c r="H39" s="477">
        <f t="shared" si="5"/>
        <v>4643986.5352917789</v>
      </c>
      <c r="I39" s="500">
        <f t="shared" si="0"/>
        <v>0</v>
      </c>
      <c r="J39" s="500"/>
      <c r="K39" s="512"/>
      <c r="L39" s="504">
        <f t="shared" si="6"/>
        <v>0</v>
      </c>
      <c r="M39" s="512"/>
      <c r="N39" s="504">
        <f t="shared" si="1"/>
        <v>0</v>
      </c>
      <c r="O39" s="504">
        <f t="shared" si="2"/>
        <v>0</v>
      </c>
      <c r="P39" s="278"/>
      <c r="R39" s="243"/>
      <c r="S39" s="243"/>
      <c r="T39" s="243"/>
      <c r="U39" s="243"/>
    </row>
    <row r="40" spans="3:21" ht="12.5">
      <c r="C40" s="495">
        <f>IF(D11="","-",+C39+1)</f>
        <v>2039</v>
      </c>
      <c r="D40" s="510">
        <f>IF(F39+SUM(E$17:E39)=D$10,F39,D$10-SUM(E$17:E39))</f>
        <v>21475874.019721635</v>
      </c>
      <c r="E40" s="509">
        <f>IF(+I14&lt;F39,I14,D40)</f>
        <v>2201531.2580645164</v>
      </c>
      <c r="F40" s="510">
        <f t="shared" si="3"/>
        <v>19274342.761657119</v>
      </c>
      <c r="G40" s="511">
        <f t="shared" si="4"/>
        <v>4405813.7282267008</v>
      </c>
      <c r="H40" s="477">
        <f t="shared" si="5"/>
        <v>4405813.7282267008</v>
      </c>
      <c r="I40" s="500">
        <f t="shared" si="0"/>
        <v>0</v>
      </c>
      <c r="J40" s="500"/>
      <c r="K40" s="512"/>
      <c r="L40" s="504">
        <f t="shared" si="6"/>
        <v>0</v>
      </c>
      <c r="M40" s="512"/>
      <c r="N40" s="504">
        <f t="shared" si="1"/>
        <v>0</v>
      </c>
      <c r="O40" s="504">
        <f t="shared" si="2"/>
        <v>0</v>
      </c>
      <c r="P40" s="278"/>
      <c r="R40" s="243"/>
      <c r="S40" s="243"/>
      <c r="T40" s="243"/>
      <c r="U40" s="243"/>
    </row>
    <row r="41" spans="3:21" ht="12.5">
      <c r="C41" s="495">
        <f>IF(D12="","-",+C40+1)</f>
        <v>2040</v>
      </c>
      <c r="D41" s="510">
        <f>IF(F40+SUM(E$17:E40)=D$10,F40,D$10-SUM(E$17:E40))</f>
        <v>19274342.761657119</v>
      </c>
      <c r="E41" s="509">
        <f>IF(+I14&lt;F40,I14,D41)</f>
        <v>2201531.2580645164</v>
      </c>
      <c r="F41" s="510">
        <f t="shared" si="3"/>
        <v>17072811.503592603</v>
      </c>
      <c r="G41" s="511">
        <f t="shared" si="4"/>
        <v>4167640.9211616227</v>
      </c>
      <c r="H41" s="477">
        <f t="shared" si="5"/>
        <v>4167640.9211616227</v>
      </c>
      <c r="I41" s="500">
        <f t="shared" si="0"/>
        <v>0</v>
      </c>
      <c r="J41" s="500"/>
      <c r="K41" s="512"/>
      <c r="L41" s="504">
        <f t="shared" si="6"/>
        <v>0</v>
      </c>
      <c r="M41" s="512"/>
      <c r="N41" s="504">
        <f t="shared" si="1"/>
        <v>0</v>
      </c>
      <c r="O41" s="504">
        <f t="shared" si="2"/>
        <v>0</v>
      </c>
      <c r="P41" s="278"/>
      <c r="R41" s="243"/>
      <c r="S41" s="243"/>
      <c r="T41" s="243"/>
      <c r="U41" s="243"/>
    </row>
    <row r="42" spans="3:21" ht="12.5">
      <c r="C42" s="495">
        <f>IF(D13="","-",+C41+1)</f>
        <v>2041</v>
      </c>
      <c r="D42" s="510">
        <f>IF(F41+SUM(E$17:E41)=D$10,F41,D$10-SUM(E$17:E41))</f>
        <v>17072811.503592603</v>
      </c>
      <c r="E42" s="509">
        <f>IF(+I14&lt;F41,I14,D42)</f>
        <v>2201531.2580645164</v>
      </c>
      <c r="F42" s="510">
        <f t="shared" si="3"/>
        <v>14871280.245528087</v>
      </c>
      <c r="G42" s="511">
        <f t="shared" si="4"/>
        <v>3929468.1140965447</v>
      </c>
      <c r="H42" s="477">
        <f t="shared" si="5"/>
        <v>3929468.1140965447</v>
      </c>
      <c r="I42" s="500">
        <f t="shared" si="0"/>
        <v>0</v>
      </c>
      <c r="J42" s="500"/>
      <c r="K42" s="512"/>
      <c r="L42" s="504">
        <f t="shared" si="6"/>
        <v>0</v>
      </c>
      <c r="M42" s="512"/>
      <c r="N42" s="504">
        <f t="shared" si="1"/>
        <v>0</v>
      </c>
      <c r="O42" s="504">
        <f t="shared" si="2"/>
        <v>0</v>
      </c>
      <c r="P42" s="278"/>
      <c r="R42" s="243"/>
      <c r="S42" s="243"/>
      <c r="T42" s="243"/>
      <c r="U42" s="243"/>
    </row>
    <row r="43" spans="3:21" ht="12.5">
      <c r="C43" s="495">
        <f>IF(D14="","-",+C42+1)</f>
        <v>2042</v>
      </c>
      <c r="D43" s="510">
        <f>IF(F42+SUM(E$17:E42)=D$10,F42,D$10-SUM(E$17:E42))</f>
        <v>14871280.245528087</v>
      </c>
      <c r="E43" s="509">
        <f>IF(+I14&lt;F42,I14,D43)</f>
        <v>2201531.2580645164</v>
      </c>
      <c r="F43" s="510">
        <f t="shared" si="3"/>
        <v>12669748.987463571</v>
      </c>
      <c r="G43" s="511">
        <f t="shared" si="4"/>
        <v>3691295.3070314666</v>
      </c>
      <c r="H43" s="477">
        <f t="shared" si="5"/>
        <v>3691295.3070314666</v>
      </c>
      <c r="I43" s="500">
        <f t="shared" si="0"/>
        <v>0</v>
      </c>
      <c r="J43" s="500"/>
      <c r="K43" s="512"/>
      <c r="L43" s="504">
        <f t="shared" si="6"/>
        <v>0</v>
      </c>
      <c r="M43" s="512"/>
      <c r="N43" s="504">
        <f t="shared" si="1"/>
        <v>0</v>
      </c>
      <c r="O43" s="504">
        <f t="shared" si="2"/>
        <v>0</v>
      </c>
      <c r="P43" s="278"/>
      <c r="R43" s="243"/>
      <c r="S43" s="243"/>
      <c r="T43" s="243"/>
      <c r="U43" s="243"/>
    </row>
    <row r="44" spans="3:21" ht="12.5">
      <c r="C44" s="495">
        <f>IF(D11="","-",+C43+1)</f>
        <v>2043</v>
      </c>
      <c r="D44" s="510">
        <f>IF(F43+SUM(E$17:E43)=D$10,F43,D$10-SUM(E$17:E43))</f>
        <v>12669748.987463571</v>
      </c>
      <c r="E44" s="509">
        <f>IF(+I14&lt;F43,I14,D44)</f>
        <v>2201531.2580645164</v>
      </c>
      <c r="F44" s="510">
        <f t="shared" si="3"/>
        <v>10468217.729399055</v>
      </c>
      <c r="G44" s="511">
        <f t="shared" si="4"/>
        <v>3453122.4999663886</v>
      </c>
      <c r="H44" s="477">
        <f t="shared" si="5"/>
        <v>3453122.4999663886</v>
      </c>
      <c r="I44" s="500">
        <f t="shared" si="0"/>
        <v>0</v>
      </c>
      <c r="J44" s="500"/>
      <c r="K44" s="512"/>
      <c r="L44" s="504">
        <f t="shared" si="6"/>
        <v>0</v>
      </c>
      <c r="M44" s="512"/>
      <c r="N44" s="504">
        <f t="shared" si="1"/>
        <v>0</v>
      </c>
      <c r="O44" s="504">
        <f t="shared" si="2"/>
        <v>0</v>
      </c>
      <c r="P44" s="278"/>
      <c r="R44" s="243"/>
      <c r="S44" s="243"/>
      <c r="T44" s="243"/>
      <c r="U44" s="243"/>
    </row>
    <row r="45" spans="3:21" ht="12.5">
      <c r="C45" s="495">
        <f>IF(D11="","-",+C44+1)</f>
        <v>2044</v>
      </c>
      <c r="D45" s="510">
        <f>IF(F44+SUM(E$17:E44)=D$10,F44,D$10-SUM(E$17:E44))</f>
        <v>10468217.729399055</v>
      </c>
      <c r="E45" s="509">
        <f>IF(+I14&lt;F44,I14,D45)</f>
        <v>2201531.2580645164</v>
      </c>
      <c r="F45" s="510">
        <f t="shared" si="3"/>
        <v>8266686.4713345394</v>
      </c>
      <c r="G45" s="511">
        <f t="shared" si="4"/>
        <v>3214949.692901311</v>
      </c>
      <c r="H45" s="477">
        <f t="shared" si="5"/>
        <v>3214949.692901311</v>
      </c>
      <c r="I45" s="500">
        <f t="shared" si="0"/>
        <v>0</v>
      </c>
      <c r="J45" s="500"/>
      <c r="K45" s="512"/>
      <c r="L45" s="504">
        <f t="shared" si="6"/>
        <v>0</v>
      </c>
      <c r="M45" s="512"/>
      <c r="N45" s="504">
        <f t="shared" si="1"/>
        <v>0</v>
      </c>
      <c r="O45" s="504">
        <f t="shared" si="2"/>
        <v>0</v>
      </c>
      <c r="P45" s="278"/>
      <c r="R45" s="243"/>
      <c r="S45" s="243"/>
      <c r="T45" s="243"/>
      <c r="U45" s="243"/>
    </row>
    <row r="46" spans="3:21" ht="12.5">
      <c r="C46" s="495">
        <f>IF(D11="","-",+C45+1)</f>
        <v>2045</v>
      </c>
      <c r="D46" s="510">
        <f>IF(F45+SUM(E$17:E45)=D$10,F45,D$10-SUM(E$17:E45))</f>
        <v>8266686.4713345394</v>
      </c>
      <c r="E46" s="509">
        <f>IF(+I14&lt;F45,I14,D46)</f>
        <v>2201531.2580645164</v>
      </c>
      <c r="F46" s="510">
        <f t="shared" si="3"/>
        <v>6065155.2132700235</v>
      </c>
      <c r="G46" s="511">
        <f t="shared" si="4"/>
        <v>2976776.8858362329</v>
      </c>
      <c r="H46" s="477">
        <f t="shared" si="5"/>
        <v>2976776.8858362329</v>
      </c>
      <c r="I46" s="500">
        <f t="shared" si="0"/>
        <v>0</v>
      </c>
      <c r="J46" s="500"/>
      <c r="K46" s="512"/>
      <c r="L46" s="504">
        <f t="shared" si="6"/>
        <v>0</v>
      </c>
      <c r="M46" s="512"/>
      <c r="N46" s="504">
        <f t="shared" si="1"/>
        <v>0</v>
      </c>
      <c r="O46" s="504">
        <f t="shared" si="2"/>
        <v>0</v>
      </c>
      <c r="P46" s="278"/>
      <c r="R46" s="243"/>
      <c r="S46" s="243"/>
      <c r="T46" s="243"/>
      <c r="U46" s="243"/>
    </row>
    <row r="47" spans="3:21" ht="12.5">
      <c r="C47" s="495">
        <f>IF(D11="","-",+C46+1)</f>
        <v>2046</v>
      </c>
      <c r="D47" s="510">
        <f>IF(F46+SUM(E$17:E46)=D$10,F46,D$10-SUM(E$17:E46))</f>
        <v>6065155.2132700235</v>
      </c>
      <c r="E47" s="509">
        <f>IF(+I14&lt;F46,I14,D47)</f>
        <v>2201531.2580645164</v>
      </c>
      <c r="F47" s="510">
        <f t="shared" si="3"/>
        <v>3863623.9552055071</v>
      </c>
      <c r="G47" s="511">
        <f t="shared" si="4"/>
        <v>2738604.0787711549</v>
      </c>
      <c r="H47" s="477">
        <f t="shared" si="5"/>
        <v>2738604.0787711549</v>
      </c>
      <c r="I47" s="500">
        <f t="shared" si="0"/>
        <v>0</v>
      </c>
      <c r="J47" s="500"/>
      <c r="K47" s="512"/>
      <c r="L47" s="504">
        <f t="shared" si="6"/>
        <v>0</v>
      </c>
      <c r="M47" s="512"/>
      <c r="N47" s="504">
        <f t="shared" si="1"/>
        <v>0</v>
      </c>
      <c r="O47" s="504">
        <f t="shared" si="2"/>
        <v>0</v>
      </c>
      <c r="P47" s="278"/>
      <c r="R47" s="243"/>
      <c r="S47" s="243"/>
      <c r="T47" s="243"/>
      <c r="U47" s="243"/>
    </row>
    <row r="48" spans="3:21" ht="12.5">
      <c r="C48" s="495">
        <f>IF(D11="","-",+C47+1)</f>
        <v>2047</v>
      </c>
      <c r="D48" s="510">
        <f>IF(F47+SUM(E$17:E47)=D$10,F47,D$10-SUM(E$17:E47))</f>
        <v>3863623.9552055071</v>
      </c>
      <c r="E48" s="509">
        <f>IF(+I14&lt;F47,I14,D48)</f>
        <v>2201531.2580645164</v>
      </c>
      <c r="F48" s="510">
        <f t="shared" si="3"/>
        <v>1662092.6971409908</v>
      </c>
      <c r="G48" s="511">
        <f t="shared" si="4"/>
        <v>2500431.2717060768</v>
      </c>
      <c r="H48" s="477">
        <f t="shared" si="5"/>
        <v>2500431.2717060768</v>
      </c>
      <c r="I48" s="500">
        <f t="shared" si="0"/>
        <v>0</v>
      </c>
      <c r="J48" s="500"/>
      <c r="K48" s="512"/>
      <c r="L48" s="504">
        <f t="shared" si="6"/>
        <v>0</v>
      </c>
      <c r="M48" s="512"/>
      <c r="N48" s="504">
        <f t="shared" si="1"/>
        <v>0</v>
      </c>
      <c r="O48" s="504">
        <f t="shared" si="2"/>
        <v>0</v>
      </c>
      <c r="P48" s="278"/>
      <c r="R48" s="243"/>
      <c r="S48" s="243"/>
      <c r="T48" s="243"/>
      <c r="U48" s="243"/>
    </row>
    <row r="49" spans="3:21" ht="12.5">
      <c r="C49" s="495">
        <f>IF(D11="","-",+C48+1)</f>
        <v>2048</v>
      </c>
      <c r="D49" s="510">
        <f>IF(F48+SUM(E$17:E48)=D$10,F48,D$10-SUM(E$17:E48))</f>
        <v>1662092.6971409908</v>
      </c>
      <c r="E49" s="509">
        <f>IF(+I14&lt;F48,I14,D49)</f>
        <v>1662092.6971409908</v>
      </c>
      <c r="F49" s="510">
        <f t="shared" si="3"/>
        <v>0</v>
      </c>
      <c r="G49" s="511">
        <f t="shared" si="4"/>
        <v>1751999.5021955015</v>
      </c>
      <c r="H49" s="477">
        <f t="shared" si="5"/>
        <v>1751999.5021955015</v>
      </c>
      <c r="I49" s="500">
        <f t="shared" si="0"/>
        <v>0</v>
      </c>
      <c r="J49" s="500"/>
      <c r="K49" s="512"/>
      <c r="L49" s="504">
        <f t="shared" si="6"/>
        <v>0</v>
      </c>
      <c r="M49" s="512"/>
      <c r="N49" s="504">
        <f t="shared" si="1"/>
        <v>0</v>
      </c>
      <c r="O49" s="504">
        <f t="shared" si="2"/>
        <v>0</v>
      </c>
      <c r="P49" s="278"/>
      <c r="R49" s="243"/>
      <c r="S49" s="243"/>
      <c r="T49" s="243"/>
      <c r="U49" s="243"/>
    </row>
    <row r="50" spans="3:21" ht="12.5">
      <c r="C50" s="495">
        <f>IF(D11="","-",+C49+1)</f>
        <v>2049</v>
      </c>
      <c r="D50" s="510">
        <f>IF(F49+SUM(E$17:E49)=D$10,F49,D$10-SUM(E$17:E49))</f>
        <v>0</v>
      </c>
      <c r="E50" s="509">
        <f>IF(+I14&lt;F49,I14,D50)</f>
        <v>0</v>
      </c>
      <c r="F50" s="510">
        <f t="shared" si="3"/>
        <v>0</v>
      </c>
      <c r="G50" s="511">
        <f t="shared" si="4"/>
        <v>0</v>
      </c>
      <c r="H50" s="477">
        <f t="shared" si="5"/>
        <v>0</v>
      </c>
      <c r="I50" s="500">
        <f t="shared" si="0"/>
        <v>0</v>
      </c>
      <c r="J50" s="500"/>
      <c r="K50" s="512"/>
      <c r="L50" s="504">
        <f t="shared" si="6"/>
        <v>0</v>
      </c>
      <c r="M50" s="512"/>
      <c r="N50" s="504">
        <f t="shared" si="1"/>
        <v>0</v>
      </c>
      <c r="O50" s="504">
        <f t="shared" si="2"/>
        <v>0</v>
      </c>
      <c r="P50" s="278"/>
      <c r="R50" s="243"/>
      <c r="S50" s="243"/>
      <c r="T50" s="243"/>
      <c r="U50" s="243"/>
    </row>
    <row r="51" spans="3:21" ht="12.5">
      <c r="C51" s="495">
        <f>IF(D11="","-",+C50+1)</f>
        <v>2050</v>
      </c>
      <c r="D51" s="510">
        <f>IF(F50+SUM(E$17:E50)=D$10,F50,D$10-SUM(E$17:E50))</f>
        <v>0</v>
      </c>
      <c r="E51" s="509">
        <f>IF(+I14&lt;F50,I14,D51)</f>
        <v>0</v>
      </c>
      <c r="F51" s="510">
        <f t="shared" si="3"/>
        <v>0</v>
      </c>
      <c r="G51" s="511">
        <f t="shared" si="4"/>
        <v>0</v>
      </c>
      <c r="H51" s="477">
        <f t="shared" si="5"/>
        <v>0</v>
      </c>
      <c r="I51" s="500">
        <f t="shared" si="0"/>
        <v>0</v>
      </c>
      <c r="J51" s="500"/>
      <c r="K51" s="512"/>
      <c r="L51" s="504">
        <f t="shared" si="6"/>
        <v>0</v>
      </c>
      <c r="M51" s="512"/>
      <c r="N51" s="504">
        <f t="shared" si="1"/>
        <v>0</v>
      </c>
      <c r="O51" s="504">
        <f t="shared" si="2"/>
        <v>0</v>
      </c>
      <c r="P51" s="278"/>
      <c r="R51" s="243"/>
      <c r="S51" s="243"/>
      <c r="T51" s="243"/>
      <c r="U51" s="243"/>
    </row>
    <row r="52" spans="3:21" ht="12.5">
      <c r="C52" s="495">
        <f>IF(D11="","-",+C51+1)</f>
        <v>2051</v>
      </c>
      <c r="D52" s="510">
        <f>IF(F51+SUM(E$17:E51)=D$10,F51,D$10-SUM(E$17:E51))</f>
        <v>0</v>
      </c>
      <c r="E52" s="509">
        <f>IF(+I14&lt;F51,I14,D52)</f>
        <v>0</v>
      </c>
      <c r="F52" s="510">
        <f t="shared" si="3"/>
        <v>0</v>
      </c>
      <c r="G52" s="511">
        <f t="shared" si="4"/>
        <v>0</v>
      </c>
      <c r="H52" s="477">
        <f t="shared" si="5"/>
        <v>0</v>
      </c>
      <c r="I52" s="500">
        <f t="shared" si="0"/>
        <v>0</v>
      </c>
      <c r="J52" s="500"/>
      <c r="K52" s="512"/>
      <c r="L52" s="504">
        <f t="shared" si="6"/>
        <v>0</v>
      </c>
      <c r="M52" s="512"/>
      <c r="N52" s="504">
        <f t="shared" si="1"/>
        <v>0</v>
      </c>
      <c r="O52" s="504">
        <f t="shared" si="2"/>
        <v>0</v>
      </c>
      <c r="P52" s="278"/>
      <c r="R52" s="243"/>
      <c r="S52" s="243"/>
      <c r="T52" s="243"/>
      <c r="U52" s="243"/>
    </row>
    <row r="53" spans="3:21" ht="12.5">
      <c r="C53" s="495">
        <f>IF(D11="","-",+C52+1)</f>
        <v>2052</v>
      </c>
      <c r="D53" s="510">
        <f>IF(F52+SUM(E$17:E52)=D$10,F52,D$10-SUM(E$17:E52))</f>
        <v>0</v>
      </c>
      <c r="E53" s="509">
        <f>IF(+I14&lt;F52,I14,D53)</f>
        <v>0</v>
      </c>
      <c r="F53" s="510">
        <f t="shared" si="3"/>
        <v>0</v>
      </c>
      <c r="G53" s="511">
        <f t="shared" si="4"/>
        <v>0</v>
      </c>
      <c r="H53" s="477">
        <f t="shared" si="5"/>
        <v>0</v>
      </c>
      <c r="I53" s="500">
        <f t="shared" si="0"/>
        <v>0</v>
      </c>
      <c r="J53" s="500"/>
      <c r="K53" s="512"/>
      <c r="L53" s="504">
        <f t="shared" si="6"/>
        <v>0</v>
      </c>
      <c r="M53" s="512"/>
      <c r="N53" s="504">
        <f t="shared" si="1"/>
        <v>0</v>
      </c>
      <c r="O53" s="504">
        <f t="shared" si="2"/>
        <v>0</v>
      </c>
      <c r="P53" s="278"/>
      <c r="R53" s="243"/>
      <c r="S53" s="243"/>
      <c r="T53" s="243"/>
      <c r="U53" s="243"/>
    </row>
    <row r="54" spans="3:21" ht="12.5">
      <c r="C54" s="495">
        <f>IF(D11="","-",+C53+1)</f>
        <v>2053</v>
      </c>
      <c r="D54" s="510">
        <f>IF(F53+SUM(E$17:E53)=D$10,F53,D$10-SUM(E$17:E53))</f>
        <v>0</v>
      </c>
      <c r="E54" s="509">
        <f>IF(+I14&lt;F53,I14,D54)</f>
        <v>0</v>
      </c>
      <c r="F54" s="510">
        <f t="shared" si="3"/>
        <v>0</v>
      </c>
      <c r="G54" s="511">
        <f t="shared" si="4"/>
        <v>0</v>
      </c>
      <c r="H54" s="477">
        <f t="shared" si="5"/>
        <v>0</v>
      </c>
      <c r="I54" s="500">
        <f t="shared" si="0"/>
        <v>0</v>
      </c>
      <c r="J54" s="500"/>
      <c r="K54" s="512"/>
      <c r="L54" s="504">
        <f t="shared" si="6"/>
        <v>0</v>
      </c>
      <c r="M54" s="512"/>
      <c r="N54" s="504">
        <f t="shared" si="1"/>
        <v>0</v>
      </c>
      <c r="O54" s="504">
        <f t="shared" si="2"/>
        <v>0</v>
      </c>
      <c r="P54" s="278"/>
      <c r="R54" s="243"/>
      <c r="S54" s="243"/>
      <c r="T54" s="243"/>
      <c r="U54" s="243"/>
    </row>
    <row r="55" spans="3:21" ht="12.5">
      <c r="C55" s="495">
        <f>IF(D11="","-",+C54+1)</f>
        <v>2054</v>
      </c>
      <c r="D55" s="510">
        <f>IF(F54+SUM(E$17:E54)=D$10,F54,D$10-SUM(E$17:E54))</f>
        <v>0</v>
      </c>
      <c r="E55" s="509">
        <f>IF(+I14&lt;F54,I14,D55)</f>
        <v>0</v>
      </c>
      <c r="F55" s="510">
        <f t="shared" si="3"/>
        <v>0</v>
      </c>
      <c r="G55" s="511">
        <f t="shared" si="4"/>
        <v>0</v>
      </c>
      <c r="H55" s="477">
        <f t="shared" si="5"/>
        <v>0</v>
      </c>
      <c r="I55" s="500">
        <f t="shared" si="0"/>
        <v>0</v>
      </c>
      <c r="J55" s="500"/>
      <c r="K55" s="512"/>
      <c r="L55" s="504">
        <f t="shared" si="6"/>
        <v>0</v>
      </c>
      <c r="M55" s="512"/>
      <c r="N55" s="504">
        <f t="shared" si="1"/>
        <v>0</v>
      </c>
      <c r="O55" s="504">
        <f t="shared" si="2"/>
        <v>0</v>
      </c>
      <c r="P55" s="278"/>
      <c r="R55" s="243"/>
      <c r="S55" s="243"/>
      <c r="T55" s="243"/>
      <c r="U55" s="243"/>
    </row>
    <row r="56" spans="3:21" ht="12.5">
      <c r="C56" s="495">
        <f>IF(D11="","-",+C55+1)</f>
        <v>2055</v>
      </c>
      <c r="D56" s="510">
        <f>IF(F55+SUM(E$17:E55)=D$10,F55,D$10-SUM(E$17:E55))</f>
        <v>0</v>
      </c>
      <c r="E56" s="509">
        <f>IF(+I14&lt;F55,I14,D56)</f>
        <v>0</v>
      </c>
      <c r="F56" s="510">
        <f t="shared" si="3"/>
        <v>0</v>
      </c>
      <c r="G56" s="511">
        <f t="shared" si="4"/>
        <v>0</v>
      </c>
      <c r="H56" s="477">
        <f t="shared" si="5"/>
        <v>0</v>
      </c>
      <c r="I56" s="500">
        <f t="shared" si="0"/>
        <v>0</v>
      </c>
      <c r="J56" s="500"/>
      <c r="K56" s="512"/>
      <c r="L56" s="504">
        <f t="shared" si="6"/>
        <v>0</v>
      </c>
      <c r="M56" s="512"/>
      <c r="N56" s="504">
        <f t="shared" si="1"/>
        <v>0</v>
      </c>
      <c r="O56" s="504">
        <f t="shared" si="2"/>
        <v>0</v>
      </c>
      <c r="P56" s="278"/>
      <c r="R56" s="243"/>
      <c r="S56" s="243"/>
      <c r="T56" s="243"/>
      <c r="U56" s="243"/>
    </row>
    <row r="57" spans="3:21" ht="12.5">
      <c r="C57" s="495">
        <f>IF(D11="","-",+C56+1)</f>
        <v>2056</v>
      </c>
      <c r="D57" s="510">
        <f>IF(F56+SUM(E$17:E56)=D$10,F56,D$10-SUM(E$17:E56))</f>
        <v>0</v>
      </c>
      <c r="E57" s="509">
        <f>IF(+I14&lt;F56,I14,D57)</f>
        <v>0</v>
      </c>
      <c r="F57" s="510">
        <f t="shared" si="3"/>
        <v>0</v>
      </c>
      <c r="G57" s="511">
        <f t="shared" si="4"/>
        <v>0</v>
      </c>
      <c r="H57" s="477">
        <f t="shared" si="5"/>
        <v>0</v>
      </c>
      <c r="I57" s="500">
        <f t="shared" si="0"/>
        <v>0</v>
      </c>
      <c r="J57" s="500"/>
      <c r="K57" s="512"/>
      <c r="L57" s="504">
        <f t="shared" si="6"/>
        <v>0</v>
      </c>
      <c r="M57" s="512"/>
      <c r="N57" s="504">
        <f t="shared" si="1"/>
        <v>0</v>
      </c>
      <c r="O57" s="504">
        <f t="shared" si="2"/>
        <v>0</v>
      </c>
      <c r="P57" s="278"/>
      <c r="R57" s="243"/>
      <c r="S57" s="243"/>
      <c r="T57" s="243"/>
      <c r="U57" s="243"/>
    </row>
    <row r="58" spans="3:21" ht="12.5">
      <c r="C58" s="495">
        <f>IF(D11="","-",+C57+1)</f>
        <v>2057</v>
      </c>
      <c r="D58" s="510">
        <f>IF(F57+SUM(E$17:E57)=D$10,F57,D$10-SUM(E$17:E57))</f>
        <v>0</v>
      </c>
      <c r="E58" s="509">
        <f>IF(+I14&lt;F57,I14,D58)</f>
        <v>0</v>
      </c>
      <c r="F58" s="510">
        <f t="shared" si="3"/>
        <v>0</v>
      </c>
      <c r="G58" s="511">
        <f t="shared" si="4"/>
        <v>0</v>
      </c>
      <c r="H58" s="477">
        <f t="shared" si="5"/>
        <v>0</v>
      </c>
      <c r="I58" s="500">
        <f t="shared" si="0"/>
        <v>0</v>
      </c>
      <c r="J58" s="500"/>
      <c r="K58" s="512"/>
      <c r="L58" s="504">
        <f t="shared" si="6"/>
        <v>0</v>
      </c>
      <c r="M58" s="512"/>
      <c r="N58" s="504">
        <f t="shared" si="1"/>
        <v>0</v>
      </c>
      <c r="O58" s="504">
        <f t="shared" si="2"/>
        <v>0</v>
      </c>
      <c r="P58" s="278"/>
      <c r="R58" s="243"/>
      <c r="S58" s="243"/>
      <c r="T58" s="243"/>
      <c r="U58" s="243"/>
    </row>
    <row r="59" spans="3:21" ht="12.5">
      <c r="C59" s="495">
        <f>IF(D11="","-",+C58+1)</f>
        <v>2058</v>
      </c>
      <c r="D59" s="510">
        <f>IF(F58+SUM(E$17:E58)=D$10,F58,D$10-SUM(E$17:E58))</f>
        <v>0</v>
      </c>
      <c r="E59" s="509">
        <f>IF(+I14&lt;F58,I14,D59)</f>
        <v>0</v>
      </c>
      <c r="F59" s="510">
        <f t="shared" si="3"/>
        <v>0</v>
      </c>
      <c r="G59" s="511">
        <f t="shared" si="4"/>
        <v>0</v>
      </c>
      <c r="H59" s="477">
        <f t="shared" si="5"/>
        <v>0</v>
      </c>
      <c r="I59" s="500">
        <f t="shared" si="0"/>
        <v>0</v>
      </c>
      <c r="J59" s="500"/>
      <c r="K59" s="512"/>
      <c r="L59" s="504">
        <f t="shared" si="6"/>
        <v>0</v>
      </c>
      <c r="M59" s="512"/>
      <c r="N59" s="504">
        <f t="shared" si="1"/>
        <v>0</v>
      </c>
      <c r="O59" s="504">
        <f t="shared" si="2"/>
        <v>0</v>
      </c>
      <c r="P59" s="278"/>
      <c r="R59" s="243"/>
      <c r="S59" s="243"/>
      <c r="T59" s="243"/>
      <c r="U59" s="243"/>
    </row>
    <row r="60" spans="3:21" ht="12.5">
      <c r="C60" s="495">
        <f>IF(D11="","-",+C59+1)</f>
        <v>2059</v>
      </c>
      <c r="D60" s="510">
        <f>IF(F59+SUM(E$17:E59)=D$10,F59,D$10-SUM(E$17:E59))</f>
        <v>0</v>
      </c>
      <c r="E60" s="509">
        <f>IF(+I14&lt;F59,I14,D60)</f>
        <v>0</v>
      </c>
      <c r="F60" s="510">
        <f t="shared" si="3"/>
        <v>0</v>
      </c>
      <c r="G60" s="511">
        <f t="shared" si="4"/>
        <v>0</v>
      </c>
      <c r="H60" s="477">
        <f t="shared" si="5"/>
        <v>0</v>
      </c>
      <c r="I60" s="500">
        <f t="shared" si="0"/>
        <v>0</v>
      </c>
      <c r="J60" s="500"/>
      <c r="K60" s="512"/>
      <c r="L60" s="504">
        <f t="shared" si="6"/>
        <v>0</v>
      </c>
      <c r="M60" s="512"/>
      <c r="N60" s="504">
        <f t="shared" si="1"/>
        <v>0</v>
      </c>
      <c r="O60" s="504">
        <f t="shared" si="2"/>
        <v>0</v>
      </c>
      <c r="P60" s="278"/>
      <c r="R60" s="243"/>
      <c r="S60" s="243"/>
      <c r="T60" s="243"/>
      <c r="U60" s="243"/>
    </row>
    <row r="61" spans="3:21" ht="12.5">
      <c r="C61" s="495">
        <f>IF(D11="","-",+C60+1)</f>
        <v>2060</v>
      </c>
      <c r="D61" s="510">
        <f>IF(F60+SUM(E$17:E60)=D$10,F60,D$10-SUM(E$17:E60))</f>
        <v>0</v>
      </c>
      <c r="E61" s="509">
        <f>IF(+I14&lt;F60,I14,D61)</f>
        <v>0</v>
      </c>
      <c r="F61" s="510">
        <f t="shared" si="3"/>
        <v>0</v>
      </c>
      <c r="G61" s="511">
        <f t="shared" si="4"/>
        <v>0</v>
      </c>
      <c r="H61" s="477">
        <f t="shared" si="5"/>
        <v>0</v>
      </c>
      <c r="I61" s="500">
        <f t="shared" si="0"/>
        <v>0</v>
      </c>
      <c r="J61" s="500"/>
      <c r="K61" s="512"/>
      <c r="L61" s="504">
        <f t="shared" si="6"/>
        <v>0</v>
      </c>
      <c r="M61" s="512"/>
      <c r="N61" s="504">
        <f t="shared" si="1"/>
        <v>0</v>
      </c>
      <c r="O61" s="504">
        <f t="shared" si="2"/>
        <v>0</v>
      </c>
      <c r="P61" s="278"/>
      <c r="R61" s="243"/>
      <c r="S61" s="243"/>
      <c r="T61" s="243"/>
      <c r="U61" s="243"/>
    </row>
    <row r="62" spans="3:21" ht="12.5">
      <c r="C62" s="495">
        <f>IF(D11="","-",+C61+1)</f>
        <v>2061</v>
      </c>
      <c r="D62" s="510">
        <f>IF(F61+SUM(E$17:E61)=D$10,F61,D$10-SUM(E$17:E61))</f>
        <v>0</v>
      </c>
      <c r="E62" s="509">
        <f>IF(+I14&lt;F61,I14,D62)</f>
        <v>0</v>
      </c>
      <c r="F62" s="510">
        <f t="shared" si="3"/>
        <v>0</v>
      </c>
      <c r="G62" s="511">
        <f t="shared" si="4"/>
        <v>0</v>
      </c>
      <c r="H62" s="477">
        <f t="shared" si="5"/>
        <v>0</v>
      </c>
      <c r="I62" s="500">
        <f t="shared" si="0"/>
        <v>0</v>
      </c>
      <c r="J62" s="500"/>
      <c r="K62" s="512"/>
      <c r="L62" s="504">
        <f t="shared" si="6"/>
        <v>0</v>
      </c>
      <c r="M62" s="512"/>
      <c r="N62" s="504">
        <f t="shared" si="1"/>
        <v>0</v>
      </c>
      <c r="O62" s="504">
        <f t="shared" si="2"/>
        <v>0</v>
      </c>
      <c r="P62" s="278"/>
      <c r="R62" s="243"/>
      <c r="S62" s="243"/>
      <c r="T62" s="243"/>
      <c r="U62" s="243"/>
    </row>
    <row r="63" spans="3:21" ht="12.5">
      <c r="C63" s="495">
        <f>IF(D11="","-",+C62+1)</f>
        <v>2062</v>
      </c>
      <c r="D63" s="510">
        <f>IF(F62+SUM(E$17:E62)=D$10,F62,D$10-SUM(E$17:E62))</f>
        <v>0</v>
      </c>
      <c r="E63" s="509">
        <f>IF(+I14&lt;F62,I14,D63)</f>
        <v>0</v>
      </c>
      <c r="F63" s="510">
        <f t="shared" si="3"/>
        <v>0</v>
      </c>
      <c r="G63" s="511">
        <f t="shared" si="4"/>
        <v>0</v>
      </c>
      <c r="H63" s="477">
        <f t="shared" si="5"/>
        <v>0</v>
      </c>
      <c r="I63" s="500">
        <f t="shared" si="0"/>
        <v>0</v>
      </c>
      <c r="J63" s="500"/>
      <c r="K63" s="512"/>
      <c r="L63" s="504">
        <f t="shared" si="6"/>
        <v>0</v>
      </c>
      <c r="M63" s="512"/>
      <c r="N63" s="504">
        <f t="shared" si="1"/>
        <v>0</v>
      </c>
      <c r="O63" s="504">
        <f t="shared" si="2"/>
        <v>0</v>
      </c>
      <c r="P63" s="278"/>
      <c r="R63" s="243"/>
      <c r="S63" s="243"/>
      <c r="T63" s="243"/>
      <c r="U63" s="243"/>
    </row>
    <row r="64" spans="3:21" ht="12.5">
      <c r="C64" s="495">
        <f>IF(D11="","-",+C63+1)</f>
        <v>2063</v>
      </c>
      <c r="D64" s="510">
        <f>IF(F63+SUM(E$17:E63)=D$10,F63,D$10-SUM(E$17:E63))</f>
        <v>0</v>
      </c>
      <c r="E64" s="509">
        <f>IF(+I14&lt;F63,I14,D64)</f>
        <v>0</v>
      </c>
      <c r="F64" s="510">
        <f t="shared" si="3"/>
        <v>0</v>
      </c>
      <c r="G64" s="511">
        <f t="shared" si="4"/>
        <v>0</v>
      </c>
      <c r="H64" s="477">
        <f t="shared" si="5"/>
        <v>0</v>
      </c>
      <c r="I64" s="500">
        <f t="shared" si="0"/>
        <v>0</v>
      </c>
      <c r="J64" s="500"/>
      <c r="K64" s="512"/>
      <c r="L64" s="504">
        <f t="shared" si="6"/>
        <v>0</v>
      </c>
      <c r="M64" s="512"/>
      <c r="N64" s="504">
        <f t="shared" si="1"/>
        <v>0</v>
      </c>
      <c r="O64" s="504">
        <f t="shared" si="2"/>
        <v>0</v>
      </c>
      <c r="P64" s="278"/>
      <c r="R64" s="243"/>
      <c r="S64" s="243"/>
      <c r="T64" s="243"/>
      <c r="U64" s="243"/>
    </row>
    <row r="65" spans="2:21" ht="12.5">
      <c r="C65" s="495">
        <f>IF(D11="","-",+C64+1)</f>
        <v>2064</v>
      </c>
      <c r="D65" s="510">
        <f>IF(F64+SUM(E$17:E64)=D$10,F64,D$10-SUM(E$17:E64))</f>
        <v>0</v>
      </c>
      <c r="E65" s="509">
        <f>IF(+I14&lt;F64,I14,D65)</f>
        <v>0</v>
      </c>
      <c r="F65" s="510">
        <f t="shared" si="3"/>
        <v>0</v>
      </c>
      <c r="G65" s="511">
        <f t="shared" si="4"/>
        <v>0</v>
      </c>
      <c r="H65" s="477">
        <f t="shared" si="5"/>
        <v>0</v>
      </c>
      <c r="I65" s="500">
        <f t="shared" si="0"/>
        <v>0</v>
      </c>
      <c r="J65" s="500"/>
      <c r="K65" s="512"/>
      <c r="L65" s="504">
        <f t="shared" si="6"/>
        <v>0</v>
      </c>
      <c r="M65" s="512"/>
      <c r="N65" s="504">
        <f t="shared" si="1"/>
        <v>0</v>
      </c>
      <c r="O65" s="504">
        <f t="shared" si="2"/>
        <v>0</v>
      </c>
      <c r="P65" s="278"/>
      <c r="R65" s="243"/>
      <c r="S65" s="243"/>
      <c r="T65" s="243"/>
      <c r="U65" s="243"/>
    </row>
    <row r="66" spans="2:21" ht="12.5">
      <c r="C66" s="495">
        <f>IF(D11="","-",+C65+1)</f>
        <v>2065</v>
      </c>
      <c r="D66" s="510">
        <f>IF(F65+SUM(E$17:E65)=D$10,F65,D$10-SUM(E$17:E65))</f>
        <v>0</v>
      </c>
      <c r="E66" s="509">
        <f>IF(+I14&lt;F65,I14,D66)</f>
        <v>0</v>
      </c>
      <c r="F66" s="510">
        <f t="shared" si="3"/>
        <v>0</v>
      </c>
      <c r="G66" s="511">
        <f t="shared" si="4"/>
        <v>0</v>
      </c>
      <c r="H66" s="477">
        <f t="shared" si="5"/>
        <v>0</v>
      </c>
      <c r="I66" s="500">
        <f t="shared" si="0"/>
        <v>0</v>
      </c>
      <c r="J66" s="500"/>
      <c r="K66" s="512"/>
      <c r="L66" s="504">
        <f t="shared" si="6"/>
        <v>0</v>
      </c>
      <c r="M66" s="512"/>
      <c r="N66" s="504">
        <f t="shared" si="1"/>
        <v>0</v>
      </c>
      <c r="O66" s="504">
        <f t="shared" si="2"/>
        <v>0</v>
      </c>
      <c r="P66" s="278"/>
      <c r="R66" s="243"/>
      <c r="S66" s="243"/>
      <c r="T66" s="243"/>
      <c r="U66" s="243"/>
    </row>
    <row r="67" spans="2:21" ht="12.5">
      <c r="C67" s="495">
        <f>IF(D11="","-",+C66+1)</f>
        <v>2066</v>
      </c>
      <c r="D67" s="510">
        <f>IF(F66+SUM(E$17:E66)=D$10,F66,D$10-SUM(E$17:E66))</f>
        <v>0</v>
      </c>
      <c r="E67" s="509">
        <f>IF(+I14&lt;F66,I14,D67)</f>
        <v>0</v>
      </c>
      <c r="F67" s="510">
        <f t="shared" si="3"/>
        <v>0</v>
      </c>
      <c r="G67" s="511">
        <f t="shared" si="4"/>
        <v>0</v>
      </c>
      <c r="H67" s="477">
        <f t="shared" si="5"/>
        <v>0</v>
      </c>
      <c r="I67" s="500">
        <f t="shared" si="0"/>
        <v>0</v>
      </c>
      <c r="J67" s="500"/>
      <c r="K67" s="512"/>
      <c r="L67" s="504">
        <f t="shared" si="6"/>
        <v>0</v>
      </c>
      <c r="M67" s="512"/>
      <c r="N67" s="504">
        <f t="shared" si="1"/>
        <v>0</v>
      </c>
      <c r="O67" s="504">
        <f t="shared" si="2"/>
        <v>0</v>
      </c>
      <c r="P67" s="278"/>
      <c r="R67" s="243"/>
      <c r="S67" s="243"/>
      <c r="T67" s="243"/>
      <c r="U67" s="243"/>
    </row>
    <row r="68" spans="2:21" ht="12.5">
      <c r="C68" s="495">
        <f>IF(D11="","-",+C67+1)</f>
        <v>2067</v>
      </c>
      <c r="D68" s="510">
        <f>IF(F67+SUM(E$17:E67)=D$10,F67,D$10-SUM(E$17:E67))</f>
        <v>0</v>
      </c>
      <c r="E68" s="509">
        <f>IF(+I14&lt;F67,I14,D68)</f>
        <v>0</v>
      </c>
      <c r="F68" s="510">
        <f t="shared" si="3"/>
        <v>0</v>
      </c>
      <c r="G68" s="511">
        <f t="shared" si="4"/>
        <v>0</v>
      </c>
      <c r="H68" s="477">
        <f t="shared" si="5"/>
        <v>0</v>
      </c>
      <c r="I68" s="500">
        <f t="shared" si="0"/>
        <v>0</v>
      </c>
      <c r="J68" s="500"/>
      <c r="K68" s="512"/>
      <c r="L68" s="504">
        <f t="shared" si="6"/>
        <v>0</v>
      </c>
      <c r="M68" s="512"/>
      <c r="N68" s="504">
        <f t="shared" si="1"/>
        <v>0</v>
      </c>
      <c r="O68" s="504">
        <f t="shared" si="2"/>
        <v>0</v>
      </c>
      <c r="P68" s="278"/>
      <c r="R68" s="243"/>
      <c r="S68" s="243"/>
      <c r="T68" s="243"/>
      <c r="U68" s="243"/>
    </row>
    <row r="69" spans="2:21" ht="12.5">
      <c r="C69" s="495">
        <f>IF(D11="","-",+C68+1)</f>
        <v>2068</v>
      </c>
      <c r="D69" s="510">
        <f>IF(F68+SUM(E$17:E68)=D$10,F68,D$10-SUM(E$17:E68))</f>
        <v>0</v>
      </c>
      <c r="E69" s="509">
        <f>IF(+I14&lt;F68,I14,D69)</f>
        <v>0</v>
      </c>
      <c r="F69" s="510">
        <f t="shared" si="3"/>
        <v>0</v>
      </c>
      <c r="G69" s="511">
        <f t="shared" si="4"/>
        <v>0</v>
      </c>
      <c r="H69" s="477">
        <f t="shared" si="5"/>
        <v>0</v>
      </c>
      <c r="I69" s="500">
        <f t="shared" si="0"/>
        <v>0</v>
      </c>
      <c r="J69" s="500"/>
      <c r="K69" s="512"/>
      <c r="L69" s="504">
        <f t="shared" si="6"/>
        <v>0</v>
      </c>
      <c r="M69" s="512"/>
      <c r="N69" s="504">
        <f t="shared" si="1"/>
        <v>0</v>
      </c>
      <c r="O69" s="504">
        <f t="shared" si="2"/>
        <v>0</v>
      </c>
      <c r="P69" s="278"/>
      <c r="R69" s="243"/>
      <c r="S69" s="243"/>
      <c r="T69" s="243"/>
      <c r="U69" s="243"/>
    </row>
    <row r="70" spans="2:21" ht="12.5">
      <c r="C70" s="495">
        <f>IF(D11="","-",+C69+1)</f>
        <v>2069</v>
      </c>
      <c r="D70" s="510">
        <f>IF(F69+SUM(E$17:E69)=D$10,F69,D$10-SUM(E$17:E69))</f>
        <v>0</v>
      </c>
      <c r="E70" s="509">
        <f>IF(+I14&lt;F69,I14,D70)</f>
        <v>0</v>
      </c>
      <c r="F70" s="510">
        <f t="shared" si="3"/>
        <v>0</v>
      </c>
      <c r="G70" s="511">
        <f t="shared" si="4"/>
        <v>0</v>
      </c>
      <c r="H70" s="477">
        <f t="shared" si="5"/>
        <v>0</v>
      </c>
      <c r="I70" s="500">
        <f t="shared" si="0"/>
        <v>0</v>
      </c>
      <c r="J70" s="500"/>
      <c r="K70" s="512"/>
      <c r="L70" s="504">
        <f t="shared" si="6"/>
        <v>0</v>
      </c>
      <c r="M70" s="512"/>
      <c r="N70" s="504">
        <f t="shared" si="1"/>
        <v>0</v>
      </c>
      <c r="O70" s="504">
        <f t="shared" si="2"/>
        <v>0</v>
      </c>
      <c r="P70" s="278"/>
      <c r="R70" s="243"/>
      <c r="S70" s="243"/>
      <c r="T70" s="243"/>
      <c r="U70" s="243"/>
    </row>
    <row r="71" spans="2:21" ht="12.5">
      <c r="C71" s="495">
        <f>IF(D11="","-",+C70+1)</f>
        <v>2070</v>
      </c>
      <c r="D71" s="510">
        <f>IF(F70+SUM(E$17:E70)=D$10,F70,D$10-SUM(E$17:E70))</f>
        <v>0</v>
      </c>
      <c r="E71" s="509">
        <f>IF(+I14&lt;F70,I14,D71)</f>
        <v>0</v>
      </c>
      <c r="F71" s="510">
        <f t="shared" si="3"/>
        <v>0</v>
      </c>
      <c r="G71" s="511">
        <f t="shared" si="4"/>
        <v>0</v>
      </c>
      <c r="H71" s="477">
        <f t="shared" si="5"/>
        <v>0</v>
      </c>
      <c r="I71" s="500">
        <f t="shared" si="0"/>
        <v>0</v>
      </c>
      <c r="J71" s="500"/>
      <c r="K71" s="512"/>
      <c r="L71" s="504">
        <f t="shared" si="6"/>
        <v>0</v>
      </c>
      <c r="M71" s="512"/>
      <c r="N71" s="504">
        <f t="shared" si="1"/>
        <v>0</v>
      </c>
      <c r="O71" s="504">
        <f t="shared" si="2"/>
        <v>0</v>
      </c>
      <c r="P71" s="278"/>
      <c r="R71" s="243"/>
      <c r="S71" s="243"/>
      <c r="T71" s="243"/>
      <c r="U71" s="243"/>
    </row>
    <row r="72" spans="2:21" ht="12.5">
      <c r="C72" s="495">
        <f>IF(D11="","-",+C71+1)</f>
        <v>2071</v>
      </c>
      <c r="D72" s="510">
        <f>IF(F71+SUM(E$17:E71)=D$10,F71,D$10-SUM(E$17:E71))</f>
        <v>0</v>
      </c>
      <c r="E72" s="509">
        <f>IF(+I14&lt;F71,I14,D72)</f>
        <v>0</v>
      </c>
      <c r="F72" s="510">
        <f t="shared" si="3"/>
        <v>0</v>
      </c>
      <c r="G72" s="511">
        <f t="shared" si="4"/>
        <v>0</v>
      </c>
      <c r="H72" s="477">
        <f t="shared" si="5"/>
        <v>0</v>
      </c>
      <c r="I72" s="500">
        <f t="shared" si="0"/>
        <v>0</v>
      </c>
      <c r="J72" s="500"/>
      <c r="K72" s="512"/>
      <c r="L72" s="504">
        <f t="shared" si="6"/>
        <v>0</v>
      </c>
      <c r="M72" s="512"/>
      <c r="N72" s="504">
        <f t="shared" si="1"/>
        <v>0</v>
      </c>
      <c r="O72" s="504">
        <f t="shared" si="2"/>
        <v>0</v>
      </c>
      <c r="P72" s="278"/>
      <c r="R72" s="243"/>
      <c r="S72" s="243"/>
      <c r="T72" s="243"/>
      <c r="U72" s="243"/>
    </row>
    <row r="73" spans="2:21" ht="13" thickBot="1">
      <c r="C73" s="524">
        <f>IF(D11="","-",+C72+1)</f>
        <v>2072</v>
      </c>
      <c r="D73" s="527">
        <f>IF(F72+SUM(E$17:E72)=D$10,F72,D$10-SUM(E$17:E72))</f>
        <v>0</v>
      </c>
      <c r="E73" s="526">
        <f>IF(+I14&lt;F72,I14,D73)</f>
        <v>0</v>
      </c>
      <c r="F73" s="527">
        <f t="shared" si="3"/>
        <v>0</v>
      </c>
      <c r="G73" s="527">
        <f t="shared" si="4"/>
        <v>0</v>
      </c>
      <c r="H73" s="527">
        <f t="shared" si="5"/>
        <v>0</v>
      </c>
      <c r="I73" s="529">
        <f t="shared" si="0"/>
        <v>0</v>
      </c>
      <c r="J73" s="500"/>
      <c r="K73" s="530"/>
      <c r="L73" s="531">
        <f t="shared" si="6"/>
        <v>0</v>
      </c>
      <c r="M73" s="530"/>
      <c r="N73" s="531">
        <f t="shared" si="1"/>
        <v>0</v>
      </c>
      <c r="O73" s="531">
        <f t="shared" si="2"/>
        <v>0</v>
      </c>
      <c r="P73" s="278"/>
      <c r="R73" s="243"/>
      <c r="S73" s="243"/>
      <c r="T73" s="243"/>
      <c r="U73" s="243"/>
    </row>
    <row r="74" spans="2:21" ht="12.5">
      <c r="C74" s="349" t="s">
        <v>75</v>
      </c>
      <c r="D74" s="294"/>
      <c r="E74" s="294">
        <f>SUM(E17:E73)</f>
        <v>68247469</v>
      </c>
      <c r="F74" s="294"/>
      <c r="G74" s="294">
        <f>SUM(G17:G73)</f>
        <v>187874164.73940063</v>
      </c>
      <c r="H74" s="294">
        <f>SUM(H17:H73)</f>
        <v>187874164.73940063</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438" t="str">
        <f ca="1">P1</f>
        <v>OKT Project 14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8806008.9305919912</v>
      </c>
      <c r="N88" s="544">
        <f>IF(J93&lt;D11,0,VLOOKUP(J93,C17:O73,11))</f>
        <v>8806008.9305919912</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8756000.6521390192</v>
      </c>
      <c r="N89" s="548">
        <f>IF(J93&lt;D11,0,VLOOKUP(J93,C100:P155,7))</f>
        <v>8756000.6521390192</v>
      </c>
      <c r="O89" s="549">
        <f>+N89-M89</f>
        <v>0</v>
      </c>
      <c r="P89" s="243"/>
      <c r="Q89" s="243"/>
      <c r="R89" s="243"/>
      <c r="S89" s="243"/>
      <c r="T89" s="243"/>
      <c r="U89" s="243"/>
    </row>
    <row r="90" spans="1:21" ht="13.5" thickBot="1">
      <c r="C90" s="454" t="s">
        <v>82</v>
      </c>
      <c r="D90" s="550" t="str">
        <f>+D7</f>
        <v>Valliant-NW Texarkana 345 kV</v>
      </c>
      <c r="E90" s="243"/>
      <c r="F90" s="243"/>
      <c r="G90" s="243"/>
      <c r="H90" s="243"/>
      <c r="I90" s="325"/>
      <c r="J90" s="325"/>
      <c r="K90" s="551"/>
      <c r="L90" s="552" t="s">
        <v>135</v>
      </c>
      <c r="M90" s="553">
        <f>+M89-M88</f>
        <v>-50008.27845297195</v>
      </c>
      <c r="N90" s="553">
        <f>+N89-N88</f>
        <v>-50008.27845297195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 2009089</v>
      </c>
      <c r="E92" s="558"/>
      <c r="F92" s="558"/>
      <c r="G92" s="558"/>
      <c r="H92" s="558"/>
      <c r="I92" s="558"/>
      <c r="J92" s="558"/>
      <c r="K92" s="560"/>
      <c r="P92" s="468"/>
      <c r="Q92" s="243"/>
      <c r="R92" s="243"/>
      <c r="S92" s="243"/>
      <c r="T92" s="243"/>
      <c r="U92" s="243"/>
    </row>
    <row r="93" spans="1:21" ht="13">
      <c r="C93" s="472" t="s">
        <v>49</v>
      </c>
      <c r="D93" s="470">
        <v>68247469</v>
      </c>
      <c r="E93" s="248" t="s">
        <v>84</v>
      </c>
      <c r="H93" s="408"/>
      <c r="I93" s="408"/>
      <c r="J93" s="471">
        <f>+'OKT.WS.G.BPU.ATRR.True-up'!M16</f>
        <v>2019</v>
      </c>
      <c r="K93" s="467"/>
      <c r="L93" s="294" t="s">
        <v>85</v>
      </c>
      <c r="P93" s="278"/>
      <c r="Q93" s="243"/>
      <c r="R93" s="243"/>
      <c r="S93" s="243"/>
      <c r="T93" s="243"/>
      <c r="U93" s="243"/>
    </row>
    <row r="94" spans="1:21" ht="12.5">
      <c r="C94" s="472" t="s">
        <v>52</v>
      </c>
      <c r="D94" s="561">
        <f>IF(D11=I10,"",D11)</f>
        <v>2016</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82">
        <f>IF(D11=I10,"",D12)</f>
        <v>12</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2068105.1212121211</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C100" s="495">
        <f>IF(D94= "","-",D94)</f>
        <v>2016</v>
      </c>
      <c r="D100" s="496">
        <v>0</v>
      </c>
      <c r="E100" s="498">
        <v>1692714.9</v>
      </c>
      <c r="F100" s="505">
        <v>67708596</v>
      </c>
      <c r="G100" s="505">
        <v>33854298</v>
      </c>
      <c r="H100" s="498">
        <v>3668771.9731289423</v>
      </c>
      <c r="I100" s="499">
        <v>3668771.9731289423</v>
      </c>
      <c r="J100" s="504">
        <f t="shared" ref="J100:J131" si="7">+I100-H100</f>
        <v>0</v>
      </c>
      <c r="K100" s="504"/>
      <c r="L100" s="606">
        <f>+H100</f>
        <v>3668771.9731289423</v>
      </c>
      <c r="M100" s="503">
        <f t="shared" ref="M100:M131" si="8">IF(L100&lt;&gt;0,+H100-L100,0)</f>
        <v>0</v>
      </c>
      <c r="N100" s="606">
        <f>+I100</f>
        <v>3668771.9731289423</v>
      </c>
      <c r="O100" s="503">
        <f t="shared" ref="O100:O131" si="9">IF(N100&lt;&gt;0,+I100-N100,0)</f>
        <v>0</v>
      </c>
      <c r="P100" s="503">
        <f t="shared" ref="P100:P131" si="10">+O100-M100</f>
        <v>0</v>
      </c>
      <c r="Q100" s="243"/>
      <c r="R100" s="243"/>
      <c r="S100" s="243"/>
      <c r="T100" s="243"/>
      <c r="U100" s="243"/>
    </row>
    <row r="101" spans="1:21" ht="12.5">
      <c r="C101" s="495">
        <f>IF(D94="","-",+C100+1)</f>
        <v>2017</v>
      </c>
      <c r="D101" s="496">
        <v>66537373.100000001</v>
      </c>
      <c r="E101" s="498">
        <v>1705752.2</v>
      </c>
      <c r="F101" s="505">
        <v>64831620.899999999</v>
      </c>
      <c r="G101" s="505">
        <v>65684497</v>
      </c>
      <c r="H101" s="498">
        <v>9412899.4207950477</v>
      </c>
      <c r="I101" s="499">
        <v>9412899.4207950477</v>
      </c>
      <c r="J101" s="504">
        <f t="shared" si="7"/>
        <v>0</v>
      </c>
      <c r="K101" s="504"/>
      <c r="L101" s="506">
        <f>H101</f>
        <v>9412899.4207950477</v>
      </c>
      <c r="M101" s="504">
        <f>IF(L101&lt;&gt;0,+H101-L101,0)</f>
        <v>0</v>
      </c>
      <c r="N101" s="506">
        <f>I101</f>
        <v>9412899.4207950477</v>
      </c>
      <c r="O101" s="504">
        <f>IF(N101&lt;&gt;0,+I101-N101,0)</f>
        <v>0</v>
      </c>
      <c r="P101" s="504">
        <f>+O101-M101</f>
        <v>0</v>
      </c>
      <c r="Q101" s="243"/>
      <c r="R101" s="243"/>
      <c r="S101" s="243"/>
      <c r="T101" s="243"/>
      <c r="U101" s="243"/>
    </row>
    <row r="102" spans="1:21" ht="12.5">
      <c r="C102" s="495">
        <f>IF(D94="","-",+C101+1)</f>
        <v>2018</v>
      </c>
      <c r="D102" s="496">
        <v>64831620.899999999</v>
      </c>
      <c r="E102" s="498">
        <v>1895280.2222222222</v>
      </c>
      <c r="F102" s="505">
        <v>62936340.677777775</v>
      </c>
      <c r="G102" s="505">
        <v>63883980.788888887</v>
      </c>
      <c r="H102" s="498">
        <v>8639029.6924960874</v>
      </c>
      <c r="I102" s="499">
        <v>8639029.6924960874</v>
      </c>
      <c r="J102" s="504">
        <f t="shared" si="7"/>
        <v>0</v>
      </c>
      <c r="K102" s="504"/>
      <c r="L102" s="512"/>
      <c r="M102" s="504">
        <f t="shared" si="8"/>
        <v>0</v>
      </c>
      <c r="N102" s="512"/>
      <c r="O102" s="504">
        <f t="shared" si="9"/>
        <v>0</v>
      </c>
      <c r="P102" s="504">
        <f t="shared" si="10"/>
        <v>0</v>
      </c>
      <c r="Q102" s="243"/>
      <c r="R102" s="243"/>
      <c r="S102" s="243"/>
      <c r="T102" s="243"/>
      <c r="U102" s="243"/>
    </row>
    <row r="103" spans="1:21" ht="12.5">
      <c r="C103" s="495">
        <f>IF(D94="","-",+C102+1)</f>
        <v>2019</v>
      </c>
      <c r="D103" s="349">
        <f>IF(F102+SUM(E$100:E102)=D$93,F102,D$93-SUM(E$100:E102))</f>
        <v>62953721.677777782</v>
      </c>
      <c r="E103" s="509">
        <f>IF(+J97&lt;F102,J97,D103)</f>
        <v>2068105.1212121211</v>
      </c>
      <c r="F103" s="510">
        <f t="shared" ref="F103:F131" si="11">+D103-E103</f>
        <v>60885616.556565657</v>
      </c>
      <c r="G103" s="510">
        <f t="shared" ref="G103:G131" si="12">+(F103+D103)/2</f>
        <v>61919669.11717172</v>
      </c>
      <c r="H103" s="627">
        <f t="shared" ref="H103:H155" si="13">+J$95*G103+E103</f>
        <v>8756000.6521390192</v>
      </c>
      <c r="I103" s="628">
        <f t="shared" ref="I103:I155" si="14">+J$96*G103+E103</f>
        <v>8756000.6521390192</v>
      </c>
      <c r="J103" s="504">
        <f t="shared" si="7"/>
        <v>0</v>
      </c>
      <c r="K103" s="504"/>
      <c r="L103" s="512"/>
      <c r="M103" s="504">
        <f t="shared" si="8"/>
        <v>0</v>
      </c>
      <c r="N103" s="512"/>
      <c r="O103" s="504">
        <f t="shared" si="9"/>
        <v>0</v>
      </c>
      <c r="P103" s="504">
        <f t="shared" si="10"/>
        <v>0</v>
      </c>
      <c r="Q103" s="243"/>
      <c r="R103" s="243"/>
      <c r="S103" s="243"/>
      <c r="T103" s="243"/>
      <c r="U103" s="243"/>
    </row>
    <row r="104" spans="1:21" ht="12.5">
      <c r="C104" s="495">
        <f>IF(D94="","-",+C103+1)</f>
        <v>2020</v>
      </c>
      <c r="D104" s="349">
        <f>IF(F103+SUM(E$100:E103)=D$93,F103,D$93-SUM(E$100:E103))</f>
        <v>60885616.556565657</v>
      </c>
      <c r="E104" s="509">
        <f>IF(+J97&lt;F103,J97,D104)</f>
        <v>2068105.1212121211</v>
      </c>
      <c r="F104" s="510">
        <f t="shared" si="11"/>
        <v>58817511.435353532</v>
      </c>
      <c r="G104" s="510">
        <f t="shared" si="12"/>
        <v>59851563.995959595</v>
      </c>
      <c r="H104" s="627">
        <f t="shared" si="13"/>
        <v>8532626.2188637313</v>
      </c>
      <c r="I104" s="628">
        <f t="shared" si="14"/>
        <v>8532626.2188637313</v>
      </c>
      <c r="J104" s="504">
        <f t="shared" si="7"/>
        <v>0</v>
      </c>
      <c r="K104" s="504"/>
      <c r="L104" s="512"/>
      <c r="M104" s="504">
        <f t="shared" si="8"/>
        <v>0</v>
      </c>
      <c r="N104" s="512"/>
      <c r="O104" s="504">
        <f t="shared" si="9"/>
        <v>0</v>
      </c>
      <c r="P104" s="504">
        <f t="shared" si="10"/>
        <v>0</v>
      </c>
      <c r="Q104" s="243"/>
      <c r="R104" s="243"/>
      <c r="S104" s="243"/>
      <c r="T104" s="243"/>
      <c r="U104" s="243"/>
    </row>
    <row r="105" spans="1:21" ht="12.5">
      <c r="C105" s="495">
        <f>IF(D94="","-",+C104+1)</f>
        <v>2021</v>
      </c>
      <c r="D105" s="349">
        <f>IF(F104+SUM(E$100:E104)=D$93,F104,D$93-SUM(E$100:E104))</f>
        <v>58817511.435353532</v>
      </c>
      <c r="E105" s="509">
        <f>IF(+J97&lt;F104,J97,D105)</f>
        <v>2068105.1212121211</v>
      </c>
      <c r="F105" s="510">
        <f t="shared" si="11"/>
        <v>56749406.314141408</v>
      </c>
      <c r="G105" s="510">
        <f t="shared" si="12"/>
        <v>57783458.87474747</v>
      </c>
      <c r="H105" s="627">
        <f t="shared" si="13"/>
        <v>8309251.7855884433</v>
      </c>
      <c r="I105" s="628">
        <f t="shared" si="14"/>
        <v>8309251.7855884433</v>
      </c>
      <c r="J105" s="504">
        <f t="shared" si="7"/>
        <v>0</v>
      </c>
      <c r="K105" s="504"/>
      <c r="L105" s="512"/>
      <c r="M105" s="504">
        <f t="shared" si="8"/>
        <v>0</v>
      </c>
      <c r="N105" s="512"/>
      <c r="O105" s="504">
        <f t="shared" si="9"/>
        <v>0</v>
      </c>
      <c r="P105" s="504">
        <f t="shared" si="10"/>
        <v>0</v>
      </c>
      <c r="Q105" s="243"/>
      <c r="R105" s="243"/>
      <c r="S105" s="243"/>
      <c r="T105" s="243"/>
      <c r="U105" s="243"/>
    </row>
    <row r="106" spans="1:21" ht="12.5">
      <c r="C106" s="495">
        <f>IF(D94="","-",+C105+1)</f>
        <v>2022</v>
      </c>
      <c r="D106" s="349">
        <f>IF(F105+SUM(E$100:E105)=D$93,F105,D$93-SUM(E$100:E105))</f>
        <v>56749406.314141408</v>
      </c>
      <c r="E106" s="509">
        <f>IF(+J97&lt;F105,J97,D106)</f>
        <v>2068105.1212121211</v>
      </c>
      <c r="F106" s="510">
        <f t="shared" si="11"/>
        <v>54681301.192929283</v>
      </c>
      <c r="G106" s="510">
        <f t="shared" si="12"/>
        <v>55715353.753535345</v>
      </c>
      <c r="H106" s="627">
        <f t="shared" si="13"/>
        <v>8085877.3523131553</v>
      </c>
      <c r="I106" s="628">
        <f t="shared" si="14"/>
        <v>8085877.3523131553</v>
      </c>
      <c r="J106" s="504">
        <f t="shared" si="7"/>
        <v>0</v>
      </c>
      <c r="K106" s="504"/>
      <c r="L106" s="512"/>
      <c r="M106" s="504">
        <f t="shared" si="8"/>
        <v>0</v>
      </c>
      <c r="N106" s="512"/>
      <c r="O106" s="504">
        <f t="shared" si="9"/>
        <v>0</v>
      </c>
      <c r="P106" s="504">
        <f t="shared" si="10"/>
        <v>0</v>
      </c>
      <c r="Q106" s="243"/>
      <c r="R106" s="243"/>
      <c r="S106" s="243"/>
      <c r="T106" s="243"/>
      <c r="U106" s="243"/>
    </row>
    <row r="107" spans="1:21" ht="12.5">
      <c r="C107" s="495">
        <f>IF(D94="","-",+C106+1)</f>
        <v>2023</v>
      </c>
      <c r="D107" s="349">
        <f>IF(F106+SUM(E$100:E106)=D$93,F106,D$93-SUM(E$100:E106))</f>
        <v>54681301.192929283</v>
      </c>
      <c r="E107" s="509">
        <f>IF(+J97&lt;F106,J97,D107)</f>
        <v>2068105.1212121211</v>
      </c>
      <c r="F107" s="510">
        <f t="shared" si="11"/>
        <v>52613196.071717158</v>
      </c>
      <c r="G107" s="510">
        <f t="shared" si="12"/>
        <v>53647248.63232322</v>
      </c>
      <c r="H107" s="627">
        <f t="shared" si="13"/>
        <v>7862502.9190378664</v>
      </c>
      <c r="I107" s="628">
        <f t="shared" si="14"/>
        <v>7862502.9190378664</v>
      </c>
      <c r="J107" s="504">
        <f t="shared" si="7"/>
        <v>0</v>
      </c>
      <c r="K107" s="504"/>
      <c r="L107" s="512"/>
      <c r="M107" s="504">
        <f t="shared" si="8"/>
        <v>0</v>
      </c>
      <c r="N107" s="512"/>
      <c r="O107" s="504">
        <f t="shared" si="9"/>
        <v>0</v>
      </c>
      <c r="P107" s="504">
        <f t="shared" si="10"/>
        <v>0</v>
      </c>
      <c r="Q107" s="243"/>
      <c r="R107" s="243"/>
      <c r="S107" s="243"/>
      <c r="T107" s="243"/>
      <c r="U107" s="243"/>
    </row>
    <row r="108" spans="1:21" ht="12.5">
      <c r="C108" s="495">
        <f>IF(D94="","-",+C107+1)</f>
        <v>2024</v>
      </c>
      <c r="D108" s="349">
        <f>IF(F107+SUM(E$100:E107)=D$93,F107,D$93-SUM(E$100:E107))</f>
        <v>52613196.071717158</v>
      </c>
      <c r="E108" s="509">
        <f>IF(+J97&lt;F107,J97,D108)</f>
        <v>2068105.1212121211</v>
      </c>
      <c r="F108" s="510">
        <f t="shared" si="11"/>
        <v>50545090.950505033</v>
      </c>
      <c r="G108" s="510">
        <f t="shared" si="12"/>
        <v>51579143.511111096</v>
      </c>
      <c r="H108" s="627">
        <f t="shared" si="13"/>
        <v>7639128.4857625784</v>
      </c>
      <c r="I108" s="628">
        <f t="shared" si="14"/>
        <v>7639128.4857625784</v>
      </c>
      <c r="J108" s="504">
        <f t="shared" si="7"/>
        <v>0</v>
      </c>
      <c r="K108" s="504"/>
      <c r="L108" s="512"/>
      <c r="M108" s="504">
        <f t="shared" si="8"/>
        <v>0</v>
      </c>
      <c r="N108" s="512"/>
      <c r="O108" s="504">
        <f t="shared" si="9"/>
        <v>0</v>
      </c>
      <c r="P108" s="504">
        <f t="shared" si="10"/>
        <v>0</v>
      </c>
      <c r="Q108" s="243"/>
      <c r="R108" s="243"/>
      <c r="S108" s="243"/>
      <c r="T108" s="243"/>
      <c r="U108" s="243"/>
    </row>
    <row r="109" spans="1:21" ht="12.5">
      <c r="C109" s="495">
        <f>IF(D94="","-",+C108+1)</f>
        <v>2025</v>
      </c>
      <c r="D109" s="349">
        <f>IF(F108+SUM(E$100:E108)=D$93,F108,D$93-SUM(E$100:E108))</f>
        <v>50545090.950505033</v>
      </c>
      <c r="E109" s="509">
        <f>IF(+J97&lt;F108,J97,D109)</f>
        <v>2068105.1212121211</v>
      </c>
      <c r="F109" s="510">
        <f t="shared" si="11"/>
        <v>48476985.829292908</v>
      </c>
      <c r="G109" s="510">
        <f t="shared" si="12"/>
        <v>49511038.389898971</v>
      </c>
      <c r="H109" s="627">
        <f t="shared" si="13"/>
        <v>7415754.0524872905</v>
      </c>
      <c r="I109" s="628">
        <f t="shared" si="14"/>
        <v>7415754.0524872905</v>
      </c>
      <c r="J109" s="504">
        <f t="shared" si="7"/>
        <v>0</v>
      </c>
      <c r="K109" s="504"/>
      <c r="L109" s="512"/>
      <c r="M109" s="504">
        <f t="shared" si="8"/>
        <v>0</v>
      </c>
      <c r="N109" s="512"/>
      <c r="O109" s="504">
        <f t="shared" si="9"/>
        <v>0</v>
      </c>
      <c r="P109" s="504">
        <f t="shared" si="10"/>
        <v>0</v>
      </c>
      <c r="Q109" s="243"/>
      <c r="R109" s="243"/>
      <c r="S109" s="243"/>
      <c r="T109" s="243"/>
      <c r="U109" s="243"/>
    </row>
    <row r="110" spans="1:21" ht="12.5">
      <c r="C110" s="495">
        <f>IF(D94="","-",+C109+1)</f>
        <v>2026</v>
      </c>
      <c r="D110" s="349">
        <f>IF(F109+SUM(E$100:E109)=D$93,F109,D$93-SUM(E$100:E109))</f>
        <v>48476985.829292908</v>
      </c>
      <c r="E110" s="509">
        <f>IF(+J97&lt;F109,J97,D110)</f>
        <v>2068105.1212121211</v>
      </c>
      <c r="F110" s="510">
        <f t="shared" si="11"/>
        <v>46408880.708080783</v>
      </c>
      <c r="G110" s="510">
        <f t="shared" si="12"/>
        <v>47442933.268686846</v>
      </c>
      <c r="H110" s="627">
        <f t="shared" si="13"/>
        <v>7192379.6192120016</v>
      </c>
      <c r="I110" s="628">
        <f t="shared" si="14"/>
        <v>7192379.6192120016</v>
      </c>
      <c r="J110" s="504">
        <f t="shared" si="7"/>
        <v>0</v>
      </c>
      <c r="K110" s="504"/>
      <c r="L110" s="512"/>
      <c r="M110" s="504">
        <f t="shared" si="8"/>
        <v>0</v>
      </c>
      <c r="N110" s="512"/>
      <c r="O110" s="504">
        <f t="shared" si="9"/>
        <v>0</v>
      </c>
      <c r="P110" s="504">
        <f t="shared" si="10"/>
        <v>0</v>
      </c>
      <c r="Q110" s="243"/>
      <c r="R110" s="243"/>
      <c r="S110" s="243"/>
      <c r="T110" s="243"/>
      <c r="U110" s="243"/>
    </row>
    <row r="111" spans="1:21" ht="12.5">
      <c r="C111" s="495">
        <f>IF(D94="","-",+C110+1)</f>
        <v>2027</v>
      </c>
      <c r="D111" s="349">
        <f>IF(F110+SUM(E$100:E110)=D$93,F110,D$93-SUM(E$100:E110))</f>
        <v>46408880.708080783</v>
      </c>
      <c r="E111" s="509">
        <f>IF(+J97&lt;F110,J97,D111)</f>
        <v>2068105.1212121211</v>
      </c>
      <c r="F111" s="510">
        <f t="shared" si="11"/>
        <v>44340775.586868659</v>
      </c>
      <c r="G111" s="510">
        <f t="shared" si="12"/>
        <v>45374828.147474721</v>
      </c>
      <c r="H111" s="627">
        <f t="shared" si="13"/>
        <v>6969005.1859367136</v>
      </c>
      <c r="I111" s="628">
        <f t="shared" si="14"/>
        <v>6969005.1859367136</v>
      </c>
      <c r="J111" s="504">
        <f t="shared" si="7"/>
        <v>0</v>
      </c>
      <c r="K111" s="504"/>
      <c r="L111" s="512"/>
      <c r="M111" s="504">
        <f t="shared" si="8"/>
        <v>0</v>
      </c>
      <c r="N111" s="512"/>
      <c r="O111" s="504">
        <f t="shared" si="9"/>
        <v>0</v>
      </c>
      <c r="P111" s="504">
        <f t="shared" si="10"/>
        <v>0</v>
      </c>
      <c r="Q111" s="243"/>
      <c r="R111" s="243"/>
      <c r="S111" s="243"/>
      <c r="T111" s="243"/>
      <c r="U111" s="243"/>
    </row>
    <row r="112" spans="1:21" ht="12.5">
      <c r="C112" s="495">
        <f>IF(D94="","-",+C111+1)</f>
        <v>2028</v>
      </c>
      <c r="D112" s="349">
        <f>IF(F111+SUM(E$100:E111)=D$93,F111,D$93-SUM(E$100:E111))</f>
        <v>44340775.586868659</v>
      </c>
      <c r="E112" s="509">
        <f>IF(+J97&lt;F111,J97,D112)</f>
        <v>2068105.1212121211</v>
      </c>
      <c r="F112" s="510">
        <f t="shared" si="11"/>
        <v>42272670.465656534</v>
      </c>
      <c r="G112" s="510">
        <f t="shared" si="12"/>
        <v>43306723.026262596</v>
      </c>
      <c r="H112" s="627">
        <f t="shared" si="13"/>
        <v>6745630.7526614256</v>
      </c>
      <c r="I112" s="628">
        <f t="shared" si="14"/>
        <v>6745630.7526614256</v>
      </c>
      <c r="J112" s="504">
        <f t="shared" si="7"/>
        <v>0</v>
      </c>
      <c r="K112" s="504"/>
      <c r="L112" s="512"/>
      <c r="M112" s="504">
        <f t="shared" si="8"/>
        <v>0</v>
      </c>
      <c r="N112" s="512"/>
      <c r="O112" s="504">
        <f t="shared" si="9"/>
        <v>0</v>
      </c>
      <c r="P112" s="504">
        <f t="shared" si="10"/>
        <v>0</v>
      </c>
      <c r="Q112" s="243"/>
      <c r="R112" s="243"/>
      <c r="S112" s="243"/>
      <c r="T112" s="243"/>
      <c r="U112" s="243"/>
    </row>
    <row r="113" spans="3:21" ht="12.5">
      <c r="C113" s="495">
        <f>IF(D94="","-",+C112+1)</f>
        <v>2029</v>
      </c>
      <c r="D113" s="349">
        <f>IF(F112+SUM(E$100:E112)=D$93,F112,D$93-SUM(E$100:E112))</f>
        <v>42272670.465656534</v>
      </c>
      <c r="E113" s="509">
        <f>IF(+J97&lt;F112,J97,D113)</f>
        <v>2068105.1212121211</v>
      </c>
      <c r="F113" s="510">
        <f t="shared" si="11"/>
        <v>40204565.344444409</v>
      </c>
      <c r="G113" s="510">
        <f t="shared" si="12"/>
        <v>41238617.905050471</v>
      </c>
      <c r="H113" s="627">
        <f t="shared" si="13"/>
        <v>6522256.3193861376</v>
      </c>
      <c r="I113" s="628">
        <f t="shared" si="14"/>
        <v>6522256.3193861376</v>
      </c>
      <c r="J113" s="504">
        <f t="shared" si="7"/>
        <v>0</v>
      </c>
      <c r="K113" s="504"/>
      <c r="L113" s="512"/>
      <c r="M113" s="504">
        <f t="shared" si="8"/>
        <v>0</v>
      </c>
      <c r="N113" s="512"/>
      <c r="O113" s="504">
        <f t="shared" si="9"/>
        <v>0</v>
      </c>
      <c r="P113" s="504">
        <f t="shared" si="10"/>
        <v>0</v>
      </c>
      <c r="Q113" s="243"/>
      <c r="R113" s="243"/>
      <c r="S113" s="243"/>
      <c r="T113" s="243"/>
      <c r="U113" s="243"/>
    </row>
    <row r="114" spans="3:21" ht="12.5">
      <c r="C114" s="495">
        <f>IF(D94="","-",+C113+1)</f>
        <v>2030</v>
      </c>
      <c r="D114" s="349">
        <f>IF(F113+SUM(E$100:E113)=D$93,F113,D$93-SUM(E$100:E113))</f>
        <v>40204565.344444409</v>
      </c>
      <c r="E114" s="509">
        <f>IF(+J97&lt;F113,J97,D114)</f>
        <v>2068105.1212121211</v>
      </c>
      <c r="F114" s="510">
        <f t="shared" si="11"/>
        <v>38136460.223232284</v>
      </c>
      <c r="G114" s="510">
        <f t="shared" si="12"/>
        <v>39170512.783838347</v>
      </c>
      <c r="H114" s="627">
        <f t="shared" si="13"/>
        <v>6298881.8861108487</v>
      </c>
      <c r="I114" s="628">
        <f t="shared" si="14"/>
        <v>6298881.8861108487</v>
      </c>
      <c r="J114" s="504">
        <f t="shared" si="7"/>
        <v>0</v>
      </c>
      <c r="K114" s="504"/>
      <c r="L114" s="512"/>
      <c r="M114" s="504">
        <f t="shared" si="8"/>
        <v>0</v>
      </c>
      <c r="N114" s="512"/>
      <c r="O114" s="504">
        <f t="shared" si="9"/>
        <v>0</v>
      </c>
      <c r="P114" s="504">
        <f t="shared" si="10"/>
        <v>0</v>
      </c>
      <c r="Q114" s="243"/>
      <c r="R114" s="243"/>
      <c r="S114" s="243"/>
      <c r="T114" s="243"/>
      <c r="U114" s="243"/>
    </row>
    <row r="115" spans="3:21" ht="12.5">
      <c r="C115" s="495">
        <f>IF(D94="","-",+C114+1)</f>
        <v>2031</v>
      </c>
      <c r="D115" s="349">
        <f>IF(F114+SUM(E$100:E114)=D$93,F114,D$93-SUM(E$100:E114))</f>
        <v>38136460.223232284</v>
      </c>
      <c r="E115" s="509">
        <f>IF(+J97&lt;F114,J97,D115)</f>
        <v>2068105.1212121211</v>
      </c>
      <c r="F115" s="510">
        <f t="shared" si="11"/>
        <v>36068355.102020159</v>
      </c>
      <c r="G115" s="510">
        <f t="shared" si="12"/>
        <v>37102407.662626222</v>
      </c>
      <c r="H115" s="627">
        <f t="shared" si="13"/>
        <v>6075507.4528355608</v>
      </c>
      <c r="I115" s="628">
        <f t="shared" si="14"/>
        <v>6075507.4528355608</v>
      </c>
      <c r="J115" s="504">
        <f t="shared" si="7"/>
        <v>0</v>
      </c>
      <c r="K115" s="504"/>
      <c r="L115" s="512"/>
      <c r="M115" s="504">
        <f t="shared" si="8"/>
        <v>0</v>
      </c>
      <c r="N115" s="512"/>
      <c r="O115" s="504">
        <f t="shared" si="9"/>
        <v>0</v>
      </c>
      <c r="P115" s="504">
        <f t="shared" si="10"/>
        <v>0</v>
      </c>
      <c r="Q115" s="243"/>
      <c r="R115" s="243"/>
      <c r="S115" s="243"/>
      <c r="T115" s="243"/>
      <c r="U115" s="243"/>
    </row>
    <row r="116" spans="3:21" ht="12.5">
      <c r="C116" s="495">
        <f>IF(D94="","-",+C115+1)</f>
        <v>2032</v>
      </c>
      <c r="D116" s="349">
        <f>IF(F115+SUM(E$100:E115)=D$93,F115,D$93-SUM(E$100:E115))</f>
        <v>36068355.102020159</v>
      </c>
      <c r="E116" s="509">
        <f>IF(+J97&lt;F115,J97,D116)</f>
        <v>2068105.1212121211</v>
      </c>
      <c r="F116" s="510">
        <f t="shared" si="11"/>
        <v>34000249.980808035</v>
      </c>
      <c r="G116" s="510">
        <f t="shared" si="12"/>
        <v>35034302.541414097</v>
      </c>
      <c r="H116" s="627">
        <f t="shared" si="13"/>
        <v>5852133.0195602719</v>
      </c>
      <c r="I116" s="628">
        <f t="shared" si="14"/>
        <v>5852133.0195602719</v>
      </c>
      <c r="J116" s="504">
        <f t="shared" si="7"/>
        <v>0</v>
      </c>
      <c r="K116" s="504"/>
      <c r="L116" s="512"/>
      <c r="M116" s="504">
        <f t="shared" si="8"/>
        <v>0</v>
      </c>
      <c r="N116" s="512"/>
      <c r="O116" s="504">
        <f t="shared" si="9"/>
        <v>0</v>
      </c>
      <c r="P116" s="504">
        <f t="shared" si="10"/>
        <v>0</v>
      </c>
      <c r="Q116" s="243"/>
      <c r="R116" s="243"/>
      <c r="S116" s="243"/>
      <c r="T116" s="243"/>
      <c r="U116" s="243"/>
    </row>
    <row r="117" spans="3:21" ht="12.5">
      <c r="C117" s="495">
        <f>IF(D94="","-",+C116+1)</f>
        <v>2033</v>
      </c>
      <c r="D117" s="349">
        <f>IF(F116+SUM(E$100:E116)=D$93,F116,D$93-SUM(E$100:E116))</f>
        <v>34000249.980808035</v>
      </c>
      <c r="E117" s="509">
        <f>IF(+J97&lt;F116,J97,D117)</f>
        <v>2068105.1212121211</v>
      </c>
      <c r="F117" s="510">
        <f t="shared" si="11"/>
        <v>31932144.859595913</v>
      </c>
      <c r="G117" s="510">
        <f t="shared" si="12"/>
        <v>32966197.420201972</v>
      </c>
      <c r="H117" s="627">
        <f t="shared" si="13"/>
        <v>5628758.5862849839</v>
      </c>
      <c r="I117" s="628">
        <f t="shared" si="14"/>
        <v>5628758.5862849839</v>
      </c>
      <c r="J117" s="504">
        <f t="shared" si="7"/>
        <v>0</v>
      </c>
      <c r="K117" s="504"/>
      <c r="L117" s="512"/>
      <c r="M117" s="504">
        <f t="shared" si="8"/>
        <v>0</v>
      </c>
      <c r="N117" s="512"/>
      <c r="O117" s="504">
        <f t="shared" si="9"/>
        <v>0</v>
      </c>
      <c r="P117" s="504">
        <f t="shared" si="10"/>
        <v>0</v>
      </c>
      <c r="Q117" s="243"/>
      <c r="R117" s="243"/>
      <c r="S117" s="243"/>
      <c r="T117" s="243"/>
      <c r="U117" s="243"/>
    </row>
    <row r="118" spans="3:21" ht="12.5">
      <c r="C118" s="495">
        <f>IF(D94="","-",+C117+1)</f>
        <v>2034</v>
      </c>
      <c r="D118" s="349">
        <f>IF(F117+SUM(E$100:E117)=D$93,F117,D$93-SUM(E$100:E117))</f>
        <v>31932144.859595913</v>
      </c>
      <c r="E118" s="509">
        <f>IF(+J97&lt;F117,J97,D118)</f>
        <v>2068105.1212121211</v>
      </c>
      <c r="F118" s="510">
        <f t="shared" si="11"/>
        <v>29864039.738383792</v>
      </c>
      <c r="G118" s="510">
        <f t="shared" si="12"/>
        <v>30898092.298989855</v>
      </c>
      <c r="H118" s="627">
        <f t="shared" si="13"/>
        <v>5405384.1530096969</v>
      </c>
      <c r="I118" s="628">
        <f t="shared" si="14"/>
        <v>5405384.1530096969</v>
      </c>
      <c r="J118" s="504">
        <f t="shared" si="7"/>
        <v>0</v>
      </c>
      <c r="K118" s="504"/>
      <c r="L118" s="512"/>
      <c r="M118" s="504">
        <f t="shared" si="8"/>
        <v>0</v>
      </c>
      <c r="N118" s="512"/>
      <c r="O118" s="504">
        <f t="shared" si="9"/>
        <v>0</v>
      </c>
      <c r="P118" s="504">
        <f t="shared" si="10"/>
        <v>0</v>
      </c>
      <c r="Q118" s="243"/>
      <c r="R118" s="243"/>
      <c r="S118" s="243"/>
      <c r="T118" s="243"/>
      <c r="U118" s="243"/>
    </row>
    <row r="119" spans="3:21" ht="12.5">
      <c r="C119" s="495">
        <f>IF(D94="","-",+C118+1)</f>
        <v>2035</v>
      </c>
      <c r="D119" s="349">
        <f>IF(F118+SUM(E$100:E118)=D$93,F118,D$93-SUM(E$100:E118))</f>
        <v>29864039.738383792</v>
      </c>
      <c r="E119" s="509">
        <f>IF(+J97&lt;F118,J97,D119)</f>
        <v>2068105.1212121211</v>
      </c>
      <c r="F119" s="510">
        <f t="shared" si="11"/>
        <v>27795934.617171671</v>
      </c>
      <c r="G119" s="510">
        <f t="shared" si="12"/>
        <v>28829987.17777773</v>
      </c>
      <c r="H119" s="627">
        <f t="shared" si="13"/>
        <v>5182009.719734408</v>
      </c>
      <c r="I119" s="628">
        <f t="shared" si="14"/>
        <v>5182009.719734408</v>
      </c>
      <c r="J119" s="504">
        <f t="shared" si="7"/>
        <v>0</v>
      </c>
      <c r="K119" s="504"/>
      <c r="L119" s="512"/>
      <c r="M119" s="504">
        <f t="shared" si="8"/>
        <v>0</v>
      </c>
      <c r="N119" s="512"/>
      <c r="O119" s="504">
        <f t="shared" si="9"/>
        <v>0</v>
      </c>
      <c r="P119" s="504">
        <f t="shared" si="10"/>
        <v>0</v>
      </c>
      <c r="Q119" s="243"/>
      <c r="R119" s="243"/>
      <c r="S119" s="243"/>
      <c r="T119" s="243"/>
      <c r="U119" s="243"/>
    </row>
    <row r="120" spans="3:21" ht="12.5">
      <c r="C120" s="495">
        <f>IF(D94="","-",+C119+1)</f>
        <v>2036</v>
      </c>
      <c r="D120" s="349">
        <f>IF(F119+SUM(E$100:E119)=D$93,F119,D$93-SUM(E$100:E119))</f>
        <v>27795934.617171671</v>
      </c>
      <c r="E120" s="509">
        <f>IF(+J97&lt;F119,J97,D120)</f>
        <v>2068105.1212121211</v>
      </c>
      <c r="F120" s="510">
        <f t="shared" si="11"/>
        <v>25727829.49595955</v>
      </c>
      <c r="G120" s="510">
        <f t="shared" si="12"/>
        <v>26761882.056565613</v>
      </c>
      <c r="H120" s="627">
        <f t="shared" si="13"/>
        <v>4958635.2864591209</v>
      </c>
      <c r="I120" s="628">
        <f t="shared" si="14"/>
        <v>4958635.2864591209</v>
      </c>
      <c r="J120" s="504">
        <f t="shared" si="7"/>
        <v>0</v>
      </c>
      <c r="K120" s="504"/>
      <c r="L120" s="512"/>
      <c r="M120" s="504">
        <f t="shared" si="8"/>
        <v>0</v>
      </c>
      <c r="N120" s="512"/>
      <c r="O120" s="504">
        <f t="shared" si="9"/>
        <v>0</v>
      </c>
      <c r="P120" s="504">
        <f t="shared" si="10"/>
        <v>0</v>
      </c>
      <c r="Q120" s="243"/>
      <c r="R120" s="243"/>
      <c r="S120" s="243"/>
      <c r="T120" s="243"/>
      <c r="U120" s="243"/>
    </row>
    <row r="121" spans="3:21" ht="12.5">
      <c r="C121" s="495">
        <f>IF(D94="","-",+C120+1)</f>
        <v>2037</v>
      </c>
      <c r="D121" s="349">
        <f>IF(F120+SUM(E$100:E120)=D$93,F120,D$93-SUM(E$100:E120))</f>
        <v>25727829.49595955</v>
      </c>
      <c r="E121" s="509">
        <f>IF(+J97&lt;F120,J97,D121)</f>
        <v>2068105.1212121211</v>
      </c>
      <c r="F121" s="510">
        <f t="shared" si="11"/>
        <v>23659724.374747429</v>
      </c>
      <c r="G121" s="510">
        <f t="shared" si="12"/>
        <v>24693776.935353488</v>
      </c>
      <c r="H121" s="627">
        <f t="shared" si="13"/>
        <v>4735260.853183832</v>
      </c>
      <c r="I121" s="628">
        <f t="shared" si="14"/>
        <v>4735260.853183832</v>
      </c>
      <c r="J121" s="504">
        <f t="shared" si="7"/>
        <v>0</v>
      </c>
      <c r="K121" s="504"/>
      <c r="L121" s="512"/>
      <c r="M121" s="504">
        <f t="shared" si="8"/>
        <v>0</v>
      </c>
      <c r="N121" s="512"/>
      <c r="O121" s="504">
        <f t="shared" si="9"/>
        <v>0</v>
      </c>
      <c r="P121" s="504">
        <f t="shared" si="10"/>
        <v>0</v>
      </c>
      <c r="Q121" s="243"/>
      <c r="R121" s="243"/>
      <c r="S121" s="243"/>
      <c r="T121" s="243"/>
      <c r="U121" s="243"/>
    </row>
    <row r="122" spans="3:21" ht="12.5">
      <c r="C122" s="495">
        <f>IF(D94="","-",+C121+1)</f>
        <v>2038</v>
      </c>
      <c r="D122" s="349">
        <f>IF(F121+SUM(E$100:E121)=D$93,F121,D$93-SUM(E$100:E121))</f>
        <v>23659724.374747429</v>
      </c>
      <c r="E122" s="509">
        <f>IF(+J97&lt;F121,J97,D122)</f>
        <v>2068105.1212121211</v>
      </c>
      <c r="F122" s="510">
        <f t="shared" si="11"/>
        <v>21591619.253535308</v>
      </c>
      <c r="G122" s="510">
        <f t="shared" si="12"/>
        <v>22625671.81414137</v>
      </c>
      <c r="H122" s="627">
        <f t="shared" si="13"/>
        <v>4511886.419908545</v>
      </c>
      <c r="I122" s="628">
        <f t="shared" si="14"/>
        <v>4511886.419908545</v>
      </c>
      <c r="J122" s="504">
        <f t="shared" si="7"/>
        <v>0</v>
      </c>
      <c r="K122" s="504"/>
      <c r="L122" s="512"/>
      <c r="M122" s="504">
        <f t="shared" si="8"/>
        <v>0</v>
      </c>
      <c r="N122" s="512"/>
      <c r="O122" s="504">
        <f t="shared" si="9"/>
        <v>0</v>
      </c>
      <c r="P122" s="504">
        <f t="shared" si="10"/>
        <v>0</v>
      </c>
      <c r="Q122" s="243"/>
      <c r="R122" s="243"/>
      <c r="S122" s="243"/>
      <c r="T122" s="243"/>
      <c r="U122" s="243"/>
    </row>
    <row r="123" spans="3:21" ht="12.5">
      <c r="C123" s="495">
        <f>IF(D94="","-",+C122+1)</f>
        <v>2039</v>
      </c>
      <c r="D123" s="349">
        <f>IF(F122+SUM(E$100:E122)=D$93,F122,D$93-SUM(E$100:E122))</f>
        <v>21591619.253535308</v>
      </c>
      <c r="E123" s="509">
        <f>IF(+J97&lt;F122,J97,D123)</f>
        <v>2068105.1212121211</v>
      </c>
      <c r="F123" s="510">
        <f t="shared" si="11"/>
        <v>19523514.132323187</v>
      </c>
      <c r="G123" s="510">
        <f t="shared" si="12"/>
        <v>20557566.692929246</v>
      </c>
      <c r="H123" s="627">
        <f t="shared" si="13"/>
        <v>4288511.986633257</v>
      </c>
      <c r="I123" s="628">
        <f t="shared" si="14"/>
        <v>4288511.986633257</v>
      </c>
      <c r="J123" s="504">
        <f t="shared" si="7"/>
        <v>0</v>
      </c>
      <c r="K123" s="504"/>
      <c r="L123" s="512"/>
      <c r="M123" s="504">
        <f t="shared" si="8"/>
        <v>0</v>
      </c>
      <c r="N123" s="512"/>
      <c r="O123" s="504">
        <f t="shared" si="9"/>
        <v>0</v>
      </c>
      <c r="P123" s="504">
        <f t="shared" si="10"/>
        <v>0</v>
      </c>
      <c r="Q123" s="243"/>
      <c r="R123" s="243"/>
      <c r="S123" s="243"/>
      <c r="T123" s="243"/>
      <c r="U123" s="243"/>
    </row>
    <row r="124" spans="3:21" ht="12.5">
      <c r="C124" s="495">
        <f>IF(D94="","-",+C123+1)</f>
        <v>2040</v>
      </c>
      <c r="D124" s="349">
        <f>IF(F123+SUM(E$100:E123)=D$93,F123,D$93-SUM(E$100:E123))</f>
        <v>19523514.132323187</v>
      </c>
      <c r="E124" s="509">
        <f>IF(+J97&lt;F123,J97,D124)</f>
        <v>2068105.1212121211</v>
      </c>
      <c r="F124" s="510">
        <f t="shared" si="11"/>
        <v>17455409.011111066</v>
      </c>
      <c r="G124" s="510">
        <f t="shared" si="12"/>
        <v>18489461.571717128</v>
      </c>
      <c r="H124" s="627">
        <f t="shared" si="13"/>
        <v>4065137.5533579695</v>
      </c>
      <c r="I124" s="628">
        <f t="shared" si="14"/>
        <v>4065137.5533579695</v>
      </c>
      <c r="J124" s="504">
        <f t="shared" si="7"/>
        <v>0</v>
      </c>
      <c r="K124" s="504"/>
      <c r="L124" s="512"/>
      <c r="M124" s="504">
        <f t="shared" si="8"/>
        <v>0</v>
      </c>
      <c r="N124" s="512"/>
      <c r="O124" s="504">
        <f t="shared" si="9"/>
        <v>0</v>
      </c>
      <c r="P124" s="504">
        <f t="shared" si="10"/>
        <v>0</v>
      </c>
      <c r="Q124" s="243"/>
      <c r="R124" s="243"/>
      <c r="S124" s="243"/>
      <c r="T124" s="243"/>
      <c r="U124" s="243"/>
    </row>
    <row r="125" spans="3:21" ht="12.5">
      <c r="C125" s="495">
        <f>IF(D94="","-",+C124+1)</f>
        <v>2041</v>
      </c>
      <c r="D125" s="349">
        <f>IF(F124+SUM(E$100:E124)=D$93,F124,D$93-SUM(E$100:E124))</f>
        <v>17455409.011111066</v>
      </c>
      <c r="E125" s="509">
        <f>IF(+J97&lt;F124,J97,D125)</f>
        <v>2068105.1212121211</v>
      </c>
      <c r="F125" s="510">
        <f t="shared" si="11"/>
        <v>15387303.889898945</v>
      </c>
      <c r="G125" s="510">
        <f t="shared" si="12"/>
        <v>16421356.450505005</v>
      </c>
      <c r="H125" s="627">
        <f t="shared" si="13"/>
        <v>3841763.1200826811</v>
      </c>
      <c r="I125" s="628">
        <f t="shared" si="14"/>
        <v>3841763.1200826811</v>
      </c>
      <c r="J125" s="504">
        <f t="shared" si="7"/>
        <v>0</v>
      </c>
      <c r="K125" s="504"/>
      <c r="L125" s="512"/>
      <c r="M125" s="504">
        <f t="shared" si="8"/>
        <v>0</v>
      </c>
      <c r="N125" s="512"/>
      <c r="O125" s="504">
        <f t="shared" si="9"/>
        <v>0</v>
      </c>
      <c r="P125" s="504">
        <f t="shared" si="10"/>
        <v>0</v>
      </c>
      <c r="Q125" s="243"/>
      <c r="R125" s="243"/>
      <c r="S125" s="243"/>
      <c r="T125" s="243"/>
      <c r="U125" s="243"/>
    </row>
    <row r="126" spans="3:21" ht="12.5">
      <c r="C126" s="495">
        <f>IF(D94="","-",+C125+1)</f>
        <v>2042</v>
      </c>
      <c r="D126" s="349">
        <f>IF(F125+SUM(E$100:E125)=D$93,F125,D$93-SUM(E$100:E125))</f>
        <v>15387303.889898945</v>
      </c>
      <c r="E126" s="509">
        <f>IF(+J97&lt;F125,J97,D126)</f>
        <v>2068105.1212121211</v>
      </c>
      <c r="F126" s="510">
        <f t="shared" si="11"/>
        <v>13319198.768686824</v>
      </c>
      <c r="G126" s="510">
        <f t="shared" si="12"/>
        <v>14353251.329292884</v>
      </c>
      <c r="H126" s="627">
        <f t="shared" si="13"/>
        <v>3618388.6868073936</v>
      </c>
      <c r="I126" s="628">
        <f t="shared" si="14"/>
        <v>3618388.6868073936</v>
      </c>
      <c r="J126" s="504">
        <f t="shared" si="7"/>
        <v>0</v>
      </c>
      <c r="K126" s="504"/>
      <c r="L126" s="512"/>
      <c r="M126" s="504">
        <f t="shared" si="8"/>
        <v>0</v>
      </c>
      <c r="N126" s="512"/>
      <c r="O126" s="504">
        <f t="shared" si="9"/>
        <v>0</v>
      </c>
      <c r="P126" s="504">
        <f t="shared" si="10"/>
        <v>0</v>
      </c>
      <c r="Q126" s="243"/>
      <c r="R126" s="243"/>
      <c r="S126" s="243"/>
      <c r="T126" s="243"/>
      <c r="U126" s="243"/>
    </row>
    <row r="127" spans="3:21" ht="12.5">
      <c r="C127" s="495">
        <f>IF(D94="","-",+C126+1)</f>
        <v>2043</v>
      </c>
      <c r="D127" s="349">
        <f>IF(F126+SUM(E$100:E126)=D$93,F126,D$93-SUM(E$100:E126))</f>
        <v>13319198.768686824</v>
      </c>
      <c r="E127" s="509">
        <f>IF(+J97&lt;F126,J97,D127)</f>
        <v>2068105.1212121211</v>
      </c>
      <c r="F127" s="510">
        <f t="shared" si="11"/>
        <v>11251093.647474702</v>
      </c>
      <c r="G127" s="510">
        <f t="shared" si="12"/>
        <v>12285146.208080763</v>
      </c>
      <c r="H127" s="627">
        <f t="shared" si="13"/>
        <v>3395014.2535321056</v>
      </c>
      <c r="I127" s="628">
        <f t="shared" si="14"/>
        <v>3395014.2535321056</v>
      </c>
      <c r="J127" s="504">
        <f t="shared" si="7"/>
        <v>0</v>
      </c>
      <c r="K127" s="504"/>
      <c r="L127" s="512"/>
      <c r="M127" s="504">
        <f t="shared" si="8"/>
        <v>0</v>
      </c>
      <c r="N127" s="512"/>
      <c r="O127" s="504">
        <f t="shared" si="9"/>
        <v>0</v>
      </c>
      <c r="P127" s="504">
        <f t="shared" si="10"/>
        <v>0</v>
      </c>
      <c r="Q127" s="243"/>
      <c r="R127" s="243"/>
      <c r="S127" s="243"/>
      <c r="T127" s="243"/>
      <c r="U127" s="243"/>
    </row>
    <row r="128" spans="3:21" ht="12.5">
      <c r="C128" s="495">
        <f>IF(D94="","-",+C127+1)</f>
        <v>2044</v>
      </c>
      <c r="D128" s="349">
        <f>IF(F127+SUM(E$100:E127)=D$93,F127,D$93-SUM(E$100:E127))</f>
        <v>11251093.647474702</v>
      </c>
      <c r="E128" s="509">
        <f>IF(+J97&lt;F127,J97,D128)</f>
        <v>2068105.1212121211</v>
      </c>
      <c r="F128" s="510">
        <f t="shared" si="11"/>
        <v>9182988.5262625813</v>
      </c>
      <c r="G128" s="510">
        <f t="shared" si="12"/>
        <v>10217041.086868642</v>
      </c>
      <c r="H128" s="627">
        <f t="shared" si="13"/>
        <v>3171639.8202568181</v>
      </c>
      <c r="I128" s="628">
        <f t="shared" si="14"/>
        <v>3171639.8202568181</v>
      </c>
      <c r="J128" s="504">
        <f t="shared" si="7"/>
        <v>0</v>
      </c>
      <c r="K128" s="504"/>
      <c r="L128" s="512"/>
      <c r="M128" s="504">
        <f t="shared" si="8"/>
        <v>0</v>
      </c>
      <c r="N128" s="512"/>
      <c r="O128" s="504">
        <f t="shared" si="9"/>
        <v>0</v>
      </c>
      <c r="P128" s="504">
        <f t="shared" si="10"/>
        <v>0</v>
      </c>
      <c r="Q128" s="243"/>
      <c r="R128" s="243"/>
      <c r="S128" s="243"/>
      <c r="T128" s="243"/>
      <c r="U128" s="243"/>
    </row>
    <row r="129" spans="3:21" ht="12.5">
      <c r="C129" s="495">
        <f>IF(D94="","-",+C128+1)</f>
        <v>2045</v>
      </c>
      <c r="D129" s="349">
        <f>IF(F128+SUM(E$100:E128)=D$93,F128,D$93-SUM(E$100:E128))</f>
        <v>9182988.5262625813</v>
      </c>
      <c r="E129" s="509">
        <f>IF(+J97&lt;F128,J97,D129)</f>
        <v>2068105.1212121211</v>
      </c>
      <c r="F129" s="510">
        <f t="shared" si="11"/>
        <v>7114883.4050504602</v>
      </c>
      <c r="G129" s="510">
        <f t="shared" si="12"/>
        <v>8148935.9656565208</v>
      </c>
      <c r="H129" s="627">
        <f t="shared" si="13"/>
        <v>2948265.3869815301</v>
      </c>
      <c r="I129" s="628">
        <f t="shared" si="14"/>
        <v>2948265.3869815301</v>
      </c>
      <c r="J129" s="504">
        <f t="shared" si="7"/>
        <v>0</v>
      </c>
      <c r="K129" s="504"/>
      <c r="L129" s="512"/>
      <c r="M129" s="504">
        <f t="shared" si="8"/>
        <v>0</v>
      </c>
      <c r="N129" s="512"/>
      <c r="O129" s="504">
        <f t="shared" si="9"/>
        <v>0</v>
      </c>
      <c r="P129" s="504">
        <f t="shared" si="10"/>
        <v>0</v>
      </c>
      <c r="Q129" s="243"/>
      <c r="R129" s="243"/>
      <c r="S129" s="243"/>
      <c r="T129" s="243"/>
      <c r="U129" s="243"/>
    </row>
    <row r="130" spans="3:21" ht="12.5">
      <c r="C130" s="495">
        <f>IF(D94="","-",+C129+1)</f>
        <v>2046</v>
      </c>
      <c r="D130" s="349">
        <f>IF(F129+SUM(E$100:E129)=D$93,F129,D$93-SUM(E$100:E129))</f>
        <v>7114883.4050504602</v>
      </c>
      <c r="E130" s="509">
        <f>IF(+J97&lt;F129,J97,D130)</f>
        <v>2068105.1212121211</v>
      </c>
      <c r="F130" s="510">
        <f t="shared" si="11"/>
        <v>5046778.2838383391</v>
      </c>
      <c r="G130" s="510">
        <f t="shared" si="12"/>
        <v>6080830.8444443997</v>
      </c>
      <c r="H130" s="627">
        <f t="shared" si="13"/>
        <v>2724890.9537062421</v>
      </c>
      <c r="I130" s="628">
        <f t="shared" si="14"/>
        <v>2724890.9537062421</v>
      </c>
      <c r="J130" s="504">
        <f t="shared" si="7"/>
        <v>0</v>
      </c>
      <c r="K130" s="504"/>
      <c r="L130" s="512"/>
      <c r="M130" s="504">
        <f t="shared" si="8"/>
        <v>0</v>
      </c>
      <c r="N130" s="512"/>
      <c r="O130" s="504">
        <f t="shared" si="9"/>
        <v>0</v>
      </c>
      <c r="P130" s="504">
        <f t="shared" si="10"/>
        <v>0</v>
      </c>
      <c r="Q130" s="243"/>
      <c r="R130" s="243"/>
      <c r="S130" s="243"/>
      <c r="T130" s="243"/>
      <c r="U130" s="243"/>
    </row>
    <row r="131" spans="3:21" ht="12.5">
      <c r="C131" s="495">
        <f>IF(D94="","-",+C130+1)</f>
        <v>2047</v>
      </c>
      <c r="D131" s="349">
        <f>IF(F130+SUM(E$100:E130)=D$93,F130,D$93-SUM(E$100:E130))</f>
        <v>5046778.2838383391</v>
      </c>
      <c r="E131" s="509">
        <f>IF(+J97&lt;F130,J97,D131)</f>
        <v>2068105.1212121211</v>
      </c>
      <c r="F131" s="510">
        <f t="shared" si="11"/>
        <v>2978673.1626262181</v>
      </c>
      <c r="G131" s="510">
        <f t="shared" si="12"/>
        <v>4012725.7232322786</v>
      </c>
      <c r="H131" s="627">
        <f t="shared" si="13"/>
        <v>2501516.5204309542</v>
      </c>
      <c r="I131" s="628">
        <f t="shared" si="14"/>
        <v>2501516.5204309542</v>
      </c>
      <c r="J131" s="504">
        <f t="shared" si="7"/>
        <v>0</v>
      </c>
      <c r="K131" s="504"/>
      <c r="L131" s="512"/>
      <c r="M131" s="504">
        <f t="shared" si="8"/>
        <v>0</v>
      </c>
      <c r="N131" s="512"/>
      <c r="O131" s="504">
        <f t="shared" si="9"/>
        <v>0</v>
      </c>
      <c r="P131" s="504">
        <f t="shared" si="10"/>
        <v>0</v>
      </c>
      <c r="Q131" s="243"/>
      <c r="R131" s="243"/>
      <c r="S131" s="243"/>
      <c r="T131" s="243"/>
      <c r="U131" s="243"/>
    </row>
    <row r="132" spans="3:21" ht="12.5">
      <c r="C132" s="495">
        <f>IF(D94="","-",+C131+1)</f>
        <v>2048</v>
      </c>
      <c r="D132" s="349">
        <f>IF(F131+SUM(E$100:E131)=D$93,F131,D$93-SUM(E$100:E131))</f>
        <v>2978673.1626262181</v>
      </c>
      <c r="E132" s="509">
        <f>IF(+J97&lt;F131,J97,D132)</f>
        <v>2068105.1212121211</v>
      </c>
      <c r="F132" s="510">
        <f t="shared" ref="F132:F155" si="15">+D132-E132</f>
        <v>910568.04141409695</v>
      </c>
      <c r="G132" s="510">
        <f t="shared" ref="G132:G155" si="16">+(F132+D132)/2</f>
        <v>1944620.6020201575</v>
      </c>
      <c r="H132" s="627">
        <f t="shared" si="13"/>
        <v>2278142.0871556662</v>
      </c>
      <c r="I132" s="628">
        <f t="shared" si="14"/>
        <v>2278142.0871556662</v>
      </c>
      <c r="J132" s="504">
        <f t="shared" ref="J132:J155" si="17">+I542-H542</f>
        <v>0</v>
      </c>
      <c r="K132" s="504"/>
      <c r="L132" s="512"/>
      <c r="M132" s="504">
        <f t="shared" ref="M132:M155" si="18">IF(L542&lt;&gt;0,+H542-L542,0)</f>
        <v>0</v>
      </c>
      <c r="N132" s="512"/>
      <c r="O132" s="504">
        <f t="shared" ref="O132:O155" si="19">IF(N542&lt;&gt;0,+I542-N542,0)</f>
        <v>0</v>
      </c>
      <c r="P132" s="504">
        <f t="shared" ref="P132:P155" si="20">+O542-M542</f>
        <v>0</v>
      </c>
      <c r="Q132" s="243"/>
      <c r="R132" s="243"/>
      <c r="S132" s="243"/>
      <c r="T132" s="243"/>
      <c r="U132" s="243"/>
    </row>
    <row r="133" spans="3:21" ht="12.5">
      <c r="C133" s="495">
        <f>IF(D94="","-",+C132+1)</f>
        <v>2049</v>
      </c>
      <c r="D133" s="349">
        <f>IF(F132+SUM(E$100:E132)=D$93,F132,D$93-SUM(E$100:E132))</f>
        <v>910568.04141409695</v>
      </c>
      <c r="E133" s="509">
        <f>IF(+J97&lt;F132,J97,D133)</f>
        <v>910568.04141409695</v>
      </c>
      <c r="F133" s="510">
        <f t="shared" si="15"/>
        <v>0</v>
      </c>
      <c r="G133" s="510">
        <f t="shared" si="16"/>
        <v>455284.02070704848</v>
      </c>
      <c r="H133" s="627">
        <f t="shared" si="13"/>
        <v>959742.91606704763</v>
      </c>
      <c r="I133" s="628">
        <f t="shared" si="14"/>
        <v>959742.91606704763</v>
      </c>
      <c r="J133" s="504">
        <f t="shared" si="17"/>
        <v>0</v>
      </c>
      <c r="K133" s="504"/>
      <c r="L133" s="512"/>
      <c r="M133" s="504">
        <f t="shared" si="18"/>
        <v>0</v>
      </c>
      <c r="N133" s="512"/>
      <c r="O133" s="504">
        <f t="shared" si="19"/>
        <v>0</v>
      </c>
      <c r="P133" s="504">
        <f t="shared" si="20"/>
        <v>0</v>
      </c>
      <c r="Q133" s="243"/>
      <c r="R133" s="243"/>
      <c r="S133" s="243"/>
      <c r="T133" s="243"/>
      <c r="U133" s="243"/>
    </row>
    <row r="134" spans="3:21" ht="12.5">
      <c r="C134" s="495">
        <f>IF(D94="","-",+C133+1)</f>
        <v>2050</v>
      </c>
      <c r="D134" s="349">
        <f>IF(F133+SUM(E$100:E133)=D$93,F133,D$93-SUM(E$100:E133))</f>
        <v>0</v>
      </c>
      <c r="E134" s="509">
        <f>IF(+J97&lt;F133,J97,D134)</f>
        <v>0</v>
      </c>
      <c r="F134" s="510">
        <f t="shared" si="15"/>
        <v>0</v>
      </c>
      <c r="G134" s="510">
        <f t="shared" si="16"/>
        <v>0</v>
      </c>
      <c r="H134" s="627">
        <f t="shared" si="13"/>
        <v>0</v>
      </c>
      <c r="I134" s="628">
        <f t="shared" si="14"/>
        <v>0</v>
      </c>
      <c r="J134" s="504">
        <f t="shared" si="17"/>
        <v>0</v>
      </c>
      <c r="K134" s="504"/>
      <c r="L134" s="512"/>
      <c r="M134" s="504">
        <f t="shared" si="18"/>
        <v>0</v>
      </c>
      <c r="N134" s="512"/>
      <c r="O134" s="504">
        <f t="shared" si="19"/>
        <v>0</v>
      </c>
      <c r="P134" s="504">
        <f t="shared" si="20"/>
        <v>0</v>
      </c>
      <c r="Q134" s="243"/>
      <c r="R134" s="243"/>
      <c r="S134" s="243"/>
      <c r="T134" s="243"/>
      <c r="U134" s="243"/>
    </row>
    <row r="135" spans="3:21" ht="12.5">
      <c r="C135" s="495">
        <f>IF(D94="","-",+C134+1)</f>
        <v>2051</v>
      </c>
      <c r="D135" s="349">
        <f>IF(F134+SUM(E$100:E134)=D$93,F134,D$93-SUM(E$100:E134))</f>
        <v>0</v>
      </c>
      <c r="E135" s="509">
        <f>IF(+J97&lt;F134,J97,D135)</f>
        <v>0</v>
      </c>
      <c r="F135" s="510">
        <f t="shared" si="15"/>
        <v>0</v>
      </c>
      <c r="G135" s="510">
        <f t="shared" si="16"/>
        <v>0</v>
      </c>
      <c r="H135" s="627">
        <f t="shared" si="13"/>
        <v>0</v>
      </c>
      <c r="I135" s="628">
        <f t="shared" si="14"/>
        <v>0</v>
      </c>
      <c r="J135" s="504">
        <f t="shared" si="17"/>
        <v>0</v>
      </c>
      <c r="K135" s="504"/>
      <c r="L135" s="512"/>
      <c r="M135" s="504">
        <f t="shared" si="18"/>
        <v>0</v>
      </c>
      <c r="N135" s="512"/>
      <c r="O135" s="504">
        <f t="shared" si="19"/>
        <v>0</v>
      </c>
      <c r="P135" s="504">
        <f t="shared" si="20"/>
        <v>0</v>
      </c>
      <c r="Q135" s="243"/>
      <c r="R135" s="243"/>
      <c r="S135" s="243"/>
      <c r="T135" s="243"/>
      <c r="U135" s="243"/>
    </row>
    <row r="136" spans="3:21" ht="12.5">
      <c r="C136" s="495">
        <f>IF(D94="","-",+C135+1)</f>
        <v>2052</v>
      </c>
      <c r="D136" s="349">
        <f>IF(F135+SUM(E$100:E135)=D$93,F135,D$93-SUM(E$100:E135))</f>
        <v>0</v>
      </c>
      <c r="E136" s="509">
        <f>IF(+J97&lt;F135,J97,D136)</f>
        <v>0</v>
      </c>
      <c r="F136" s="510">
        <f t="shared" si="15"/>
        <v>0</v>
      </c>
      <c r="G136" s="510">
        <f t="shared" si="16"/>
        <v>0</v>
      </c>
      <c r="H136" s="627">
        <f t="shared" si="13"/>
        <v>0</v>
      </c>
      <c r="I136" s="628">
        <f t="shared" si="14"/>
        <v>0</v>
      </c>
      <c r="J136" s="504">
        <f t="shared" si="17"/>
        <v>0</v>
      </c>
      <c r="K136" s="504"/>
      <c r="L136" s="512"/>
      <c r="M136" s="504">
        <f t="shared" si="18"/>
        <v>0</v>
      </c>
      <c r="N136" s="512"/>
      <c r="O136" s="504">
        <f t="shared" si="19"/>
        <v>0</v>
      </c>
      <c r="P136" s="504">
        <f t="shared" si="20"/>
        <v>0</v>
      </c>
      <c r="Q136" s="243"/>
      <c r="R136" s="243"/>
      <c r="S136" s="243"/>
      <c r="T136" s="243"/>
      <c r="U136" s="243"/>
    </row>
    <row r="137" spans="3:21" ht="12.5">
      <c r="C137" s="495">
        <f>IF(D94="","-",+C136+1)</f>
        <v>2053</v>
      </c>
      <c r="D137" s="349">
        <f>IF(F136+SUM(E$100:E136)=D$93,F136,D$93-SUM(E$100:E136))</f>
        <v>0</v>
      </c>
      <c r="E137" s="509">
        <f>IF(+J97&lt;F136,J97,D137)</f>
        <v>0</v>
      </c>
      <c r="F137" s="510">
        <f t="shared" si="15"/>
        <v>0</v>
      </c>
      <c r="G137" s="510">
        <f t="shared" si="16"/>
        <v>0</v>
      </c>
      <c r="H137" s="627">
        <f t="shared" si="13"/>
        <v>0</v>
      </c>
      <c r="I137" s="628">
        <f t="shared" si="14"/>
        <v>0</v>
      </c>
      <c r="J137" s="504">
        <f t="shared" si="17"/>
        <v>0</v>
      </c>
      <c r="K137" s="504"/>
      <c r="L137" s="512"/>
      <c r="M137" s="504">
        <f t="shared" si="18"/>
        <v>0</v>
      </c>
      <c r="N137" s="512"/>
      <c r="O137" s="504">
        <f t="shared" si="19"/>
        <v>0</v>
      </c>
      <c r="P137" s="504">
        <f t="shared" si="20"/>
        <v>0</v>
      </c>
      <c r="Q137" s="243"/>
      <c r="R137" s="243"/>
      <c r="S137" s="243"/>
      <c r="T137" s="243"/>
      <c r="U137" s="243"/>
    </row>
    <row r="138" spans="3:21" ht="12.5">
      <c r="C138" s="495">
        <f>IF(D94="","-",+C137+1)</f>
        <v>2054</v>
      </c>
      <c r="D138" s="349">
        <f>IF(F137+SUM(E$100:E137)=D$93,F137,D$93-SUM(E$100:E137))</f>
        <v>0</v>
      </c>
      <c r="E138" s="509">
        <f>IF(+J97&lt;F137,J97,D138)</f>
        <v>0</v>
      </c>
      <c r="F138" s="510">
        <f t="shared" si="15"/>
        <v>0</v>
      </c>
      <c r="G138" s="510">
        <f t="shared" si="16"/>
        <v>0</v>
      </c>
      <c r="H138" s="627">
        <f t="shared" si="13"/>
        <v>0</v>
      </c>
      <c r="I138" s="628">
        <f t="shared" si="14"/>
        <v>0</v>
      </c>
      <c r="J138" s="504">
        <f t="shared" si="17"/>
        <v>0</v>
      </c>
      <c r="K138" s="504"/>
      <c r="L138" s="512"/>
      <c r="M138" s="504">
        <f t="shared" si="18"/>
        <v>0</v>
      </c>
      <c r="N138" s="512"/>
      <c r="O138" s="504">
        <f t="shared" si="19"/>
        <v>0</v>
      </c>
      <c r="P138" s="504">
        <f t="shared" si="20"/>
        <v>0</v>
      </c>
      <c r="Q138" s="243"/>
      <c r="R138" s="243"/>
      <c r="S138" s="243"/>
      <c r="T138" s="243"/>
      <c r="U138" s="243"/>
    </row>
    <row r="139" spans="3:21" ht="12.5">
      <c r="C139" s="495">
        <f>IF(D94="","-",+C138+1)</f>
        <v>2055</v>
      </c>
      <c r="D139" s="349">
        <f>IF(F138+SUM(E$100:E138)=D$93,F138,D$93-SUM(E$100:E138))</f>
        <v>0</v>
      </c>
      <c r="E139" s="509">
        <f>IF(+J97&lt;F138,J97,D139)</f>
        <v>0</v>
      </c>
      <c r="F139" s="510">
        <f t="shared" si="15"/>
        <v>0</v>
      </c>
      <c r="G139" s="510">
        <f t="shared" si="16"/>
        <v>0</v>
      </c>
      <c r="H139" s="627">
        <f t="shared" si="13"/>
        <v>0</v>
      </c>
      <c r="I139" s="628">
        <f t="shared" si="14"/>
        <v>0</v>
      </c>
      <c r="J139" s="504">
        <f t="shared" si="17"/>
        <v>0</v>
      </c>
      <c r="K139" s="504"/>
      <c r="L139" s="512"/>
      <c r="M139" s="504">
        <f t="shared" si="18"/>
        <v>0</v>
      </c>
      <c r="N139" s="512"/>
      <c r="O139" s="504">
        <f t="shared" si="19"/>
        <v>0</v>
      </c>
      <c r="P139" s="504">
        <f t="shared" si="20"/>
        <v>0</v>
      </c>
      <c r="Q139" s="243"/>
      <c r="R139" s="243"/>
      <c r="S139" s="243"/>
      <c r="T139" s="243"/>
      <c r="U139" s="243"/>
    </row>
    <row r="140" spans="3:21" ht="12.5">
      <c r="C140" s="495">
        <f>IF(D94="","-",+C139+1)</f>
        <v>2056</v>
      </c>
      <c r="D140" s="349">
        <f>IF(F139+SUM(E$100:E139)=D$93,F139,D$93-SUM(E$100:E139))</f>
        <v>0</v>
      </c>
      <c r="E140" s="509">
        <f>IF(+J97&lt;F139,J97,D140)</f>
        <v>0</v>
      </c>
      <c r="F140" s="510">
        <f t="shared" si="15"/>
        <v>0</v>
      </c>
      <c r="G140" s="510">
        <f t="shared" si="16"/>
        <v>0</v>
      </c>
      <c r="H140" s="627">
        <f t="shared" si="13"/>
        <v>0</v>
      </c>
      <c r="I140" s="628">
        <f t="shared" si="14"/>
        <v>0</v>
      </c>
      <c r="J140" s="504">
        <f t="shared" si="17"/>
        <v>0</v>
      </c>
      <c r="K140" s="504"/>
      <c r="L140" s="512"/>
      <c r="M140" s="504">
        <f t="shared" si="18"/>
        <v>0</v>
      </c>
      <c r="N140" s="512"/>
      <c r="O140" s="504">
        <f t="shared" si="19"/>
        <v>0</v>
      </c>
      <c r="P140" s="504">
        <f t="shared" si="20"/>
        <v>0</v>
      </c>
      <c r="Q140" s="243"/>
      <c r="R140" s="243"/>
      <c r="S140" s="243"/>
      <c r="T140" s="243"/>
      <c r="U140" s="243"/>
    </row>
    <row r="141" spans="3:21" ht="12.5">
      <c r="C141" s="495">
        <f>IF(D94="","-",+C140+1)</f>
        <v>2057</v>
      </c>
      <c r="D141" s="349">
        <f>IF(F140+SUM(E$100:E140)=D$93,F140,D$93-SUM(E$100:E140))</f>
        <v>0</v>
      </c>
      <c r="E141" s="509">
        <f>IF(+J97&lt;F140,J97,D141)</f>
        <v>0</v>
      </c>
      <c r="F141" s="510">
        <f t="shared" si="15"/>
        <v>0</v>
      </c>
      <c r="G141" s="510">
        <f t="shared" si="16"/>
        <v>0</v>
      </c>
      <c r="H141" s="627">
        <f t="shared" si="13"/>
        <v>0</v>
      </c>
      <c r="I141" s="628">
        <f t="shared" si="14"/>
        <v>0</v>
      </c>
      <c r="J141" s="504">
        <f t="shared" si="17"/>
        <v>0</v>
      </c>
      <c r="K141" s="504"/>
      <c r="L141" s="512"/>
      <c r="M141" s="504">
        <f t="shared" si="18"/>
        <v>0</v>
      </c>
      <c r="N141" s="512"/>
      <c r="O141" s="504">
        <f t="shared" si="19"/>
        <v>0</v>
      </c>
      <c r="P141" s="504">
        <f t="shared" si="20"/>
        <v>0</v>
      </c>
      <c r="Q141" s="243"/>
      <c r="R141" s="243"/>
      <c r="S141" s="243"/>
      <c r="T141" s="243"/>
      <c r="U141" s="243"/>
    </row>
    <row r="142" spans="3:21" ht="12.5">
      <c r="C142" s="495">
        <f>IF(D94="","-",+C141+1)</f>
        <v>2058</v>
      </c>
      <c r="D142" s="349">
        <f>IF(F141+SUM(E$100:E141)=D$93,F141,D$93-SUM(E$100:E141))</f>
        <v>0</v>
      </c>
      <c r="E142" s="509">
        <f>IF(+J97&lt;F141,J97,D142)</f>
        <v>0</v>
      </c>
      <c r="F142" s="510">
        <f t="shared" si="15"/>
        <v>0</v>
      </c>
      <c r="G142" s="510">
        <f t="shared" si="16"/>
        <v>0</v>
      </c>
      <c r="H142" s="627">
        <f t="shared" si="13"/>
        <v>0</v>
      </c>
      <c r="I142" s="628">
        <f t="shared" si="14"/>
        <v>0</v>
      </c>
      <c r="J142" s="504">
        <f t="shared" si="17"/>
        <v>0</v>
      </c>
      <c r="K142" s="504"/>
      <c r="L142" s="512"/>
      <c r="M142" s="504">
        <f t="shared" si="18"/>
        <v>0</v>
      </c>
      <c r="N142" s="512"/>
      <c r="O142" s="504">
        <f t="shared" si="19"/>
        <v>0</v>
      </c>
      <c r="P142" s="504">
        <f t="shared" si="20"/>
        <v>0</v>
      </c>
      <c r="Q142" s="243"/>
      <c r="R142" s="243"/>
      <c r="S142" s="243"/>
      <c r="T142" s="243"/>
      <c r="U142" s="243"/>
    </row>
    <row r="143" spans="3:21" ht="12.5">
      <c r="C143" s="495">
        <f>IF(D94="","-",+C142+1)</f>
        <v>2059</v>
      </c>
      <c r="D143" s="349">
        <f>IF(F142+SUM(E$100:E142)=D$93,F142,D$93-SUM(E$100:E142))</f>
        <v>0</v>
      </c>
      <c r="E143" s="509">
        <f>IF(+J97&lt;F142,J97,D143)</f>
        <v>0</v>
      </c>
      <c r="F143" s="510">
        <f t="shared" si="15"/>
        <v>0</v>
      </c>
      <c r="G143" s="510">
        <f t="shared" si="16"/>
        <v>0</v>
      </c>
      <c r="H143" s="627">
        <f t="shared" si="13"/>
        <v>0</v>
      </c>
      <c r="I143" s="628">
        <f t="shared" si="14"/>
        <v>0</v>
      </c>
      <c r="J143" s="504">
        <f t="shared" si="17"/>
        <v>0</v>
      </c>
      <c r="K143" s="504"/>
      <c r="L143" s="512"/>
      <c r="M143" s="504">
        <f t="shared" si="18"/>
        <v>0</v>
      </c>
      <c r="N143" s="512"/>
      <c r="O143" s="504">
        <f t="shared" si="19"/>
        <v>0</v>
      </c>
      <c r="P143" s="504">
        <f t="shared" si="20"/>
        <v>0</v>
      </c>
      <c r="Q143" s="243"/>
      <c r="R143" s="243"/>
      <c r="S143" s="243"/>
      <c r="T143" s="243"/>
      <c r="U143" s="243"/>
    </row>
    <row r="144" spans="3:21" ht="12.5">
      <c r="C144" s="495">
        <f>IF(D94="","-",+C143+1)</f>
        <v>2060</v>
      </c>
      <c r="D144" s="349">
        <f>IF(F143+SUM(E$100:E143)=D$93,F143,D$93-SUM(E$100:E143))</f>
        <v>0</v>
      </c>
      <c r="E144" s="509">
        <f>IF(+J97&lt;F143,J97,D144)</f>
        <v>0</v>
      </c>
      <c r="F144" s="510">
        <f t="shared" si="15"/>
        <v>0</v>
      </c>
      <c r="G144" s="510">
        <f t="shared" si="16"/>
        <v>0</v>
      </c>
      <c r="H144" s="627">
        <f t="shared" si="13"/>
        <v>0</v>
      </c>
      <c r="I144" s="628">
        <f t="shared" si="14"/>
        <v>0</v>
      </c>
      <c r="J144" s="504">
        <f t="shared" si="17"/>
        <v>0</v>
      </c>
      <c r="K144" s="504"/>
      <c r="L144" s="512"/>
      <c r="M144" s="504">
        <f t="shared" si="18"/>
        <v>0</v>
      </c>
      <c r="N144" s="512"/>
      <c r="O144" s="504">
        <f t="shared" si="19"/>
        <v>0</v>
      </c>
      <c r="P144" s="504">
        <f t="shared" si="20"/>
        <v>0</v>
      </c>
      <c r="Q144" s="243"/>
      <c r="R144" s="243"/>
      <c r="S144" s="243"/>
      <c r="T144" s="243"/>
      <c r="U144" s="243"/>
    </row>
    <row r="145" spans="3:21" ht="12.5">
      <c r="C145" s="495">
        <f>IF(D94="","-",+C144+1)</f>
        <v>2061</v>
      </c>
      <c r="D145" s="349">
        <f>IF(F144+SUM(E$100:E144)=D$93,F144,D$93-SUM(E$100:E144))</f>
        <v>0</v>
      </c>
      <c r="E145" s="509">
        <f>IF(+J97&lt;F144,J97,D145)</f>
        <v>0</v>
      </c>
      <c r="F145" s="510">
        <f t="shared" si="15"/>
        <v>0</v>
      </c>
      <c r="G145" s="510">
        <f t="shared" si="16"/>
        <v>0</v>
      </c>
      <c r="H145" s="627">
        <f t="shared" si="13"/>
        <v>0</v>
      </c>
      <c r="I145" s="628">
        <f t="shared" si="14"/>
        <v>0</v>
      </c>
      <c r="J145" s="504">
        <f t="shared" si="17"/>
        <v>0</v>
      </c>
      <c r="K145" s="504"/>
      <c r="L145" s="512"/>
      <c r="M145" s="504">
        <f t="shared" si="18"/>
        <v>0</v>
      </c>
      <c r="N145" s="512"/>
      <c r="O145" s="504">
        <f t="shared" si="19"/>
        <v>0</v>
      </c>
      <c r="P145" s="504">
        <f t="shared" si="20"/>
        <v>0</v>
      </c>
      <c r="Q145" s="243"/>
      <c r="R145" s="243"/>
      <c r="S145" s="243"/>
      <c r="T145" s="243"/>
      <c r="U145" s="243"/>
    </row>
    <row r="146" spans="3:21" ht="12.5">
      <c r="C146" s="495">
        <f>IF(D94="","-",+C145+1)</f>
        <v>2062</v>
      </c>
      <c r="D146" s="349">
        <f>IF(F145+SUM(E$100:E145)=D$93,F145,D$93-SUM(E$100:E145))</f>
        <v>0</v>
      </c>
      <c r="E146" s="509">
        <f>IF(+J97&lt;F145,J97,D146)</f>
        <v>0</v>
      </c>
      <c r="F146" s="510">
        <f t="shared" si="15"/>
        <v>0</v>
      </c>
      <c r="G146" s="510">
        <f t="shared" si="16"/>
        <v>0</v>
      </c>
      <c r="H146" s="627">
        <f t="shared" si="13"/>
        <v>0</v>
      </c>
      <c r="I146" s="628">
        <f t="shared" si="14"/>
        <v>0</v>
      </c>
      <c r="J146" s="504">
        <f t="shared" si="17"/>
        <v>0</v>
      </c>
      <c r="K146" s="504"/>
      <c r="L146" s="512"/>
      <c r="M146" s="504">
        <f t="shared" si="18"/>
        <v>0</v>
      </c>
      <c r="N146" s="512"/>
      <c r="O146" s="504">
        <f t="shared" si="19"/>
        <v>0</v>
      </c>
      <c r="P146" s="504">
        <f t="shared" si="20"/>
        <v>0</v>
      </c>
      <c r="Q146" s="243"/>
      <c r="R146" s="243"/>
      <c r="S146" s="243"/>
      <c r="T146" s="243"/>
      <c r="U146" s="243"/>
    </row>
    <row r="147" spans="3:21" ht="12.5">
      <c r="C147" s="495">
        <f>IF(D94="","-",+C146+1)</f>
        <v>2063</v>
      </c>
      <c r="D147" s="349">
        <f>IF(F146+SUM(E$100:E146)=D$93,F146,D$93-SUM(E$100:E146))</f>
        <v>0</v>
      </c>
      <c r="E147" s="509">
        <f>IF(+J97&lt;F146,J97,D147)</f>
        <v>0</v>
      </c>
      <c r="F147" s="510">
        <f t="shared" si="15"/>
        <v>0</v>
      </c>
      <c r="G147" s="510">
        <f t="shared" si="16"/>
        <v>0</v>
      </c>
      <c r="H147" s="627">
        <f t="shared" si="13"/>
        <v>0</v>
      </c>
      <c r="I147" s="628">
        <f t="shared" si="14"/>
        <v>0</v>
      </c>
      <c r="J147" s="504">
        <f t="shared" si="17"/>
        <v>0</v>
      </c>
      <c r="K147" s="504"/>
      <c r="L147" s="512"/>
      <c r="M147" s="504">
        <f t="shared" si="18"/>
        <v>0</v>
      </c>
      <c r="N147" s="512"/>
      <c r="O147" s="504">
        <f t="shared" si="19"/>
        <v>0</v>
      </c>
      <c r="P147" s="504">
        <f t="shared" si="20"/>
        <v>0</v>
      </c>
      <c r="Q147" s="243"/>
      <c r="R147" s="243"/>
      <c r="S147" s="243"/>
      <c r="T147" s="243"/>
      <c r="U147" s="243"/>
    </row>
    <row r="148" spans="3:21" ht="12.5">
      <c r="C148" s="495">
        <f>IF(D94="","-",+C147+1)</f>
        <v>2064</v>
      </c>
      <c r="D148" s="349">
        <f>IF(F147+SUM(E$100:E147)=D$93,F147,D$93-SUM(E$100:E147))</f>
        <v>0</v>
      </c>
      <c r="E148" s="509">
        <f>IF(+J97&lt;F147,J97,D148)</f>
        <v>0</v>
      </c>
      <c r="F148" s="510">
        <f t="shared" si="15"/>
        <v>0</v>
      </c>
      <c r="G148" s="510">
        <f t="shared" si="16"/>
        <v>0</v>
      </c>
      <c r="H148" s="627">
        <f t="shared" si="13"/>
        <v>0</v>
      </c>
      <c r="I148" s="628">
        <f t="shared" si="14"/>
        <v>0</v>
      </c>
      <c r="J148" s="504">
        <f t="shared" si="17"/>
        <v>0</v>
      </c>
      <c r="K148" s="504"/>
      <c r="L148" s="512"/>
      <c r="M148" s="504">
        <f t="shared" si="18"/>
        <v>0</v>
      </c>
      <c r="N148" s="512"/>
      <c r="O148" s="504">
        <f t="shared" si="19"/>
        <v>0</v>
      </c>
      <c r="P148" s="504">
        <f t="shared" si="20"/>
        <v>0</v>
      </c>
      <c r="Q148" s="243"/>
      <c r="R148" s="243"/>
      <c r="S148" s="243"/>
      <c r="T148" s="243"/>
      <c r="U148" s="243"/>
    </row>
    <row r="149" spans="3:21" ht="12.5">
      <c r="C149" s="495">
        <f>IF(D94="","-",+C148+1)</f>
        <v>2065</v>
      </c>
      <c r="D149" s="349">
        <f>IF(F148+SUM(E$100:E148)=D$93,F148,D$93-SUM(E$100:E148))</f>
        <v>0</v>
      </c>
      <c r="E149" s="509">
        <f>IF(+J97&lt;F148,J97,D149)</f>
        <v>0</v>
      </c>
      <c r="F149" s="510">
        <f t="shared" si="15"/>
        <v>0</v>
      </c>
      <c r="G149" s="510">
        <f t="shared" si="16"/>
        <v>0</v>
      </c>
      <c r="H149" s="627">
        <f t="shared" si="13"/>
        <v>0</v>
      </c>
      <c r="I149" s="628">
        <f t="shared" si="14"/>
        <v>0</v>
      </c>
      <c r="J149" s="504">
        <f t="shared" si="17"/>
        <v>0</v>
      </c>
      <c r="K149" s="504"/>
      <c r="L149" s="512"/>
      <c r="M149" s="504">
        <f t="shared" si="18"/>
        <v>0</v>
      </c>
      <c r="N149" s="512"/>
      <c r="O149" s="504">
        <f t="shared" si="19"/>
        <v>0</v>
      </c>
      <c r="P149" s="504">
        <f t="shared" si="20"/>
        <v>0</v>
      </c>
      <c r="Q149" s="243"/>
      <c r="R149" s="243"/>
      <c r="S149" s="243"/>
      <c r="T149" s="243"/>
      <c r="U149" s="243"/>
    </row>
    <row r="150" spans="3:21" ht="12.5">
      <c r="C150" s="495">
        <f>IF(D94="","-",+C149+1)</f>
        <v>2066</v>
      </c>
      <c r="D150" s="349">
        <f>IF(F149+SUM(E$100:E149)=D$93,F149,D$93-SUM(E$100:E149))</f>
        <v>0</v>
      </c>
      <c r="E150" s="509">
        <f>IF(+J97&lt;F149,J97,D150)</f>
        <v>0</v>
      </c>
      <c r="F150" s="510">
        <f t="shared" si="15"/>
        <v>0</v>
      </c>
      <c r="G150" s="510">
        <f t="shared" si="16"/>
        <v>0</v>
      </c>
      <c r="H150" s="627">
        <f t="shared" si="13"/>
        <v>0</v>
      </c>
      <c r="I150" s="628">
        <f t="shared" si="14"/>
        <v>0</v>
      </c>
      <c r="J150" s="504">
        <f t="shared" si="17"/>
        <v>0</v>
      </c>
      <c r="K150" s="504"/>
      <c r="L150" s="512"/>
      <c r="M150" s="504">
        <f t="shared" si="18"/>
        <v>0</v>
      </c>
      <c r="N150" s="512"/>
      <c r="O150" s="504">
        <f t="shared" si="19"/>
        <v>0</v>
      </c>
      <c r="P150" s="504">
        <f t="shared" si="20"/>
        <v>0</v>
      </c>
      <c r="Q150" s="243"/>
      <c r="R150" s="243"/>
      <c r="S150" s="243"/>
      <c r="T150" s="243"/>
      <c r="U150" s="243"/>
    </row>
    <row r="151" spans="3:21" ht="12.5">
      <c r="C151" s="495">
        <f>IF(D94="","-",+C150+1)</f>
        <v>2067</v>
      </c>
      <c r="D151" s="349">
        <f>IF(F150+SUM(E$100:E150)=D$93,F150,D$93-SUM(E$100:E150))</f>
        <v>0</v>
      </c>
      <c r="E151" s="509">
        <f>IF(+J97&lt;F150,J97,D151)</f>
        <v>0</v>
      </c>
      <c r="F151" s="510">
        <f t="shared" si="15"/>
        <v>0</v>
      </c>
      <c r="G151" s="510">
        <f t="shared" si="16"/>
        <v>0</v>
      </c>
      <c r="H151" s="627">
        <f t="shared" si="13"/>
        <v>0</v>
      </c>
      <c r="I151" s="628">
        <f t="shared" si="14"/>
        <v>0</v>
      </c>
      <c r="J151" s="504">
        <f t="shared" si="17"/>
        <v>0</v>
      </c>
      <c r="K151" s="504"/>
      <c r="L151" s="512"/>
      <c r="M151" s="504">
        <f t="shared" si="18"/>
        <v>0</v>
      </c>
      <c r="N151" s="512"/>
      <c r="O151" s="504">
        <f t="shared" si="19"/>
        <v>0</v>
      </c>
      <c r="P151" s="504">
        <f t="shared" si="20"/>
        <v>0</v>
      </c>
      <c r="Q151" s="243"/>
      <c r="R151" s="243"/>
      <c r="S151" s="243"/>
      <c r="T151" s="243"/>
      <c r="U151" s="243"/>
    </row>
    <row r="152" spans="3:21" ht="12.5">
      <c r="C152" s="495">
        <f>IF(D94="","-",+C151+1)</f>
        <v>2068</v>
      </c>
      <c r="D152" s="349">
        <f>IF(F151+SUM(E$100:E151)=D$93,F151,D$93-SUM(E$100:E151))</f>
        <v>0</v>
      </c>
      <c r="E152" s="509">
        <f>IF(+J97&lt;F151,J97,D152)</f>
        <v>0</v>
      </c>
      <c r="F152" s="510">
        <f t="shared" si="15"/>
        <v>0</v>
      </c>
      <c r="G152" s="510">
        <f t="shared" si="16"/>
        <v>0</v>
      </c>
      <c r="H152" s="627">
        <f t="shared" si="13"/>
        <v>0</v>
      </c>
      <c r="I152" s="628">
        <f t="shared" si="14"/>
        <v>0</v>
      </c>
      <c r="J152" s="504">
        <f t="shared" si="17"/>
        <v>0</v>
      </c>
      <c r="K152" s="504"/>
      <c r="L152" s="512"/>
      <c r="M152" s="504">
        <f t="shared" si="18"/>
        <v>0</v>
      </c>
      <c r="N152" s="512"/>
      <c r="O152" s="504">
        <f t="shared" si="19"/>
        <v>0</v>
      </c>
      <c r="P152" s="504">
        <f t="shared" si="20"/>
        <v>0</v>
      </c>
      <c r="Q152" s="243"/>
      <c r="R152" s="243"/>
      <c r="S152" s="243"/>
      <c r="T152" s="243"/>
      <c r="U152" s="243"/>
    </row>
    <row r="153" spans="3:21" ht="12.5">
      <c r="C153" s="495">
        <f>IF(D94="","-",+C152+1)</f>
        <v>2069</v>
      </c>
      <c r="D153" s="349">
        <f>IF(F152+SUM(E$100:E152)=D$93,F152,D$93-SUM(E$100:E152))</f>
        <v>0</v>
      </c>
      <c r="E153" s="509">
        <f>IF(+J97&lt;F152,J97,D153)</f>
        <v>0</v>
      </c>
      <c r="F153" s="510">
        <f t="shared" si="15"/>
        <v>0</v>
      </c>
      <c r="G153" s="510">
        <f t="shared" si="16"/>
        <v>0</v>
      </c>
      <c r="H153" s="627">
        <f t="shared" si="13"/>
        <v>0</v>
      </c>
      <c r="I153" s="628">
        <f t="shared" si="14"/>
        <v>0</v>
      </c>
      <c r="J153" s="504">
        <f t="shared" si="17"/>
        <v>0</v>
      </c>
      <c r="K153" s="504"/>
      <c r="L153" s="512"/>
      <c r="M153" s="504">
        <f t="shared" si="18"/>
        <v>0</v>
      </c>
      <c r="N153" s="512"/>
      <c r="O153" s="504">
        <f t="shared" si="19"/>
        <v>0</v>
      </c>
      <c r="P153" s="504">
        <f t="shared" si="20"/>
        <v>0</v>
      </c>
      <c r="Q153" s="243"/>
      <c r="R153" s="243"/>
      <c r="S153" s="243"/>
      <c r="T153" s="243"/>
      <c r="U153" s="243"/>
    </row>
    <row r="154" spans="3:21" ht="12.5">
      <c r="C154" s="495">
        <f>IF(D94="","-",+C153+1)</f>
        <v>2070</v>
      </c>
      <c r="D154" s="349">
        <f>IF(F153+SUM(E$100:E153)=D$93,F153,D$93-SUM(E$100:E153))</f>
        <v>0</v>
      </c>
      <c r="E154" s="509">
        <f>IF(+J97&lt;F153,J97,D154)</f>
        <v>0</v>
      </c>
      <c r="F154" s="510">
        <f t="shared" si="15"/>
        <v>0</v>
      </c>
      <c r="G154" s="510">
        <f t="shared" si="16"/>
        <v>0</v>
      </c>
      <c r="H154" s="627">
        <f t="shared" si="13"/>
        <v>0</v>
      </c>
      <c r="I154" s="628">
        <f t="shared" si="14"/>
        <v>0</v>
      </c>
      <c r="J154" s="504">
        <f t="shared" si="17"/>
        <v>0</v>
      </c>
      <c r="K154" s="504"/>
      <c r="L154" s="512"/>
      <c r="M154" s="504">
        <f t="shared" si="18"/>
        <v>0</v>
      </c>
      <c r="N154" s="512"/>
      <c r="O154" s="504">
        <f t="shared" si="19"/>
        <v>0</v>
      </c>
      <c r="P154" s="504">
        <f t="shared" si="20"/>
        <v>0</v>
      </c>
      <c r="Q154" s="243"/>
      <c r="R154" s="243"/>
      <c r="S154" s="243"/>
      <c r="T154" s="243"/>
      <c r="U154" s="243"/>
    </row>
    <row r="155" spans="3:21" ht="13" thickBot="1">
      <c r="C155" s="524">
        <f>IF(D94="","-",+C154+1)</f>
        <v>2071</v>
      </c>
      <c r="D155" s="638">
        <f>IF(F154+SUM(E$100:E154)=D$93,F154,D$93-SUM(E$100:E154))</f>
        <v>0</v>
      </c>
      <c r="E155" s="526">
        <f>IF(+J97&lt;F154,J97,D155)</f>
        <v>0</v>
      </c>
      <c r="F155" s="527">
        <f t="shared" si="15"/>
        <v>0</v>
      </c>
      <c r="G155" s="527">
        <f t="shared" si="16"/>
        <v>0</v>
      </c>
      <c r="H155" s="623">
        <f t="shared" si="13"/>
        <v>0</v>
      </c>
      <c r="I155" s="624">
        <f t="shared" si="14"/>
        <v>0</v>
      </c>
      <c r="J155" s="531">
        <f t="shared" si="17"/>
        <v>0</v>
      </c>
      <c r="K155" s="504"/>
      <c r="L155" s="530"/>
      <c r="M155" s="531">
        <f t="shared" si="18"/>
        <v>0</v>
      </c>
      <c r="N155" s="530"/>
      <c r="O155" s="531">
        <f t="shared" si="19"/>
        <v>0</v>
      </c>
      <c r="P155" s="531">
        <f t="shared" si="20"/>
        <v>0</v>
      </c>
      <c r="Q155" s="243"/>
      <c r="R155" s="243"/>
      <c r="S155" s="243"/>
      <c r="T155" s="243"/>
      <c r="U155" s="243"/>
    </row>
    <row r="156" spans="3:21" ht="12.5">
      <c r="C156" s="349" t="s">
        <v>75</v>
      </c>
      <c r="D156" s="294"/>
      <c r="E156" s="294">
        <f>SUM(E100:E155)</f>
        <v>68247469.000000015</v>
      </c>
      <c r="F156" s="294"/>
      <c r="G156" s="294"/>
      <c r="H156" s="294">
        <f>SUM(H100:H155)</f>
        <v>188192585.09190735</v>
      </c>
      <c r="I156" s="294">
        <f>SUM(I100:I155)</f>
        <v>188192585.09190735</v>
      </c>
      <c r="J156" s="294">
        <f>SUM(J100:J155)</f>
        <v>0</v>
      </c>
      <c r="K156" s="294"/>
      <c r="L156" s="294"/>
      <c r="M156" s="294"/>
      <c r="N156" s="294"/>
      <c r="O156" s="294"/>
      <c r="P156" s="243"/>
      <c r="Q156" s="243"/>
      <c r="R156" s="243"/>
      <c r="S156" s="243"/>
      <c r="T156" s="243"/>
      <c r="U156" s="243"/>
    </row>
    <row r="157" spans="3:21" ht="12.5">
      <c r="C157" s="145" t="s">
        <v>90</v>
      </c>
      <c r="D157" s="292"/>
      <c r="E157" s="243"/>
      <c r="F157" s="243"/>
      <c r="G157" s="243"/>
      <c r="H157" s="243"/>
      <c r="I157" s="325"/>
      <c r="J157" s="325"/>
      <c r="K157" s="294"/>
      <c r="L157" s="325"/>
      <c r="M157" s="325"/>
      <c r="N157" s="325"/>
      <c r="O157" s="325"/>
      <c r="P157" s="243"/>
      <c r="Q157" s="243"/>
      <c r="R157" s="243"/>
      <c r="S157" s="243"/>
      <c r="T157" s="243"/>
      <c r="U157" s="243"/>
    </row>
    <row r="158" spans="3:21" ht="12.5">
      <c r="C158" s="574"/>
      <c r="D158" s="292"/>
      <c r="E158" s="243"/>
      <c r="F158" s="243"/>
      <c r="G158" s="243"/>
      <c r="H158" s="243"/>
      <c r="I158" s="325"/>
      <c r="J158" s="325"/>
      <c r="K158" s="294"/>
      <c r="L158" s="325"/>
      <c r="M158" s="325"/>
      <c r="N158" s="325"/>
      <c r="O158" s="325"/>
      <c r="P158" s="243"/>
      <c r="Q158" s="243"/>
      <c r="R158" s="243"/>
      <c r="S158" s="243"/>
      <c r="T158" s="243"/>
      <c r="U158" s="243"/>
    </row>
    <row r="159" spans="3:21" ht="13">
      <c r="C159" s="619" t="s">
        <v>130</v>
      </c>
      <c r="D159" s="292"/>
      <c r="E159" s="243"/>
      <c r="F159" s="243"/>
      <c r="G159" s="243"/>
      <c r="H159" s="243"/>
      <c r="I159" s="325"/>
      <c r="J159" s="325"/>
      <c r="K159" s="294"/>
      <c r="L159" s="325"/>
      <c r="M159" s="325"/>
      <c r="N159" s="325"/>
      <c r="O159" s="325"/>
      <c r="P159" s="243"/>
      <c r="Q159" s="243"/>
      <c r="R159" s="243"/>
      <c r="S159" s="243"/>
      <c r="T159" s="243"/>
      <c r="U159" s="243"/>
    </row>
    <row r="160" spans="3:21" ht="13">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ht="13">
      <c r="C162" s="575"/>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24" priority="1" stopIfTrue="1" operator="equal">
      <formula>$I$10</formula>
    </cfRule>
  </conditionalFormatting>
  <conditionalFormatting sqref="C100:C155">
    <cfRule type="cellIs" dxfId="23"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U163"/>
  <sheetViews>
    <sheetView view="pageBreakPreview" zoomScale="85" zoomScaleNormal="100"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15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1424987.0679285447</v>
      </c>
      <c r="P5" s="243"/>
      <c r="R5" s="243"/>
      <c r="S5" s="243"/>
      <c r="T5" s="243"/>
      <c r="U5" s="243"/>
    </row>
    <row r="6" spans="1:21" ht="15.5">
      <c r="C6" s="235"/>
      <c r="D6" s="292"/>
      <c r="E6" s="243"/>
      <c r="F6" s="243"/>
      <c r="G6" s="243"/>
      <c r="H6" s="449"/>
      <c r="I6" s="449"/>
      <c r="J6" s="450"/>
      <c r="K6" s="451" t="s">
        <v>243</v>
      </c>
      <c r="L6" s="452"/>
      <c r="M6" s="278"/>
      <c r="N6" s="453">
        <f>VLOOKUP(I10,C17:I73,6)</f>
        <v>1424987.0679285447</v>
      </c>
      <c r="O6" s="243"/>
      <c r="P6" s="243"/>
      <c r="R6" s="243"/>
      <c r="S6" s="243"/>
      <c r="T6" s="243"/>
      <c r="U6" s="243"/>
    </row>
    <row r="7" spans="1:21" ht="13.5" thickBot="1">
      <c r="C7" s="454" t="s">
        <v>46</v>
      </c>
      <c r="D7" s="455" t="s">
        <v>244</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291</v>
      </c>
      <c r="E9" s="647" t="s">
        <v>298</v>
      </c>
      <c r="F9" s="465"/>
      <c r="G9" s="465"/>
      <c r="H9" s="465"/>
      <c r="I9" s="466"/>
      <c r="J9" s="467"/>
      <c r="O9" s="468"/>
      <c r="P9" s="278"/>
      <c r="R9" s="243"/>
      <c r="S9" s="243"/>
      <c r="T9" s="243"/>
      <c r="U9" s="243"/>
    </row>
    <row r="10" spans="1:21" ht="13">
      <c r="C10" s="469" t="s">
        <v>49</v>
      </c>
      <c r="D10" s="470">
        <v>11056565</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2017</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6</v>
      </c>
      <c r="E12" s="472" t="s">
        <v>55</v>
      </c>
      <c r="F12" s="408"/>
      <c r="G12" s="220"/>
      <c r="H12" s="220"/>
      <c r="I12" s="476">
        <f>OKT.WS.F.BPU.ATRR.Projected!$F$79</f>
        <v>0.10818506718567715</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356663.38709677418</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73" si="0">IF(D17=F16,"","IU")</f>
        <v>IU</v>
      </c>
      <c r="C17" s="580">
        <f>IF(D11= "","-",D11)</f>
        <v>2017</v>
      </c>
      <c r="D17" s="612">
        <v>0</v>
      </c>
      <c r="E17" s="620">
        <v>104355.95770200831</v>
      </c>
      <c r="F17" s="612">
        <v>10510644.042297991</v>
      </c>
      <c r="G17" s="620">
        <v>682125.91542676068</v>
      </c>
      <c r="H17" s="617">
        <v>682125.91542676068</v>
      </c>
      <c r="I17" s="500">
        <f>H17-G17</f>
        <v>0</v>
      </c>
      <c r="J17" s="500"/>
      <c r="K17" s="506">
        <f>+G17</f>
        <v>682125.91542676068</v>
      </c>
      <c r="L17" s="504">
        <f>IF(K17&lt;&gt;0,+G17-K17,0)</f>
        <v>0</v>
      </c>
      <c r="M17" s="506">
        <f>+H17</f>
        <v>682125.91542676068</v>
      </c>
      <c r="N17" s="586">
        <f t="shared" ref="N17:N73" si="1">IF(M17&lt;&gt;0,+H17-M17,0)</f>
        <v>0</v>
      </c>
      <c r="O17" s="504">
        <f t="shared" ref="O17:O73" si="2">+N17-L17</f>
        <v>0</v>
      </c>
      <c r="P17" s="278"/>
      <c r="R17" s="243"/>
      <c r="S17" s="243"/>
      <c r="T17" s="243"/>
      <c r="U17" s="243"/>
    </row>
    <row r="18" spans="2:21" ht="12.5">
      <c r="B18" s="145" t="str">
        <f t="shared" si="0"/>
        <v/>
      </c>
      <c r="C18" s="495">
        <f>IF(D11="","-",+C17+1)</f>
        <v>2018</v>
      </c>
      <c r="D18" s="614">
        <v>10510644.042297991</v>
      </c>
      <c r="E18" s="613">
        <v>260328.43725382842</v>
      </c>
      <c r="F18" s="614">
        <v>10250315.605044162</v>
      </c>
      <c r="G18" s="613">
        <v>1315230.681782007</v>
      </c>
      <c r="H18" s="617">
        <v>1315230.681782007</v>
      </c>
      <c r="I18" s="500">
        <f>H18-G18</f>
        <v>0</v>
      </c>
      <c r="J18" s="500"/>
      <c r="K18" s="592">
        <f>+G18</f>
        <v>1315230.681782007</v>
      </c>
      <c r="L18" s="596">
        <f>IF(K18&lt;&gt;0,+G18-K18,0)</f>
        <v>0</v>
      </c>
      <c r="M18" s="592">
        <f>+H18</f>
        <v>1315230.681782007</v>
      </c>
      <c r="N18" s="504">
        <f>IF(M18&lt;&gt;0,+H18-M18,0)</f>
        <v>0</v>
      </c>
      <c r="O18" s="504">
        <f>+N18-L18</f>
        <v>0</v>
      </c>
      <c r="P18" s="278"/>
      <c r="R18" s="243"/>
      <c r="S18" s="243"/>
      <c r="T18" s="243"/>
      <c r="U18" s="243"/>
    </row>
    <row r="19" spans="2:21" ht="12.5">
      <c r="B19" s="145" t="str">
        <f t="shared" si="0"/>
        <v/>
      </c>
      <c r="C19" s="495">
        <f>IF(D11="","-",+C18+1)</f>
        <v>2019</v>
      </c>
      <c r="D19" s="614">
        <v>10250315.605044162</v>
      </c>
      <c r="E19" s="613">
        <v>314828.66007880151</v>
      </c>
      <c r="F19" s="614">
        <v>9935486.9449653607</v>
      </c>
      <c r="G19" s="613">
        <v>1363844.0888504181</v>
      </c>
      <c r="H19" s="617">
        <v>1363844.0888504181</v>
      </c>
      <c r="I19" s="500">
        <f>H19-G19</f>
        <v>0</v>
      </c>
      <c r="J19" s="500"/>
      <c r="K19" s="592">
        <f>+G19</f>
        <v>1363844.0888504181</v>
      </c>
      <c r="L19" s="596">
        <f>IF(K19&lt;&gt;0,+G19-K19,0)</f>
        <v>0</v>
      </c>
      <c r="M19" s="592">
        <f>+H19</f>
        <v>1363844.0888504181</v>
      </c>
      <c r="N19" s="504">
        <f>IF(M19&lt;&gt;0,+H19-M19,0)</f>
        <v>0</v>
      </c>
      <c r="O19" s="504">
        <f>+N19-L19</f>
        <v>0</v>
      </c>
      <c r="P19" s="278"/>
      <c r="R19" s="243"/>
      <c r="S19" s="243"/>
      <c r="T19" s="243"/>
      <c r="U19" s="243"/>
    </row>
    <row r="20" spans="2:21" ht="12.5">
      <c r="B20" s="145" t="str">
        <f t="shared" si="0"/>
        <v>IU</v>
      </c>
      <c r="C20" s="495">
        <f>IF(D11="","-",+C19+1)</f>
        <v>2020</v>
      </c>
      <c r="D20" s="614">
        <v>10431552.167790335</v>
      </c>
      <c r="E20" s="613">
        <v>323755.90908112278</v>
      </c>
      <c r="F20" s="614">
        <v>10107796.258709213</v>
      </c>
      <c r="G20" s="613">
        <v>1401378.1525541013</v>
      </c>
      <c r="H20" s="617">
        <v>1401378.1525541013</v>
      </c>
      <c r="I20" s="500">
        <f>H20-G20</f>
        <v>0</v>
      </c>
      <c r="J20" s="500"/>
      <c r="K20" s="592">
        <f>+G20</f>
        <v>1401378.1525541013</v>
      </c>
      <c r="L20" s="596">
        <f>IF(K20&lt;&gt;0,+G20-K20,0)</f>
        <v>0</v>
      </c>
      <c r="M20" s="592">
        <f>+H20</f>
        <v>1401378.1525541013</v>
      </c>
      <c r="N20" s="504">
        <f t="shared" si="1"/>
        <v>0</v>
      </c>
      <c r="O20" s="504">
        <f t="shared" si="2"/>
        <v>0</v>
      </c>
      <c r="P20" s="278"/>
      <c r="R20" s="243"/>
      <c r="S20" s="243"/>
      <c r="T20" s="243"/>
      <c r="U20" s="243"/>
    </row>
    <row r="21" spans="2:21" ht="12.5">
      <c r="B21" s="145" t="str">
        <f t="shared" si="0"/>
        <v>IU</v>
      </c>
      <c r="C21" s="495">
        <f>IF(D12="","-",+C20+1)</f>
        <v>2021</v>
      </c>
      <c r="D21" s="508">
        <f>IF(F20+SUM(E$17:E20)=D$10,F20,D$10-SUM(E$17:E20))</f>
        <v>10053296.035884239</v>
      </c>
      <c r="E21" s="509">
        <f t="shared" ref="E21:E40" si="3">IF(+I$14&lt;F20,I$14,D21)</f>
        <v>356663.38709677418</v>
      </c>
      <c r="F21" s="510">
        <f t="shared" ref="F21:F73" si="4">+D21-E21</f>
        <v>9696632.6487874649</v>
      </c>
      <c r="G21" s="511">
        <f>(D21+F21)/2*I$12+E21</f>
        <v>1424987.0679285447</v>
      </c>
      <c r="H21" s="477">
        <f t="shared" ref="H21:H73" si="5">+(D21+F21)/2*I$13+E21</f>
        <v>1424987.0679285447</v>
      </c>
      <c r="I21" s="500">
        <f t="shared" ref="I21:I73" si="6">H21-G21</f>
        <v>0</v>
      </c>
      <c r="J21" s="500"/>
      <c r="K21" s="512"/>
      <c r="L21" s="504">
        <f t="shared" ref="L21:L73" si="7">IF(K21&lt;&gt;0,+G21-K21,0)</f>
        <v>0</v>
      </c>
      <c r="M21" s="512"/>
      <c r="N21" s="504">
        <f t="shared" si="1"/>
        <v>0</v>
      </c>
      <c r="O21" s="504">
        <f t="shared" si="2"/>
        <v>0</v>
      </c>
      <c r="P21" s="278"/>
      <c r="R21" s="243"/>
      <c r="S21" s="243"/>
      <c r="T21" s="243"/>
      <c r="U21" s="243"/>
    </row>
    <row r="22" spans="2:21" ht="12.5">
      <c r="B22" s="145" t="str">
        <f t="shared" si="0"/>
        <v/>
      </c>
      <c r="C22" s="495">
        <f>IF(D11="","-",+C21+1)</f>
        <v>2022</v>
      </c>
      <c r="D22" s="508">
        <f>IF(F21+SUM(E$17:E21)=D$10,F21,D$10-SUM(E$17:E21))</f>
        <v>9696632.6487874649</v>
      </c>
      <c r="E22" s="509">
        <f t="shared" si="3"/>
        <v>356663.38709677418</v>
      </c>
      <c r="F22" s="510">
        <f t="shared" si="4"/>
        <v>9339969.2616906911</v>
      </c>
      <c r="G22" s="511">
        <f t="shared" ref="G22:G73" si="8">(D22+F22)/2*I$12+E22</f>
        <v>1386401.4154328089</v>
      </c>
      <c r="H22" s="477">
        <f t="shared" si="5"/>
        <v>1386401.4154328089</v>
      </c>
      <c r="I22" s="500">
        <f t="shared" si="6"/>
        <v>0</v>
      </c>
      <c r="J22" s="500"/>
      <c r="K22" s="512"/>
      <c r="L22" s="504">
        <f t="shared" si="7"/>
        <v>0</v>
      </c>
      <c r="M22" s="512"/>
      <c r="N22" s="504">
        <f t="shared" si="1"/>
        <v>0</v>
      </c>
      <c r="O22" s="504">
        <f t="shared" si="2"/>
        <v>0</v>
      </c>
      <c r="P22" s="278"/>
      <c r="R22" s="243"/>
      <c r="S22" s="243"/>
      <c r="T22" s="243"/>
      <c r="U22" s="243"/>
    </row>
    <row r="23" spans="2:21" ht="12.5">
      <c r="B23" s="145" t="str">
        <f t="shared" si="0"/>
        <v/>
      </c>
      <c r="C23" s="495">
        <f>IF(D11="","-",+C22+1)</f>
        <v>2023</v>
      </c>
      <c r="D23" s="508">
        <f>IF(F22+SUM(E$17:E22)=D$10,F22,D$10-SUM(E$17:E22))</f>
        <v>9339969.2616906911</v>
      </c>
      <c r="E23" s="509">
        <f t="shared" si="3"/>
        <v>356663.38709677418</v>
      </c>
      <c r="F23" s="510">
        <f t="shared" si="4"/>
        <v>8983305.8745939173</v>
      </c>
      <c r="G23" s="511">
        <f t="shared" si="8"/>
        <v>1347815.7629370731</v>
      </c>
      <c r="H23" s="477">
        <f t="shared" si="5"/>
        <v>1347815.7629370731</v>
      </c>
      <c r="I23" s="500">
        <f t="shared" si="6"/>
        <v>0</v>
      </c>
      <c r="J23" s="500"/>
      <c r="K23" s="512"/>
      <c r="L23" s="504">
        <f t="shared" si="7"/>
        <v>0</v>
      </c>
      <c r="M23" s="512"/>
      <c r="N23" s="504">
        <f t="shared" si="1"/>
        <v>0</v>
      </c>
      <c r="O23" s="504">
        <f t="shared" si="2"/>
        <v>0</v>
      </c>
      <c r="P23" s="278"/>
      <c r="R23" s="243"/>
      <c r="S23" s="243"/>
      <c r="T23" s="243"/>
      <c r="U23" s="243"/>
    </row>
    <row r="24" spans="2:21" ht="12.5">
      <c r="B24" s="145" t="str">
        <f t="shared" si="0"/>
        <v/>
      </c>
      <c r="C24" s="495">
        <f>IF(D11="","-",+C23+1)</f>
        <v>2024</v>
      </c>
      <c r="D24" s="508">
        <f>IF(F23+SUM(E$17:E23)=D$10,F23,D$10-SUM(E$17:E23))</f>
        <v>8983305.8745939173</v>
      </c>
      <c r="E24" s="509">
        <f t="shared" si="3"/>
        <v>356663.38709677418</v>
      </c>
      <c r="F24" s="510">
        <f t="shared" si="4"/>
        <v>8626642.4874971434</v>
      </c>
      <c r="G24" s="511">
        <f t="shared" si="8"/>
        <v>1309230.1104413376</v>
      </c>
      <c r="H24" s="477">
        <f t="shared" si="5"/>
        <v>1309230.1104413376</v>
      </c>
      <c r="I24" s="500">
        <f t="shared" si="6"/>
        <v>0</v>
      </c>
      <c r="J24" s="500"/>
      <c r="K24" s="512"/>
      <c r="L24" s="504">
        <f t="shared" si="7"/>
        <v>0</v>
      </c>
      <c r="M24" s="512"/>
      <c r="N24" s="504">
        <f t="shared" si="1"/>
        <v>0</v>
      </c>
      <c r="O24" s="504">
        <f t="shared" si="2"/>
        <v>0</v>
      </c>
      <c r="P24" s="278"/>
      <c r="R24" s="243"/>
      <c r="S24" s="243"/>
      <c r="T24" s="243"/>
      <c r="U24" s="243"/>
    </row>
    <row r="25" spans="2:21" ht="12.5">
      <c r="B25" s="145" t="str">
        <f t="shared" si="0"/>
        <v/>
      </c>
      <c r="C25" s="495">
        <f>IF(D11="","-",+C24+1)</f>
        <v>2025</v>
      </c>
      <c r="D25" s="508">
        <f>IF(F24+SUM(E$17:E24)=D$10,F24,D$10-SUM(E$17:E24))</f>
        <v>8626642.4874971434</v>
      </c>
      <c r="E25" s="509">
        <f t="shared" si="3"/>
        <v>356663.38709677418</v>
      </c>
      <c r="F25" s="510">
        <f t="shared" si="4"/>
        <v>8269979.1004003696</v>
      </c>
      <c r="G25" s="511">
        <f t="shared" si="8"/>
        <v>1270644.457945602</v>
      </c>
      <c r="H25" s="477">
        <f t="shared" si="5"/>
        <v>1270644.457945602</v>
      </c>
      <c r="I25" s="500">
        <f t="shared" si="6"/>
        <v>0</v>
      </c>
      <c r="J25" s="500"/>
      <c r="K25" s="512"/>
      <c r="L25" s="504">
        <f t="shared" si="7"/>
        <v>0</v>
      </c>
      <c r="M25" s="512"/>
      <c r="N25" s="504">
        <f t="shared" si="1"/>
        <v>0</v>
      </c>
      <c r="O25" s="504">
        <f t="shared" si="2"/>
        <v>0</v>
      </c>
      <c r="P25" s="278"/>
      <c r="R25" s="243"/>
      <c r="S25" s="243"/>
      <c r="T25" s="243"/>
      <c r="U25" s="243"/>
    </row>
    <row r="26" spans="2:21" ht="12.5">
      <c r="B26" s="145" t="str">
        <f t="shared" si="0"/>
        <v/>
      </c>
      <c r="C26" s="495">
        <f>IF(D11="","-",+C25+1)</f>
        <v>2026</v>
      </c>
      <c r="D26" s="508">
        <f>IF(F25+SUM(E$17:E25)=D$10,F25,D$10-SUM(E$17:E25))</f>
        <v>8269979.1004003696</v>
      </c>
      <c r="E26" s="509">
        <f t="shared" si="3"/>
        <v>356663.38709677418</v>
      </c>
      <c r="F26" s="510">
        <f t="shared" si="4"/>
        <v>7913315.7133035958</v>
      </c>
      <c r="G26" s="511">
        <f t="shared" si="8"/>
        <v>1232058.8054498662</v>
      </c>
      <c r="H26" s="477">
        <f t="shared" si="5"/>
        <v>1232058.8054498662</v>
      </c>
      <c r="I26" s="500">
        <f t="shared" si="6"/>
        <v>0</v>
      </c>
      <c r="J26" s="500"/>
      <c r="K26" s="512"/>
      <c r="L26" s="504">
        <f t="shared" si="7"/>
        <v>0</v>
      </c>
      <c r="M26" s="512"/>
      <c r="N26" s="504">
        <f t="shared" si="1"/>
        <v>0</v>
      </c>
      <c r="O26" s="504">
        <f t="shared" si="2"/>
        <v>0</v>
      </c>
      <c r="P26" s="278"/>
      <c r="R26" s="243"/>
      <c r="S26" s="243"/>
      <c r="T26" s="243"/>
      <c r="U26" s="243"/>
    </row>
    <row r="27" spans="2:21" ht="12.5">
      <c r="B27" s="145" t="str">
        <f t="shared" si="0"/>
        <v/>
      </c>
      <c r="C27" s="495">
        <f>IF(D11="","-",+C26+1)</f>
        <v>2027</v>
      </c>
      <c r="D27" s="508">
        <f>IF(F26+SUM(E$17:E26)=D$10,F26,D$10-SUM(E$17:E26))</f>
        <v>7913315.7133035958</v>
      </c>
      <c r="E27" s="509">
        <f t="shared" si="3"/>
        <v>356663.38709677418</v>
      </c>
      <c r="F27" s="510">
        <f t="shared" si="4"/>
        <v>7556652.3262068219</v>
      </c>
      <c r="G27" s="511">
        <f t="shared" si="8"/>
        <v>1193473.1529541304</v>
      </c>
      <c r="H27" s="477">
        <f t="shared" si="5"/>
        <v>1193473.1529541304</v>
      </c>
      <c r="I27" s="500">
        <f t="shared" si="6"/>
        <v>0</v>
      </c>
      <c r="J27" s="500"/>
      <c r="K27" s="512"/>
      <c r="L27" s="504">
        <f t="shared" si="7"/>
        <v>0</v>
      </c>
      <c r="M27" s="512"/>
      <c r="N27" s="504">
        <f t="shared" si="1"/>
        <v>0</v>
      </c>
      <c r="O27" s="504">
        <f t="shared" si="2"/>
        <v>0</v>
      </c>
      <c r="P27" s="278"/>
      <c r="R27" s="243"/>
      <c r="S27" s="243"/>
      <c r="T27" s="243"/>
      <c r="U27" s="243"/>
    </row>
    <row r="28" spans="2:21" ht="12.5">
      <c r="B28" s="145" t="str">
        <f t="shared" si="0"/>
        <v/>
      </c>
      <c r="C28" s="495">
        <f>IF(D11="","-",+C27+1)</f>
        <v>2028</v>
      </c>
      <c r="D28" s="508">
        <f>IF(F27+SUM(E$17:E27)=D$10,F27,D$10-SUM(E$17:E27))</f>
        <v>7556652.3262068219</v>
      </c>
      <c r="E28" s="509">
        <f t="shared" si="3"/>
        <v>356663.38709677418</v>
      </c>
      <c r="F28" s="510">
        <f t="shared" si="4"/>
        <v>7199988.9391100481</v>
      </c>
      <c r="G28" s="511">
        <f t="shared" si="8"/>
        <v>1154887.5004583949</v>
      </c>
      <c r="H28" s="477">
        <f t="shared" si="5"/>
        <v>1154887.5004583949</v>
      </c>
      <c r="I28" s="500">
        <f t="shared" si="6"/>
        <v>0</v>
      </c>
      <c r="J28" s="500"/>
      <c r="K28" s="512"/>
      <c r="L28" s="504">
        <f t="shared" si="7"/>
        <v>0</v>
      </c>
      <c r="M28" s="512"/>
      <c r="N28" s="504">
        <f t="shared" si="1"/>
        <v>0</v>
      </c>
      <c r="O28" s="504">
        <f t="shared" si="2"/>
        <v>0</v>
      </c>
      <c r="P28" s="278"/>
      <c r="R28" s="243"/>
      <c r="S28" s="243"/>
      <c r="T28" s="243"/>
      <c r="U28" s="243"/>
    </row>
    <row r="29" spans="2:21" ht="12.5">
      <c r="B29" s="145" t="str">
        <f t="shared" si="0"/>
        <v/>
      </c>
      <c r="C29" s="495">
        <f>IF(D11="","-",+C28+1)</f>
        <v>2029</v>
      </c>
      <c r="D29" s="508">
        <f>IF(F28+SUM(E$17:E28)=D$10,F28,D$10-SUM(E$17:E28))</f>
        <v>7199988.9391100481</v>
      </c>
      <c r="E29" s="509">
        <f t="shared" si="3"/>
        <v>356663.38709677418</v>
      </c>
      <c r="F29" s="510">
        <f t="shared" si="4"/>
        <v>6843325.5520132743</v>
      </c>
      <c r="G29" s="511">
        <f t="shared" si="8"/>
        <v>1116301.8479626593</v>
      </c>
      <c r="H29" s="477">
        <f t="shared" si="5"/>
        <v>1116301.8479626593</v>
      </c>
      <c r="I29" s="500">
        <f t="shared" si="6"/>
        <v>0</v>
      </c>
      <c r="J29" s="500"/>
      <c r="K29" s="512"/>
      <c r="L29" s="504">
        <f t="shared" si="7"/>
        <v>0</v>
      </c>
      <c r="M29" s="512"/>
      <c r="N29" s="504">
        <f t="shared" si="1"/>
        <v>0</v>
      </c>
      <c r="O29" s="504">
        <f t="shared" si="2"/>
        <v>0</v>
      </c>
      <c r="P29" s="278"/>
      <c r="R29" s="243"/>
      <c r="S29" s="243"/>
      <c r="T29" s="243"/>
      <c r="U29" s="243"/>
    </row>
    <row r="30" spans="2:21" ht="12.5">
      <c r="B30" s="145" t="str">
        <f t="shared" si="0"/>
        <v/>
      </c>
      <c r="C30" s="495">
        <f>IF(D11="","-",+C29+1)</f>
        <v>2030</v>
      </c>
      <c r="D30" s="508">
        <f>IF(F29+SUM(E$17:E29)=D$10,F29,D$10-SUM(E$17:E29))</f>
        <v>6843325.5520132743</v>
      </c>
      <c r="E30" s="509">
        <f t="shared" si="3"/>
        <v>356663.38709677418</v>
      </c>
      <c r="F30" s="510">
        <f t="shared" si="4"/>
        <v>6486662.1649165004</v>
      </c>
      <c r="G30" s="511">
        <f t="shared" si="8"/>
        <v>1077716.1954669235</v>
      </c>
      <c r="H30" s="477">
        <f t="shared" si="5"/>
        <v>1077716.1954669235</v>
      </c>
      <c r="I30" s="500">
        <f t="shared" si="6"/>
        <v>0</v>
      </c>
      <c r="J30" s="500"/>
      <c r="K30" s="512"/>
      <c r="L30" s="504">
        <f t="shared" si="7"/>
        <v>0</v>
      </c>
      <c r="M30" s="512"/>
      <c r="N30" s="504">
        <f t="shared" si="1"/>
        <v>0</v>
      </c>
      <c r="O30" s="504">
        <f t="shared" si="2"/>
        <v>0</v>
      </c>
      <c r="P30" s="278"/>
      <c r="R30" s="243"/>
      <c r="S30" s="243"/>
      <c r="T30" s="243"/>
      <c r="U30" s="243"/>
    </row>
    <row r="31" spans="2:21" ht="12.5">
      <c r="B31" s="145" t="str">
        <f t="shared" si="0"/>
        <v/>
      </c>
      <c r="C31" s="495">
        <f>IF(D11="","-",+C30+1)</f>
        <v>2031</v>
      </c>
      <c r="D31" s="508">
        <f>IF(F30+SUM(E$17:E30)=D$10,F30,D$10-SUM(E$17:E30))</f>
        <v>6486662.1649165004</v>
      </c>
      <c r="E31" s="509">
        <f t="shared" si="3"/>
        <v>356663.38709677418</v>
      </c>
      <c r="F31" s="510">
        <f t="shared" si="4"/>
        <v>6129998.7778197266</v>
      </c>
      <c r="G31" s="511">
        <f t="shared" si="8"/>
        <v>1039130.542971188</v>
      </c>
      <c r="H31" s="477">
        <f t="shared" si="5"/>
        <v>1039130.542971188</v>
      </c>
      <c r="I31" s="500">
        <f t="shared" si="6"/>
        <v>0</v>
      </c>
      <c r="J31" s="500"/>
      <c r="K31" s="512"/>
      <c r="L31" s="504">
        <f t="shared" si="7"/>
        <v>0</v>
      </c>
      <c r="M31" s="512"/>
      <c r="N31" s="504">
        <f t="shared" si="1"/>
        <v>0</v>
      </c>
      <c r="O31" s="504">
        <f t="shared" si="2"/>
        <v>0</v>
      </c>
      <c r="P31" s="278"/>
      <c r="Q31" s="220"/>
      <c r="R31" s="278"/>
      <c r="S31" s="278"/>
      <c r="T31" s="278"/>
      <c r="U31" s="243"/>
    </row>
    <row r="32" spans="2:21" ht="12.5">
      <c r="B32" s="145" t="str">
        <f t="shared" si="0"/>
        <v/>
      </c>
      <c r="C32" s="495">
        <f>IF(D12="","-",+C31+1)</f>
        <v>2032</v>
      </c>
      <c r="D32" s="508">
        <f>IF(F31+SUM(E$17:E31)=D$10,F31,D$10-SUM(E$17:E31))</f>
        <v>6129998.7778197266</v>
      </c>
      <c r="E32" s="509">
        <f t="shared" si="3"/>
        <v>356663.38709677418</v>
      </c>
      <c r="F32" s="510">
        <f>+D32-E32</f>
        <v>5773335.3907229528</v>
      </c>
      <c r="G32" s="511">
        <f t="shared" si="8"/>
        <v>1000544.8904754523</v>
      </c>
      <c r="H32" s="477">
        <f t="shared" si="5"/>
        <v>1000544.8904754523</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2033</v>
      </c>
      <c r="D33" s="508">
        <f>IF(F32+SUM(E$17:E32)=D$10,F32,D$10-SUM(E$17:E32))</f>
        <v>5773335.3907229528</v>
      </c>
      <c r="E33" s="509">
        <f t="shared" si="3"/>
        <v>356663.38709677418</v>
      </c>
      <c r="F33" s="510">
        <f>+D33-E33</f>
        <v>5416672.003626179</v>
      </c>
      <c r="G33" s="511">
        <f t="shared" si="8"/>
        <v>961959.23797971662</v>
      </c>
      <c r="H33" s="477">
        <f t="shared" si="5"/>
        <v>961959.23797971662</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2034</v>
      </c>
      <c r="D34" s="514">
        <f>IF(F33+SUM(E$17:E33)=D$10,F33,D$10-SUM(E$17:E33))</f>
        <v>5416672.003626179</v>
      </c>
      <c r="E34" s="515">
        <f t="shared" si="3"/>
        <v>356663.38709677418</v>
      </c>
      <c r="F34" s="516">
        <f t="shared" si="4"/>
        <v>5060008.6165294051</v>
      </c>
      <c r="G34" s="511">
        <f t="shared" si="8"/>
        <v>923373.58548398095</v>
      </c>
      <c r="H34" s="477">
        <f t="shared" si="5"/>
        <v>923373.58548398095</v>
      </c>
      <c r="I34" s="519">
        <f t="shared" si="6"/>
        <v>0</v>
      </c>
      <c r="J34" s="519"/>
      <c r="K34" s="520"/>
      <c r="L34" s="521">
        <f t="shared" si="7"/>
        <v>0</v>
      </c>
      <c r="M34" s="520"/>
      <c r="N34" s="521">
        <f t="shared" si="1"/>
        <v>0</v>
      </c>
      <c r="O34" s="521">
        <f t="shared" si="2"/>
        <v>0</v>
      </c>
      <c r="P34" s="522"/>
      <c r="Q34" s="216"/>
      <c r="R34" s="522"/>
      <c r="S34" s="522"/>
      <c r="T34" s="522"/>
      <c r="U34" s="243"/>
    </row>
    <row r="35" spans="2:21" ht="12.5">
      <c r="B35" s="145" t="str">
        <f t="shared" si="0"/>
        <v/>
      </c>
      <c r="C35" s="495">
        <f>IF(D11="","-",+C34+1)</f>
        <v>2035</v>
      </c>
      <c r="D35" s="508">
        <f>IF(F34+SUM(E$17:E34)=D$10,F34,D$10-SUM(E$17:E34))</f>
        <v>5060008.6165294051</v>
      </c>
      <c r="E35" s="509">
        <f t="shared" si="3"/>
        <v>356663.38709677418</v>
      </c>
      <c r="F35" s="510">
        <f t="shared" si="4"/>
        <v>4703345.2294326313</v>
      </c>
      <c r="G35" s="511">
        <f t="shared" si="8"/>
        <v>884787.93298824539</v>
      </c>
      <c r="H35" s="477">
        <f t="shared" si="5"/>
        <v>884787.93298824539</v>
      </c>
      <c r="I35" s="500">
        <f t="shared" si="6"/>
        <v>0</v>
      </c>
      <c r="J35" s="500"/>
      <c r="K35" s="512"/>
      <c r="L35" s="504">
        <f t="shared" si="7"/>
        <v>0</v>
      </c>
      <c r="M35" s="512"/>
      <c r="N35" s="504">
        <f t="shared" si="1"/>
        <v>0</v>
      </c>
      <c r="O35" s="504">
        <f t="shared" si="2"/>
        <v>0</v>
      </c>
      <c r="P35" s="278"/>
      <c r="R35" s="243"/>
      <c r="S35" s="243"/>
      <c r="T35" s="243"/>
      <c r="U35" s="243"/>
    </row>
    <row r="36" spans="2:21" ht="12.5">
      <c r="B36" s="145" t="str">
        <f t="shared" si="0"/>
        <v/>
      </c>
      <c r="C36" s="495">
        <f>IF(D11="","-",+C35+1)</f>
        <v>2036</v>
      </c>
      <c r="D36" s="508">
        <f>IF(F35+SUM(E$17:E35)=D$10,F35,D$10-SUM(E$17:E35))</f>
        <v>4703345.2294326313</v>
      </c>
      <c r="E36" s="509">
        <f t="shared" si="3"/>
        <v>356663.38709677418</v>
      </c>
      <c r="F36" s="510">
        <f t="shared" si="4"/>
        <v>4346681.8423358575</v>
      </c>
      <c r="G36" s="511">
        <f t="shared" si="8"/>
        <v>846202.28049250972</v>
      </c>
      <c r="H36" s="477">
        <f t="shared" si="5"/>
        <v>846202.28049250972</v>
      </c>
      <c r="I36" s="500">
        <f t="shared" si="6"/>
        <v>0</v>
      </c>
      <c r="J36" s="500"/>
      <c r="K36" s="512"/>
      <c r="L36" s="504">
        <f t="shared" si="7"/>
        <v>0</v>
      </c>
      <c r="M36" s="512"/>
      <c r="N36" s="504">
        <f t="shared" si="1"/>
        <v>0</v>
      </c>
      <c r="O36" s="504">
        <f t="shared" si="2"/>
        <v>0</v>
      </c>
      <c r="P36" s="278"/>
      <c r="R36" s="243"/>
      <c r="S36" s="243"/>
      <c r="T36" s="243"/>
      <c r="U36" s="243"/>
    </row>
    <row r="37" spans="2:21" ht="12.5">
      <c r="B37" s="145" t="str">
        <f t="shared" si="0"/>
        <v/>
      </c>
      <c r="C37" s="495">
        <f>IF(D11="","-",+C36+1)</f>
        <v>2037</v>
      </c>
      <c r="D37" s="508">
        <f>IF(F36+SUM(E$17:E36)=D$10,F36,D$10-SUM(E$17:E36))</f>
        <v>4346681.8423358575</v>
      </c>
      <c r="E37" s="509">
        <f t="shared" si="3"/>
        <v>356663.38709677418</v>
      </c>
      <c r="F37" s="510">
        <f t="shared" si="4"/>
        <v>3990018.4552390832</v>
      </c>
      <c r="G37" s="511">
        <f t="shared" si="8"/>
        <v>807616.62799677404</v>
      </c>
      <c r="H37" s="477">
        <f t="shared" si="5"/>
        <v>807616.62799677404</v>
      </c>
      <c r="I37" s="500">
        <f t="shared" si="6"/>
        <v>0</v>
      </c>
      <c r="J37" s="500"/>
      <c r="K37" s="512"/>
      <c r="L37" s="504">
        <f t="shared" si="7"/>
        <v>0</v>
      </c>
      <c r="M37" s="512"/>
      <c r="N37" s="504">
        <f t="shared" si="1"/>
        <v>0</v>
      </c>
      <c r="O37" s="504">
        <f t="shared" si="2"/>
        <v>0</v>
      </c>
      <c r="P37" s="278"/>
      <c r="R37" s="243"/>
      <c r="S37" s="243"/>
      <c r="T37" s="243"/>
      <c r="U37" s="243"/>
    </row>
    <row r="38" spans="2:21" ht="12.5">
      <c r="B38" s="145" t="str">
        <f t="shared" si="0"/>
        <v/>
      </c>
      <c r="C38" s="495">
        <f>IF(D11="","-",+C37+1)</f>
        <v>2038</v>
      </c>
      <c r="D38" s="508">
        <f>IF(F37+SUM(E$17:E37)=D$10,F37,D$10-SUM(E$17:E37))</f>
        <v>3990018.4552390832</v>
      </c>
      <c r="E38" s="509">
        <f t="shared" si="3"/>
        <v>356663.38709677418</v>
      </c>
      <c r="F38" s="510">
        <f t="shared" si="4"/>
        <v>3633355.0681423089</v>
      </c>
      <c r="G38" s="511">
        <f t="shared" si="8"/>
        <v>769030.97550103825</v>
      </c>
      <c r="H38" s="477">
        <f t="shared" si="5"/>
        <v>769030.97550103825</v>
      </c>
      <c r="I38" s="500">
        <f t="shared" si="6"/>
        <v>0</v>
      </c>
      <c r="J38" s="500"/>
      <c r="K38" s="512"/>
      <c r="L38" s="504">
        <f t="shared" si="7"/>
        <v>0</v>
      </c>
      <c r="M38" s="512"/>
      <c r="N38" s="504">
        <f t="shared" si="1"/>
        <v>0</v>
      </c>
      <c r="O38" s="504">
        <f t="shared" si="2"/>
        <v>0</v>
      </c>
      <c r="P38" s="278"/>
      <c r="R38" s="243"/>
      <c r="S38" s="243"/>
      <c r="T38" s="243"/>
      <c r="U38" s="243"/>
    </row>
    <row r="39" spans="2:21" ht="12.5">
      <c r="B39" s="145" t="str">
        <f t="shared" si="0"/>
        <v/>
      </c>
      <c r="C39" s="495">
        <f>IF(D11="","-",+C38+1)</f>
        <v>2039</v>
      </c>
      <c r="D39" s="508">
        <f>IF(F38+SUM(E$17:E38)=D$10,F38,D$10-SUM(E$17:E38))</f>
        <v>3633355.0681423089</v>
      </c>
      <c r="E39" s="509">
        <f t="shared" si="3"/>
        <v>356663.38709677418</v>
      </c>
      <c r="F39" s="510">
        <f t="shared" si="4"/>
        <v>3276691.6810455346</v>
      </c>
      <c r="G39" s="511">
        <f t="shared" si="8"/>
        <v>730445.32300530258</v>
      </c>
      <c r="H39" s="477">
        <f t="shared" si="5"/>
        <v>730445.32300530258</v>
      </c>
      <c r="I39" s="500">
        <f t="shared" si="6"/>
        <v>0</v>
      </c>
      <c r="J39" s="500"/>
      <c r="K39" s="512"/>
      <c r="L39" s="504">
        <f t="shared" si="7"/>
        <v>0</v>
      </c>
      <c r="M39" s="512"/>
      <c r="N39" s="504">
        <f t="shared" si="1"/>
        <v>0</v>
      </c>
      <c r="O39" s="504">
        <f t="shared" si="2"/>
        <v>0</v>
      </c>
      <c r="P39" s="278"/>
      <c r="R39" s="243"/>
      <c r="S39" s="243"/>
      <c r="T39" s="243"/>
      <c r="U39" s="243"/>
    </row>
    <row r="40" spans="2:21" ht="12.5">
      <c r="B40" s="145" t="str">
        <f t="shared" si="0"/>
        <v/>
      </c>
      <c r="C40" s="495">
        <f>IF(D11="","-",+C39+1)</f>
        <v>2040</v>
      </c>
      <c r="D40" s="508">
        <f>IF(F39+SUM(E$17:E39)=D$10,F39,D$10-SUM(E$17:E39))</f>
        <v>3276691.6810455346</v>
      </c>
      <c r="E40" s="509">
        <f t="shared" si="3"/>
        <v>356663.38709677418</v>
      </c>
      <c r="F40" s="510">
        <f t="shared" si="4"/>
        <v>2920028.2939487603</v>
      </c>
      <c r="G40" s="511">
        <f t="shared" si="8"/>
        <v>691859.67050956679</v>
      </c>
      <c r="H40" s="477">
        <f t="shared" si="5"/>
        <v>691859.67050956679</v>
      </c>
      <c r="I40" s="500">
        <f t="shared" si="6"/>
        <v>0</v>
      </c>
      <c r="J40" s="500"/>
      <c r="K40" s="512"/>
      <c r="L40" s="504">
        <f t="shared" si="7"/>
        <v>0</v>
      </c>
      <c r="M40" s="512"/>
      <c r="N40" s="504">
        <f t="shared" si="1"/>
        <v>0</v>
      </c>
      <c r="O40" s="504">
        <f t="shared" si="2"/>
        <v>0</v>
      </c>
      <c r="P40" s="278"/>
      <c r="R40" s="243"/>
      <c r="S40" s="243"/>
      <c r="T40" s="243"/>
      <c r="U40" s="243"/>
    </row>
    <row r="41" spans="2:21" ht="12.5">
      <c r="B41" s="145" t="str">
        <f t="shared" si="0"/>
        <v/>
      </c>
      <c r="C41" s="495">
        <f>IF(D12="","-",+C40+1)</f>
        <v>2041</v>
      </c>
      <c r="D41" s="508">
        <f>IF(F40+SUM(E$17:E40)=D$10,F40,D$10-SUM(E$17:E40))</f>
        <v>2920028.2939487603</v>
      </c>
      <c r="E41" s="509">
        <f t="shared" ref="E41:E73" si="9">IF(+I$14&lt;F40,I$14,D41)</f>
        <v>356663.38709677418</v>
      </c>
      <c r="F41" s="510">
        <f>+D41-E41</f>
        <v>2563364.906851986</v>
      </c>
      <c r="G41" s="511">
        <f t="shared" si="8"/>
        <v>653274.01801383123</v>
      </c>
      <c r="H41" s="477">
        <f t="shared" si="5"/>
        <v>653274.01801383123</v>
      </c>
      <c r="I41" s="500">
        <f>H41-G41</f>
        <v>0</v>
      </c>
      <c r="J41" s="500"/>
      <c r="K41" s="512"/>
      <c r="L41" s="504">
        <f>IF(K41&lt;&gt;0,+G41-K41,0)</f>
        <v>0</v>
      </c>
      <c r="M41" s="512"/>
      <c r="N41" s="504">
        <f>IF(M41&lt;&gt;0,+H41-M41,0)</f>
        <v>0</v>
      </c>
      <c r="O41" s="504">
        <f>+N41-L41</f>
        <v>0</v>
      </c>
      <c r="P41" s="278"/>
      <c r="R41" s="243"/>
      <c r="S41" s="243"/>
      <c r="T41" s="243"/>
      <c r="U41" s="243"/>
    </row>
    <row r="42" spans="2:21" ht="12.5">
      <c r="B42" s="145" t="str">
        <f t="shared" si="0"/>
        <v/>
      </c>
      <c r="C42" s="495">
        <f>IF(D13="","-",+C41+1)</f>
        <v>2042</v>
      </c>
      <c r="D42" s="508">
        <f>IF(F41+SUM(E$17:E41)=D$10,F41,D$10-SUM(E$17:E41))</f>
        <v>2563364.906851986</v>
      </c>
      <c r="E42" s="509">
        <f t="shared" si="9"/>
        <v>356663.38709677418</v>
      </c>
      <c r="F42" s="510">
        <f>+D42-E42</f>
        <v>2206701.5197552117</v>
      </c>
      <c r="G42" s="511">
        <f t="shared" si="8"/>
        <v>614688.36551809544</v>
      </c>
      <c r="H42" s="477">
        <f t="shared" si="5"/>
        <v>614688.36551809544</v>
      </c>
      <c r="I42" s="500">
        <f>H42-G42</f>
        <v>0</v>
      </c>
      <c r="J42" s="500"/>
      <c r="K42" s="512"/>
      <c r="L42" s="504">
        <f>IF(K42&lt;&gt;0,+G42-K42,0)</f>
        <v>0</v>
      </c>
      <c r="M42" s="512"/>
      <c r="N42" s="504">
        <f>IF(M42&lt;&gt;0,+H42-M42,0)</f>
        <v>0</v>
      </c>
      <c r="O42" s="504">
        <f>+N42-L42</f>
        <v>0</v>
      </c>
      <c r="P42" s="278"/>
      <c r="R42" s="243"/>
      <c r="S42" s="243"/>
      <c r="T42" s="243"/>
      <c r="U42" s="243"/>
    </row>
    <row r="43" spans="2:21" ht="12.5">
      <c r="B43" s="145" t="str">
        <f t="shared" si="0"/>
        <v/>
      </c>
      <c r="C43" s="495">
        <f>IF(D14="","-",+C42+1)</f>
        <v>2043</v>
      </c>
      <c r="D43" s="508">
        <f>IF(F42+SUM(E$17:E42)=D$10,F42,D$10-SUM(E$17:E42))</f>
        <v>2206701.5197552117</v>
      </c>
      <c r="E43" s="509">
        <f t="shared" si="9"/>
        <v>356663.38709677418</v>
      </c>
      <c r="F43" s="510">
        <f>+D43-E43</f>
        <v>1850038.1326584374</v>
      </c>
      <c r="G43" s="511">
        <f t="shared" si="8"/>
        <v>576102.71302235976</v>
      </c>
      <c r="H43" s="477">
        <f t="shared" si="5"/>
        <v>576102.71302235976</v>
      </c>
      <c r="I43" s="500">
        <f>H43-G43</f>
        <v>0</v>
      </c>
      <c r="J43" s="500"/>
      <c r="K43" s="512"/>
      <c r="L43" s="504">
        <f>IF(K43&lt;&gt;0,+G43-K43,0)</f>
        <v>0</v>
      </c>
      <c r="M43" s="512"/>
      <c r="N43" s="504">
        <f>IF(M43&lt;&gt;0,+H43-M43,0)</f>
        <v>0</v>
      </c>
      <c r="O43" s="504">
        <f>+N43-L43</f>
        <v>0</v>
      </c>
      <c r="P43" s="278"/>
      <c r="R43" s="243"/>
      <c r="S43" s="243"/>
      <c r="T43" s="243"/>
      <c r="U43" s="243"/>
    </row>
    <row r="44" spans="2:21" ht="12.5">
      <c r="B44" s="145" t="str">
        <f t="shared" si="0"/>
        <v/>
      </c>
      <c r="C44" s="495">
        <f>IF(D11="","-",+C43+1)</f>
        <v>2044</v>
      </c>
      <c r="D44" s="508">
        <f>IF(F43+SUM(E$17:E43)=D$10,F43,D$10-SUM(E$17:E43))</f>
        <v>1850038.1326584374</v>
      </c>
      <c r="E44" s="509">
        <f t="shared" si="9"/>
        <v>356663.38709677418</v>
      </c>
      <c r="F44" s="510">
        <f t="shared" si="4"/>
        <v>1493374.7455616631</v>
      </c>
      <c r="G44" s="511">
        <f t="shared" si="8"/>
        <v>537517.06052662409</v>
      </c>
      <c r="H44" s="477">
        <f t="shared" si="5"/>
        <v>537517.06052662409</v>
      </c>
      <c r="I44" s="500">
        <f t="shared" si="6"/>
        <v>0</v>
      </c>
      <c r="J44" s="500"/>
      <c r="K44" s="512"/>
      <c r="L44" s="504">
        <f t="shared" si="7"/>
        <v>0</v>
      </c>
      <c r="M44" s="512"/>
      <c r="N44" s="504">
        <f t="shared" si="1"/>
        <v>0</v>
      </c>
      <c r="O44" s="504">
        <f t="shared" si="2"/>
        <v>0</v>
      </c>
      <c r="P44" s="278"/>
      <c r="R44" s="243"/>
      <c r="S44" s="243"/>
      <c r="T44" s="243"/>
      <c r="U44" s="243"/>
    </row>
    <row r="45" spans="2:21" ht="12.5">
      <c r="B45" s="145" t="str">
        <f t="shared" si="0"/>
        <v/>
      </c>
      <c r="C45" s="495">
        <f>IF(D11="","-",+C44+1)</f>
        <v>2045</v>
      </c>
      <c r="D45" s="508">
        <f>IF(F44+SUM(E$17:E44)=D$10,F44,D$10-SUM(E$17:E44))</f>
        <v>1493374.7455616631</v>
      </c>
      <c r="E45" s="509">
        <f t="shared" si="9"/>
        <v>356663.38709677418</v>
      </c>
      <c r="F45" s="510">
        <f t="shared" si="4"/>
        <v>1136711.3584648888</v>
      </c>
      <c r="G45" s="511">
        <f t="shared" si="8"/>
        <v>498931.40803088836</v>
      </c>
      <c r="H45" s="477">
        <f t="shared" si="5"/>
        <v>498931.40803088836</v>
      </c>
      <c r="I45" s="500">
        <f t="shared" si="6"/>
        <v>0</v>
      </c>
      <c r="J45" s="500"/>
      <c r="K45" s="512"/>
      <c r="L45" s="504">
        <f t="shared" si="7"/>
        <v>0</v>
      </c>
      <c r="M45" s="512"/>
      <c r="N45" s="504">
        <f t="shared" si="1"/>
        <v>0</v>
      </c>
      <c r="O45" s="504">
        <f t="shared" si="2"/>
        <v>0</v>
      </c>
      <c r="P45" s="278"/>
      <c r="R45" s="243"/>
      <c r="S45" s="243"/>
      <c r="T45" s="243"/>
      <c r="U45" s="243"/>
    </row>
    <row r="46" spans="2:21" ht="12.5">
      <c r="B46" s="145" t="str">
        <f t="shared" si="0"/>
        <v/>
      </c>
      <c r="C46" s="495">
        <f>IF(D11="","-",+C45+1)</f>
        <v>2046</v>
      </c>
      <c r="D46" s="508">
        <f>IF(F45+SUM(E$17:E45)=D$10,F45,D$10-SUM(E$17:E45))</f>
        <v>1136711.3584648888</v>
      </c>
      <c r="E46" s="509">
        <f t="shared" si="9"/>
        <v>356663.38709677418</v>
      </c>
      <c r="F46" s="510">
        <f t="shared" si="4"/>
        <v>780047.97136811458</v>
      </c>
      <c r="G46" s="511">
        <f t="shared" si="8"/>
        <v>460345.75553515268</v>
      </c>
      <c r="H46" s="477">
        <f t="shared" si="5"/>
        <v>460345.75553515268</v>
      </c>
      <c r="I46" s="500">
        <f t="shared" si="6"/>
        <v>0</v>
      </c>
      <c r="J46" s="500"/>
      <c r="K46" s="512"/>
      <c r="L46" s="504">
        <f t="shared" si="7"/>
        <v>0</v>
      </c>
      <c r="M46" s="512"/>
      <c r="N46" s="504">
        <f t="shared" si="1"/>
        <v>0</v>
      </c>
      <c r="O46" s="504">
        <f t="shared" si="2"/>
        <v>0</v>
      </c>
      <c r="P46" s="278"/>
      <c r="R46" s="243"/>
      <c r="S46" s="243"/>
      <c r="T46" s="243"/>
      <c r="U46" s="243"/>
    </row>
    <row r="47" spans="2:21" ht="12.5">
      <c r="B47" s="145" t="str">
        <f t="shared" si="0"/>
        <v/>
      </c>
      <c r="C47" s="495">
        <f>IF(D11="","-",+C46+1)</f>
        <v>2047</v>
      </c>
      <c r="D47" s="508">
        <f>IF(F46+SUM(E$17:E46)=D$10,F46,D$10-SUM(E$17:E46))</f>
        <v>780047.97136811458</v>
      </c>
      <c r="E47" s="509">
        <f t="shared" si="9"/>
        <v>356663.38709677418</v>
      </c>
      <c r="F47" s="510">
        <f t="shared" si="4"/>
        <v>423384.5842713404</v>
      </c>
      <c r="G47" s="511">
        <f t="shared" si="8"/>
        <v>421760.10303941701</v>
      </c>
      <c r="H47" s="477">
        <f t="shared" si="5"/>
        <v>421760.10303941701</v>
      </c>
      <c r="I47" s="500">
        <f t="shared" si="6"/>
        <v>0</v>
      </c>
      <c r="J47" s="500"/>
      <c r="K47" s="512"/>
      <c r="L47" s="504">
        <f t="shared" si="7"/>
        <v>0</v>
      </c>
      <c r="M47" s="512"/>
      <c r="N47" s="504">
        <f t="shared" si="1"/>
        <v>0</v>
      </c>
      <c r="O47" s="504">
        <f t="shared" si="2"/>
        <v>0</v>
      </c>
      <c r="P47" s="278"/>
      <c r="R47" s="243"/>
      <c r="S47" s="243"/>
      <c r="T47" s="243"/>
      <c r="U47" s="243"/>
    </row>
    <row r="48" spans="2:21" ht="12.5">
      <c r="B48" s="145" t="str">
        <f t="shared" si="0"/>
        <v/>
      </c>
      <c r="C48" s="495">
        <f>IF(D11="","-",+C47+1)</f>
        <v>2048</v>
      </c>
      <c r="D48" s="508">
        <f>IF(F47+SUM(E$17:E47)=D$10,F47,D$10-SUM(E$17:E47))</f>
        <v>423384.5842713404</v>
      </c>
      <c r="E48" s="509">
        <f t="shared" si="9"/>
        <v>356663.38709677418</v>
      </c>
      <c r="F48" s="510">
        <f t="shared" si="4"/>
        <v>66721.197174566216</v>
      </c>
      <c r="G48" s="511">
        <f t="shared" si="8"/>
        <v>383174.45054368128</v>
      </c>
      <c r="H48" s="477">
        <f t="shared" si="5"/>
        <v>383174.45054368128</v>
      </c>
      <c r="I48" s="500">
        <f t="shared" si="6"/>
        <v>0</v>
      </c>
      <c r="J48" s="500"/>
      <c r="K48" s="512"/>
      <c r="L48" s="504">
        <f t="shared" si="7"/>
        <v>0</v>
      </c>
      <c r="M48" s="512"/>
      <c r="N48" s="504">
        <f t="shared" si="1"/>
        <v>0</v>
      </c>
      <c r="O48" s="504">
        <f t="shared" si="2"/>
        <v>0</v>
      </c>
      <c r="P48" s="278"/>
      <c r="R48" s="243"/>
      <c r="S48" s="243"/>
      <c r="T48" s="243"/>
      <c r="U48" s="243"/>
    </row>
    <row r="49" spans="2:21" ht="12.5">
      <c r="B49" s="145" t="str">
        <f t="shared" si="0"/>
        <v/>
      </c>
      <c r="C49" s="495">
        <f>IF(D11="","-",+C48+1)</f>
        <v>2049</v>
      </c>
      <c r="D49" s="508">
        <f>IF(F48+SUM(E$17:E48)=D$10,F48,D$10-SUM(E$17:E48))</f>
        <v>66721.197174566216</v>
      </c>
      <c r="E49" s="509">
        <f t="shared" si="9"/>
        <v>66721.197174566216</v>
      </c>
      <c r="F49" s="510">
        <f t="shared" si="4"/>
        <v>0</v>
      </c>
      <c r="G49" s="511">
        <f t="shared" si="8"/>
        <v>70330.315774085844</v>
      </c>
      <c r="H49" s="477">
        <f t="shared" si="5"/>
        <v>70330.315774085844</v>
      </c>
      <c r="I49" s="500">
        <f t="shared" si="6"/>
        <v>0</v>
      </c>
      <c r="J49" s="500"/>
      <c r="K49" s="512"/>
      <c r="L49" s="504">
        <f t="shared" si="7"/>
        <v>0</v>
      </c>
      <c r="M49" s="512"/>
      <c r="N49" s="504">
        <f t="shared" si="1"/>
        <v>0</v>
      </c>
      <c r="O49" s="504">
        <f t="shared" si="2"/>
        <v>0</v>
      </c>
      <c r="P49" s="278"/>
      <c r="R49" s="243"/>
      <c r="S49" s="243"/>
      <c r="T49" s="243"/>
      <c r="U49" s="243"/>
    </row>
    <row r="50" spans="2:21" ht="12.5">
      <c r="B50" s="145" t="str">
        <f t="shared" si="0"/>
        <v/>
      </c>
      <c r="C50" s="495">
        <f>IF(D11="","-",+C49+1)</f>
        <v>2050</v>
      </c>
      <c r="D50" s="508">
        <f>IF(F49+SUM(E$17:E49)=D$10,F49,D$10-SUM(E$17:E49))</f>
        <v>0</v>
      </c>
      <c r="E50" s="509">
        <f t="shared" si="9"/>
        <v>0</v>
      </c>
      <c r="F50" s="510">
        <f t="shared" si="4"/>
        <v>0</v>
      </c>
      <c r="G50" s="511">
        <f t="shared" si="8"/>
        <v>0</v>
      </c>
      <c r="H50" s="477">
        <f t="shared" si="5"/>
        <v>0</v>
      </c>
      <c r="I50" s="500">
        <f t="shared" si="6"/>
        <v>0</v>
      </c>
      <c r="J50" s="500"/>
      <c r="K50" s="512"/>
      <c r="L50" s="504">
        <f t="shared" si="7"/>
        <v>0</v>
      </c>
      <c r="M50" s="512"/>
      <c r="N50" s="504">
        <f t="shared" si="1"/>
        <v>0</v>
      </c>
      <c r="O50" s="504">
        <f t="shared" si="2"/>
        <v>0</v>
      </c>
      <c r="P50" s="278"/>
      <c r="R50" s="243"/>
      <c r="S50" s="243"/>
      <c r="T50" s="243"/>
      <c r="U50" s="243"/>
    </row>
    <row r="51" spans="2:21" ht="12.5">
      <c r="B51" s="145" t="str">
        <f t="shared" si="0"/>
        <v/>
      </c>
      <c r="C51" s="495">
        <f>IF(D11="","-",+C50+1)</f>
        <v>2051</v>
      </c>
      <c r="D51" s="508">
        <f>IF(F50+SUM(E$17:E50)=D$10,F50,D$10-SUM(E$17:E50))</f>
        <v>0</v>
      </c>
      <c r="E51" s="509">
        <f t="shared" si="9"/>
        <v>0</v>
      </c>
      <c r="F51" s="510">
        <f t="shared" si="4"/>
        <v>0</v>
      </c>
      <c r="G51" s="511">
        <f t="shared" si="8"/>
        <v>0</v>
      </c>
      <c r="H51" s="477">
        <f t="shared" si="5"/>
        <v>0</v>
      </c>
      <c r="I51" s="500">
        <f t="shared" si="6"/>
        <v>0</v>
      </c>
      <c r="J51" s="500"/>
      <c r="K51" s="512"/>
      <c r="L51" s="504">
        <f t="shared" si="7"/>
        <v>0</v>
      </c>
      <c r="M51" s="512"/>
      <c r="N51" s="504">
        <f t="shared" si="1"/>
        <v>0</v>
      </c>
      <c r="O51" s="504">
        <f t="shared" si="2"/>
        <v>0</v>
      </c>
      <c r="P51" s="278"/>
      <c r="R51" s="243"/>
      <c r="S51" s="243"/>
      <c r="T51" s="243"/>
      <c r="U51" s="243"/>
    </row>
    <row r="52" spans="2:21" ht="12.5">
      <c r="B52" s="145" t="str">
        <f t="shared" si="0"/>
        <v/>
      </c>
      <c r="C52" s="495">
        <f>IF(D11="","-",+C51+1)</f>
        <v>2052</v>
      </c>
      <c r="D52" s="508">
        <f>IF(F51+SUM(E$17:E51)=D$10,F51,D$10-SUM(E$17:E51))</f>
        <v>0</v>
      </c>
      <c r="E52" s="509">
        <f t="shared" si="9"/>
        <v>0</v>
      </c>
      <c r="F52" s="510">
        <f t="shared" si="4"/>
        <v>0</v>
      </c>
      <c r="G52" s="511">
        <f t="shared" si="8"/>
        <v>0</v>
      </c>
      <c r="H52" s="477">
        <f t="shared" si="5"/>
        <v>0</v>
      </c>
      <c r="I52" s="500">
        <f t="shared" si="6"/>
        <v>0</v>
      </c>
      <c r="J52" s="500"/>
      <c r="K52" s="512"/>
      <c r="L52" s="504">
        <f t="shared" si="7"/>
        <v>0</v>
      </c>
      <c r="M52" s="512"/>
      <c r="N52" s="504">
        <f t="shared" si="1"/>
        <v>0</v>
      </c>
      <c r="O52" s="504">
        <f t="shared" si="2"/>
        <v>0</v>
      </c>
      <c r="P52" s="278"/>
      <c r="R52" s="243"/>
      <c r="S52" s="243"/>
      <c r="T52" s="243"/>
      <c r="U52" s="243"/>
    </row>
    <row r="53" spans="2:21" ht="12.5">
      <c r="B53" s="145" t="str">
        <f t="shared" si="0"/>
        <v/>
      </c>
      <c r="C53" s="495">
        <f>IF(D11="","-",+C52+1)</f>
        <v>2053</v>
      </c>
      <c r="D53" s="508">
        <f>IF(F52+SUM(E$17:E52)=D$10,F52,D$10-SUM(E$17:E52))</f>
        <v>0</v>
      </c>
      <c r="E53" s="509">
        <f t="shared" si="9"/>
        <v>0</v>
      </c>
      <c r="F53" s="510">
        <f t="shared" si="4"/>
        <v>0</v>
      </c>
      <c r="G53" s="511">
        <f t="shared" si="8"/>
        <v>0</v>
      </c>
      <c r="H53" s="477">
        <f t="shared" si="5"/>
        <v>0</v>
      </c>
      <c r="I53" s="500">
        <f t="shared" si="6"/>
        <v>0</v>
      </c>
      <c r="J53" s="500"/>
      <c r="K53" s="512"/>
      <c r="L53" s="504">
        <f t="shared" si="7"/>
        <v>0</v>
      </c>
      <c r="M53" s="512"/>
      <c r="N53" s="504">
        <f t="shared" si="1"/>
        <v>0</v>
      </c>
      <c r="O53" s="504">
        <f t="shared" si="2"/>
        <v>0</v>
      </c>
      <c r="P53" s="278"/>
      <c r="R53" s="243"/>
      <c r="S53" s="243"/>
      <c r="T53" s="243"/>
      <c r="U53" s="243"/>
    </row>
    <row r="54" spans="2:21" ht="12.5">
      <c r="B54" s="145" t="str">
        <f t="shared" si="0"/>
        <v/>
      </c>
      <c r="C54" s="495">
        <f>IF(D11="","-",+C53+1)</f>
        <v>2054</v>
      </c>
      <c r="D54" s="508">
        <f>IF(F53+SUM(E$17:E53)=D$10,F53,D$10-SUM(E$17:E53))</f>
        <v>0</v>
      </c>
      <c r="E54" s="509">
        <f t="shared" si="9"/>
        <v>0</v>
      </c>
      <c r="F54" s="510">
        <f t="shared" si="4"/>
        <v>0</v>
      </c>
      <c r="G54" s="511">
        <f t="shared" si="8"/>
        <v>0</v>
      </c>
      <c r="H54" s="477">
        <f t="shared" si="5"/>
        <v>0</v>
      </c>
      <c r="I54" s="500">
        <f t="shared" si="6"/>
        <v>0</v>
      </c>
      <c r="J54" s="500"/>
      <c r="K54" s="512"/>
      <c r="L54" s="504">
        <f t="shared" si="7"/>
        <v>0</v>
      </c>
      <c r="M54" s="512"/>
      <c r="N54" s="504">
        <f t="shared" si="1"/>
        <v>0</v>
      </c>
      <c r="O54" s="504">
        <f t="shared" si="2"/>
        <v>0</v>
      </c>
      <c r="P54" s="278"/>
      <c r="R54" s="243"/>
      <c r="S54" s="243"/>
      <c r="T54" s="243"/>
      <c r="U54" s="243"/>
    </row>
    <row r="55" spans="2:21" ht="12.5">
      <c r="B55" s="145" t="str">
        <f t="shared" si="0"/>
        <v/>
      </c>
      <c r="C55" s="495">
        <f>IF(D11="","-",+C54+1)</f>
        <v>2055</v>
      </c>
      <c r="D55" s="508">
        <f>IF(F54+SUM(E$17:E54)=D$10,F54,D$10-SUM(E$17:E54))</f>
        <v>0</v>
      </c>
      <c r="E55" s="509">
        <f t="shared" si="9"/>
        <v>0</v>
      </c>
      <c r="F55" s="510">
        <f t="shared" si="4"/>
        <v>0</v>
      </c>
      <c r="G55" s="511">
        <f t="shared" si="8"/>
        <v>0</v>
      </c>
      <c r="H55" s="477">
        <f t="shared" si="5"/>
        <v>0</v>
      </c>
      <c r="I55" s="500">
        <f t="shared" si="6"/>
        <v>0</v>
      </c>
      <c r="J55" s="500"/>
      <c r="K55" s="512"/>
      <c r="L55" s="504">
        <f t="shared" si="7"/>
        <v>0</v>
      </c>
      <c r="M55" s="512"/>
      <c r="N55" s="504">
        <f t="shared" si="1"/>
        <v>0</v>
      </c>
      <c r="O55" s="504">
        <f t="shared" si="2"/>
        <v>0</v>
      </c>
      <c r="P55" s="278"/>
      <c r="R55" s="243"/>
      <c r="S55" s="243"/>
      <c r="T55" s="243"/>
      <c r="U55" s="243"/>
    </row>
    <row r="56" spans="2:21" ht="12.5">
      <c r="B56" s="145" t="str">
        <f t="shared" si="0"/>
        <v/>
      </c>
      <c r="C56" s="495">
        <f>IF(D11="","-",+C55+1)</f>
        <v>2056</v>
      </c>
      <c r="D56" s="508">
        <f>IF(F55+SUM(E$17:E55)=D$10,F55,D$10-SUM(E$17:E55))</f>
        <v>0</v>
      </c>
      <c r="E56" s="509">
        <f t="shared" si="9"/>
        <v>0</v>
      </c>
      <c r="F56" s="510">
        <f t="shared" si="4"/>
        <v>0</v>
      </c>
      <c r="G56" s="511">
        <f t="shared" si="8"/>
        <v>0</v>
      </c>
      <c r="H56" s="477">
        <f t="shared" si="5"/>
        <v>0</v>
      </c>
      <c r="I56" s="500">
        <f t="shared" si="6"/>
        <v>0</v>
      </c>
      <c r="J56" s="500"/>
      <c r="K56" s="512"/>
      <c r="L56" s="504">
        <f t="shared" si="7"/>
        <v>0</v>
      </c>
      <c r="M56" s="512"/>
      <c r="N56" s="504">
        <f t="shared" si="1"/>
        <v>0</v>
      </c>
      <c r="O56" s="504">
        <f t="shared" si="2"/>
        <v>0</v>
      </c>
      <c r="P56" s="278"/>
      <c r="R56" s="243"/>
      <c r="S56" s="243"/>
      <c r="T56" s="243"/>
      <c r="U56" s="243"/>
    </row>
    <row r="57" spans="2:21" ht="12.5">
      <c r="B57" s="145" t="str">
        <f t="shared" si="0"/>
        <v/>
      </c>
      <c r="C57" s="495">
        <f>IF(D11="","-",+C56+1)</f>
        <v>2057</v>
      </c>
      <c r="D57" s="508">
        <f>IF(F56+SUM(E$17:E56)=D$10,F56,D$10-SUM(E$17:E56))</f>
        <v>0</v>
      </c>
      <c r="E57" s="509">
        <f t="shared" si="9"/>
        <v>0</v>
      </c>
      <c r="F57" s="510">
        <f t="shared" si="4"/>
        <v>0</v>
      </c>
      <c r="G57" s="511">
        <f t="shared" si="8"/>
        <v>0</v>
      </c>
      <c r="H57" s="477">
        <f t="shared" si="5"/>
        <v>0</v>
      </c>
      <c r="I57" s="500">
        <f t="shared" si="6"/>
        <v>0</v>
      </c>
      <c r="J57" s="500"/>
      <c r="K57" s="512"/>
      <c r="L57" s="504">
        <f t="shared" si="7"/>
        <v>0</v>
      </c>
      <c r="M57" s="512"/>
      <c r="N57" s="504">
        <f t="shared" si="1"/>
        <v>0</v>
      </c>
      <c r="O57" s="504">
        <f t="shared" si="2"/>
        <v>0</v>
      </c>
      <c r="P57" s="278"/>
      <c r="R57" s="243"/>
      <c r="S57" s="243"/>
      <c r="T57" s="243"/>
      <c r="U57" s="243"/>
    </row>
    <row r="58" spans="2:21" ht="12.5">
      <c r="B58" s="145" t="str">
        <f t="shared" si="0"/>
        <v/>
      </c>
      <c r="C58" s="495">
        <f>IF(D11="","-",+C57+1)</f>
        <v>2058</v>
      </c>
      <c r="D58" s="508">
        <f>IF(F57+SUM(E$17:E57)=D$10,F57,D$10-SUM(E$17:E57))</f>
        <v>0</v>
      </c>
      <c r="E58" s="509">
        <f t="shared" si="9"/>
        <v>0</v>
      </c>
      <c r="F58" s="510">
        <f t="shared" si="4"/>
        <v>0</v>
      </c>
      <c r="G58" s="511">
        <f t="shared" si="8"/>
        <v>0</v>
      </c>
      <c r="H58" s="477">
        <f t="shared" si="5"/>
        <v>0</v>
      </c>
      <c r="I58" s="500">
        <f t="shared" si="6"/>
        <v>0</v>
      </c>
      <c r="J58" s="500"/>
      <c r="K58" s="512"/>
      <c r="L58" s="504">
        <f t="shared" si="7"/>
        <v>0</v>
      </c>
      <c r="M58" s="512"/>
      <c r="N58" s="504">
        <f t="shared" si="1"/>
        <v>0</v>
      </c>
      <c r="O58" s="504">
        <f t="shared" si="2"/>
        <v>0</v>
      </c>
      <c r="P58" s="278"/>
      <c r="R58" s="243"/>
      <c r="S58" s="243"/>
      <c r="T58" s="243"/>
      <c r="U58" s="243"/>
    </row>
    <row r="59" spans="2:21" ht="12.5">
      <c r="B59" s="145" t="str">
        <f t="shared" si="0"/>
        <v/>
      </c>
      <c r="C59" s="495">
        <f>IF(D11="","-",+C58+1)</f>
        <v>2059</v>
      </c>
      <c r="D59" s="508">
        <f>IF(F58+SUM(E$17:E58)=D$10,F58,D$10-SUM(E$17:E58))</f>
        <v>0</v>
      </c>
      <c r="E59" s="509">
        <f t="shared" si="9"/>
        <v>0</v>
      </c>
      <c r="F59" s="510">
        <f t="shared" si="4"/>
        <v>0</v>
      </c>
      <c r="G59" s="511">
        <f t="shared" si="8"/>
        <v>0</v>
      </c>
      <c r="H59" s="477">
        <f t="shared" si="5"/>
        <v>0</v>
      </c>
      <c r="I59" s="500">
        <f t="shared" si="6"/>
        <v>0</v>
      </c>
      <c r="J59" s="500"/>
      <c r="K59" s="512"/>
      <c r="L59" s="504">
        <f t="shared" si="7"/>
        <v>0</v>
      </c>
      <c r="M59" s="512"/>
      <c r="N59" s="504">
        <f t="shared" si="1"/>
        <v>0</v>
      </c>
      <c r="O59" s="504">
        <f t="shared" si="2"/>
        <v>0</v>
      </c>
      <c r="P59" s="278"/>
      <c r="R59" s="243"/>
      <c r="S59" s="243"/>
      <c r="T59" s="243"/>
      <c r="U59" s="243"/>
    </row>
    <row r="60" spans="2:21" ht="12.5">
      <c r="B60" s="145" t="str">
        <f t="shared" si="0"/>
        <v/>
      </c>
      <c r="C60" s="495">
        <f>IF(D11="","-",+C59+1)</f>
        <v>2060</v>
      </c>
      <c r="D60" s="508">
        <f>IF(F59+SUM(E$17:E59)=D$10,F59,D$10-SUM(E$17:E59))</f>
        <v>0</v>
      </c>
      <c r="E60" s="509">
        <f t="shared" si="9"/>
        <v>0</v>
      </c>
      <c r="F60" s="510">
        <f t="shared" si="4"/>
        <v>0</v>
      </c>
      <c r="G60" s="511">
        <f t="shared" si="8"/>
        <v>0</v>
      </c>
      <c r="H60" s="477">
        <f t="shared" si="5"/>
        <v>0</v>
      </c>
      <c r="I60" s="500">
        <f t="shared" si="6"/>
        <v>0</v>
      </c>
      <c r="J60" s="500"/>
      <c r="K60" s="512"/>
      <c r="L60" s="504">
        <f t="shared" si="7"/>
        <v>0</v>
      </c>
      <c r="M60" s="512"/>
      <c r="N60" s="504">
        <f t="shared" si="1"/>
        <v>0</v>
      </c>
      <c r="O60" s="504">
        <f t="shared" si="2"/>
        <v>0</v>
      </c>
      <c r="P60" s="278"/>
      <c r="R60" s="243"/>
      <c r="S60" s="243"/>
      <c r="T60" s="243"/>
      <c r="U60" s="243"/>
    </row>
    <row r="61" spans="2:21" ht="12.5">
      <c r="B61" s="145" t="str">
        <f t="shared" si="0"/>
        <v/>
      </c>
      <c r="C61" s="495">
        <f>IF(D11="","-",+C60+1)</f>
        <v>2061</v>
      </c>
      <c r="D61" s="508">
        <f>IF(F60+SUM(E$17:E60)=D$10,F60,D$10-SUM(E$17:E60))</f>
        <v>0</v>
      </c>
      <c r="E61" s="509">
        <f t="shared" si="9"/>
        <v>0</v>
      </c>
      <c r="F61" s="510">
        <f t="shared" si="4"/>
        <v>0</v>
      </c>
      <c r="G61" s="511">
        <f t="shared" si="8"/>
        <v>0</v>
      </c>
      <c r="H61" s="477">
        <f t="shared" si="5"/>
        <v>0</v>
      </c>
      <c r="I61" s="500">
        <f t="shared" si="6"/>
        <v>0</v>
      </c>
      <c r="J61" s="500"/>
      <c r="K61" s="512"/>
      <c r="L61" s="504">
        <f t="shared" si="7"/>
        <v>0</v>
      </c>
      <c r="M61" s="512"/>
      <c r="N61" s="504">
        <f t="shared" si="1"/>
        <v>0</v>
      </c>
      <c r="O61" s="504">
        <f t="shared" si="2"/>
        <v>0</v>
      </c>
      <c r="P61" s="278"/>
      <c r="R61" s="243"/>
      <c r="S61" s="243"/>
      <c r="T61" s="243"/>
      <c r="U61" s="243"/>
    </row>
    <row r="62" spans="2:21" ht="12.5">
      <c r="B62" s="145" t="str">
        <f t="shared" si="0"/>
        <v/>
      </c>
      <c r="C62" s="495">
        <f>IF(D11="","-",+C61+1)</f>
        <v>2062</v>
      </c>
      <c r="D62" s="508">
        <f>IF(F61+SUM(E$17:E61)=D$10,F61,D$10-SUM(E$17:E61))</f>
        <v>0</v>
      </c>
      <c r="E62" s="509">
        <f t="shared" si="9"/>
        <v>0</v>
      </c>
      <c r="F62" s="510">
        <f t="shared" si="4"/>
        <v>0</v>
      </c>
      <c r="G62" s="511">
        <f t="shared" si="8"/>
        <v>0</v>
      </c>
      <c r="H62" s="477">
        <f t="shared" si="5"/>
        <v>0</v>
      </c>
      <c r="I62" s="500">
        <f t="shared" si="6"/>
        <v>0</v>
      </c>
      <c r="J62" s="500"/>
      <c r="K62" s="512"/>
      <c r="L62" s="504">
        <f t="shared" si="7"/>
        <v>0</v>
      </c>
      <c r="M62" s="512"/>
      <c r="N62" s="504">
        <f t="shared" si="1"/>
        <v>0</v>
      </c>
      <c r="O62" s="504">
        <f t="shared" si="2"/>
        <v>0</v>
      </c>
      <c r="P62" s="278"/>
      <c r="R62" s="243"/>
      <c r="S62" s="243"/>
      <c r="T62" s="243"/>
      <c r="U62" s="243"/>
    </row>
    <row r="63" spans="2:21" ht="12.5">
      <c r="B63" s="145" t="str">
        <f t="shared" si="0"/>
        <v/>
      </c>
      <c r="C63" s="495">
        <f>IF(D11="","-",+C62+1)</f>
        <v>2063</v>
      </c>
      <c r="D63" s="508">
        <f>IF(F62+SUM(E$17:E62)=D$10,F62,D$10-SUM(E$17:E62))</f>
        <v>0</v>
      </c>
      <c r="E63" s="509">
        <f t="shared" si="9"/>
        <v>0</v>
      </c>
      <c r="F63" s="510">
        <f t="shared" si="4"/>
        <v>0</v>
      </c>
      <c r="G63" s="511">
        <f t="shared" si="8"/>
        <v>0</v>
      </c>
      <c r="H63" s="477">
        <f t="shared" si="5"/>
        <v>0</v>
      </c>
      <c r="I63" s="500">
        <f t="shared" si="6"/>
        <v>0</v>
      </c>
      <c r="J63" s="500"/>
      <c r="K63" s="512"/>
      <c r="L63" s="504">
        <f t="shared" si="7"/>
        <v>0</v>
      </c>
      <c r="M63" s="512"/>
      <c r="N63" s="504">
        <f t="shared" si="1"/>
        <v>0</v>
      </c>
      <c r="O63" s="504">
        <f t="shared" si="2"/>
        <v>0</v>
      </c>
      <c r="P63" s="278"/>
      <c r="R63" s="243"/>
      <c r="S63" s="243"/>
      <c r="T63" s="243"/>
      <c r="U63" s="243"/>
    </row>
    <row r="64" spans="2:21" ht="12.5">
      <c r="B64" s="145" t="str">
        <f t="shared" si="0"/>
        <v/>
      </c>
      <c r="C64" s="495">
        <f>IF(D11="","-",+C63+1)</f>
        <v>2064</v>
      </c>
      <c r="D64" s="508">
        <f>IF(F63+SUM(E$17:E63)=D$10,F63,D$10-SUM(E$17:E63))</f>
        <v>0</v>
      </c>
      <c r="E64" s="509">
        <f t="shared" si="9"/>
        <v>0</v>
      </c>
      <c r="F64" s="510">
        <f t="shared" si="4"/>
        <v>0</v>
      </c>
      <c r="G64" s="511">
        <f t="shared" si="8"/>
        <v>0</v>
      </c>
      <c r="H64" s="477">
        <f t="shared" si="5"/>
        <v>0</v>
      </c>
      <c r="I64" s="500">
        <f t="shared" si="6"/>
        <v>0</v>
      </c>
      <c r="J64" s="500"/>
      <c r="K64" s="512"/>
      <c r="L64" s="504">
        <f t="shared" si="7"/>
        <v>0</v>
      </c>
      <c r="M64" s="512"/>
      <c r="N64" s="504">
        <f t="shared" si="1"/>
        <v>0</v>
      </c>
      <c r="O64" s="504">
        <f t="shared" si="2"/>
        <v>0</v>
      </c>
      <c r="P64" s="278"/>
      <c r="R64" s="243"/>
      <c r="S64" s="243"/>
      <c r="T64" s="243"/>
      <c r="U64" s="243"/>
    </row>
    <row r="65" spans="2:21" ht="12.5">
      <c r="B65" s="145" t="str">
        <f t="shared" si="0"/>
        <v/>
      </c>
      <c r="C65" s="495">
        <f>IF(D11="","-",+C64+1)</f>
        <v>2065</v>
      </c>
      <c r="D65" s="508">
        <f>IF(F64+SUM(E$17:E64)=D$10,F64,D$10-SUM(E$17:E64))</f>
        <v>0</v>
      </c>
      <c r="E65" s="509">
        <f t="shared" si="9"/>
        <v>0</v>
      </c>
      <c r="F65" s="510">
        <f t="shared" si="4"/>
        <v>0</v>
      </c>
      <c r="G65" s="511">
        <f t="shared" si="8"/>
        <v>0</v>
      </c>
      <c r="H65" s="477">
        <f t="shared" si="5"/>
        <v>0</v>
      </c>
      <c r="I65" s="500">
        <f t="shared" si="6"/>
        <v>0</v>
      </c>
      <c r="J65" s="500"/>
      <c r="K65" s="512"/>
      <c r="L65" s="504">
        <f t="shared" si="7"/>
        <v>0</v>
      </c>
      <c r="M65" s="512"/>
      <c r="N65" s="504">
        <f t="shared" si="1"/>
        <v>0</v>
      </c>
      <c r="O65" s="504">
        <f t="shared" si="2"/>
        <v>0</v>
      </c>
      <c r="P65" s="278"/>
      <c r="R65" s="243"/>
      <c r="S65" s="243"/>
      <c r="T65" s="243"/>
      <c r="U65" s="243"/>
    </row>
    <row r="66" spans="2:21" ht="12.5">
      <c r="B66" s="145" t="str">
        <f t="shared" si="0"/>
        <v/>
      </c>
      <c r="C66" s="495">
        <f>IF(D11="","-",+C65+1)</f>
        <v>2066</v>
      </c>
      <c r="D66" s="508">
        <f>IF(F65+SUM(E$17:E65)=D$10,F65,D$10-SUM(E$17:E65))</f>
        <v>0</v>
      </c>
      <c r="E66" s="509">
        <f t="shared" si="9"/>
        <v>0</v>
      </c>
      <c r="F66" s="510">
        <f t="shared" si="4"/>
        <v>0</v>
      </c>
      <c r="G66" s="511">
        <f t="shared" si="8"/>
        <v>0</v>
      </c>
      <c r="H66" s="477">
        <f t="shared" si="5"/>
        <v>0</v>
      </c>
      <c r="I66" s="500">
        <f t="shared" si="6"/>
        <v>0</v>
      </c>
      <c r="J66" s="500"/>
      <c r="K66" s="512"/>
      <c r="L66" s="504">
        <f t="shared" si="7"/>
        <v>0</v>
      </c>
      <c r="M66" s="512"/>
      <c r="N66" s="504">
        <f t="shared" si="1"/>
        <v>0</v>
      </c>
      <c r="O66" s="504">
        <f t="shared" si="2"/>
        <v>0</v>
      </c>
      <c r="P66" s="278"/>
      <c r="R66" s="243"/>
      <c r="S66" s="243"/>
      <c r="T66" s="243"/>
      <c r="U66" s="243"/>
    </row>
    <row r="67" spans="2:21" ht="12.5">
      <c r="B67" s="145" t="str">
        <f t="shared" si="0"/>
        <v/>
      </c>
      <c r="C67" s="495">
        <f>IF(D11="","-",+C66+1)</f>
        <v>2067</v>
      </c>
      <c r="D67" s="508">
        <f>IF(F66+SUM(E$17:E66)=D$10,F66,D$10-SUM(E$17:E66))</f>
        <v>0</v>
      </c>
      <c r="E67" s="509">
        <f t="shared" si="9"/>
        <v>0</v>
      </c>
      <c r="F67" s="510">
        <f t="shared" si="4"/>
        <v>0</v>
      </c>
      <c r="G67" s="511">
        <f t="shared" si="8"/>
        <v>0</v>
      </c>
      <c r="H67" s="477">
        <f t="shared" si="5"/>
        <v>0</v>
      </c>
      <c r="I67" s="500">
        <f t="shared" si="6"/>
        <v>0</v>
      </c>
      <c r="J67" s="500"/>
      <c r="K67" s="512"/>
      <c r="L67" s="504">
        <f t="shared" si="7"/>
        <v>0</v>
      </c>
      <c r="M67" s="512"/>
      <c r="N67" s="504">
        <f t="shared" si="1"/>
        <v>0</v>
      </c>
      <c r="O67" s="504">
        <f t="shared" si="2"/>
        <v>0</v>
      </c>
      <c r="P67" s="278"/>
      <c r="R67" s="243"/>
      <c r="S67" s="243"/>
      <c r="T67" s="243"/>
      <c r="U67" s="243"/>
    </row>
    <row r="68" spans="2:21" ht="12.5">
      <c r="B68" s="145" t="str">
        <f t="shared" si="0"/>
        <v/>
      </c>
      <c r="C68" s="495">
        <f>IF(D11="","-",+C67+1)</f>
        <v>2068</v>
      </c>
      <c r="D68" s="508">
        <f>IF(F67+SUM(E$17:E67)=D$10,F67,D$10-SUM(E$17:E67))</f>
        <v>0</v>
      </c>
      <c r="E68" s="509">
        <f t="shared" si="9"/>
        <v>0</v>
      </c>
      <c r="F68" s="510">
        <f t="shared" si="4"/>
        <v>0</v>
      </c>
      <c r="G68" s="511">
        <f t="shared" si="8"/>
        <v>0</v>
      </c>
      <c r="H68" s="477">
        <f t="shared" si="5"/>
        <v>0</v>
      </c>
      <c r="I68" s="500">
        <f t="shared" si="6"/>
        <v>0</v>
      </c>
      <c r="J68" s="500"/>
      <c r="K68" s="512"/>
      <c r="L68" s="504">
        <f t="shared" si="7"/>
        <v>0</v>
      </c>
      <c r="M68" s="512"/>
      <c r="N68" s="504">
        <f t="shared" si="1"/>
        <v>0</v>
      </c>
      <c r="O68" s="504">
        <f t="shared" si="2"/>
        <v>0</v>
      </c>
      <c r="P68" s="278"/>
      <c r="R68" s="243"/>
      <c r="S68" s="243"/>
      <c r="T68" s="243"/>
      <c r="U68" s="243"/>
    </row>
    <row r="69" spans="2:21" ht="12.5">
      <c r="B69" s="145" t="str">
        <f t="shared" si="0"/>
        <v/>
      </c>
      <c r="C69" s="495">
        <f>IF(D11="","-",+C68+1)</f>
        <v>2069</v>
      </c>
      <c r="D69" s="508">
        <f>IF(F68+SUM(E$17:E68)=D$10,F68,D$10-SUM(E$17:E68))</f>
        <v>0</v>
      </c>
      <c r="E69" s="509">
        <f t="shared" si="9"/>
        <v>0</v>
      </c>
      <c r="F69" s="510">
        <f t="shared" si="4"/>
        <v>0</v>
      </c>
      <c r="G69" s="511">
        <f t="shared" si="8"/>
        <v>0</v>
      </c>
      <c r="H69" s="477">
        <f t="shared" si="5"/>
        <v>0</v>
      </c>
      <c r="I69" s="500">
        <f t="shared" si="6"/>
        <v>0</v>
      </c>
      <c r="J69" s="500"/>
      <c r="K69" s="512"/>
      <c r="L69" s="504">
        <f t="shared" si="7"/>
        <v>0</v>
      </c>
      <c r="M69" s="512"/>
      <c r="N69" s="504">
        <f t="shared" si="1"/>
        <v>0</v>
      </c>
      <c r="O69" s="504">
        <f t="shared" si="2"/>
        <v>0</v>
      </c>
      <c r="P69" s="278"/>
      <c r="R69" s="243"/>
      <c r="S69" s="243"/>
      <c r="T69" s="243"/>
      <c r="U69" s="243"/>
    </row>
    <row r="70" spans="2:21" ht="12.5">
      <c r="B70" s="145" t="str">
        <f t="shared" si="0"/>
        <v/>
      </c>
      <c r="C70" s="495">
        <f>IF(D11="","-",+C69+1)</f>
        <v>2070</v>
      </c>
      <c r="D70" s="508">
        <f>IF(F69+SUM(E$17:E69)=D$10,F69,D$10-SUM(E$17:E69))</f>
        <v>0</v>
      </c>
      <c r="E70" s="509">
        <f t="shared" si="9"/>
        <v>0</v>
      </c>
      <c r="F70" s="510">
        <f t="shared" si="4"/>
        <v>0</v>
      </c>
      <c r="G70" s="511">
        <f t="shared" si="8"/>
        <v>0</v>
      </c>
      <c r="H70" s="477">
        <f t="shared" si="5"/>
        <v>0</v>
      </c>
      <c r="I70" s="500">
        <f t="shared" si="6"/>
        <v>0</v>
      </c>
      <c r="J70" s="500"/>
      <c r="K70" s="512"/>
      <c r="L70" s="504">
        <f t="shared" si="7"/>
        <v>0</v>
      </c>
      <c r="M70" s="512"/>
      <c r="N70" s="504">
        <f t="shared" si="1"/>
        <v>0</v>
      </c>
      <c r="O70" s="504">
        <f t="shared" si="2"/>
        <v>0</v>
      </c>
      <c r="P70" s="278"/>
      <c r="R70" s="243"/>
      <c r="S70" s="243"/>
      <c r="T70" s="243"/>
      <c r="U70" s="243"/>
    </row>
    <row r="71" spans="2:21" ht="12.5">
      <c r="B71" s="145" t="str">
        <f t="shared" si="0"/>
        <v/>
      </c>
      <c r="C71" s="495">
        <f>IF(D11="","-",+C70+1)</f>
        <v>2071</v>
      </c>
      <c r="D71" s="508">
        <f>IF(F70+SUM(E$17:E70)=D$10,F70,D$10-SUM(E$17:E70))</f>
        <v>0</v>
      </c>
      <c r="E71" s="509">
        <f t="shared" si="9"/>
        <v>0</v>
      </c>
      <c r="F71" s="510">
        <f t="shared" si="4"/>
        <v>0</v>
      </c>
      <c r="G71" s="511">
        <f t="shared" si="8"/>
        <v>0</v>
      </c>
      <c r="H71" s="477">
        <f t="shared" si="5"/>
        <v>0</v>
      </c>
      <c r="I71" s="500">
        <f t="shared" si="6"/>
        <v>0</v>
      </c>
      <c r="J71" s="500"/>
      <c r="K71" s="512"/>
      <c r="L71" s="504">
        <f t="shared" si="7"/>
        <v>0</v>
      </c>
      <c r="M71" s="512"/>
      <c r="N71" s="504">
        <f t="shared" si="1"/>
        <v>0</v>
      </c>
      <c r="O71" s="504">
        <f t="shared" si="2"/>
        <v>0</v>
      </c>
      <c r="P71" s="278"/>
      <c r="R71" s="243"/>
      <c r="S71" s="243"/>
      <c r="T71" s="243"/>
      <c r="U71" s="243"/>
    </row>
    <row r="72" spans="2:21" ht="12.5">
      <c r="B72" s="145" t="str">
        <f t="shared" si="0"/>
        <v/>
      </c>
      <c r="C72" s="495">
        <f>IF(D11="","-",+C71+1)</f>
        <v>2072</v>
      </c>
      <c r="D72" s="508">
        <f>IF(F71+SUM(E$17:E71)=D$10,F71,D$10-SUM(E$17:E71))</f>
        <v>0</v>
      </c>
      <c r="E72" s="509">
        <f t="shared" si="9"/>
        <v>0</v>
      </c>
      <c r="F72" s="510">
        <f t="shared" si="4"/>
        <v>0</v>
      </c>
      <c r="G72" s="511">
        <f t="shared" si="8"/>
        <v>0</v>
      </c>
      <c r="H72" s="477">
        <f t="shared" si="5"/>
        <v>0</v>
      </c>
      <c r="I72" s="500">
        <f t="shared" si="6"/>
        <v>0</v>
      </c>
      <c r="J72" s="500"/>
      <c r="K72" s="512"/>
      <c r="L72" s="504">
        <f t="shared" si="7"/>
        <v>0</v>
      </c>
      <c r="M72" s="512"/>
      <c r="N72" s="504">
        <f t="shared" si="1"/>
        <v>0</v>
      </c>
      <c r="O72" s="504">
        <f t="shared" si="2"/>
        <v>0</v>
      </c>
      <c r="P72" s="278"/>
      <c r="R72" s="243"/>
      <c r="S72" s="243"/>
      <c r="T72" s="243"/>
      <c r="U72" s="243"/>
    </row>
    <row r="73" spans="2:21" ht="13" thickBot="1">
      <c r="B73" s="145" t="str">
        <f t="shared" si="0"/>
        <v/>
      </c>
      <c r="C73" s="524">
        <f>IF(D11="","-",+C72+1)</f>
        <v>2073</v>
      </c>
      <c r="D73" s="525">
        <f>IF(F72+SUM(E$17:E72)=D$10,F72,D$10-SUM(E$17:E72))</f>
        <v>0</v>
      </c>
      <c r="E73" s="526">
        <f t="shared" si="9"/>
        <v>0</v>
      </c>
      <c r="F73" s="527">
        <f t="shared" si="4"/>
        <v>0</v>
      </c>
      <c r="G73" s="527">
        <f t="shared" si="8"/>
        <v>0</v>
      </c>
      <c r="H73" s="527">
        <f t="shared" si="5"/>
        <v>0</v>
      </c>
      <c r="I73" s="529">
        <f t="shared" si="6"/>
        <v>0</v>
      </c>
      <c r="J73" s="500"/>
      <c r="K73" s="530"/>
      <c r="L73" s="531">
        <f t="shared" si="7"/>
        <v>0</v>
      </c>
      <c r="M73" s="530"/>
      <c r="N73" s="531">
        <f t="shared" si="1"/>
        <v>0</v>
      </c>
      <c r="O73" s="531">
        <f t="shared" si="2"/>
        <v>0</v>
      </c>
      <c r="P73" s="278"/>
      <c r="R73" s="243"/>
      <c r="S73" s="243"/>
      <c r="T73" s="243"/>
      <c r="U73" s="243"/>
    </row>
    <row r="74" spans="2:21" ht="12.5">
      <c r="C74" s="349" t="s">
        <v>75</v>
      </c>
      <c r="D74" s="294"/>
      <c r="E74" s="294">
        <f>SUM(E17:E73)</f>
        <v>11056564.999999998</v>
      </c>
      <c r="F74" s="294"/>
      <c r="G74" s="294">
        <f>SUM(G17:G73)</f>
        <v>30147170.412998538</v>
      </c>
      <c r="H74" s="294">
        <f>SUM(H17:H73)</f>
        <v>30147170.412998538</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15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1363844.0888504181</v>
      </c>
      <c r="N88" s="544">
        <f>IF(J93&lt;D11,0,VLOOKUP(J93,C17:O73,11))</f>
        <v>1363844.0888504181</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1463163.9846782268</v>
      </c>
      <c r="N89" s="548">
        <f>IF(J93&lt;D11,0,VLOOKUP(J93,C100:P155,7))</f>
        <v>1463163.9846782268</v>
      </c>
      <c r="O89" s="549">
        <f>+N89-M89</f>
        <v>0</v>
      </c>
      <c r="P89" s="243"/>
      <c r="Q89" s="243"/>
      <c r="R89" s="243"/>
      <c r="S89" s="243"/>
      <c r="T89" s="243"/>
      <c r="U89" s="243"/>
    </row>
    <row r="90" spans="1:21" ht="13.5" thickBot="1">
      <c r="C90" s="454" t="s">
        <v>82</v>
      </c>
      <c r="D90" s="550" t="str">
        <f>+D7</f>
        <v>Darlington Roman Nose 138 kv</v>
      </c>
      <c r="E90" s="243"/>
      <c r="F90" s="243"/>
      <c r="G90" s="243"/>
      <c r="H90" s="243"/>
      <c r="I90" s="325"/>
      <c r="J90" s="325"/>
      <c r="K90" s="551"/>
      <c r="L90" s="552" t="s">
        <v>135</v>
      </c>
      <c r="M90" s="553">
        <f>+M89-M88</f>
        <v>99319.89582780865</v>
      </c>
      <c r="N90" s="553">
        <f>+N89-N88</f>
        <v>99319.89582780865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
        <v>260</v>
      </c>
      <c r="E92" s="558"/>
      <c r="F92" s="558"/>
      <c r="G92" s="558"/>
      <c r="H92" s="558"/>
      <c r="I92" s="558"/>
      <c r="J92" s="558"/>
      <c r="K92" s="560"/>
      <c r="P92" s="468"/>
      <c r="Q92" s="243"/>
      <c r="R92" s="243"/>
      <c r="S92" s="243"/>
      <c r="T92" s="243"/>
      <c r="U92" s="243"/>
    </row>
    <row r="93" spans="1:21" ht="13">
      <c r="C93" s="472" t="s">
        <v>49</v>
      </c>
      <c r="D93" s="598">
        <v>11056565</v>
      </c>
      <c r="E93" s="248" t="s">
        <v>84</v>
      </c>
      <c r="H93" s="408"/>
      <c r="I93" s="408"/>
      <c r="J93" s="471">
        <f>+'OKT.WS.G.BPU.ATRR.True-up'!M16</f>
        <v>2019</v>
      </c>
      <c r="K93" s="467"/>
      <c r="L93" s="294" t="s">
        <v>85</v>
      </c>
      <c r="P93" s="278"/>
      <c r="Q93" s="243"/>
      <c r="R93" s="243"/>
      <c r="S93" s="243"/>
      <c r="T93" s="243"/>
      <c r="U93" s="243"/>
    </row>
    <row r="94" spans="1:21" ht="12.5">
      <c r="C94" s="472" t="s">
        <v>52</v>
      </c>
      <c r="D94" s="639">
        <f>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98">
        <f>D12</f>
        <v>6</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335047.42424242425</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55" si="10">IF(D100=F99,"","IU")</f>
        <v>IU</v>
      </c>
      <c r="C100" s="495">
        <f>IF(D94= "","-",D94)</f>
        <v>2017</v>
      </c>
      <c r="D100" s="496">
        <v>0</v>
      </c>
      <c r="E100" s="498">
        <v>137920.28750000001</v>
      </c>
      <c r="F100" s="505">
        <v>10895702.7125</v>
      </c>
      <c r="G100" s="505">
        <v>5447851.3562500002</v>
      </c>
      <c r="H100" s="498">
        <v>777148.63448158256</v>
      </c>
      <c r="I100" s="499">
        <v>777148.63448158256</v>
      </c>
      <c r="J100" s="504">
        <f>+I100-H100</f>
        <v>0</v>
      </c>
      <c r="K100" s="504"/>
      <c r="L100" s="506">
        <f>+H100</f>
        <v>777148.63448158256</v>
      </c>
      <c r="M100" s="504">
        <f>IF(L100&lt;&gt;0,+H100-L100,0)</f>
        <v>0</v>
      </c>
      <c r="N100" s="506">
        <f>+I100</f>
        <v>777148.63448158256</v>
      </c>
      <c r="O100" s="586">
        <f>IF(N100&lt;&gt;0,+I100-N100,0)</f>
        <v>0</v>
      </c>
      <c r="P100" s="504">
        <f>+O100-M100</f>
        <v>0</v>
      </c>
      <c r="Q100" s="243"/>
      <c r="R100" s="243"/>
      <c r="S100" s="243"/>
      <c r="T100" s="243"/>
      <c r="U100" s="243"/>
    </row>
    <row r="101" spans="1:21" ht="12.5">
      <c r="B101" s="145" t="str">
        <f t="shared" si="10"/>
        <v/>
      </c>
      <c r="C101" s="495">
        <f>IF(D94="","-",+C100+1)</f>
        <v>2018</v>
      </c>
      <c r="D101" s="496">
        <v>10895702.7125</v>
      </c>
      <c r="E101" s="498">
        <v>306489.52777777775</v>
      </c>
      <c r="F101" s="505">
        <v>10589213.184722222</v>
      </c>
      <c r="G101" s="505">
        <v>10742457.94861111</v>
      </c>
      <c r="H101" s="498">
        <v>1440489.6981770755</v>
      </c>
      <c r="I101" s="499">
        <v>1440489.6981770755</v>
      </c>
      <c r="J101" s="504">
        <v>0</v>
      </c>
      <c r="K101" s="504"/>
      <c r="L101" s="506">
        <f>H101</f>
        <v>1440489.6981770755</v>
      </c>
      <c r="M101" s="504">
        <f>IF(L101&lt;&gt;0,+H101-L101,0)</f>
        <v>0</v>
      </c>
      <c r="N101" s="506">
        <f>I101</f>
        <v>1440489.6981770755</v>
      </c>
      <c r="O101" s="504">
        <f>IF(N101&lt;&gt;0,+I101-N101,0)</f>
        <v>0</v>
      </c>
      <c r="P101" s="504">
        <f>+O101-M101</f>
        <v>0</v>
      </c>
      <c r="Q101" s="243"/>
      <c r="R101" s="243"/>
      <c r="S101" s="243"/>
      <c r="T101" s="243"/>
      <c r="U101" s="243"/>
    </row>
    <row r="102" spans="1:21" ht="12.5">
      <c r="B102" s="145" t="str">
        <f t="shared" si="10"/>
        <v>IU</v>
      </c>
      <c r="C102" s="495">
        <f>IF(D94="","-",+C101+1)</f>
        <v>2019</v>
      </c>
      <c r="D102" s="349">
        <f>IF(F101+SUM(E$100:E101)=D$93,F101,D$93-SUM(E$100:E101))</f>
        <v>10612155.184722222</v>
      </c>
      <c r="E102" s="509">
        <f>IF(+$J$97&lt;F101,$J$97,D102)</f>
        <v>335047.42424242425</v>
      </c>
      <c r="F102" s="510">
        <f t="shared" ref="F102:F155" si="11">+D102-E102</f>
        <v>10277107.760479799</v>
      </c>
      <c r="G102" s="510">
        <f t="shared" ref="G102:G155" si="12">+(F102+D102)/2</f>
        <v>10444631.472601011</v>
      </c>
      <c r="H102" s="523">
        <f t="shared" ref="H102:H155" si="13">+J$95*G102+E102</f>
        <v>1463163.9846782268</v>
      </c>
      <c r="I102" s="572">
        <f t="shared" ref="I102:I155" si="14">+J$96*G102+E102</f>
        <v>1463163.9846782268</v>
      </c>
      <c r="J102" s="504">
        <f t="shared" ref="J102:J155" si="15">+I102-H102</f>
        <v>0</v>
      </c>
      <c r="K102" s="504"/>
      <c r="L102" s="512"/>
      <c r="M102" s="504">
        <f t="shared" ref="M102:M155" si="16">IF(L102&lt;&gt;0,+H102-L102,0)</f>
        <v>0</v>
      </c>
      <c r="N102" s="512"/>
      <c r="O102" s="504">
        <f t="shared" ref="O102:O155" si="17">IF(N102&lt;&gt;0,+I102-N102,0)</f>
        <v>0</v>
      </c>
      <c r="P102" s="504">
        <f t="shared" ref="P102:P155" si="18">+O102-M102</f>
        <v>0</v>
      </c>
      <c r="Q102" s="243"/>
      <c r="R102" s="243"/>
      <c r="S102" s="243"/>
      <c r="T102" s="243"/>
      <c r="U102" s="243"/>
    </row>
    <row r="103" spans="1:21" ht="12.5">
      <c r="B103" s="145" t="str">
        <f t="shared" si="10"/>
        <v/>
      </c>
      <c r="C103" s="495">
        <f>IF(D94="","-",+C102+1)</f>
        <v>2020</v>
      </c>
      <c r="D103" s="349">
        <f>IF(F102+SUM(E$100:E102)=D$93,F102,D$93-SUM(E$100:E102))</f>
        <v>10277107.760479799</v>
      </c>
      <c r="E103" s="509">
        <f t="shared" ref="E103:E134" si="19">IF(+J$97&lt;F102,J$97,D103)</f>
        <v>335047.42424242425</v>
      </c>
      <c r="F103" s="510">
        <f t="shared" si="11"/>
        <v>9942060.3362373747</v>
      </c>
      <c r="G103" s="510">
        <f t="shared" si="12"/>
        <v>10109584.048358586</v>
      </c>
      <c r="H103" s="523">
        <f t="shared" si="13"/>
        <v>1426975.7717373718</v>
      </c>
      <c r="I103" s="572">
        <f t="shared" si="14"/>
        <v>1426975.7717373718</v>
      </c>
      <c r="J103" s="504">
        <f t="shared" si="15"/>
        <v>0</v>
      </c>
      <c r="K103" s="504"/>
      <c r="L103" s="512"/>
      <c r="M103" s="504">
        <f t="shared" si="16"/>
        <v>0</v>
      </c>
      <c r="N103" s="512"/>
      <c r="O103" s="504">
        <f t="shared" si="17"/>
        <v>0</v>
      </c>
      <c r="P103" s="504">
        <f t="shared" si="18"/>
        <v>0</v>
      </c>
      <c r="Q103" s="243"/>
      <c r="R103" s="243"/>
      <c r="S103" s="243"/>
      <c r="T103" s="243"/>
      <c r="U103" s="243"/>
    </row>
    <row r="104" spans="1:21" ht="12.5">
      <c r="B104" s="145" t="str">
        <f t="shared" si="10"/>
        <v/>
      </c>
      <c r="C104" s="495">
        <f>IF(D94="","-",+C103+1)</f>
        <v>2021</v>
      </c>
      <c r="D104" s="349">
        <f>IF(F103+SUM(E$100:E103)=D$93,F103,D$93-SUM(E$100:E103))</f>
        <v>9942060.3362373747</v>
      </c>
      <c r="E104" s="509">
        <f t="shared" si="19"/>
        <v>335047.42424242425</v>
      </c>
      <c r="F104" s="510">
        <f t="shared" si="11"/>
        <v>9607012.9119949508</v>
      </c>
      <c r="G104" s="510">
        <f t="shared" si="12"/>
        <v>9774536.6241161637</v>
      </c>
      <c r="H104" s="523">
        <f>+J$95*G104+E104</f>
        <v>1390787.5587965173</v>
      </c>
      <c r="I104" s="572">
        <f t="shared" si="14"/>
        <v>1390787.5587965173</v>
      </c>
      <c r="J104" s="504">
        <f t="shared" si="15"/>
        <v>0</v>
      </c>
      <c r="K104" s="504"/>
      <c r="L104" s="512"/>
      <c r="M104" s="504">
        <f t="shared" si="16"/>
        <v>0</v>
      </c>
      <c r="N104" s="512"/>
      <c r="O104" s="504">
        <f t="shared" si="17"/>
        <v>0</v>
      </c>
      <c r="P104" s="504">
        <f t="shared" si="18"/>
        <v>0</v>
      </c>
      <c r="Q104" s="243"/>
      <c r="R104" s="243"/>
      <c r="S104" s="243"/>
      <c r="T104" s="243"/>
      <c r="U104" s="243"/>
    </row>
    <row r="105" spans="1:21" ht="12.5">
      <c r="B105" s="145" t="str">
        <f t="shared" si="10"/>
        <v/>
      </c>
      <c r="C105" s="495">
        <f>IF(D94="","-",+C104+1)</f>
        <v>2022</v>
      </c>
      <c r="D105" s="349">
        <f>IF(F104+SUM(E$100:E104)=D$93,F104,D$93-SUM(E$100:E104))</f>
        <v>9607012.9119949508</v>
      </c>
      <c r="E105" s="509">
        <f t="shared" si="19"/>
        <v>335047.42424242425</v>
      </c>
      <c r="F105" s="510">
        <f t="shared" si="11"/>
        <v>9271965.487752527</v>
      </c>
      <c r="G105" s="510">
        <f t="shared" si="12"/>
        <v>9439489.199873738</v>
      </c>
      <c r="H105" s="523">
        <f t="shared" si="13"/>
        <v>1354599.3458556624</v>
      </c>
      <c r="I105" s="572">
        <f t="shared" si="14"/>
        <v>1354599.3458556624</v>
      </c>
      <c r="J105" s="504">
        <f t="shared" si="15"/>
        <v>0</v>
      </c>
      <c r="K105" s="504"/>
      <c r="L105" s="512"/>
      <c r="M105" s="504">
        <f t="shared" si="16"/>
        <v>0</v>
      </c>
      <c r="N105" s="512"/>
      <c r="O105" s="504">
        <f t="shared" si="17"/>
        <v>0</v>
      </c>
      <c r="P105" s="504">
        <f t="shared" si="18"/>
        <v>0</v>
      </c>
      <c r="Q105" s="243"/>
      <c r="R105" s="243"/>
      <c r="S105" s="243"/>
      <c r="T105" s="243"/>
      <c r="U105" s="243"/>
    </row>
    <row r="106" spans="1:21" ht="12.5">
      <c r="B106" s="145" t="str">
        <f t="shared" si="10"/>
        <v/>
      </c>
      <c r="C106" s="495">
        <f>IF(D94="","-",+C105+1)</f>
        <v>2023</v>
      </c>
      <c r="D106" s="349">
        <f>IF(F105+SUM(E$100:E105)=D$93,F105,D$93-SUM(E$100:E105))</f>
        <v>9271965.487752527</v>
      </c>
      <c r="E106" s="509">
        <f t="shared" si="19"/>
        <v>335047.42424242425</v>
      </c>
      <c r="F106" s="510">
        <f t="shared" si="11"/>
        <v>8936918.0635101032</v>
      </c>
      <c r="G106" s="510">
        <f t="shared" si="12"/>
        <v>9104441.775631316</v>
      </c>
      <c r="H106" s="523">
        <f t="shared" si="13"/>
        <v>1318411.1329148079</v>
      </c>
      <c r="I106" s="572">
        <f t="shared" si="14"/>
        <v>1318411.1329148079</v>
      </c>
      <c r="J106" s="504">
        <f t="shared" si="15"/>
        <v>0</v>
      </c>
      <c r="K106" s="504"/>
      <c r="L106" s="512"/>
      <c r="M106" s="504">
        <f t="shared" si="16"/>
        <v>0</v>
      </c>
      <c r="N106" s="512"/>
      <c r="O106" s="504">
        <f t="shared" si="17"/>
        <v>0</v>
      </c>
      <c r="P106" s="504">
        <f t="shared" si="18"/>
        <v>0</v>
      </c>
      <c r="Q106" s="243"/>
      <c r="R106" s="243"/>
      <c r="S106" s="243"/>
      <c r="T106" s="243"/>
      <c r="U106" s="243"/>
    </row>
    <row r="107" spans="1:21" ht="12.5">
      <c r="B107" s="145" t="str">
        <f t="shared" si="10"/>
        <v/>
      </c>
      <c r="C107" s="495">
        <f>IF(D94="","-",+C106+1)</f>
        <v>2024</v>
      </c>
      <c r="D107" s="349">
        <f>IF(F106+SUM(E$100:E106)=D$93,F106,D$93-SUM(E$100:E106))</f>
        <v>8936918.0635101032</v>
      </c>
      <c r="E107" s="509">
        <f t="shared" si="19"/>
        <v>335047.42424242425</v>
      </c>
      <c r="F107" s="510">
        <f t="shared" si="11"/>
        <v>8601870.6392676793</v>
      </c>
      <c r="G107" s="510">
        <f t="shared" si="12"/>
        <v>8769394.3513888903</v>
      </c>
      <c r="H107" s="523">
        <f t="shared" si="13"/>
        <v>1282222.9199739529</v>
      </c>
      <c r="I107" s="572">
        <f t="shared" si="14"/>
        <v>1282222.9199739529</v>
      </c>
      <c r="J107" s="504">
        <f t="shared" si="15"/>
        <v>0</v>
      </c>
      <c r="K107" s="504"/>
      <c r="L107" s="512"/>
      <c r="M107" s="504">
        <f t="shared" si="16"/>
        <v>0</v>
      </c>
      <c r="N107" s="512"/>
      <c r="O107" s="504">
        <f t="shared" si="17"/>
        <v>0</v>
      </c>
      <c r="P107" s="504">
        <f t="shared" si="18"/>
        <v>0</v>
      </c>
      <c r="Q107" s="243"/>
      <c r="R107" s="243"/>
      <c r="S107" s="243"/>
      <c r="T107" s="243"/>
      <c r="U107" s="243"/>
    </row>
    <row r="108" spans="1:21" ht="12.5">
      <c r="B108" s="145" t="str">
        <f t="shared" si="10"/>
        <v/>
      </c>
      <c r="C108" s="495">
        <f>IF(D94="","-",+C107+1)</f>
        <v>2025</v>
      </c>
      <c r="D108" s="349">
        <f>IF(F107+SUM(E$100:E107)=D$93,F107,D$93-SUM(E$100:E107))</f>
        <v>8601870.6392676793</v>
      </c>
      <c r="E108" s="509">
        <f t="shared" si="19"/>
        <v>335047.42424242425</v>
      </c>
      <c r="F108" s="510">
        <f t="shared" si="11"/>
        <v>8266823.2150252555</v>
      </c>
      <c r="G108" s="510">
        <f t="shared" si="12"/>
        <v>8434346.9271464683</v>
      </c>
      <c r="H108" s="523">
        <f t="shared" si="13"/>
        <v>1246034.7070330984</v>
      </c>
      <c r="I108" s="572">
        <f t="shared" si="14"/>
        <v>1246034.7070330984</v>
      </c>
      <c r="J108" s="504">
        <f t="shared" si="15"/>
        <v>0</v>
      </c>
      <c r="K108" s="504"/>
      <c r="L108" s="512"/>
      <c r="M108" s="504">
        <f t="shared" si="16"/>
        <v>0</v>
      </c>
      <c r="N108" s="512"/>
      <c r="O108" s="504">
        <f t="shared" si="17"/>
        <v>0</v>
      </c>
      <c r="P108" s="504">
        <f t="shared" si="18"/>
        <v>0</v>
      </c>
      <c r="Q108" s="243"/>
      <c r="R108" s="243"/>
      <c r="S108" s="243"/>
      <c r="T108" s="243"/>
      <c r="U108" s="243"/>
    </row>
    <row r="109" spans="1:21" ht="12.5">
      <c r="B109" s="145" t="str">
        <f t="shared" si="10"/>
        <v/>
      </c>
      <c r="C109" s="495">
        <f>IF(D94="","-",+C108+1)</f>
        <v>2026</v>
      </c>
      <c r="D109" s="349">
        <f>IF(F108+SUM(E$100:E108)=D$93,F108,D$93-SUM(E$100:E108))</f>
        <v>8266823.2150252555</v>
      </c>
      <c r="E109" s="509">
        <f t="shared" si="19"/>
        <v>335047.42424242425</v>
      </c>
      <c r="F109" s="510">
        <f t="shared" si="11"/>
        <v>7931775.7907828316</v>
      </c>
      <c r="G109" s="510">
        <f t="shared" si="12"/>
        <v>8099299.5029040435</v>
      </c>
      <c r="H109" s="523">
        <f t="shared" si="13"/>
        <v>1209846.4940922437</v>
      </c>
      <c r="I109" s="572">
        <f t="shared" si="14"/>
        <v>1209846.4940922437</v>
      </c>
      <c r="J109" s="504">
        <f t="shared" si="15"/>
        <v>0</v>
      </c>
      <c r="K109" s="504"/>
      <c r="L109" s="512"/>
      <c r="M109" s="504">
        <f t="shared" si="16"/>
        <v>0</v>
      </c>
      <c r="N109" s="512"/>
      <c r="O109" s="504">
        <f t="shared" si="17"/>
        <v>0</v>
      </c>
      <c r="P109" s="504">
        <f t="shared" si="18"/>
        <v>0</v>
      </c>
      <c r="Q109" s="243"/>
      <c r="R109" s="243"/>
      <c r="S109" s="243"/>
      <c r="T109" s="243"/>
      <c r="U109" s="243"/>
    </row>
    <row r="110" spans="1:21" ht="12.5">
      <c r="B110" s="145" t="str">
        <f t="shared" si="10"/>
        <v/>
      </c>
      <c r="C110" s="495">
        <f>IF(D94="","-",+C109+1)</f>
        <v>2027</v>
      </c>
      <c r="D110" s="349">
        <f>IF(F109+SUM(E$100:E109)=D$93,F109,D$93-SUM(E$100:E109))</f>
        <v>7931775.7907828316</v>
      </c>
      <c r="E110" s="509">
        <f t="shared" si="19"/>
        <v>335047.42424242425</v>
      </c>
      <c r="F110" s="510">
        <f t="shared" si="11"/>
        <v>7596728.3665404078</v>
      </c>
      <c r="G110" s="510">
        <f t="shared" si="12"/>
        <v>7764252.0786616197</v>
      </c>
      <c r="H110" s="523">
        <f t="shared" si="13"/>
        <v>1173658.281151389</v>
      </c>
      <c r="I110" s="572">
        <f t="shared" si="14"/>
        <v>1173658.281151389</v>
      </c>
      <c r="J110" s="504">
        <f t="shared" si="15"/>
        <v>0</v>
      </c>
      <c r="K110" s="504"/>
      <c r="L110" s="512"/>
      <c r="M110" s="504">
        <f t="shared" si="16"/>
        <v>0</v>
      </c>
      <c r="N110" s="512"/>
      <c r="O110" s="504">
        <f t="shared" si="17"/>
        <v>0</v>
      </c>
      <c r="P110" s="504">
        <f t="shared" si="18"/>
        <v>0</v>
      </c>
      <c r="Q110" s="243"/>
      <c r="R110" s="243"/>
      <c r="S110" s="243"/>
      <c r="T110" s="243"/>
      <c r="U110" s="243"/>
    </row>
    <row r="111" spans="1:21" ht="12.5">
      <c r="B111" s="145" t="str">
        <f t="shared" si="10"/>
        <v/>
      </c>
      <c r="C111" s="495">
        <f>IF(D94="","-",+C110+1)</f>
        <v>2028</v>
      </c>
      <c r="D111" s="349">
        <f>IF(F110+SUM(E$100:E110)=D$93,F110,D$93-SUM(E$100:E110))</f>
        <v>7596728.3665404078</v>
      </c>
      <c r="E111" s="509">
        <f t="shared" si="19"/>
        <v>335047.42424242425</v>
      </c>
      <c r="F111" s="510">
        <f t="shared" si="11"/>
        <v>7261680.9422979839</v>
      </c>
      <c r="G111" s="510">
        <f t="shared" si="12"/>
        <v>7429204.6544191958</v>
      </c>
      <c r="H111" s="523">
        <f t="shared" si="13"/>
        <v>1137470.0682105343</v>
      </c>
      <c r="I111" s="572">
        <f t="shared" si="14"/>
        <v>1137470.0682105343</v>
      </c>
      <c r="J111" s="504">
        <f t="shared" si="15"/>
        <v>0</v>
      </c>
      <c r="K111" s="504"/>
      <c r="L111" s="512"/>
      <c r="M111" s="504">
        <f t="shared" si="16"/>
        <v>0</v>
      </c>
      <c r="N111" s="512"/>
      <c r="O111" s="504">
        <f t="shared" si="17"/>
        <v>0</v>
      </c>
      <c r="P111" s="504">
        <f t="shared" si="18"/>
        <v>0</v>
      </c>
      <c r="Q111" s="243"/>
      <c r="R111" s="243"/>
      <c r="S111" s="243"/>
      <c r="T111" s="243"/>
      <c r="U111" s="243"/>
    </row>
    <row r="112" spans="1:21" ht="12.5">
      <c r="B112" s="145" t="str">
        <f t="shared" si="10"/>
        <v/>
      </c>
      <c r="C112" s="495">
        <f>IF(D94="","-",+C111+1)</f>
        <v>2029</v>
      </c>
      <c r="D112" s="349">
        <f>IF(F111+SUM(E$100:E111)=D$93,F111,D$93-SUM(E$100:E111))</f>
        <v>7261680.9422979839</v>
      </c>
      <c r="E112" s="509">
        <f t="shared" si="19"/>
        <v>335047.42424242425</v>
      </c>
      <c r="F112" s="510">
        <f t="shared" si="11"/>
        <v>6926633.5180555601</v>
      </c>
      <c r="G112" s="510">
        <f t="shared" si="12"/>
        <v>7094157.230176772</v>
      </c>
      <c r="H112" s="523">
        <f t="shared" si="13"/>
        <v>1101281.8552696796</v>
      </c>
      <c r="I112" s="572">
        <f t="shared" si="14"/>
        <v>1101281.8552696796</v>
      </c>
      <c r="J112" s="504">
        <f t="shared" si="15"/>
        <v>0</v>
      </c>
      <c r="K112" s="504"/>
      <c r="L112" s="512"/>
      <c r="M112" s="504">
        <f t="shared" si="16"/>
        <v>0</v>
      </c>
      <c r="N112" s="512"/>
      <c r="O112" s="504">
        <f t="shared" si="17"/>
        <v>0</v>
      </c>
      <c r="P112" s="504">
        <f t="shared" si="18"/>
        <v>0</v>
      </c>
      <c r="Q112" s="243"/>
      <c r="R112" s="243"/>
      <c r="S112" s="243"/>
      <c r="T112" s="243"/>
      <c r="U112" s="243"/>
    </row>
    <row r="113" spans="2:21" ht="12.5">
      <c r="B113" s="145" t="str">
        <f t="shared" si="10"/>
        <v/>
      </c>
      <c r="C113" s="495">
        <f>IF(D94="","-",+C112+1)</f>
        <v>2030</v>
      </c>
      <c r="D113" s="349">
        <f>IF(F112+SUM(E$100:E112)=D$93,F112,D$93-SUM(E$100:E112))</f>
        <v>6926633.5180555601</v>
      </c>
      <c r="E113" s="509">
        <f t="shared" si="19"/>
        <v>335047.42424242425</v>
      </c>
      <c r="F113" s="510">
        <f t="shared" si="11"/>
        <v>6591586.0938131362</v>
      </c>
      <c r="G113" s="510">
        <f t="shared" si="12"/>
        <v>6759109.8059343481</v>
      </c>
      <c r="H113" s="523">
        <f t="shared" si="13"/>
        <v>1065093.6423288248</v>
      </c>
      <c r="I113" s="572">
        <f t="shared" si="14"/>
        <v>1065093.6423288248</v>
      </c>
      <c r="J113" s="504">
        <f t="shared" si="15"/>
        <v>0</v>
      </c>
      <c r="K113" s="504"/>
      <c r="L113" s="512"/>
      <c r="M113" s="504">
        <f t="shared" si="16"/>
        <v>0</v>
      </c>
      <c r="N113" s="512"/>
      <c r="O113" s="504">
        <f t="shared" si="17"/>
        <v>0</v>
      </c>
      <c r="P113" s="504">
        <f t="shared" si="18"/>
        <v>0</v>
      </c>
      <c r="Q113" s="243"/>
      <c r="R113" s="243"/>
      <c r="S113" s="243"/>
      <c r="T113" s="243"/>
      <c r="U113" s="243"/>
    </row>
    <row r="114" spans="2:21" ht="12.5">
      <c r="B114" s="145" t="str">
        <f t="shared" si="10"/>
        <v/>
      </c>
      <c r="C114" s="495">
        <f>IF(D94="","-",+C113+1)</f>
        <v>2031</v>
      </c>
      <c r="D114" s="349">
        <f>IF(F113+SUM(E$100:E113)=D$93,F113,D$93-SUM(E$100:E113))</f>
        <v>6591586.0938131362</v>
      </c>
      <c r="E114" s="509">
        <f t="shared" si="19"/>
        <v>335047.42424242425</v>
      </c>
      <c r="F114" s="510">
        <f t="shared" si="11"/>
        <v>6256538.6695707124</v>
      </c>
      <c r="G114" s="510">
        <f t="shared" si="12"/>
        <v>6424062.3816919243</v>
      </c>
      <c r="H114" s="523">
        <f t="shared" si="13"/>
        <v>1028905.4293879701</v>
      </c>
      <c r="I114" s="572">
        <f t="shared" si="14"/>
        <v>1028905.4293879701</v>
      </c>
      <c r="J114" s="504">
        <f t="shared" si="15"/>
        <v>0</v>
      </c>
      <c r="K114" s="504"/>
      <c r="L114" s="512"/>
      <c r="M114" s="504">
        <f t="shared" si="16"/>
        <v>0</v>
      </c>
      <c r="N114" s="512"/>
      <c r="O114" s="504">
        <f t="shared" si="17"/>
        <v>0</v>
      </c>
      <c r="P114" s="504">
        <f t="shared" si="18"/>
        <v>0</v>
      </c>
      <c r="Q114" s="243"/>
      <c r="R114" s="243"/>
      <c r="S114" s="243"/>
      <c r="T114" s="243"/>
      <c r="U114" s="243"/>
    </row>
    <row r="115" spans="2:21" ht="12.5">
      <c r="B115" s="145" t="str">
        <f t="shared" si="10"/>
        <v/>
      </c>
      <c r="C115" s="495">
        <f>IF(D94="","-",+C114+1)</f>
        <v>2032</v>
      </c>
      <c r="D115" s="349">
        <f>IF(F114+SUM(E$100:E114)=D$93,F114,D$93-SUM(E$100:E114))</f>
        <v>6256538.6695707124</v>
      </c>
      <c r="E115" s="509">
        <f t="shared" si="19"/>
        <v>335047.42424242425</v>
      </c>
      <c r="F115" s="510">
        <f t="shared" si="11"/>
        <v>5921491.2453282885</v>
      </c>
      <c r="G115" s="510">
        <f t="shared" si="12"/>
        <v>6089014.9574495004</v>
      </c>
      <c r="H115" s="523">
        <f t="shared" si="13"/>
        <v>992717.21644711541</v>
      </c>
      <c r="I115" s="572">
        <f t="shared" si="14"/>
        <v>992717.21644711541</v>
      </c>
      <c r="J115" s="504">
        <f t="shared" si="15"/>
        <v>0</v>
      </c>
      <c r="K115" s="504"/>
      <c r="L115" s="512"/>
      <c r="M115" s="504">
        <f t="shared" si="16"/>
        <v>0</v>
      </c>
      <c r="N115" s="512"/>
      <c r="O115" s="504">
        <f t="shared" si="17"/>
        <v>0</v>
      </c>
      <c r="P115" s="504">
        <f t="shared" si="18"/>
        <v>0</v>
      </c>
      <c r="Q115" s="243"/>
      <c r="R115" s="243"/>
      <c r="S115" s="243"/>
      <c r="T115" s="243"/>
      <c r="U115" s="243"/>
    </row>
    <row r="116" spans="2:21" ht="12.5">
      <c r="B116" s="145" t="str">
        <f t="shared" si="10"/>
        <v/>
      </c>
      <c r="C116" s="495">
        <f>IF(D94="","-",+C115+1)</f>
        <v>2033</v>
      </c>
      <c r="D116" s="349">
        <f>IF(F115+SUM(E$100:E115)=D$93,F115,D$93-SUM(E$100:E115))</f>
        <v>5921491.2453282885</v>
      </c>
      <c r="E116" s="509">
        <f t="shared" si="19"/>
        <v>335047.42424242425</v>
      </c>
      <c r="F116" s="510">
        <f t="shared" si="11"/>
        <v>5586443.8210858647</v>
      </c>
      <c r="G116" s="510">
        <f t="shared" si="12"/>
        <v>5753967.5332070766</v>
      </c>
      <c r="H116" s="523">
        <f t="shared" si="13"/>
        <v>956529.00350626069</v>
      </c>
      <c r="I116" s="572">
        <f t="shared" si="14"/>
        <v>956529.00350626069</v>
      </c>
      <c r="J116" s="504">
        <f t="shared" si="15"/>
        <v>0</v>
      </c>
      <c r="K116" s="504"/>
      <c r="L116" s="512"/>
      <c r="M116" s="504">
        <f t="shared" si="16"/>
        <v>0</v>
      </c>
      <c r="N116" s="512"/>
      <c r="O116" s="504">
        <f t="shared" si="17"/>
        <v>0</v>
      </c>
      <c r="P116" s="504">
        <f t="shared" si="18"/>
        <v>0</v>
      </c>
      <c r="Q116" s="243"/>
      <c r="R116" s="243"/>
      <c r="S116" s="243"/>
      <c r="T116" s="243"/>
      <c r="U116" s="243"/>
    </row>
    <row r="117" spans="2:21" ht="12.5">
      <c r="B117" s="145" t="str">
        <f t="shared" si="10"/>
        <v/>
      </c>
      <c r="C117" s="495">
        <f>IF(D94="","-",+C116+1)</f>
        <v>2034</v>
      </c>
      <c r="D117" s="349">
        <f>IF(F116+SUM(E$100:E116)=D$93,F116,D$93-SUM(E$100:E116))</f>
        <v>5586443.8210858647</v>
      </c>
      <c r="E117" s="509">
        <f t="shared" si="19"/>
        <v>335047.42424242425</v>
      </c>
      <c r="F117" s="510">
        <f t="shared" si="11"/>
        <v>5251396.3968434408</v>
      </c>
      <c r="G117" s="510">
        <f t="shared" si="12"/>
        <v>5418920.1089646528</v>
      </c>
      <c r="H117" s="523">
        <f t="shared" si="13"/>
        <v>920340.79056540597</v>
      </c>
      <c r="I117" s="572">
        <f t="shared" si="14"/>
        <v>920340.79056540597</v>
      </c>
      <c r="J117" s="504">
        <f t="shared" si="15"/>
        <v>0</v>
      </c>
      <c r="K117" s="504"/>
      <c r="L117" s="512"/>
      <c r="M117" s="504">
        <f t="shared" si="16"/>
        <v>0</v>
      </c>
      <c r="N117" s="512"/>
      <c r="O117" s="504">
        <f t="shared" si="17"/>
        <v>0</v>
      </c>
      <c r="P117" s="504">
        <f t="shared" si="18"/>
        <v>0</v>
      </c>
      <c r="Q117" s="243"/>
      <c r="R117" s="243"/>
      <c r="S117" s="243"/>
      <c r="T117" s="243"/>
      <c r="U117" s="243"/>
    </row>
    <row r="118" spans="2:21" ht="12.5">
      <c r="B118" s="145" t="str">
        <f t="shared" si="10"/>
        <v/>
      </c>
      <c r="C118" s="495">
        <f>IF(D94="","-",+C117+1)</f>
        <v>2035</v>
      </c>
      <c r="D118" s="349">
        <f>IF(F117+SUM(E$100:E117)=D$93,F117,D$93-SUM(E$100:E117))</f>
        <v>5251396.3968434408</v>
      </c>
      <c r="E118" s="509">
        <f t="shared" si="19"/>
        <v>335047.42424242425</v>
      </c>
      <c r="F118" s="510">
        <f t="shared" si="11"/>
        <v>4916348.972601017</v>
      </c>
      <c r="G118" s="510">
        <f t="shared" si="12"/>
        <v>5083872.6847222289</v>
      </c>
      <c r="H118" s="523">
        <f t="shared" si="13"/>
        <v>884152.57762455125</v>
      </c>
      <c r="I118" s="572">
        <f t="shared" si="14"/>
        <v>884152.57762455125</v>
      </c>
      <c r="J118" s="504">
        <f t="shared" si="15"/>
        <v>0</v>
      </c>
      <c r="K118" s="504"/>
      <c r="L118" s="512"/>
      <c r="M118" s="504">
        <f t="shared" si="16"/>
        <v>0</v>
      </c>
      <c r="N118" s="512"/>
      <c r="O118" s="504">
        <f t="shared" si="17"/>
        <v>0</v>
      </c>
      <c r="P118" s="504">
        <f t="shared" si="18"/>
        <v>0</v>
      </c>
      <c r="Q118" s="243"/>
      <c r="R118" s="243"/>
      <c r="S118" s="243"/>
      <c r="T118" s="243"/>
      <c r="U118" s="243"/>
    </row>
    <row r="119" spans="2:21" ht="12.5">
      <c r="B119" s="145" t="str">
        <f t="shared" si="10"/>
        <v/>
      </c>
      <c r="C119" s="495">
        <f>IF(D94="","-",+C118+1)</f>
        <v>2036</v>
      </c>
      <c r="D119" s="349">
        <f>IF(F118+SUM(E$100:E118)=D$93,F118,D$93-SUM(E$100:E118))</f>
        <v>4916348.972601017</v>
      </c>
      <c r="E119" s="509">
        <f t="shared" si="19"/>
        <v>335047.42424242425</v>
      </c>
      <c r="F119" s="510">
        <f t="shared" si="11"/>
        <v>4581301.5483585931</v>
      </c>
      <c r="G119" s="510">
        <f t="shared" si="12"/>
        <v>4748825.2604798051</v>
      </c>
      <c r="H119" s="523">
        <f t="shared" si="13"/>
        <v>847964.36468369653</v>
      </c>
      <c r="I119" s="572">
        <f t="shared" si="14"/>
        <v>847964.36468369653</v>
      </c>
      <c r="J119" s="504">
        <f t="shared" si="15"/>
        <v>0</v>
      </c>
      <c r="K119" s="504"/>
      <c r="L119" s="512"/>
      <c r="M119" s="504">
        <f t="shared" si="16"/>
        <v>0</v>
      </c>
      <c r="N119" s="512"/>
      <c r="O119" s="504">
        <f t="shared" si="17"/>
        <v>0</v>
      </c>
      <c r="P119" s="504">
        <f t="shared" si="18"/>
        <v>0</v>
      </c>
      <c r="Q119" s="243"/>
      <c r="R119" s="243"/>
      <c r="S119" s="243"/>
      <c r="T119" s="243"/>
      <c r="U119" s="243"/>
    </row>
    <row r="120" spans="2:21" ht="12.5">
      <c r="B120" s="145" t="str">
        <f t="shared" si="10"/>
        <v/>
      </c>
      <c r="C120" s="495">
        <f>IF(D94="","-",+C119+1)</f>
        <v>2037</v>
      </c>
      <c r="D120" s="349">
        <f>IF(F119+SUM(E$100:E119)=D$93,F119,D$93-SUM(E$100:E119))</f>
        <v>4581301.5483585931</v>
      </c>
      <c r="E120" s="509">
        <f t="shared" si="19"/>
        <v>335047.42424242425</v>
      </c>
      <c r="F120" s="510">
        <f t="shared" si="11"/>
        <v>4246254.1241161693</v>
      </c>
      <c r="G120" s="510">
        <f t="shared" si="12"/>
        <v>4413777.8362373812</v>
      </c>
      <c r="H120" s="523">
        <f t="shared" si="13"/>
        <v>811776.15174284182</v>
      </c>
      <c r="I120" s="572">
        <f t="shared" si="14"/>
        <v>811776.15174284182</v>
      </c>
      <c r="J120" s="504">
        <f t="shared" si="15"/>
        <v>0</v>
      </c>
      <c r="K120" s="504"/>
      <c r="L120" s="512"/>
      <c r="M120" s="504">
        <f t="shared" si="16"/>
        <v>0</v>
      </c>
      <c r="N120" s="512"/>
      <c r="O120" s="504">
        <f t="shared" si="17"/>
        <v>0</v>
      </c>
      <c r="P120" s="504">
        <f t="shared" si="18"/>
        <v>0</v>
      </c>
      <c r="Q120" s="243"/>
      <c r="R120" s="243"/>
      <c r="S120" s="243"/>
      <c r="T120" s="243"/>
      <c r="U120" s="243"/>
    </row>
    <row r="121" spans="2:21" ht="12.5">
      <c r="B121" s="145" t="str">
        <f t="shared" si="10"/>
        <v/>
      </c>
      <c r="C121" s="495">
        <f>IF(D94="","-",+C120+1)</f>
        <v>2038</v>
      </c>
      <c r="D121" s="349">
        <f>IF(F120+SUM(E$100:E120)=D$93,F120,D$93-SUM(E$100:E120))</f>
        <v>4246254.1241161693</v>
      </c>
      <c r="E121" s="509">
        <f t="shared" si="19"/>
        <v>335047.42424242425</v>
      </c>
      <c r="F121" s="510">
        <f t="shared" si="11"/>
        <v>3911206.699873745</v>
      </c>
      <c r="G121" s="510">
        <f t="shared" si="12"/>
        <v>4078730.4119949574</v>
      </c>
      <c r="H121" s="523">
        <f t="shared" si="13"/>
        <v>775587.9388019871</v>
      </c>
      <c r="I121" s="572">
        <f t="shared" si="14"/>
        <v>775587.9388019871</v>
      </c>
      <c r="J121" s="504">
        <f t="shared" si="15"/>
        <v>0</v>
      </c>
      <c r="K121" s="504"/>
      <c r="L121" s="512"/>
      <c r="M121" s="504">
        <f t="shared" si="16"/>
        <v>0</v>
      </c>
      <c r="N121" s="512"/>
      <c r="O121" s="504">
        <f t="shared" si="17"/>
        <v>0</v>
      </c>
      <c r="P121" s="504">
        <f t="shared" si="18"/>
        <v>0</v>
      </c>
      <c r="Q121" s="243"/>
      <c r="R121" s="243"/>
      <c r="S121" s="243"/>
      <c r="T121" s="243"/>
      <c r="U121" s="243"/>
    </row>
    <row r="122" spans="2:21" ht="12.5">
      <c r="B122" s="145" t="str">
        <f t="shared" si="10"/>
        <v/>
      </c>
      <c r="C122" s="495">
        <f>IF(D94="","-",+C121+1)</f>
        <v>2039</v>
      </c>
      <c r="D122" s="349">
        <f>IF(F121+SUM(E$100:E121)=D$93,F121,D$93-SUM(E$100:E121))</f>
        <v>3911206.699873745</v>
      </c>
      <c r="E122" s="509">
        <f t="shared" si="19"/>
        <v>335047.42424242425</v>
      </c>
      <c r="F122" s="510">
        <f t="shared" si="11"/>
        <v>3576159.2756313207</v>
      </c>
      <c r="G122" s="510">
        <f t="shared" si="12"/>
        <v>3743682.9877525326</v>
      </c>
      <c r="H122" s="523">
        <f t="shared" si="13"/>
        <v>739399.72586113238</v>
      </c>
      <c r="I122" s="572">
        <f t="shared" si="14"/>
        <v>739399.72586113238</v>
      </c>
      <c r="J122" s="504">
        <f t="shared" si="15"/>
        <v>0</v>
      </c>
      <c r="K122" s="504"/>
      <c r="L122" s="512"/>
      <c r="M122" s="504">
        <f t="shared" si="16"/>
        <v>0</v>
      </c>
      <c r="N122" s="512"/>
      <c r="O122" s="504">
        <f t="shared" si="17"/>
        <v>0</v>
      </c>
      <c r="P122" s="504">
        <f t="shared" si="18"/>
        <v>0</v>
      </c>
      <c r="Q122" s="243"/>
      <c r="R122" s="243"/>
      <c r="S122" s="243"/>
      <c r="T122" s="243"/>
      <c r="U122" s="243"/>
    </row>
    <row r="123" spans="2:21" ht="12.5">
      <c r="B123" s="145" t="str">
        <f t="shared" si="10"/>
        <v/>
      </c>
      <c r="C123" s="495">
        <f>IF(D94="","-",+C122+1)</f>
        <v>2040</v>
      </c>
      <c r="D123" s="349">
        <f>IF(F122+SUM(E$100:E122)=D$93,F122,D$93-SUM(E$100:E122))</f>
        <v>3576159.2756313207</v>
      </c>
      <c r="E123" s="509">
        <f t="shared" si="19"/>
        <v>335047.42424242425</v>
      </c>
      <c r="F123" s="510">
        <f t="shared" si="11"/>
        <v>3241111.8513888963</v>
      </c>
      <c r="G123" s="510">
        <f t="shared" si="12"/>
        <v>3408635.5635101087</v>
      </c>
      <c r="H123" s="523">
        <f t="shared" si="13"/>
        <v>703211.51292027766</v>
      </c>
      <c r="I123" s="572">
        <f t="shared" si="14"/>
        <v>703211.51292027766</v>
      </c>
      <c r="J123" s="504">
        <f t="shared" si="15"/>
        <v>0</v>
      </c>
      <c r="K123" s="504"/>
      <c r="L123" s="512"/>
      <c r="M123" s="504">
        <f t="shared" si="16"/>
        <v>0</v>
      </c>
      <c r="N123" s="512"/>
      <c r="O123" s="504">
        <f t="shared" si="17"/>
        <v>0</v>
      </c>
      <c r="P123" s="504">
        <f t="shared" si="18"/>
        <v>0</v>
      </c>
      <c r="Q123" s="243"/>
      <c r="R123" s="243"/>
      <c r="S123" s="243"/>
      <c r="T123" s="243"/>
      <c r="U123" s="243"/>
    </row>
    <row r="124" spans="2:21" ht="12.5">
      <c r="B124" s="145" t="str">
        <f t="shared" si="10"/>
        <v/>
      </c>
      <c r="C124" s="495">
        <f>IF(D94="","-",+C123+1)</f>
        <v>2041</v>
      </c>
      <c r="D124" s="349">
        <f>IF(F123+SUM(E$100:E123)=D$93,F123,D$93-SUM(E$100:E123))</f>
        <v>3241111.8513888963</v>
      </c>
      <c r="E124" s="509">
        <f t="shared" si="19"/>
        <v>335047.42424242425</v>
      </c>
      <c r="F124" s="510">
        <f t="shared" si="11"/>
        <v>2906064.427146472</v>
      </c>
      <c r="G124" s="510">
        <f t="shared" si="12"/>
        <v>3073588.139267684</v>
      </c>
      <c r="H124" s="523">
        <f t="shared" si="13"/>
        <v>667023.29997942282</v>
      </c>
      <c r="I124" s="572">
        <f t="shared" si="14"/>
        <v>667023.29997942282</v>
      </c>
      <c r="J124" s="504">
        <f t="shared" si="15"/>
        <v>0</v>
      </c>
      <c r="K124" s="504"/>
      <c r="L124" s="512"/>
      <c r="M124" s="504">
        <f t="shared" si="16"/>
        <v>0</v>
      </c>
      <c r="N124" s="512"/>
      <c r="O124" s="504">
        <f t="shared" si="17"/>
        <v>0</v>
      </c>
      <c r="P124" s="504">
        <f t="shared" si="18"/>
        <v>0</v>
      </c>
      <c r="Q124" s="243"/>
      <c r="R124" s="243"/>
      <c r="S124" s="243"/>
      <c r="T124" s="243"/>
      <c r="U124" s="243"/>
    </row>
    <row r="125" spans="2:21" ht="12.5">
      <c r="B125" s="145" t="str">
        <f t="shared" si="10"/>
        <v/>
      </c>
      <c r="C125" s="495">
        <f>IF(D94="","-",+C124+1)</f>
        <v>2042</v>
      </c>
      <c r="D125" s="349">
        <f>IF(F124+SUM(E$100:E124)=D$93,F124,D$93-SUM(E$100:E124))</f>
        <v>2906064.427146472</v>
      </c>
      <c r="E125" s="509">
        <f t="shared" si="19"/>
        <v>335047.42424242425</v>
      </c>
      <c r="F125" s="510">
        <f t="shared" si="11"/>
        <v>2571017.0029040477</v>
      </c>
      <c r="G125" s="510">
        <f t="shared" si="12"/>
        <v>2738540.7150252601</v>
      </c>
      <c r="H125" s="523">
        <f t="shared" si="13"/>
        <v>630835.0870385681</v>
      </c>
      <c r="I125" s="572">
        <f t="shared" si="14"/>
        <v>630835.0870385681</v>
      </c>
      <c r="J125" s="504">
        <f t="shared" si="15"/>
        <v>0</v>
      </c>
      <c r="K125" s="504"/>
      <c r="L125" s="512"/>
      <c r="M125" s="504">
        <f t="shared" si="16"/>
        <v>0</v>
      </c>
      <c r="N125" s="512"/>
      <c r="O125" s="504">
        <f t="shared" si="17"/>
        <v>0</v>
      </c>
      <c r="P125" s="504">
        <f t="shared" si="18"/>
        <v>0</v>
      </c>
      <c r="Q125" s="243"/>
      <c r="R125" s="243"/>
      <c r="S125" s="243"/>
      <c r="T125" s="243"/>
      <c r="U125" s="243"/>
    </row>
    <row r="126" spans="2:21" ht="12.5">
      <c r="B126" s="145" t="str">
        <f t="shared" si="10"/>
        <v/>
      </c>
      <c r="C126" s="495">
        <f>IF(D94="","-",+C125+1)</f>
        <v>2043</v>
      </c>
      <c r="D126" s="349">
        <f>IF(F125+SUM(E$100:E125)=D$93,F125,D$93-SUM(E$100:E125))</f>
        <v>2571017.0029040477</v>
      </c>
      <c r="E126" s="509">
        <f t="shared" si="19"/>
        <v>335047.42424242425</v>
      </c>
      <c r="F126" s="510">
        <f t="shared" si="11"/>
        <v>2235969.5786616234</v>
      </c>
      <c r="G126" s="510">
        <f t="shared" si="12"/>
        <v>2403493.2907828353</v>
      </c>
      <c r="H126" s="523">
        <f t="shared" si="13"/>
        <v>594646.87409771327</v>
      </c>
      <c r="I126" s="572">
        <f t="shared" si="14"/>
        <v>594646.87409771327</v>
      </c>
      <c r="J126" s="504">
        <f t="shared" si="15"/>
        <v>0</v>
      </c>
      <c r="K126" s="504"/>
      <c r="L126" s="512"/>
      <c r="M126" s="504">
        <f t="shared" si="16"/>
        <v>0</v>
      </c>
      <c r="N126" s="512"/>
      <c r="O126" s="504">
        <f t="shared" si="17"/>
        <v>0</v>
      </c>
      <c r="P126" s="504">
        <f t="shared" si="18"/>
        <v>0</v>
      </c>
      <c r="Q126" s="243"/>
      <c r="R126" s="243"/>
      <c r="S126" s="243"/>
      <c r="T126" s="243"/>
      <c r="U126" s="243"/>
    </row>
    <row r="127" spans="2:21" ht="12.5">
      <c r="B127" s="145" t="str">
        <f t="shared" si="10"/>
        <v/>
      </c>
      <c r="C127" s="495">
        <f>IF(D94="","-",+C126+1)</f>
        <v>2044</v>
      </c>
      <c r="D127" s="349">
        <f>IF(F126+SUM(E$100:E126)=D$93,F126,D$93-SUM(E$100:E126))</f>
        <v>2235969.5786616234</v>
      </c>
      <c r="E127" s="509">
        <f t="shared" si="19"/>
        <v>335047.42424242425</v>
      </c>
      <c r="F127" s="510">
        <f t="shared" si="11"/>
        <v>1900922.1544191991</v>
      </c>
      <c r="G127" s="510">
        <f t="shared" si="12"/>
        <v>2068445.8665404113</v>
      </c>
      <c r="H127" s="523">
        <f t="shared" si="13"/>
        <v>558458.66115685855</v>
      </c>
      <c r="I127" s="572">
        <f t="shared" si="14"/>
        <v>558458.66115685855</v>
      </c>
      <c r="J127" s="504">
        <f t="shared" si="15"/>
        <v>0</v>
      </c>
      <c r="K127" s="504"/>
      <c r="L127" s="512"/>
      <c r="M127" s="504">
        <f t="shared" si="16"/>
        <v>0</v>
      </c>
      <c r="N127" s="512"/>
      <c r="O127" s="504">
        <f t="shared" si="17"/>
        <v>0</v>
      </c>
      <c r="P127" s="504">
        <f t="shared" si="18"/>
        <v>0</v>
      </c>
      <c r="Q127" s="243"/>
      <c r="R127" s="243"/>
      <c r="S127" s="243"/>
      <c r="T127" s="243"/>
      <c r="U127" s="243"/>
    </row>
    <row r="128" spans="2:21" ht="12.5">
      <c r="B128" s="145" t="str">
        <f t="shared" si="10"/>
        <v/>
      </c>
      <c r="C128" s="495">
        <f>IF(D94="","-",+C127+1)</f>
        <v>2045</v>
      </c>
      <c r="D128" s="349">
        <f>IF(F127+SUM(E$100:E127)=D$93,F127,D$93-SUM(E$100:E127))</f>
        <v>1900922.1544191991</v>
      </c>
      <c r="E128" s="509">
        <f t="shared" si="19"/>
        <v>335047.42424242425</v>
      </c>
      <c r="F128" s="510">
        <f t="shared" si="11"/>
        <v>1565874.7301767748</v>
      </c>
      <c r="G128" s="510">
        <f t="shared" si="12"/>
        <v>1733398.4422979869</v>
      </c>
      <c r="H128" s="523">
        <f t="shared" si="13"/>
        <v>522270.44821600383</v>
      </c>
      <c r="I128" s="572">
        <f t="shared" si="14"/>
        <v>522270.44821600383</v>
      </c>
      <c r="J128" s="504">
        <f t="shared" si="15"/>
        <v>0</v>
      </c>
      <c r="K128" s="504"/>
      <c r="L128" s="512"/>
      <c r="M128" s="504">
        <f t="shared" si="16"/>
        <v>0</v>
      </c>
      <c r="N128" s="512"/>
      <c r="O128" s="504">
        <f t="shared" si="17"/>
        <v>0</v>
      </c>
      <c r="P128" s="504">
        <f t="shared" si="18"/>
        <v>0</v>
      </c>
      <c r="Q128" s="243"/>
      <c r="R128" s="243"/>
      <c r="S128" s="243"/>
      <c r="T128" s="243"/>
      <c r="U128" s="243"/>
    </row>
    <row r="129" spans="2:21" ht="12.5">
      <c r="B129" s="145" t="str">
        <f t="shared" si="10"/>
        <v/>
      </c>
      <c r="C129" s="495">
        <f>IF(D94="","-",+C128+1)</f>
        <v>2046</v>
      </c>
      <c r="D129" s="349">
        <f>IF(F128+SUM(E$100:E128)=D$93,F128,D$93-SUM(E$100:E128))</f>
        <v>1565874.7301767748</v>
      </c>
      <c r="E129" s="509">
        <f t="shared" si="19"/>
        <v>335047.42424242425</v>
      </c>
      <c r="F129" s="510">
        <f t="shared" si="11"/>
        <v>1230827.3059343505</v>
      </c>
      <c r="G129" s="510">
        <f t="shared" si="12"/>
        <v>1398351.0180555626</v>
      </c>
      <c r="H129" s="523">
        <f t="shared" si="13"/>
        <v>486082.23527514905</v>
      </c>
      <c r="I129" s="572">
        <f t="shared" si="14"/>
        <v>486082.23527514905</v>
      </c>
      <c r="J129" s="504">
        <f t="shared" si="15"/>
        <v>0</v>
      </c>
      <c r="K129" s="504"/>
      <c r="L129" s="512"/>
      <c r="M129" s="504">
        <f t="shared" si="16"/>
        <v>0</v>
      </c>
      <c r="N129" s="512"/>
      <c r="O129" s="504">
        <f t="shared" si="17"/>
        <v>0</v>
      </c>
      <c r="P129" s="504">
        <f t="shared" si="18"/>
        <v>0</v>
      </c>
      <c r="Q129" s="243"/>
      <c r="R129" s="243"/>
      <c r="S129" s="243"/>
      <c r="T129" s="243"/>
      <c r="U129" s="243"/>
    </row>
    <row r="130" spans="2:21" ht="12.5">
      <c r="B130" s="145" t="str">
        <f t="shared" si="10"/>
        <v/>
      </c>
      <c r="C130" s="495">
        <f>IF(D94="","-",+C129+1)</f>
        <v>2047</v>
      </c>
      <c r="D130" s="349">
        <f>IF(F129+SUM(E$100:E129)=D$93,F129,D$93-SUM(E$100:E129))</f>
        <v>1230827.3059343505</v>
      </c>
      <c r="E130" s="509">
        <f t="shared" si="19"/>
        <v>335047.42424242425</v>
      </c>
      <c r="F130" s="510">
        <f t="shared" si="11"/>
        <v>895779.88169192616</v>
      </c>
      <c r="G130" s="510">
        <f t="shared" si="12"/>
        <v>1063303.5938131383</v>
      </c>
      <c r="H130" s="523">
        <f t="shared" si="13"/>
        <v>449894.02233429428</v>
      </c>
      <c r="I130" s="572">
        <f t="shared" si="14"/>
        <v>449894.02233429428</v>
      </c>
      <c r="J130" s="504">
        <f t="shared" si="15"/>
        <v>0</v>
      </c>
      <c r="K130" s="504"/>
      <c r="L130" s="512"/>
      <c r="M130" s="504">
        <f t="shared" si="16"/>
        <v>0</v>
      </c>
      <c r="N130" s="512"/>
      <c r="O130" s="504">
        <f t="shared" si="17"/>
        <v>0</v>
      </c>
      <c r="P130" s="504">
        <f t="shared" si="18"/>
        <v>0</v>
      </c>
      <c r="Q130" s="243"/>
      <c r="R130" s="243"/>
      <c r="S130" s="243"/>
      <c r="T130" s="243"/>
      <c r="U130" s="243"/>
    </row>
    <row r="131" spans="2:21" ht="12.5">
      <c r="B131" s="145" t="str">
        <f t="shared" si="10"/>
        <v/>
      </c>
      <c r="C131" s="495">
        <f>IF(D94="","-",+C130+1)</f>
        <v>2048</v>
      </c>
      <c r="D131" s="349">
        <f>IF(F130+SUM(E$100:E130)=D$93,F130,D$93-SUM(E$100:E130))</f>
        <v>895779.88169192616</v>
      </c>
      <c r="E131" s="509">
        <f t="shared" si="19"/>
        <v>335047.42424242425</v>
      </c>
      <c r="F131" s="510">
        <f t="shared" si="11"/>
        <v>560732.45744950185</v>
      </c>
      <c r="G131" s="510">
        <f t="shared" si="12"/>
        <v>728256.169570714</v>
      </c>
      <c r="H131" s="523">
        <f t="shared" si="13"/>
        <v>413705.80939343956</v>
      </c>
      <c r="I131" s="572">
        <f t="shared" si="14"/>
        <v>413705.80939343956</v>
      </c>
      <c r="J131" s="504">
        <f t="shared" si="15"/>
        <v>0</v>
      </c>
      <c r="K131" s="504"/>
      <c r="L131" s="512"/>
      <c r="M131" s="504">
        <f t="shared" si="16"/>
        <v>0</v>
      </c>
      <c r="N131" s="512"/>
      <c r="O131" s="504">
        <f t="shared" si="17"/>
        <v>0</v>
      </c>
      <c r="P131" s="504">
        <f t="shared" si="18"/>
        <v>0</v>
      </c>
      <c r="Q131" s="243"/>
      <c r="R131" s="243"/>
      <c r="S131" s="243"/>
      <c r="T131" s="243"/>
      <c r="U131" s="243"/>
    </row>
    <row r="132" spans="2:21" ht="12.5">
      <c r="B132" s="145" t="str">
        <f t="shared" si="10"/>
        <v/>
      </c>
      <c r="C132" s="495">
        <f>IF(D94="","-",+C131+1)</f>
        <v>2049</v>
      </c>
      <c r="D132" s="349">
        <f>IF(F131+SUM(E$100:E131)=D$93,F131,D$93-SUM(E$100:E131))</f>
        <v>560732.45744950185</v>
      </c>
      <c r="E132" s="509">
        <f t="shared" si="19"/>
        <v>335047.42424242425</v>
      </c>
      <c r="F132" s="510">
        <f t="shared" si="11"/>
        <v>225685.03320707759</v>
      </c>
      <c r="G132" s="510">
        <f t="shared" si="12"/>
        <v>393208.74532828969</v>
      </c>
      <c r="H132" s="523">
        <f t="shared" si="13"/>
        <v>377517.59645258478</v>
      </c>
      <c r="I132" s="572">
        <f t="shared" si="14"/>
        <v>377517.59645258478</v>
      </c>
      <c r="J132" s="504">
        <f t="shared" si="15"/>
        <v>0</v>
      </c>
      <c r="K132" s="504"/>
      <c r="L132" s="512"/>
      <c r="M132" s="504">
        <f t="shared" si="16"/>
        <v>0</v>
      </c>
      <c r="N132" s="512"/>
      <c r="O132" s="504">
        <f t="shared" si="17"/>
        <v>0</v>
      </c>
      <c r="P132" s="504">
        <f t="shared" si="18"/>
        <v>0</v>
      </c>
      <c r="Q132" s="243"/>
      <c r="R132" s="243"/>
      <c r="S132" s="243"/>
      <c r="T132" s="243"/>
      <c r="U132" s="243"/>
    </row>
    <row r="133" spans="2:21" ht="12.5">
      <c r="B133" s="145" t="str">
        <f t="shared" si="10"/>
        <v/>
      </c>
      <c r="C133" s="495">
        <f>IF(D94="","-",+C132+1)</f>
        <v>2050</v>
      </c>
      <c r="D133" s="349">
        <f>IF(F132+SUM(E$100:E132)=D$93,F132,D$93-SUM(E$100:E132))</f>
        <v>225685.03320707759</v>
      </c>
      <c r="E133" s="509">
        <f t="shared" si="19"/>
        <v>225685.03320707759</v>
      </c>
      <c r="F133" s="510">
        <f t="shared" si="11"/>
        <v>0</v>
      </c>
      <c r="G133" s="510">
        <f t="shared" si="12"/>
        <v>112842.5166035388</v>
      </c>
      <c r="H133" s="523">
        <f t="shared" si="13"/>
        <v>237873.06607694417</v>
      </c>
      <c r="I133" s="572">
        <f t="shared" si="14"/>
        <v>237873.06607694417</v>
      </c>
      <c r="J133" s="504">
        <f t="shared" si="15"/>
        <v>0</v>
      </c>
      <c r="K133" s="504"/>
      <c r="L133" s="512"/>
      <c r="M133" s="504">
        <f t="shared" si="16"/>
        <v>0</v>
      </c>
      <c r="N133" s="512"/>
      <c r="O133" s="504">
        <f t="shared" si="17"/>
        <v>0</v>
      </c>
      <c r="P133" s="504">
        <f t="shared" si="18"/>
        <v>0</v>
      </c>
      <c r="Q133" s="243"/>
      <c r="R133" s="243"/>
      <c r="S133" s="243"/>
      <c r="T133" s="243"/>
      <c r="U133" s="243"/>
    </row>
    <row r="134" spans="2:21" ht="12.5">
      <c r="B134" s="145" t="str">
        <f t="shared" si="10"/>
        <v/>
      </c>
      <c r="C134" s="495">
        <f>IF(D94="","-",+C133+1)</f>
        <v>2051</v>
      </c>
      <c r="D134" s="349">
        <f>IF(F133+SUM(E$100:E133)=D$93,F133,D$93-SUM(E$100:E133))</f>
        <v>0</v>
      </c>
      <c r="E134" s="509">
        <f t="shared" si="19"/>
        <v>0</v>
      </c>
      <c r="F134" s="510">
        <f t="shared" si="11"/>
        <v>0</v>
      </c>
      <c r="G134" s="510">
        <f t="shared" si="12"/>
        <v>0</v>
      </c>
      <c r="H134" s="523">
        <f t="shared" si="13"/>
        <v>0</v>
      </c>
      <c r="I134" s="572">
        <f t="shared" si="14"/>
        <v>0</v>
      </c>
      <c r="J134" s="504">
        <f t="shared" si="15"/>
        <v>0</v>
      </c>
      <c r="K134" s="504"/>
      <c r="L134" s="512"/>
      <c r="M134" s="504">
        <f t="shared" si="16"/>
        <v>0</v>
      </c>
      <c r="N134" s="512"/>
      <c r="O134" s="504">
        <f t="shared" si="17"/>
        <v>0</v>
      </c>
      <c r="P134" s="504">
        <f t="shared" si="18"/>
        <v>0</v>
      </c>
      <c r="Q134" s="243"/>
      <c r="R134" s="243"/>
      <c r="S134" s="243"/>
      <c r="T134" s="243"/>
      <c r="U134" s="243"/>
    </row>
    <row r="135" spans="2:21" ht="12.5">
      <c r="B135" s="145" t="str">
        <f t="shared" si="10"/>
        <v/>
      </c>
      <c r="C135" s="495">
        <f>IF(D94="","-",+C134+1)</f>
        <v>2052</v>
      </c>
      <c r="D135" s="349">
        <f>IF(F134+SUM(E$100:E134)=D$93,F134,D$93-SUM(E$100:E134))</f>
        <v>0</v>
      </c>
      <c r="E135" s="509">
        <f t="shared" ref="E135:E155" si="20">IF(+J$97&lt;F134,J$97,D135)</f>
        <v>0</v>
      </c>
      <c r="F135" s="510">
        <f t="shared" si="11"/>
        <v>0</v>
      </c>
      <c r="G135" s="510">
        <f t="shared" si="12"/>
        <v>0</v>
      </c>
      <c r="H135" s="523">
        <f t="shared" si="13"/>
        <v>0</v>
      </c>
      <c r="I135" s="572">
        <f t="shared" si="14"/>
        <v>0</v>
      </c>
      <c r="J135" s="504">
        <f t="shared" si="15"/>
        <v>0</v>
      </c>
      <c r="K135" s="504"/>
      <c r="L135" s="512"/>
      <c r="M135" s="504">
        <f t="shared" si="16"/>
        <v>0</v>
      </c>
      <c r="N135" s="512"/>
      <c r="O135" s="504">
        <f t="shared" si="17"/>
        <v>0</v>
      </c>
      <c r="P135" s="504">
        <f t="shared" si="18"/>
        <v>0</v>
      </c>
      <c r="Q135" s="243"/>
      <c r="R135" s="243"/>
      <c r="S135" s="243"/>
      <c r="T135" s="243"/>
      <c r="U135" s="243"/>
    </row>
    <row r="136" spans="2:21" ht="12.5">
      <c r="B136" s="145" t="str">
        <f t="shared" si="10"/>
        <v/>
      </c>
      <c r="C136" s="495">
        <f>IF(D94="","-",+C135+1)</f>
        <v>2053</v>
      </c>
      <c r="D136" s="349">
        <f>IF(F135+SUM(E$100:E135)=D$93,F135,D$93-SUM(E$100:E135))</f>
        <v>0</v>
      </c>
      <c r="E136" s="509">
        <f t="shared" si="20"/>
        <v>0</v>
      </c>
      <c r="F136" s="510">
        <f t="shared" si="11"/>
        <v>0</v>
      </c>
      <c r="G136" s="510">
        <f t="shared" si="12"/>
        <v>0</v>
      </c>
      <c r="H136" s="523">
        <f t="shared" si="13"/>
        <v>0</v>
      </c>
      <c r="I136" s="572">
        <f t="shared" si="14"/>
        <v>0</v>
      </c>
      <c r="J136" s="504">
        <f t="shared" si="15"/>
        <v>0</v>
      </c>
      <c r="K136" s="504"/>
      <c r="L136" s="512"/>
      <c r="M136" s="504">
        <f t="shared" si="16"/>
        <v>0</v>
      </c>
      <c r="N136" s="512"/>
      <c r="O136" s="504">
        <f t="shared" si="17"/>
        <v>0</v>
      </c>
      <c r="P136" s="504">
        <f t="shared" si="18"/>
        <v>0</v>
      </c>
      <c r="Q136" s="243"/>
      <c r="R136" s="243"/>
      <c r="S136" s="243"/>
      <c r="T136" s="243"/>
      <c r="U136" s="243"/>
    </row>
    <row r="137" spans="2:21" ht="12.5">
      <c r="B137" s="145" t="str">
        <f t="shared" si="10"/>
        <v/>
      </c>
      <c r="C137" s="495">
        <f>IF(D94="","-",+C136+1)</f>
        <v>2054</v>
      </c>
      <c r="D137" s="349">
        <f>IF(F136+SUM(E$100:E136)=D$93,F136,D$93-SUM(E$100:E136))</f>
        <v>0</v>
      </c>
      <c r="E137" s="509">
        <f t="shared" si="20"/>
        <v>0</v>
      </c>
      <c r="F137" s="510">
        <f t="shared" si="11"/>
        <v>0</v>
      </c>
      <c r="G137" s="510">
        <f t="shared" si="12"/>
        <v>0</v>
      </c>
      <c r="H137" s="523">
        <f t="shared" si="13"/>
        <v>0</v>
      </c>
      <c r="I137" s="572">
        <f t="shared" si="14"/>
        <v>0</v>
      </c>
      <c r="J137" s="504">
        <f t="shared" si="15"/>
        <v>0</v>
      </c>
      <c r="K137" s="504"/>
      <c r="L137" s="512"/>
      <c r="M137" s="504">
        <f t="shared" si="16"/>
        <v>0</v>
      </c>
      <c r="N137" s="512"/>
      <c r="O137" s="504">
        <f t="shared" si="17"/>
        <v>0</v>
      </c>
      <c r="P137" s="504">
        <f t="shared" si="18"/>
        <v>0</v>
      </c>
      <c r="Q137" s="243"/>
      <c r="R137" s="243"/>
      <c r="S137" s="243"/>
      <c r="T137" s="243"/>
      <c r="U137" s="243"/>
    </row>
    <row r="138" spans="2:21" ht="12.5">
      <c r="B138" s="145" t="str">
        <f t="shared" si="10"/>
        <v/>
      </c>
      <c r="C138" s="495">
        <f>IF(D94="","-",+C137+1)</f>
        <v>2055</v>
      </c>
      <c r="D138" s="349">
        <f>IF(F137+SUM(E$100:E137)=D$93,F137,D$93-SUM(E$100:E137))</f>
        <v>0</v>
      </c>
      <c r="E138" s="509">
        <f t="shared" si="20"/>
        <v>0</v>
      </c>
      <c r="F138" s="510">
        <f t="shared" si="11"/>
        <v>0</v>
      </c>
      <c r="G138" s="510">
        <f t="shared" si="12"/>
        <v>0</v>
      </c>
      <c r="H138" s="523">
        <f t="shared" si="13"/>
        <v>0</v>
      </c>
      <c r="I138" s="572">
        <f t="shared" si="14"/>
        <v>0</v>
      </c>
      <c r="J138" s="504">
        <f t="shared" si="15"/>
        <v>0</v>
      </c>
      <c r="K138" s="504"/>
      <c r="L138" s="512"/>
      <c r="M138" s="504">
        <f t="shared" si="16"/>
        <v>0</v>
      </c>
      <c r="N138" s="512"/>
      <c r="O138" s="504">
        <f t="shared" si="17"/>
        <v>0</v>
      </c>
      <c r="P138" s="504">
        <f t="shared" si="18"/>
        <v>0</v>
      </c>
      <c r="Q138" s="243"/>
      <c r="R138" s="243"/>
      <c r="S138" s="243"/>
      <c r="T138" s="243"/>
      <c r="U138" s="243"/>
    </row>
    <row r="139" spans="2:21" ht="12.5">
      <c r="B139" s="145" t="str">
        <f t="shared" si="10"/>
        <v/>
      </c>
      <c r="C139" s="495">
        <f>IF(D94="","-",+C138+1)</f>
        <v>2056</v>
      </c>
      <c r="D139" s="349">
        <f>IF(F138+SUM(E$100:E138)=D$93,F138,D$93-SUM(E$100:E138))</f>
        <v>0</v>
      </c>
      <c r="E139" s="509">
        <f t="shared" si="20"/>
        <v>0</v>
      </c>
      <c r="F139" s="510">
        <f t="shared" si="11"/>
        <v>0</v>
      </c>
      <c r="G139" s="510">
        <f t="shared" si="12"/>
        <v>0</v>
      </c>
      <c r="H139" s="523">
        <f t="shared" si="13"/>
        <v>0</v>
      </c>
      <c r="I139" s="572">
        <f t="shared" si="14"/>
        <v>0</v>
      </c>
      <c r="J139" s="504">
        <f t="shared" si="15"/>
        <v>0</v>
      </c>
      <c r="K139" s="504"/>
      <c r="L139" s="512"/>
      <c r="M139" s="504">
        <f t="shared" si="16"/>
        <v>0</v>
      </c>
      <c r="N139" s="512"/>
      <c r="O139" s="504">
        <f t="shared" si="17"/>
        <v>0</v>
      </c>
      <c r="P139" s="504">
        <f t="shared" si="18"/>
        <v>0</v>
      </c>
      <c r="Q139" s="243"/>
      <c r="R139" s="243"/>
      <c r="S139" s="243"/>
      <c r="T139" s="243"/>
      <c r="U139" s="243"/>
    </row>
    <row r="140" spans="2:21" ht="12.5">
      <c r="B140" s="145" t="str">
        <f t="shared" si="10"/>
        <v/>
      </c>
      <c r="C140" s="495">
        <f>IF(D94="","-",+C139+1)</f>
        <v>2057</v>
      </c>
      <c r="D140" s="349">
        <f>IF(F139+SUM(E$100:E139)=D$93,F139,D$93-SUM(E$100:E139))</f>
        <v>0</v>
      </c>
      <c r="E140" s="509">
        <f t="shared" si="20"/>
        <v>0</v>
      </c>
      <c r="F140" s="510">
        <f t="shared" si="11"/>
        <v>0</v>
      </c>
      <c r="G140" s="510">
        <f t="shared" si="12"/>
        <v>0</v>
      </c>
      <c r="H140" s="523">
        <f t="shared" si="13"/>
        <v>0</v>
      </c>
      <c r="I140" s="572">
        <f t="shared" si="14"/>
        <v>0</v>
      </c>
      <c r="J140" s="504">
        <f t="shared" si="15"/>
        <v>0</v>
      </c>
      <c r="K140" s="504"/>
      <c r="L140" s="512"/>
      <c r="M140" s="504">
        <f t="shared" si="16"/>
        <v>0</v>
      </c>
      <c r="N140" s="512"/>
      <c r="O140" s="504">
        <f t="shared" si="17"/>
        <v>0</v>
      </c>
      <c r="P140" s="504">
        <f t="shared" si="18"/>
        <v>0</v>
      </c>
      <c r="Q140" s="243"/>
      <c r="R140" s="243"/>
      <c r="S140" s="243"/>
      <c r="T140" s="243"/>
      <c r="U140" s="243"/>
    </row>
    <row r="141" spans="2:21" ht="12.5">
      <c r="B141" s="145" t="str">
        <f t="shared" si="10"/>
        <v/>
      </c>
      <c r="C141" s="495">
        <f>IF(D94="","-",+C140+1)</f>
        <v>2058</v>
      </c>
      <c r="D141" s="349">
        <f>IF(F140+SUM(E$100:E140)=D$93,F140,D$93-SUM(E$100:E140))</f>
        <v>0</v>
      </c>
      <c r="E141" s="509">
        <f t="shared" si="20"/>
        <v>0</v>
      </c>
      <c r="F141" s="510">
        <f t="shared" si="11"/>
        <v>0</v>
      </c>
      <c r="G141" s="510">
        <f t="shared" si="12"/>
        <v>0</v>
      </c>
      <c r="H141" s="523">
        <f t="shared" si="13"/>
        <v>0</v>
      </c>
      <c r="I141" s="572">
        <f t="shared" si="14"/>
        <v>0</v>
      </c>
      <c r="J141" s="504">
        <f t="shared" si="15"/>
        <v>0</v>
      </c>
      <c r="K141" s="504"/>
      <c r="L141" s="512"/>
      <c r="M141" s="504">
        <f t="shared" si="16"/>
        <v>0</v>
      </c>
      <c r="N141" s="512"/>
      <c r="O141" s="504">
        <f t="shared" si="17"/>
        <v>0</v>
      </c>
      <c r="P141" s="504">
        <f t="shared" si="18"/>
        <v>0</v>
      </c>
      <c r="Q141" s="243"/>
      <c r="R141" s="243"/>
      <c r="S141" s="243"/>
      <c r="T141" s="243"/>
      <c r="U141" s="243"/>
    </row>
    <row r="142" spans="2:21" ht="12.5">
      <c r="B142" s="145" t="str">
        <f t="shared" si="10"/>
        <v/>
      </c>
      <c r="C142" s="495">
        <f>IF(D94="","-",+C141+1)</f>
        <v>2059</v>
      </c>
      <c r="D142" s="349">
        <f>IF(F141+SUM(E$100:E141)=D$93,F141,D$93-SUM(E$100:E141))</f>
        <v>0</v>
      </c>
      <c r="E142" s="509">
        <f t="shared" si="20"/>
        <v>0</v>
      </c>
      <c r="F142" s="510">
        <f t="shared" si="11"/>
        <v>0</v>
      </c>
      <c r="G142" s="510">
        <f t="shared" si="12"/>
        <v>0</v>
      </c>
      <c r="H142" s="523">
        <f t="shared" si="13"/>
        <v>0</v>
      </c>
      <c r="I142" s="572">
        <f t="shared" si="14"/>
        <v>0</v>
      </c>
      <c r="J142" s="504">
        <f t="shared" si="15"/>
        <v>0</v>
      </c>
      <c r="K142" s="504"/>
      <c r="L142" s="512"/>
      <c r="M142" s="504">
        <f t="shared" si="16"/>
        <v>0</v>
      </c>
      <c r="N142" s="512"/>
      <c r="O142" s="504">
        <f t="shared" si="17"/>
        <v>0</v>
      </c>
      <c r="P142" s="504">
        <f t="shared" si="18"/>
        <v>0</v>
      </c>
      <c r="Q142" s="243"/>
      <c r="R142" s="243"/>
      <c r="S142" s="243"/>
      <c r="T142" s="243"/>
      <c r="U142" s="243"/>
    </row>
    <row r="143" spans="2:21" ht="12.5">
      <c r="B143" s="145" t="str">
        <f t="shared" si="10"/>
        <v/>
      </c>
      <c r="C143" s="495">
        <f>IF(D94="","-",+C142+1)</f>
        <v>2060</v>
      </c>
      <c r="D143" s="349">
        <f>IF(F142+SUM(E$100:E142)=D$93,F142,D$93-SUM(E$100:E142))</f>
        <v>0</v>
      </c>
      <c r="E143" s="509">
        <f t="shared" si="20"/>
        <v>0</v>
      </c>
      <c r="F143" s="510">
        <f t="shared" si="11"/>
        <v>0</v>
      </c>
      <c r="G143" s="510">
        <f t="shared" si="12"/>
        <v>0</v>
      </c>
      <c r="H143" s="523">
        <f t="shared" si="13"/>
        <v>0</v>
      </c>
      <c r="I143" s="572">
        <f t="shared" si="14"/>
        <v>0</v>
      </c>
      <c r="J143" s="504">
        <f t="shared" si="15"/>
        <v>0</v>
      </c>
      <c r="K143" s="504"/>
      <c r="L143" s="512"/>
      <c r="M143" s="504">
        <f t="shared" si="16"/>
        <v>0</v>
      </c>
      <c r="N143" s="512"/>
      <c r="O143" s="504">
        <f t="shared" si="17"/>
        <v>0</v>
      </c>
      <c r="P143" s="504">
        <f t="shared" si="18"/>
        <v>0</v>
      </c>
      <c r="Q143" s="243"/>
      <c r="R143" s="243"/>
      <c r="S143" s="243"/>
      <c r="T143" s="243"/>
      <c r="U143" s="243"/>
    </row>
    <row r="144" spans="2:21" ht="12.5">
      <c r="B144" s="145" t="str">
        <f t="shared" si="10"/>
        <v/>
      </c>
      <c r="C144" s="495">
        <f>IF(D94="","-",+C143+1)</f>
        <v>2061</v>
      </c>
      <c r="D144" s="349">
        <f>IF(F143+SUM(E$100:E143)=D$93,F143,D$93-SUM(E$100:E143))</f>
        <v>0</v>
      </c>
      <c r="E144" s="509">
        <f t="shared" si="20"/>
        <v>0</v>
      </c>
      <c r="F144" s="510">
        <f t="shared" si="11"/>
        <v>0</v>
      </c>
      <c r="G144" s="510">
        <f t="shared" si="12"/>
        <v>0</v>
      </c>
      <c r="H144" s="523">
        <f t="shared" si="13"/>
        <v>0</v>
      </c>
      <c r="I144" s="572">
        <f t="shared" si="14"/>
        <v>0</v>
      </c>
      <c r="J144" s="504">
        <f t="shared" si="15"/>
        <v>0</v>
      </c>
      <c r="K144" s="504"/>
      <c r="L144" s="512"/>
      <c r="M144" s="504">
        <f t="shared" si="16"/>
        <v>0</v>
      </c>
      <c r="N144" s="512"/>
      <c r="O144" s="504">
        <f t="shared" si="17"/>
        <v>0</v>
      </c>
      <c r="P144" s="504">
        <f t="shared" si="18"/>
        <v>0</v>
      </c>
      <c r="Q144" s="243"/>
      <c r="R144" s="243"/>
      <c r="S144" s="243"/>
      <c r="T144" s="243"/>
      <c r="U144" s="243"/>
    </row>
    <row r="145" spans="2:21" ht="12.5">
      <c r="B145" s="145" t="str">
        <f t="shared" si="10"/>
        <v/>
      </c>
      <c r="C145" s="495">
        <f>IF(D94="","-",+C144+1)</f>
        <v>2062</v>
      </c>
      <c r="D145" s="349">
        <f>IF(F144+SUM(E$100:E144)=D$93,F144,D$93-SUM(E$100:E144))</f>
        <v>0</v>
      </c>
      <c r="E145" s="509">
        <f t="shared" si="20"/>
        <v>0</v>
      </c>
      <c r="F145" s="510">
        <f t="shared" si="11"/>
        <v>0</v>
      </c>
      <c r="G145" s="510">
        <f t="shared" si="12"/>
        <v>0</v>
      </c>
      <c r="H145" s="523">
        <f t="shared" si="13"/>
        <v>0</v>
      </c>
      <c r="I145" s="572">
        <f t="shared" si="14"/>
        <v>0</v>
      </c>
      <c r="J145" s="504">
        <f t="shared" si="15"/>
        <v>0</v>
      </c>
      <c r="K145" s="504"/>
      <c r="L145" s="512"/>
      <c r="M145" s="504">
        <f t="shared" si="16"/>
        <v>0</v>
      </c>
      <c r="N145" s="512"/>
      <c r="O145" s="504">
        <f t="shared" si="17"/>
        <v>0</v>
      </c>
      <c r="P145" s="504">
        <f t="shared" si="18"/>
        <v>0</v>
      </c>
      <c r="Q145" s="243"/>
      <c r="R145" s="243"/>
      <c r="S145" s="243"/>
      <c r="T145" s="243"/>
      <c r="U145" s="243"/>
    </row>
    <row r="146" spans="2:21" ht="12.5">
      <c r="B146" s="145" t="str">
        <f t="shared" si="10"/>
        <v/>
      </c>
      <c r="C146" s="495">
        <f>IF(D94="","-",+C145+1)</f>
        <v>2063</v>
      </c>
      <c r="D146" s="349">
        <f>IF(F145+SUM(E$100:E145)=D$93,F145,D$93-SUM(E$100:E145))</f>
        <v>0</v>
      </c>
      <c r="E146" s="509">
        <f t="shared" si="20"/>
        <v>0</v>
      </c>
      <c r="F146" s="510">
        <f t="shared" si="11"/>
        <v>0</v>
      </c>
      <c r="G146" s="510">
        <f t="shared" si="12"/>
        <v>0</v>
      </c>
      <c r="H146" s="523">
        <f t="shared" si="13"/>
        <v>0</v>
      </c>
      <c r="I146" s="572">
        <f t="shared" si="14"/>
        <v>0</v>
      </c>
      <c r="J146" s="504">
        <f t="shared" si="15"/>
        <v>0</v>
      </c>
      <c r="K146" s="504"/>
      <c r="L146" s="512"/>
      <c r="M146" s="504">
        <f t="shared" si="16"/>
        <v>0</v>
      </c>
      <c r="N146" s="512"/>
      <c r="O146" s="504">
        <f t="shared" si="17"/>
        <v>0</v>
      </c>
      <c r="P146" s="504">
        <f t="shared" si="18"/>
        <v>0</v>
      </c>
      <c r="Q146" s="243"/>
      <c r="R146" s="243"/>
      <c r="S146" s="243"/>
      <c r="T146" s="243"/>
      <c r="U146" s="243"/>
    </row>
    <row r="147" spans="2:21" ht="12.5">
      <c r="B147" s="145" t="str">
        <f t="shared" si="10"/>
        <v/>
      </c>
      <c r="C147" s="495">
        <f>IF(D94="","-",+C146+1)</f>
        <v>2064</v>
      </c>
      <c r="D147" s="349">
        <f>IF(F146+SUM(E$100:E146)=D$93,F146,D$93-SUM(E$100:E146))</f>
        <v>0</v>
      </c>
      <c r="E147" s="509">
        <f t="shared" si="20"/>
        <v>0</v>
      </c>
      <c r="F147" s="510">
        <f t="shared" si="11"/>
        <v>0</v>
      </c>
      <c r="G147" s="510">
        <f t="shared" si="12"/>
        <v>0</v>
      </c>
      <c r="H147" s="523">
        <f t="shared" si="13"/>
        <v>0</v>
      </c>
      <c r="I147" s="572">
        <f t="shared" si="14"/>
        <v>0</v>
      </c>
      <c r="J147" s="504">
        <f t="shared" si="15"/>
        <v>0</v>
      </c>
      <c r="K147" s="504"/>
      <c r="L147" s="512"/>
      <c r="M147" s="504">
        <f t="shared" si="16"/>
        <v>0</v>
      </c>
      <c r="N147" s="512"/>
      <c r="O147" s="504">
        <f t="shared" si="17"/>
        <v>0</v>
      </c>
      <c r="P147" s="504">
        <f t="shared" si="18"/>
        <v>0</v>
      </c>
      <c r="Q147" s="243"/>
      <c r="R147" s="243"/>
      <c r="S147" s="243"/>
      <c r="T147" s="243"/>
      <c r="U147" s="243"/>
    </row>
    <row r="148" spans="2:21" ht="12.5">
      <c r="B148" s="145" t="str">
        <f t="shared" si="10"/>
        <v/>
      </c>
      <c r="C148" s="495">
        <f>IF(D94="","-",+C147+1)</f>
        <v>2065</v>
      </c>
      <c r="D148" s="349">
        <f>IF(F147+SUM(E$100:E147)=D$93,F147,D$93-SUM(E$100:E147))</f>
        <v>0</v>
      </c>
      <c r="E148" s="509">
        <f t="shared" si="20"/>
        <v>0</v>
      </c>
      <c r="F148" s="510">
        <f t="shared" si="11"/>
        <v>0</v>
      </c>
      <c r="G148" s="510">
        <f t="shared" si="12"/>
        <v>0</v>
      </c>
      <c r="H148" s="523">
        <f t="shared" si="13"/>
        <v>0</v>
      </c>
      <c r="I148" s="572">
        <f t="shared" si="14"/>
        <v>0</v>
      </c>
      <c r="J148" s="504">
        <f t="shared" si="15"/>
        <v>0</v>
      </c>
      <c r="K148" s="504"/>
      <c r="L148" s="512"/>
      <c r="M148" s="504">
        <f t="shared" si="16"/>
        <v>0</v>
      </c>
      <c r="N148" s="512"/>
      <c r="O148" s="504">
        <f t="shared" si="17"/>
        <v>0</v>
      </c>
      <c r="P148" s="504">
        <f t="shared" si="18"/>
        <v>0</v>
      </c>
      <c r="Q148" s="243"/>
      <c r="R148" s="243"/>
      <c r="S148" s="243"/>
      <c r="T148" s="243"/>
      <c r="U148" s="243"/>
    </row>
    <row r="149" spans="2:21" ht="12.5">
      <c r="B149" s="145" t="str">
        <f t="shared" si="10"/>
        <v/>
      </c>
      <c r="C149" s="495">
        <f>IF(D94="","-",+C148+1)</f>
        <v>2066</v>
      </c>
      <c r="D149" s="349">
        <f>IF(F148+SUM(E$100:E148)=D$93,F148,D$93-SUM(E$100:E148))</f>
        <v>0</v>
      </c>
      <c r="E149" s="509">
        <f t="shared" si="20"/>
        <v>0</v>
      </c>
      <c r="F149" s="510">
        <f t="shared" si="11"/>
        <v>0</v>
      </c>
      <c r="G149" s="510">
        <f t="shared" si="12"/>
        <v>0</v>
      </c>
      <c r="H149" s="523">
        <f t="shared" si="13"/>
        <v>0</v>
      </c>
      <c r="I149" s="572">
        <f t="shared" si="14"/>
        <v>0</v>
      </c>
      <c r="J149" s="504">
        <f t="shared" si="15"/>
        <v>0</v>
      </c>
      <c r="K149" s="504"/>
      <c r="L149" s="512"/>
      <c r="M149" s="504">
        <f t="shared" si="16"/>
        <v>0</v>
      </c>
      <c r="N149" s="512"/>
      <c r="O149" s="504">
        <f t="shared" si="17"/>
        <v>0</v>
      </c>
      <c r="P149" s="504">
        <f t="shared" si="18"/>
        <v>0</v>
      </c>
      <c r="Q149" s="243"/>
      <c r="R149" s="243"/>
      <c r="S149" s="243"/>
      <c r="T149" s="243"/>
      <c r="U149" s="243"/>
    </row>
    <row r="150" spans="2:21" ht="12.5">
      <c r="B150" s="145" t="str">
        <f t="shared" si="10"/>
        <v/>
      </c>
      <c r="C150" s="495">
        <f>IF(D94="","-",+C149+1)</f>
        <v>2067</v>
      </c>
      <c r="D150" s="349">
        <f>IF(F149+SUM(E$100:E149)=D$93,F149,D$93-SUM(E$100:E149))</f>
        <v>0</v>
      </c>
      <c r="E150" s="509">
        <f t="shared" si="20"/>
        <v>0</v>
      </c>
      <c r="F150" s="510">
        <f t="shared" si="11"/>
        <v>0</v>
      </c>
      <c r="G150" s="510">
        <f t="shared" si="12"/>
        <v>0</v>
      </c>
      <c r="H150" s="523">
        <f t="shared" si="13"/>
        <v>0</v>
      </c>
      <c r="I150" s="572">
        <f t="shared" si="14"/>
        <v>0</v>
      </c>
      <c r="J150" s="504">
        <f t="shared" si="15"/>
        <v>0</v>
      </c>
      <c r="K150" s="504"/>
      <c r="L150" s="512"/>
      <c r="M150" s="504">
        <f t="shared" si="16"/>
        <v>0</v>
      </c>
      <c r="N150" s="512"/>
      <c r="O150" s="504">
        <f t="shared" si="17"/>
        <v>0</v>
      </c>
      <c r="P150" s="504">
        <f t="shared" si="18"/>
        <v>0</v>
      </c>
      <c r="Q150" s="243"/>
      <c r="R150" s="243"/>
      <c r="S150" s="243"/>
      <c r="T150" s="243"/>
      <c r="U150" s="243"/>
    </row>
    <row r="151" spans="2:21" ht="12.5">
      <c r="B151" s="145" t="str">
        <f t="shared" si="10"/>
        <v/>
      </c>
      <c r="C151" s="495">
        <f>IF(D94="","-",+C150+1)</f>
        <v>2068</v>
      </c>
      <c r="D151" s="349">
        <f>IF(F150+SUM(E$100:E150)=D$93,F150,D$93-SUM(E$100:E150))</f>
        <v>0</v>
      </c>
      <c r="E151" s="509">
        <f t="shared" si="20"/>
        <v>0</v>
      </c>
      <c r="F151" s="510">
        <f t="shared" si="11"/>
        <v>0</v>
      </c>
      <c r="G151" s="510">
        <f t="shared" si="12"/>
        <v>0</v>
      </c>
      <c r="H151" s="523">
        <f t="shared" si="13"/>
        <v>0</v>
      </c>
      <c r="I151" s="572">
        <f t="shared" si="14"/>
        <v>0</v>
      </c>
      <c r="J151" s="504">
        <f t="shared" si="15"/>
        <v>0</v>
      </c>
      <c r="K151" s="504"/>
      <c r="L151" s="512"/>
      <c r="M151" s="504">
        <f t="shared" si="16"/>
        <v>0</v>
      </c>
      <c r="N151" s="512"/>
      <c r="O151" s="504">
        <f t="shared" si="17"/>
        <v>0</v>
      </c>
      <c r="P151" s="504">
        <f t="shared" si="18"/>
        <v>0</v>
      </c>
      <c r="Q151" s="243"/>
      <c r="R151" s="243"/>
      <c r="S151" s="243"/>
      <c r="T151" s="243"/>
      <c r="U151" s="243"/>
    </row>
    <row r="152" spans="2:21" ht="12.5">
      <c r="B152" s="145" t="str">
        <f t="shared" si="10"/>
        <v/>
      </c>
      <c r="C152" s="495">
        <f>IF(D94="","-",+C151+1)</f>
        <v>2069</v>
      </c>
      <c r="D152" s="349">
        <f>IF(F151+SUM(E$100:E151)=D$93,F151,D$93-SUM(E$100:E151))</f>
        <v>0</v>
      </c>
      <c r="E152" s="509">
        <f t="shared" si="20"/>
        <v>0</v>
      </c>
      <c r="F152" s="510">
        <f t="shared" si="11"/>
        <v>0</v>
      </c>
      <c r="G152" s="510">
        <f t="shared" si="12"/>
        <v>0</v>
      </c>
      <c r="H152" s="523">
        <f t="shared" si="13"/>
        <v>0</v>
      </c>
      <c r="I152" s="572">
        <f t="shared" si="14"/>
        <v>0</v>
      </c>
      <c r="J152" s="504">
        <f t="shared" si="15"/>
        <v>0</v>
      </c>
      <c r="K152" s="504"/>
      <c r="L152" s="512"/>
      <c r="M152" s="504">
        <f t="shared" si="16"/>
        <v>0</v>
      </c>
      <c r="N152" s="512"/>
      <c r="O152" s="504">
        <f t="shared" si="17"/>
        <v>0</v>
      </c>
      <c r="P152" s="504">
        <f t="shared" si="18"/>
        <v>0</v>
      </c>
      <c r="Q152" s="243"/>
      <c r="R152" s="243"/>
      <c r="S152" s="243"/>
      <c r="T152" s="243"/>
      <c r="U152" s="243"/>
    </row>
    <row r="153" spans="2:21" ht="12.5">
      <c r="B153" s="145" t="str">
        <f t="shared" si="10"/>
        <v/>
      </c>
      <c r="C153" s="495">
        <f>IF(D94="","-",+C152+1)</f>
        <v>2070</v>
      </c>
      <c r="D153" s="349">
        <f>IF(F152+SUM(E$100:E152)=D$93,F152,D$93-SUM(E$100:E152))</f>
        <v>0</v>
      </c>
      <c r="E153" s="509">
        <f t="shared" si="20"/>
        <v>0</v>
      </c>
      <c r="F153" s="510">
        <f t="shared" si="11"/>
        <v>0</v>
      </c>
      <c r="G153" s="510">
        <f t="shared" si="12"/>
        <v>0</v>
      </c>
      <c r="H153" s="523">
        <f t="shared" si="13"/>
        <v>0</v>
      </c>
      <c r="I153" s="572">
        <f t="shared" si="14"/>
        <v>0</v>
      </c>
      <c r="J153" s="504">
        <f t="shared" si="15"/>
        <v>0</v>
      </c>
      <c r="K153" s="504"/>
      <c r="L153" s="512"/>
      <c r="M153" s="504">
        <f t="shared" si="16"/>
        <v>0</v>
      </c>
      <c r="N153" s="512"/>
      <c r="O153" s="504">
        <f t="shared" si="17"/>
        <v>0</v>
      </c>
      <c r="P153" s="504">
        <f t="shared" si="18"/>
        <v>0</v>
      </c>
      <c r="Q153" s="243"/>
      <c r="R153" s="243"/>
      <c r="S153" s="243"/>
      <c r="T153" s="243"/>
      <c r="U153" s="243"/>
    </row>
    <row r="154" spans="2:21" ht="12.5">
      <c r="B154" s="145" t="str">
        <f t="shared" si="10"/>
        <v/>
      </c>
      <c r="C154" s="495">
        <f>IF(D94="","-",+C153+1)</f>
        <v>2071</v>
      </c>
      <c r="D154" s="349">
        <f>IF(F153+SUM(E$100:E153)=D$93,F153,D$93-SUM(E$100:E153))</f>
        <v>0</v>
      </c>
      <c r="E154" s="509">
        <f t="shared" si="20"/>
        <v>0</v>
      </c>
      <c r="F154" s="510">
        <f t="shared" si="11"/>
        <v>0</v>
      </c>
      <c r="G154" s="510">
        <f t="shared" si="12"/>
        <v>0</v>
      </c>
      <c r="H154" s="523">
        <f t="shared" si="13"/>
        <v>0</v>
      </c>
      <c r="I154" s="572">
        <f t="shared" si="14"/>
        <v>0</v>
      </c>
      <c r="J154" s="504">
        <f t="shared" si="15"/>
        <v>0</v>
      </c>
      <c r="K154" s="504"/>
      <c r="L154" s="512"/>
      <c r="M154" s="504">
        <f t="shared" si="16"/>
        <v>0</v>
      </c>
      <c r="N154" s="512"/>
      <c r="O154" s="504">
        <f t="shared" si="17"/>
        <v>0</v>
      </c>
      <c r="P154" s="504">
        <f t="shared" si="18"/>
        <v>0</v>
      </c>
      <c r="Q154" s="243"/>
      <c r="R154" s="243"/>
      <c r="S154" s="243"/>
      <c r="T154" s="243"/>
      <c r="U154" s="243"/>
    </row>
    <row r="155" spans="2:21" ht="13" thickBot="1">
      <c r="B155" s="145" t="str">
        <f t="shared" si="10"/>
        <v/>
      </c>
      <c r="C155" s="524">
        <f>IF(D94="","-",+C154+1)</f>
        <v>2072</v>
      </c>
      <c r="D155" s="527">
        <f>IF(F154+SUM(E$100:E154)=D$93,F154,D$93-SUM(E$100:E154))</f>
        <v>0</v>
      </c>
      <c r="E155" s="526">
        <f t="shared" si="20"/>
        <v>0</v>
      </c>
      <c r="F155" s="527">
        <f t="shared" si="11"/>
        <v>0</v>
      </c>
      <c r="G155" s="527">
        <f t="shared" si="12"/>
        <v>0</v>
      </c>
      <c r="H155" s="528">
        <f t="shared" si="13"/>
        <v>0</v>
      </c>
      <c r="I155" s="573">
        <f t="shared" si="14"/>
        <v>0</v>
      </c>
      <c r="J155" s="531">
        <f t="shared" si="15"/>
        <v>0</v>
      </c>
      <c r="K155" s="504"/>
      <c r="L155" s="530"/>
      <c r="M155" s="531">
        <f t="shared" si="16"/>
        <v>0</v>
      </c>
      <c r="N155" s="530"/>
      <c r="O155" s="531">
        <f t="shared" si="17"/>
        <v>0</v>
      </c>
      <c r="P155" s="531">
        <f t="shared" si="18"/>
        <v>0</v>
      </c>
      <c r="Q155" s="243"/>
      <c r="R155" s="243"/>
      <c r="S155" s="243"/>
      <c r="T155" s="243"/>
      <c r="U155" s="243"/>
    </row>
    <row r="156" spans="2:21" ht="12.5">
      <c r="C156" s="349" t="s">
        <v>75</v>
      </c>
      <c r="D156" s="294"/>
      <c r="E156" s="294">
        <f>SUM(E100:E155)</f>
        <v>11056565</v>
      </c>
      <c r="F156" s="294"/>
      <c r="G156" s="294"/>
      <c r="H156" s="294">
        <f>SUM(H100:H155)</f>
        <v>30986075.906263188</v>
      </c>
      <c r="I156" s="294">
        <f>SUM(I100:I155)</f>
        <v>30986075.906263188</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31 C34:C40 C44:C73">
    <cfRule type="cellIs" dxfId="22" priority="4" stopIfTrue="1" operator="equal">
      <formula>$I$10</formula>
    </cfRule>
  </conditionalFormatting>
  <conditionalFormatting sqref="C100:C155">
    <cfRule type="cellIs" dxfId="21" priority="5" stopIfTrue="1" operator="equal">
      <formula>$J$93</formula>
    </cfRule>
  </conditionalFormatting>
  <conditionalFormatting sqref="C32">
    <cfRule type="cellIs" dxfId="20" priority="3" stopIfTrue="1" operator="equal">
      <formula>$I$10</formula>
    </cfRule>
  </conditionalFormatting>
  <conditionalFormatting sqref="C33">
    <cfRule type="cellIs" dxfId="19" priority="2" stopIfTrue="1" operator="equal">
      <formula>$I$10</formula>
    </cfRule>
  </conditionalFormatting>
  <conditionalFormatting sqref="C41:C43">
    <cfRule type="cellIs" dxfId="18" priority="1" stopIfTrue="1" operator="equal">
      <formula>$I$10</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P163"/>
  <sheetViews>
    <sheetView zoomScale="85" zoomScaleNormal="85"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16 of 20</v>
      </c>
    </row>
    <row r="2" spans="1:16" ht="17.5">
      <c r="B2" s="243"/>
      <c r="C2" s="243"/>
      <c r="D2" s="292"/>
      <c r="E2" s="243"/>
      <c r="F2" s="243"/>
      <c r="G2" s="243"/>
      <c r="H2" s="325"/>
      <c r="I2" s="243"/>
      <c r="J2" s="278"/>
      <c r="K2" s="243"/>
      <c r="L2" s="243"/>
      <c r="M2" s="243"/>
      <c r="N2" s="243"/>
      <c r="P2" s="441" t="s">
        <v>131</v>
      </c>
    </row>
    <row r="3" spans="1:16" ht="18">
      <c r="B3" s="233" t="s">
        <v>42</v>
      </c>
      <c r="C3" s="305" t="s">
        <v>43</v>
      </c>
      <c r="D3" s="292"/>
      <c r="E3" s="243"/>
      <c r="F3" s="243"/>
      <c r="G3" s="243"/>
      <c r="H3" s="325"/>
      <c r="I3" s="325"/>
      <c r="J3" s="294"/>
      <c r="K3" s="325"/>
      <c r="L3" s="325"/>
      <c r="M3" s="325"/>
      <c r="N3" s="325"/>
      <c r="O3" s="243"/>
      <c r="P3" s="577">
        <v>1</v>
      </c>
    </row>
    <row r="4" spans="1:16" ht="16" thickBot="1">
      <c r="C4" s="304"/>
      <c r="D4" s="292"/>
      <c r="E4" s="243"/>
      <c r="F4" s="243"/>
      <c r="G4" s="243"/>
      <c r="H4" s="325"/>
      <c r="I4" s="325"/>
      <c r="J4" s="294"/>
      <c r="K4" s="325"/>
      <c r="L4" s="325"/>
      <c r="M4" s="325"/>
      <c r="N4" s="325"/>
      <c r="O4" s="243"/>
      <c r="P4" s="243"/>
    </row>
    <row r="5" spans="1:16" ht="15.5">
      <c r="C5" s="443" t="s">
        <v>44</v>
      </c>
      <c r="D5" s="292"/>
      <c r="E5" s="243"/>
      <c r="F5" s="243"/>
      <c r="G5" s="444"/>
      <c r="H5" s="243" t="s">
        <v>45</v>
      </c>
      <c r="I5" s="243"/>
      <c r="J5" s="278"/>
      <c r="K5" s="445" t="s">
        <v>242</v>
      </c>
      <c r="L5" s="446"/>
      <c r="M5" s="447"/>
      <c r="N5" s="448">
        <f>VLOOKUP(I10,C17:I73,5)</f>
        <v>1249589.4972268606</v>
      </c>
      <c r="P5" s="243"/>
    </row>
    <row r="6" spans="1:16" ht="15.5">
      <c r="C6" s="235"/>
      <c r="D6" s="292"/>
      <c r="E6" s="243"/>
      <c r="F6" s="243"/>
      <c r="G6" s="243"/>
      <c r="H6" s="449"/>
      <c r="I6" s="449"/>
      <c r="J6" s="450"/>
      <c r="K6" s="451" t="s">
        <v>243</v>
      </c>
      <c r="L6" s="452"/>
      <c r="M6" s="278"/>
      <c r="N6" s="453">
        <f>VLOOKUP(I10,C17:I73,6)</f>
        <v>1249589.4972268606</v>
      </c>
      <c r="O6" s="243"/>
      <c r="P6" s="243"/>
    </row>
    <row r="7" spans="1:16" ht="13.5" thickBot="1">
      <c r="C7" s="454" t="s">
        <v>46</v>
      </c>
      <c r="D7" s="637" t="s">
        <v>246</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261</v>
      </c>
      <c r="E9" s="647" t="s">
        <v>297</v>
      </c>
      <c r="F9" s="465"/>
      <c r="G9" s="465"/>
      <c r="H9" s="465"/>
      <c r="I9" s="466"/>
      <c r="J9" s="467"/>
      <c r="O9" s="468"/>
      <c r="P9" s="278"/>
    </row>
    <row r="10" spans="1:16" ht="13">
      <c r="C10" s="469" t="s">
        <v>49</v>
      </c>
      <c r="D10" s="470">
        <v>9662951</v>
      </c>
      <c r="E10" s="299" t="s">
        <v>50</v>
      </c>
      <c r="F10" s="468"/>
      <c r="G10" s="408"/>
      <c r="H10" s="408"/>
      <c r="I10" s="471">
        <f>+OKT.WS.F.BPU.ATRR.Projected!R101</f>
        <v>2021</v>
      </c>
      <c r="J10" s="467"/>
      <c r="K10" s="294" t="s">
        <v>51</v>
      </c>
      <c r="O10" s="278"/>
      <c r="P10" s="278"/>
    </row>
    <row r="11" spans="1:16" ht="12.5">
      <c r="C11" s="472" t="s">
        <v>52</v>
      </c>
      <c r="D11" s="473">
        <v>2017</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ht="12.5">
      <c r="C12" s="472" t="s">
        <v>54</v>
      </c>
      <c r="D12" s="470">
        <v>7</v>
      </c>
      <c r="E12" s="472" t="s">
        <v>55</v>
      </c>
      <c r="F12" s="408"/>
      <c r="G12" s="220"/>
      <c r="H12" s="220"/>
      <c r="I12" s="476">
        <f>OKT.WS.F.BPU.ATRR.Projected!$F$79</f>
        <v>0.10818506718567715</v>
      </c>
      <c r="J12" s="413"/>
      <c r="K12" s="145" t="s">
        <v>56</v>
      </c>
      <c r="O12" s="278"/>
      <c r="P12" s="278"/>
    </row>
    <row r="13" spans="1:16"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row>
    <row r="14" spans="1:16" ht="13" thickBot="1">
      <c r="C14" s="472" t="s">
        <v>60</v>
      </c>
      <c r="D14" s="473" t="s">
        <v>61</v>
      </c>
      <c r="E14" s="278" t="s">
        <v>62</v>
      </c>
      <c r="F14" s="408"/>
      <c r="G14" s="220"/>
      <c r="H14" s="220"/>
      <c r="I14" s="477">
        <f>IF(D10=0,0,D10/D13)</f>
        <v>311708.09677419357</v>
      </c>
      <c r="J14" s="294"/>
      <c r="K14" s="294"/>
      <c r="L14" s="294"/>
      <c r="M14" s="294"/>
      <c r="N14" s="294"/>
      <c r="O14" s="278"/>
      <c r="P14" s="278"/>
    </row>
    <row r="15" spans="1:16"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ht="12.5">
      <c r="B17" s="145" t="str">
        <f t="shared" ref="B17:B71" si="0">IF(D17=F16,"","IU")</f>
        <v>IU</v>
      </c>
      <c r="C17" s="495">
        <f>IF(D11= "","-",D11)</f>
        <v>2017</v>
      </c>
      <c r="D17" s="612">
        <v>0</v>
      </c>
      <c r="E17" s="620">
        <v>72904.982539658653</v>
      </c>
      <c r="F17" s="612">
        <v>8826095.0174603406</v>
      </c>
      <c r="G17" s="620">
        <v>558075.303653282</v>
      </c>
      <c r="H17" s="617">
        <v>558075.303653282</v>
      </c>
      <c r="I17" s="500">
        <f>H17-G17</f>
        <v>0</v>
      </c>
      <c r="J17" s="500"/>
      <c r="K17" s="501">
        <f>+G17</f>
        <v>558075.303653282</v>
      </c>
      <c r="L17" s="503">
        <f t="shared" ref="L17:L71" si="1">IF(K17&lt;&gt;0,+G17-K17,0)</f>
        <v>0</v>
      </c>
      <c r="M17" s="501">
        <f>+H17</f>
        <v>558075.303653282</v>
      </c>
      <c r="N17" s="503">
        <f t="shared" ref="N17:N71" si="2">IF(M17&lt;&gt;0,+H17-M17,0)</f>
        <v>0</v>
      </c>
      <c r="O17" s="504">
        <f t="shared" ref="O17:O71" si="3">+N17-L17</f>
        <v>0</v>
      </c>
      <c r="P17" s="278"/>
    </row>
    <row r="18" spans="2:16" ht="12.5">
      <c r="B18" s="145" t="str">
        <f t="shared" si="0"/>
        <v/>
      </c>
      <c r="C18" s="495">
        <f>IF(D11="","-",+C17+1)</f>
        <v>2018</v>
      </c>
      <c r="D18" s="614">
        <v>8826095.0174603406</v>
      </c>
      <c r="E18" s="613">
        <v>218244.25465113699</v>
      </c>
      <c r="F18" s="614">
        <v>8607850.7628092039</v>
      </c>
      <c r="G18" s="613">
        <v>1104094.8534187796</v>
      </c>
      <c r="H18" s="617">
        <v>1104094.8534187796</v>
      </c>
      <c r="I18" s="500">
        <f t="shared" ref="I18:I71" si="4">H18-G18</f>
        <v>0</v>
      </c>
      <c r="J18" s="500"/>
      <c r="K18" s="592">
        <f>+G18</f>
        <v>1104094.8534187796</v>
      </c>
      <c r="L18" s="596">
        <f t="shared" si="1"/>
        <v>0</v>
      </c>
      <c r="M18" s="592">
        <f>+H18</f>
        <v>1104094.8534187796</v>
      </c>
      <c r="N18" s="504">
        <f t="shared" si="2"/>
        <v>0</v>
      </c>
      <c r="O18" s="504">
        <f t="shared" si="3"/>
        <v>0</v>
      </c>
      <c r="P18" s="278"/>
    </row>
    <row r="19" spans="2:16" ht="12.5">
      <c r="B19" s="145" t="str">
        <f t="shared" si="0"/>
        <v/>
      </c>
      <c r="C19" s="495">
        <f>IF(D11="","-",+C18+1)</f>
        <v>2019</v>
      </c>
      <c r="D19" s="614">
        <v>8607850.7628092039</v>
      </c>
      <c r="E19" s="613">
        <v>263934.0787603631</v>
      </c>
      <c r="F19" s="614">
        <v>8343916.6840488408</v>
      </c>
      <c r="G19" s="613">
        <v>1144883.2286713799</v>
      </c>
      <c r="H19" s="617">
        <v>1144883.2286713799</v>
      </c>
      <c r="I19" s="500">
        <f t="shared" si="4"/>
        <v>0</v>
      </c>
      <c r="J19" s="500"/>
      <c r="K19" s="592">
        <f>+G19</f>
        <v>1144883.2286713799</v>
      </c>
      <c r="L19" s="596">
        <f t="shared" ref="L19" si="5">IF(K19&lt;&gt;0,+G19-K19,0)</f>
        <v>0</v>
      </c>
      <c r="M19" s="592">
        <f>+H19</f>
        <v>1144883.2286713799</v>
      </c>
      <c r="N19" s="504">
        <f t="shared" ref="N19" si="6">IF(M19&lt;&gt;0,+H19-M19,0)</f>
        <v>0</v>
      </c>
      <c r="O19" s="504">
        <f t="shared" ref="O19" si="7">+N19-L19</f>
        <v>0</v>
      </c>
      <c r="P19" s="278"/>
    </row>
    <row r="20" spans="2:16" ht="12.5">
      <c r="B20" s="145" t="str">
        <f t="shared" si="0"/>
        <v>IU</v>
      </c>
      <c r="C20" s="495">
        <f>IF(D11="","-",+C19+1)</f>
        <v>2020</v>
      </c>
      <c r="D20" s="614">
        <v>9147876.5081580672</v>
      </c>
      <c r="E20" s="613">
        <v>282782.06007850129</v>
      </c>
      <c r="F20" s="614">
        <v>8865094.4480795655</v>
      </c>
      <c r="G20" s="613">
        <v>1227854.794149773</v>
      </c>
      <c r="H20" s="617">
        <v>1227854.794149773</v>
      </c>
      <c r="I20" s="500">
        <f t="shared" si="4"/>
        <v>0</v>
      </c>
      <c r="J20" s="500"/>
      <c r="K20" s="592">
        <f>+G20</f>
        <v>1227854.794149773</v>
      </c>
      <c r="L20" s="596">
        <f t="shared" ref="L20" si="8">IF(K20&lt;&gt;0,+G20-K20,0)</f>
        <v>0</v>
      </c>
      <c r="M20" s="592">
        <f>+H20</f>
        <v>1227854.794149773</v>
      </c>
      <c r="N20" s="504">
        <f t="shared" si="2"/>
        <v>0</v>
      </c>
      <c r="O20" s="504">
        <f t="shared" si="3"/>
        <v>0</v>
      </c>
      <c r="P20" s="278"/>
    </row>
    <row r="21" spans="2:16" ht="12.5">
      <c r="B21" s="145" t="str">
        <f t="shared" si="0"/>
        <v>IU</v>
      </c>
      <c r="C21" s="495">
        <f>IF(D11="","-",+C20+1)</f>
        <v>2021</v>
      </c>
      <c r="D21" s="508">
        <f>IF(F20+SUM(E$17:E20)=D$10,F20,D$10-SUM(E$17:E20))</f>
        <v>8825085.6239703409</v>
      </c>
      <c r="E21" s="509">
        <f t="shared" ref="E21:E49" si="9">IF(+I$14&lt;F20,I$14,D21)</f>
        <v>311708.09677419357</v>
      </c>
      <c r="F21" s="510">
        <f t="shared" ref="F21:F71" si="10">+D21-E21</f>
        <v>8513377.5271961465</v>
      </c>
      <c r="G21" s="511">
        <f t="shared" ref="G21:G48" si="11">(D21+F21)/2*I$12+E21</f>
        <v>1249589.4972268606</v>
      </c>
      <c r="H21" s="477">
        <f t="shared" ref="H21:H48" si="12">+(D21+F21)/2*I$13+E21</f>
        <v>1249589.4972268606</v>
      </c>
      <c r="I21" s="500">
        <f t="shared" si="4"/>
        <v>0</v>
      </c>
      <c r="J21" s="500"/>
      <c r="K21" s="512"/>
      <c r="L21" s="504">
        <f t="shared" si="1"/>
        <v>0</v>
      </c>
      <c r="M21" s="512"/>
      <c r="N21" s="504">
        <f t="shared" si="2"/>
        <v>0</v>
      </c>
      <c r="O21" s="504">
        <f t="shared" si="3"/>
        <v>0</v>
      </c>
      <c r="P21" s="278"/>
    </row>
    <row r="22" spans="2:16" ht="12.5">
      <c r="B22" s="145" t="str">
        <f t="shared" si="0"/>
        <v/>
      </c>
      <c r="C22" s="495">
        <f>IF(D11="","-",+C21+1)</f>
        <v>2022</v>
      </c>
      <c r="D22" s="508">
        <f>IF(F21+SUM(E$17:E21)=D$10,F21,D$10-SUM(E$17:E21))</f>
        <v>8513377.5271961465</v>
      </c>
      <c r="E22" s="509">
        <f t="shared" si="9"/>
        <v>311708.09677419357</v>
      </c>
      <c r="F22" s="510">
        <f t="shared" si="10"/>
        <v>8201669.4304219531</v>
      </c>
      <c r="G22" s="511">
        <f t="shared" si="11"/>
        <v>1215867.3358350247</v>
      </c>
      <c r="H22" s="477">
        <f t="shared" si="12"/>
        <v>1215867.3358350247</v>
      </c>
      <c r="I22" s="500">
        <f t="shared" si="4"/>
        <v>0</v>
      </c>
      <c r="J22" s="500"/>
      <c r="K22" s="512"/>
      <c r="L22" s="504">
        <f t="shared" si="1"/>
        <v>0</v>
      </c>
      <c r="M22" s="512"/>
      <c r="N22" s="504">
        <f t="shared" si="2"/>
        <v>0</v>
      </c>
      <c r="O22" s="504">
        <f t="shared" si="3"/>
        <v>0</v>
      </c>
      <c r="P22" s="278"/>
    </row>
    <row r="23" spans="2:16" ht="12.5">
      <c r="B23" s="145" t="str">
        <f t="shared" si="0"/>
        <v/>
      </c>
      <c r="C23" s="495">
        <f>IF(D11="","-",+C22+1)</f>
        <v>2023</v>
      </c>
      <c r="D23" s="508">
        <f>IF(F22+SUM(E$17:E22)=D$10,F22,D$10-SUM(E$17:E22))</f>
        <v>8201669.4304219531</v>
      </c>
      <c r="E23" s="509">
        <f t="shared" si="9"/>
        <v>311708.09677419357</v>
      </c>
      <c r="F23" s="510">
        <f t="shared" si="10"/>
        <v>7889961.3336477596</v>
      </c>
      <c r="G23" s="511">
        <f t="shared" si="11"/>
        <v>1182145.1744431891</v>
      </c>
      <c r="H23" s="477">
        <f t="shared" si="12"/>
        <v>1182145.1744431891</v>
      </c>
      <c r="I23" s="500">
        <f t="shared" si="4"/>
        <v>0</v>
      </c>
      <c r="J23" s="500"/>
      <c r="K23" s="512"/>
      <c r="L23" s="504">
        <f t="shared" si="1"/>
        <v>0</v>
      </c>
      <c r="M23" s="512"/>
      <c r="N23" s="504">
        <f t="shared" si="2"/>
        <v>0</v>
      </c>
      <c r="O23" s="504">
        <f t="shared" si="3"/>
        <v>0</v>
      </c>
      <c r="P23" s="278"/>
    </row>
    <row r="24" spans="2:16" ht="12.5">
      <c r="B24" s="145" t="str">
        <f t="shared" si="0"/>
        <v/>
      </c>
      <c r="C24" s="495">
        <f>IF(D11="","-",+C23+1)</f>
        <v>2024</v>
      </c>
      <c r="D24" s="508">
        <f>IF(F23+SUM(E$17:E23)=D$10,F23,D$10-SUM(E$17:E23))</f>
        <v>7889961.3336477596</v>
      </c>
      <c r="E24" s="509">
        <f t="shared" si="9"/>
        <v>311708.09677419357</v>
      </c>
      <c r="F24" s="510">
        <f t="shared" si="10"/>
        <v>7578253.2368735662</v>
      </c>
      <c r="G24" s="511">
        <f t="shared" si="11"/>
        <v>1148423.0130513534</v>
      </c>
      <c r="H24" s="477">
        <f t="shared" si="12"/>
        <v>1148423.0130513534</v>
      </c>
      <c r="I24" s="500">
        <f t="shared" si="4"/>
        <v>0</v>
      </c>
      <c r="J24" s="500"/>
      <c r="K24" s="512"/>
      <c r="L24" s="504">
        <f t="shared" si="1"/>
        <v>0</v>
      </c>
      <c r="M24" s="512"/>
      <c r="N24" s="504">
        <f t="shared" si="2"/>
        <v>0</v>
      </c>
      <c r="O24" s="504">
        <f t="shared" si="3"/>
        <v>0</v>
      </c>
      <c r="P24" s="278"/>
    </row>
    <row r="25" spans="2:16" ht="12.5">
      <c r="B25" s="145" t="str">
        <f t="shared" si="0"/>
        <v/>
      </c>
      <c r="C25" s="495">
        <f>IF(D11="","-",+C24+1)</f>
        <v>2025</v>
      </c>
      <c r="D25" s="508">
        <f>IF(F24+SUM(E$17:E24)=D$10,F24,D$10-SUM(E$17:E24))</f>
        <v>7578253.2368735662</v>
      </c>
      <c r="E25" s="509">
        <f t="shared" si="9"/>
        <v>311708.09677419357</v>
      </c>
      <c r="F25" s="510">
        <f t="shared" si="10"/>
        <v>7266545.1400993727</v>
      </c>
      <c r="G25" s="511">
        <f t="shared" si="11"/>
        <v>1114700.8516595177</v>
      </c>
      <c r="H25" s="477">
        <f t="shared" si="12"/>
        <v>1114700.8516595177</v>
      </c>
      <c r="I25" s="500">
        <f t="shared" si="4"/>
        <v>0</v>
      </c>
      <c r="J25" s="500"/>
      <c r="K25" s="512"/>
      <c r="L25" s="504">
        <f t="shared" si="1"/>
        <v>0</v>
      </c>
      <c r="M25" s="512"/>
      <c r="N25" s="504">
        <f t="shared" si="2"/>
        <v>0</v>
      </c>
      <c r="O25" s="504">
        <f t="shared" si="3"/>
        <v>0</v>
      </c>
      <c r="P25" s="278"/>
    </row>
    <row r="26" spans="2:16" ht="12.5">
      <c r="B26" s="145" t="str">
        <f t="shared" si="0"/>
        <v/>
      </c>
      <c r="C26" s="495">
        <f>IF(D11="","-",+C25+1)</f>
        <v>2026</v>
      </c>
      <c r="D26" s="508">
        <f>IF(F25+SUM(E$17:E25)=D$10,F25,D$10-SUM(E$17:E25))</f>
        <v>7266545.1400993727</v>
      </c>
      <c r="E26" s="509">
        <f t="shared" si="9"/>
        <v>311708.09677419357</v>
      </c>
      <c r="F26" s="510">
        <f t="shared" si="10"/>
        <v>6954837.0433251793</v>
      </c>
      <c r="G26" s="511">
        <f t="shared" si="11"/>
        <v>1080978.6902676821</v>
      </c>
      <c r="H26" s="477">
        <f t="shared" si="12"/>
        <v>1080978.6902676821</v>
      </c>
      <c r="I26" s="500">
        <f t="shared" si="4"/>
        <v>0</v>
      </c>
      <c r="J26" s="500"/>
      <c r="K26" s="512"/>
      <c r="L26" s="504">
        <f t="shared" si="1"/>
        <v>0</v>
      </c>
      <c r="M26" s="512"/>
      <c r="N26" s="504">
        <f t="shared" si="2"/>
        <v>0</v>
      </c>
      <c r="O26" s="504">
        <f t="shared" si="3"/>
        <v>0</v>
      </c>
      <c r="P26" s="278"/>
    </row>
    <row r="27" spans="2:16" ht="12.5">
      <c r="B27" s="145" t="str">
        <f t="shared" si="0"/>
        <v/>
      </c>
      <c r="C27" s="495">
        <f>IF(D11="","-",+C26+1)</f>
        <v>2027</v>
      </c>
      <c r="D27" s="508">
        <f>IF(F26+SUM(E$17:E26)=D$10,F26,D$10-SUM(E$17:E26))</f>
        <v>6954837.0433251793</v>
      </c>
      <c r="E27" s="509">
        <f t="shared" si="9"/>
        <v>311708.09677419357</v>
      </c>
      <c r="F27" s="510">
        <f t="shared" si="10"/>
        <v>6643128.9465509858</v>
      </c>
      <c r="G27" s="511">
        <f t="shared" si="11"/>
        <v>1047256.5288758465</v>
      </c>
      <c r="H27" s="477">
        <f t="shared" si="12"/>
        <v>1047256.5288758465</v>
      </c>
      <c r="I27" s="500">
        <f t="shared" si="4"/>
        <v>0</v>
      </c>
      <c r="J27" s="500"/>
      <c r="K27" s="512"/>
      <c r="L27" s="504">
        <f t="shared" si="1"/>
        <v>0</v>
      </c>
      <c r="M27" s="512"/>
      <c r="N27" s="504">
        <f t="shared" si="2"/>
        <v>0</v>
      </c>
      <c r="O27" s="504">
        <f t="shared" si="3"/>
        <v>0</v>
      </c>
      <c r="P27" s="278"/>
    </row>
    <row r="28" spans="2:16" ht="12.5">
      <c r="B28" s="145" t="str">
        <f t="shared" si="0"/>
        <v/>
      </c>
      <c r="C28" s="495">
        <f>IF(D11="","-",+C27+1)</f>
        <v>2028</v>
      </c>
      <c r="D28" s="508">
        <f>IF(F27+SUM(E$17:E27)=D$10,F27,D$10-SUM(E$17:E27))</f>
        <v>6643128.9465509858</v>
      </c>
      <c r="E28" s="509">
        <f t="shared" si="9"/>
        <v>311708.09677419357</v>
      </c>
      <c r="F28" s="510">
        <f t="shared" si="10"/>
        <v>6331420.8497767923</v>
      </c>
      <c r="G28" s="511">
        <f t="shared" si="11"/>
        <v>1013534.3674840108</v>
      </c>
      <c r="H28" s="477">
        <f t="shared" si="12"/>
        <v>1013534.3674840108</v>
      </c>
      <c r="I28" s="500">
        <f t="shared" si="4"/>
        <v>0</v>
      </c>
      <c r="J28" s="500"/>
      <c r="K28" s="512"/>
      <c r="L28" s="504">
        <f t="shared" si="1"/>
        <v>0</v>
      </c>
      <c r="M28" s="512"/>
      <c r="N28" s="504">
        <f t="shared" si="2"/>
        <v>0</v>
      </c>
      <c r="O28" s="504">
        <f t="shared" si="3"/>
        <v>0</v>
      </c>
      <c r="P28" s="278"/>
    </row>
    <row r="29" spans="2:16" ht="12.5">
      <c r="B29" s="145" t="str">
        <f t="shared" si="0"/>
        <v/>
      </c>
      <c r="C29" s="495">
        <f>IF(D11="","-",+C28+1)</f>
        <v>2029</v>
      </c>
      <c r="D29" s="508">
        <f>IF(F28+SUM(E$17:E28)=D$10,F28,D$10-SUM(E$17:E28))</f>
        <v>6331420.8497767923</v>
      </c>
      <c r="E29" s="509">
        <f t="shared" si="9"/>
        <v>311708.09677419357</v>
      </c>
      <c r="F29" s="510">
        <f t="shared" si="10"/>
        <v>6019712.7530025989</v>
      </c>
      <c r="G29" s="511">
        <f t="shared" si="11"/>
        <v>979812.20609217521</v>
      </c>
      <c r="H29" s="477">
        <f t="shared" si="12"/>
        <v>979812.20609217521</v>
      </c>
      <c r="I29" s="500">
        <f t="shared" si="4"/>
        <v>0</v>
      </c>
      <c r="J29" s="500"/>
      <c r="K29" s="512"/>
      <c r="L29" s="504">
        <f t="shared" si="1"/>
        <v>0</v>
      </c>
      <c r="M29" s="512"/>
      <c r="N29" s="504">
        <f t="shared" si="2"/>
        <v>0</v>
      </c>
      <c r="O29" s="504">
        <f t="shared" si="3"/>
        <v>0</v>
      </c>
      <c r="P29" s="278"/>
    </row>
    <row r="30" spans="2:16" ht="12.5">
      <c r="B30" s="145" t="str">
        <f t="shared" si="0"/>
        <v/>
      </c>
      <c r="C30" s="495">
        <f>IF(D11="","-",+C29+1)</f>
        <v>2030</v>
      </c>
      <c r="D30" s="508">
        <f>IF(F29+SUM(E$17:E29)=D$10,F29,D$10-SUM(E$17:E29))</f>
        <v>6019712.7530025989</v>
      </c>
      <c r="E30" s="509">
        <f t="shared" si="9"/>
        <v>311708.09677419357</v>
      </c>
      <c r="F30" s="510">
        <f t="shared" si="10"/>
        <v>5708004.6562284054</v>
      </c>
      <c r="G30" s="511">
        <f t="shared" si="11"/>
        <v>946090.04470033944</v>
      </c>
      <c r="H30" s="477">
        <f t="shared" si="12"/>
        <v>946090.04470033944</v>
      </c>
      <c r="I30" s="500">
        <f t="shared" si="4"/>
        <v>0</v>
      </c>
      <c r="J30" s="500"/>
      <c r="K30" s="512"/>
      <c r="L30" s="504">
        <f t="shared" si="1"/>
        <v>0</v>
      </c>
      <c r="M30" s="512"/>
      <c r="N30" s="504">
        <f t="shared" si="2"/>
        <v>0</v>
      </c>
      <c r="O30" s="504">
        <f t="shared" si="3"/>
        <v>0</v>
      </c>
      <c r="P30" s="278"/>
    </row>
    <row r="31" spans="2:16" ht="12.5">
      <c r="B31" s="145" t="str">
        <f t="shared" si="0"/>
        <v/>
      </c>
      <c r="C31" s="495">
        <f>IF(D11="","-",+C30+1)</f>
        <v>2031</v>
      </c>
      <c r="D31" s="508">
        <f>IF(F30+SUM(E$17:E30)=D$10,F30,D$10-SUM(E$17:E30))</f>
        <v>5708004.6562284054</v>
      </c>
      <c r="E31" s="509">
        <f t="shared" si="9"/>
        <v>311708.09677419357</v>
      </c>
      <c r="F31" s="510">
        <f t="shared" si="10"/>
        <v>5396296.559454212</v>
      </c>
      <c r="G31" s="511">
        <f t="shared" si="11"/>
        <v>912367.88330850378</v>
      </c>
      <c r="H31" s="477">
        <f t="shared" si="12"/>
        <v>912367.88330850378</v>
      </c>
      <c r="I31" s="500">
        <f t="shared" si="4"/>
        <v>0</v>
      </c>
      <c r="J31" s="500"/>
      <c r="K31" s="512"/>
      <c r="L31" s="504">
        <f t="shared" si="1"/>
        <v>0</v>
      </c>
      <c r="M31" s="512"/>
      <c r="N31" s="504">
        <f t="shared" si="2"/>
        <v>0</v>
      </c>
      <c r="O31" s="504">
        <f t="shared" si="3"/>
        <v>0</v>
      </c>
      <c r="P31" s="278"/>
    </row>
    <row r="32" spans="2:16" ht="12.5">
      <c r="B32" s="145" t="str">
        <f t="shared" si="0"/>
        <v/>
      </c>
      <c r="C32" s="495">
        <f>IF(D11="","-",+C31+1)</f>
        <v>2032</v>
      </c>
      <c r="D32" s="508">
        <f>IF(F31+SUM(E$17:E31)=D$10,F31,D$10-SUM(E$17:E31))</f>
        <v>5396296.559454212</v>
      </c>
      <c r="E32" s="509">
        <f t="shared" si="9"/>
        <v>311708.09677419357</v>
      </c>
      <c r="F32" s="510">
        <f t="shared" si="10"/>
        <v>5084588.4626800185</v>
      </c>
      <c r="G32" s="511">
        <f t="shared" si="11"/>
        <v>878645.721916668</v>
      </c>
      <c r="H32" s="477">
        <f t="shared" si="12"/>
        <v>878645.721916668</v>
      </c>
      <c r="I32" s="500">
        <f t="shared" si="4"/>
        <v>0</v>
      </c>
      <c r="J32" s="500"/>
      <c r="K32" s="512"/>
      <c r="L32" s="504">
        <f t="shared" si="1"/>
        <v>0</v>
      </c>
      <c r="M32" s="512"/>
      <c r="N32" s="504">
        <f t="shared" si="2"/>
        <v>0</v>
      </c>
      <c r="O32" s="504">
        <f t="shared" si="3"/>
        <v>0</v>
      </c>
      <c r="P32" s="278"/>
    </row>
    <row r="33" spans="2:16" ht="12.5">
      <c r="B33" s="145" t="str">
        <f t="shared" si="0"/>
        <v/>
      </c>
      <c r="C33" s="495">
        <f>IF(D11="","-",+C32+1)</f>
        <v>2033</v>
      </c>
      <c r="D33" s="508">
        <f>IF(F32+SUM(E$17:E32)=D$10,F32,D$10-SUM(E$17:E32))</f>
        <v>5084588.4626800185</v>
      </c>
      <c r="E33" s="509">
        <f t="shared" si="9"/>
        <v>311708.09677419357</v>
      </c>
      <c r="F33" s="510">
        <f t="shared" si="10"/>
        <v>4772880.365905825</v>
      </c>
      <c r="G33" s="511">
        <f t="shared" si="11"/>
        <v>844923.56052483246</v>
      </c>
      <c r="H33" s="477">
        <f t="shared" si="12"/>
        <v>844923.56052483246</v>
      </c>
      <c r="I33" s="500">
        <f t="shared" si="4"/>
        <v>0</v>
      </c>
      <c r="J33" s="500"/>
      <c r="K33" s="512"/>
      <c r="L33" s="504">
        <f t="shared" si="1"/>
        <v>0</v>
      </c>
      <c r="M33" s="512"/>
      <c r="N33" s="504">
        <f t="shared" si="2"/>
        <v>0</v>
      </c>
      <c r="O33" s="504">
        <f t="shared" si="3"/>
        <v>0</v>
      </c>
      <c r="P33" s="278"/>
    </row>
    <row r="34" spans="2:16" ht="12.5">
      <c r="B34" s="145" t="str">
        <f t="shared" si="0"/>
        <v/>
      </c>
      <c r="C34" s="495">
        <f>IF(D11="","-",+C33+1)</f>
        <v>2034</v>
      </c>
      <c r="D34" s="508">
        <f>IF(F33+SUM(E$17:E33)=D$10,F33,D$10-SUM(E$17:E33))</f>
        <v>4772880.365905825</v>
      </c>
      <c r="E34" s="509">
        <f t="shared" si="9"/>
        <v>311708.09677419357</v>
      </c>
      <c r="F34" s="510">
        <f t="shared" si="10"/>
        <v>4461172.2691316316</v>
      </c>
      <c r="G34" s="511">
        <f t="shared" si="11"/>
        <v>811201.39913299668</v>
      </c>
      <c r="H34" s="477">
        <f t="shared" si="12"/>
        <v>811201.39913299668</v>
      </c>
      <c r="I34" s="500">
        <f t="shared" si="4"/>
        <v>0</v>
      </c>
      <c r="J34" s="500"/>
      <c r="K34" s="512"/>
      <c r="L34" s="504">
        <f t="shared" si="1"/>
        <v>0</v>
      </c>
      <c r="M34" s="512"/>
      <c r="N34" s="504">
        <f t="shared" si="2"/>
        <v>0</v>
      </c>
      <c r="O34" s="504">
        <f t="shared" si="3"/>
        <v>0</v>
      </c>
      <c r="P34" s="278"/>
    </row>
    <row r="35" spans="2:16" ht="12.5">
      <c r="B35" s="145" t="str">
        <f t="shared" si="0"/>
        <v/>
      </c>
      <c r="C35" s="495">
        <f>IF(D11="","-",+C34+1)</f>
        <v>2035</v>
      </c>
      <c r="D35" s="508">
        <f>IF(F34+SUM(E$17:E34)=D$10,F34,D$10-SUM(E$17:E34))</f>
        <v>4461172.2691316316</v>
      </c>
      <c r="E35" s="509">
        <f t="shared" si="9"/>
        <v>311708.09677419357</v>
      </c>
      <c r="F35" s="510">
        <f t="shared" si="10"/>
        <v>4149464.1723574381</v>
      </c>
      <c r="G35" s="511">
        <f t="shared" si="11"/>
        <v>777479.23774116114</v>
      </c>
      <c r="H35" s="477">
        <f t="shared" si="12"/>
        <v>777479.23774116114</v>
      </c>
      <c r="I35" s="500">
        <f t="shared" si="4"/>
        <v>0</v>
      </c>
      <c r="J35" s="500"/>
      <c r="K35" s="512"/>
      <c r="L35" s="504">
        <f t="shared" si="1"/>
        <v>0</v>
      </c>
      <c r="M35" s="512"/>
      <c r="N35" s="504">
        <f t="shared" si="2"/>
        <v>0</v>
      </c>
      <c r="O35" s="504">
        <f t="shared" si="3"/>
        <v>0</v>
      </c>
      <c r="P35" s="278"/>
    </row>
    <row r="36" spans="2:16" ht="12.5">
      <c r="B36" s="145" t="str">
        <f t="shared" si="0"/>
        <v/>
      </c>
      <c r="C36" s="495">
        <f>IF(D11="","-",+C35+1)</f>
        <v>2036</v>
      </c>
      <c r="D36" s="508">
        <f>IF(F35+SUM(E$17:E35)=D$10,F35,D$10-SUM(E$17:E35))</f>
        <v>4149464.1723574381</v>
      </c>
      <c r="E36" s="509">
        <f t="shared" si="9"/>
        <v>311708.09677419357</v>
      </c>
      <c r="F36" s="510">
        <f t="shared" si="10"/>
        <v>3837756.0755832447</v>
      </c>
      <c r="G36" s="511">
        <f t="shared" si="11"/>
        <v>743757.07634932548</v>
      </c>
      <c r="H36" s="477">
        <f t="shared" si="12"/>
        <v>743757.07634932548</v>
      </c>
      <c r="I36" s="500">
        <f t="shared" si="4"/>
        <v>0</v>
      </c>
      <c r="J36" s="500"/>
      <c r="K36" s="512"/>
      <c r="L36" s="504">
        <f t="shared" si="1"/>
        <v>0</v>
      </c>
      <c r="M36" s="512"/>
      <c r="N36" s="504">
        <f t="shared" si="2"/>
        <v>0</v>
      </c>
      <c r="O36" s="504">
        <f t="shared" si="3"/>
        <v>0</v>
      </c>
      <c r="P36" s="278"/>
    </row>
    <row r="37" spans="2:16" ht="12.5">
      <c r="B37" s="145" t="str">
        <f t="shared" si="0"/>
        <v/>
      </c>
      <c r="C37" s="495">
        <f>IF(D11="","-",+C36+1)</f>
        <v>2037</v>
      </c>
      <c r="D37" s="508">
        <f>IF(F36+SUM(E$17:E36)=D$10,F36,D$10-SUM(E$17:E36))</f>
        <v>3837756.0755832447</v>
      </c>
      <c r="E37" s="509">
        <f t="shared" si="9"/>
        <v>311708.09677419357</v>
      </c>
      <c r="F37" s="510">
        <f t="shared" si="10"/>
        <v>3526047.9788090512</v>
      </c>
      <c r="G37" s="511">
        <f t="shared" si="11"/>
        <v>710034.91495748982</v>
      </c>
      <c r="H37" s="477">
        <f t="shared" si="12"/>
        <v>710034.91495748982</v>
      </c>
      <c r="I37" s="500">
        <f t="shared" si="4"/>
        <v>0</v>
      </c>
      <c r="J37" s="500"/>
      <c r="K37" s="512"/>
      <c r="L37" s="504">
        <f t="shared" si="1"/>
        <v>0</v>
      </c>
      <c r="M37" s="512"/>
      <c r="N37" s="504">
        <f t="shared" si="2"/>
        <v>0</v>
      </c>
      <c r="O37" s="504">
        <f t="shared" si="3"/>
        <v>0</v>
      </c>
      <c r="P37" s="278"/>
    </row>
    <row r="38" spans="2:16" ht="12.5">
      <c r="B38" s="145" t="str">
        <f t="shared" si="0"/>
        <v/>
      </c>
      <c r="C38" s="495">
        <f>IF(D11="","-",+C37+1)</f>
        <v>2038</v>
      </c>
      <c r="D38" s="508">
        <f>IF(F37+SUM(E$17:E37)=D$10,F37,D$10-SUM(E$17:E37))</f>
        <v>3526047.9788090512</v>
      </c>
      <c r="E38" s="509">
        <f t="shared" si="9"/>
        <v>311708.09677419357</v>
      </c>
      <c r="F38" s="510">
        <f t="shared" si="10"/>
        <v>3214339.8820348578</v>
      </c>
      <c r="G38" s="511">
        <f t="shared" si="11"/>
        <v>676312.75356565404</v>
      </c>
      <c r="H38" s="477">
        <f t="shared" si="12"/>
        <v>676312.75356565404</v>
      </c>
      <c r="I38" s="500">
        <f t="shared" si="4"/>
        <v>0</v>
      </c>
      <c r="J38" s="500"/>
      <c r="K38" s="512"/>
      <c r="L38" s="504">
        <f t="shared" si="1"/>
        <v>0</v>
      </c>
      <c r="M38" s="512"/>
      <c r="N38" s="504">
        <f t="shared" si="2"/>
        <v>0</v>
      </c>
      <c r="O38" s="504">
        <f t="shared" si="3"/>
        <v>0</v>
      </c>
      <c r="P38" s="278"/>
    </row>
    <row r="39" spans="2:16" ht="12.5">
      <c r="B39" s="145" t="str">
        <f t="shared" si="0"/>
        <v/>
      </c>
      <c r="C39" s="495">
        <f>IF(D11="","-",+C38+1)</f>
        <v>2039</v>
      </c>
      <c r="D39" s="508">
        <f>IF(F38+SUM(E$17:E38)=D$10,F38,D$10-SUM(E$17:E38))</f>
        <v>3214339.8820348578</v>
      </c>
      <c r="E39" s="509">
        <f t="shared" si="9"/>
        <v>311708.09677419357</v>
      </c>
      <c r="F39" s="510">
        <f t="shared" si="10"/>
        <v>2902631.7852606643</v>
      </c>
      <c r="G39" s="511">
        <f t="shared" si="11"/>
        <v>642590.59217381838</v>
      </c>
      <c r="H39" s="477">
        <f t="shared" si="12"/>
        <v>642590.59217381838</v>
      </c>
      <c r="I39" s="500">
        <f t="shared" si="4"/>
        <v>0</v>
      </c>
      <c r="J39" s="500"/>
      <c r="K39" s="512"/>
      <c r="L39" s="504">
        <f t="shared" si="1"/>
        <v>0</v>
      </c>
      <c r="M39" s="512"/>
      <c r="N39" s="504">
        <f t="shared" si="2"/>
        <v>0</v>
      </c>
      <c r="O39" s="504">
        <f t="shared" si="3"/>
        <v>0</v>
      </c>
      <c r="P39" s="278"/>
    </row>
    <row r="40" spans="2:16" ht="12.5">
      <c r="B40" s="145" t="str">
        <f t="shared" si="0"/>
        <v/>
      </c>
      <c r="C40" s="495">
        <f>IF(D11="","-",+C39+1)</f>
        <v>2040</v>
      </c>
      <c r="D40" s="508">
        <f>IF(F39+SUM(E$17:E39)=D$10,F39,D$10-SUM(E$17:E39))</f>
        <v>2902631.7852606643</v>
      </c>
      <c r="E40" s="509">
        <f t="shared" si="9"/>
        <v>311708.09677419357</v>
      </c>
      <c r="F40" s="510">
        <f t="shared" si="10"/>
        <v>2590923.6884864708</v>
      </c>
      <c r="G40" s="511">
        <f t="shared" si="11"/>
        <v>608868.43078198272</v>
      </c>
      <c r="H40" s="477">
        <f t="shared" si="12"/>
        <v>608868.43078198272</v>
      </c>
      <c r="I40" s="500">
        <f t="shared" si="4"/>
        <v>0</v>
      </c>
      <c r="J40" s="500"/>
      <c r="K40" s="512"/>
      <c r="L40" s="504">
        <f t="shared" si="1"/>
        <v>0</v>
      </c>
      <c r="M40" s="512"/>
      <c r="N40" s="504">
        <f t="shared" si="2"/>
        <v>0</v>
      </c>
      <c r="O40" s="504">
        <f t="shared" si="3"/>
        <v>0</v>
      </c>
      <c r="P40" s="278"/>
    </row>
    <row r="41" spans="2:16" ht="12.5">
      <c r="B41" s="145" t="str">
        <f t="shared" si="0"/>
        <v/>
      </c>
      <c r="C41" s="495">
        <f>IF(D11="","-",+C40+1)</f>
        <v>2041</v>
      </c>
      <c r="D41" s="508">
        <f>IF(F40+SUM(E$17:E40)=D$10,F40,D$10-SUM(E$17:E40))</f>
        <v>2590923.6884864708</v>
      </c>
      <c r="E41" s="509">
        <f t="shared" si="9"/>
        <v>311708.09677419357</v>
      </c>
      <c r="F41" s="510">
        <f t="shared" si="10"/>
        <v>2279215.5917122774</v>
      </c>
      <c r="G41" s="511">
        <f t="shared" si="11"/>
        <v>575146.26939014706</v>
      </c>
      <c r="H41" s="477">
        <f t="shared" si="12"/>
        <v>575146.26939014706</v>
      </c>
      <c r="I41" s="500">
        <f t="shared" si="4"/>
        <v>0</v>
      </c>
      <c r="J41" s="500"/>
      <c r="K41" s="512"/>
      <c r="L41" s="504">
        <f t="shared" si="1"/>
        <v>0</v>
      </c>
      <c r="M41" s="512"/>
      <c r="N41" s="504">
        <f t="shared" si="2"/>
        <v>0</v>
      </c>
      <c r="O41" s="504">
        <f t="shared" si="3"/>
        <v>0</v>
      </c>
      <c r="P41" s="278"/>
    </row>
    <row r="42" spans="2:16" ht="12.5">
      <c r="B42" s="145" t="str">
        <f t="shared" si="0"/>
        <v/>
      </c>
      <c r="C42" s="495">
        <f>IF(D11="","-",+C41+1)</f>
        <v>2042</v>
      </c>
      <c r="D42" s="508">
        <f>IF(F41+SUM(E$17:E41)=D$10,F41,D$10-SUM(E$17:E41))</f>
        <v>2279215.5917122774</v>
      </c>
      <c r="E42" s="509">
        <f t="shared" si="9"/>
        <v>311708.09677419357</v>
      </c>
      <c r="F42" s="510">
        <f t="shared" si="10"/>
        <v>1967507.4949380839</v>
      </c>
      <c r="G42" s="511">
        <f t="shared" si="11"/>
        <v>541424.1079983114</v>
      </c>
      <c r="H42" s="477">
        <f t="shared" si="12"/>
        <v>541424.1079983114</v>
      </c>
      <c r="I42" s="500">
        <f t="shared" si="4"/>
        <v>0</v>
      </c>
      <c r="J42" s="500"/>
      <c r="K42" s="512"/>
      <c r="L42" s="504">
        <f t="shared" si="1"/>
        <v>0</v>
      </c>
      <c r="M42" s="512"/>
      <c r="N42" s="504">
        <f t="shared" si="2"/>
        <v>0</v>
      </c>
      <c r="O42" s="504">
        <f t="shared" si="3"/>
        <v>0</v>
      </c>
      <c r="P42" s="278"/>
    </row>
    <row r="43" spans="2:16" ht="12.5">
      <c r="B43" s="145" t="str">
        <f t="shared" si="0"/>
        <v/>
      </c>
      <c r="C43" s="495">
        <f>IF(D11="","-",+C42+1)</f>
        <v>2043</v>
      </c>
      <c r="D43" s="508">
        <f>IF(F42+SUM(E$17:E42)=D$10,F42,D$10-SUM(E$17:E42))</f>
        <v>1967507.4949380839</v>
      </c>
      <c r="E43" s="509">
        <f t="shared" si="9"/>
        <v>311708.09677419357</v>
      </c>
      <c r="F43" s="510">
        <f t="shared" si="10"/>
        <v>1655799.3981638905</v>
      </c>
      <c r="G43" s="511">
        <f t="shared" si="11"/>
        <v>507701.94660647569</v>
      </c>
      <c r="H43" s="477">
        <f t="shared" si="12"/>
        <v>507701.94660647569</v>
      </c>
      <c r="I43" s="500">
        <f t="shared" si="4"/>
        <v>0</v>
      </c>
      <c r="J43" s="500"/>
      <c r="K43" s="512"/>
      <c r="L43" s="504">
        <f t="shared" si="1"/>
        <v>0</v>
      </c>
      <c r="M43" s="512"/>
      <c r="N43" s="504">
        <f t="shared" si="2"/>
        <v>0</v>
      </c>
      <c r="O43" s="504">
        <f t="shared" si="3"/>
        <v>0</v>
      </c>
      <c r="P43" s="278"/>
    </row>
    <row r="44" spans="2:16" ht="12.5">
      <c r="B44" s="145" t="str">
        <f t="shared" si="0"/>
        <v/>
      </c>
      <c r="C44" s="495">
        <f>IF(D11="","-",+C43+1)</f>
        <v>2044</v>
      </c>
      <c r="D44" s="508">
        <f>IF(F43+SUM(E$17:E43)=D$10,F43,D$10-SUM(E$17:E43))</f>
        <v>1655799.3981638905</v>
      </c>
      <c r="E44" s="509">
        <f t="shared" si="9"/>
        <v>311708.09677419357</v>
      </c>
      <c r="F44" s="510">
        <f t="shared" si="10"/>
        <v>1344091.301389697</v>
      </c>
      <c r="G44" s="511">
        <f t="shared" si="11"/>
        <v>473979.78521464003</v>
      </c>
      <c r="H44" s="477">
        <f t="shared" si="12"/>
        <v>473979.78521464003</v>
      </c>
      <c r="I44" s="500">
        <f t="shared" si="4"/>
        <v>0</v>
      </c>
      <c r="J44" s="500"/>
      <c r="K44" s="512"/>
      <c r="L44" s="504">
        <f t="shared" si="1"/>
        <v>0</v>
      </c>
      <c r="M44" s="512"/>
      <c r="N44" s="504">
        <f t="shared" si="2"/>
        <v>0</v>
      </c>
      <c r="O44" s="504">
        <f t="shared" si="3"/>
        <v>0</v>
      </c>
      <c r="P44" s="278"/>
    </row>
    <row r="45" spans="2:16" ht="12.5">
      <c r="B45" s="145" t="str">
        <f t="shared" si="0"/>
        <v/>
      </c>
      <c r="C45" s="495">
        <f>IF(D11="","-",+C44+1)</f>
        <v>2045</v>
      </c>
      <c r="D45" s="508">
        <f>IF(F44+SUM(E$17:E44)=D$10,F44,D$10-SUM(E$17:E44))</f>
        <v>1344091.301389697</v>
      </c>
      <c r="E45" s="509">
        <f t="shared" si="9"/>
        <v>311708.09677419357</v>
      </c>
      <c r="F45" s="510">
        <f t="shared" si="10"/>
        <v>1032383.2046155034</v>
      </c>
      <c r="G45" s="511">
        <f t="shared" si="11"/>
        <v>440257.62382280431</v>
      </c>
      <c r="H45" s="477">
        <f t="shared" si="12"/>
        <v>440257.62382280431</v>
      </c>
      <c r="I45" s="500">
        <f t="shared" si="4"/>
        <v>0</v>
      </c>
      <c r="J45" s="500"/>
      <c r="K45" s="512"/>
      <c r="L45" s="504">
        <f t="shared" si="1"/>
        <v>0</v>
      </c>
      <c r="M45" s="512"/>
      <c r="N45" s="504">
        <f t="shared" si="2"/>
        <v>0</v>
      </c>
      <c r="O45" s="504">
        <f t="shared" si="3"/>
        <v>0</v>
      </c>
      <c r="P45" s="278"/>
    </row>
    <row r="46" spans="2:16" ht="12.5">
      <c r="B46" s="145" t="str">
        <f t="shared" si="0"/>
        <v/>
      </c>
      <c r="C46" s="495">
        <f>IF(D11="","-",+C45+1)</f>
        <v>2046</v>
      </c>
      <c r="D46" s="508">
        <f>IF(F45+SUM(E$17:E45)=D$10,F45,D$10-SUM(E$17:E45))</f>
        <v>1032383.2046155034</v>
      </c>
      <c r="E46" s="509">
        <f t="shared" si="9"/>
        <v>311708.09677419357</v>
      </c>
      <c r="F46" s="510">
        <f t="shared" si="10"/>
        <v>720675.10784130986</v>
      </c>
      <c r="G46" s="511">
        <f t="shared" si="11"/>
        <v>406535.46243096865</v>
      </c>
      <c r="H46" s="477">
        <f t="shared" si="12"/>
        <v>406535.46243096865</v>
      </c>
      <c r="I46" s="500">
        <f t="shared" si="4"/>
        <v>0</v>
      </c>
      <c r="J46" s="500"/>
      <c r="K46" s="512"/>
      <c r="L46" s="504">
        <f t="shared" si="1"/>
        <v>0</v>
      </c>
      <c r="M46" s="512"/>
      <c r="N46" s="504">
        <f t="shared" si="2"/>
        <v>0</v>
      </c>
      <c r="O46" s="504">
        <f t="shared" si="3"/>
        <v>0</v>
      </c>
      <c r="P46" s="278"/>
    </row>
    <row r="47" spans="2:16" ht="12.5">
      <c r="B47" s="145" t="str">
        <f t="shared" si="0"/>
        <v/>
      </c>
      <c r="C47" s="495">
        <f>IF(D11="","-",+C46+1)</f>
        <v>2047</v>
      </c>
      <c r="D47" s="508">
        <f>IF(F46+SUM(E$17:E46)=D$10,F46,D$10-SUM(E$17:E46))</f>
        <v>720675.10784130986</v>
      </c>
      <c r="E47" s="509">
        <f t="shared" si="9"/>
        <v>311708.09677419357</v>
      </c>
      <c r="F47" s="510">
        <f t="shared" si="10"/>
        <v>408967.01106711628</v>
      </c>
      <c r="G47" s="511">
        <f t="shared" si="11"/>
        <v>372813.30103913299</v>
      </c>
      <c r="H47" s="477">
        <f t="shared" si="12"/>
        <v>372813.30103913299</v>
      </c>
      <c r="I47" s="500">
        <f t="shared" si="4"/>
        <v>0</v>
      </c>
      <c r="J47" s="500"/>
      <c r="K47" s="512"/>
      <c r="L47" s="504">
        <f t="shared" si="1"/>
        <v>0</v>
      </c>
      <c r="M47" s="512"/>
      <c r="N47" s="504">
        <f t="shared" si="2"/>
        <v>0</v>
      </c>
      <c r="O47" s="504">
        <f t="shared" si="3"/>
        <v>0</v>
      </c>
      <c r="P47" s="278"/>
    </row>
    <row r="48" spans="2:16" ht="12.5">
      <c r="B48" s="145" t="str">
        <f t="shared" si="0"/>
        <v/>
      </c>
      <c r="C48" s="495">
        <f>IF(D11="","-",+C47+1)</f>
        <v>2048</v>
      </c>
      <c r="D48" s="508">
        <f>IF(F47+SUM(E$17:E47)=D$10,F47,D$10-SUM(E$17:E47))</f>
        <v>408967.01106711628</v>
      </c>
      <c r="E48" s="509">
        <f t="shared" si="9"/>
        <v>311708.09677419357</v>
      </c>
      <c r="F48" s="510">
        <f t="shared" si="10"/>
        <v>97258.914292922709</v>
      </c>
      <c r="G48" s="511">
        <f t="shared" si="11"/>
        <v>339091.13964729727</v>
      </c>
      <c r="H48" s="477">
        <f t="shared" si="12"/>
        <v>339091.13964729727</v>
      </c>
      <c r="I48" s="500">
        <f t="shared" si="4"/>
        <v>0</v>
      </c>
      <c r="J48" s="500"/>
      <c r="K48" s="512"/>
      <c r="L48" s="504">
        <f t="shared" si="1"/>
        <v>0</v>
      </c>
      <c r="M48" s="512"/>
      <c r="N48" s="504">
        <f t="shared" si="2"/>
        <v>0</v>
      </c>
      <c r="O48" s="504">
        <f t="shared" si="3"/>
        <v>0</v>
      </c>
      <c r="P48" s="278"/>
    </row>
    <row r="49" spans="2:16" ht="12.5">
      <c r="B49" s="145" t="str">
        <f t="shared" si="0"/>
        <v/>
      </c>
      <c r="C49" s="495">
        <f>IF(D11="","-",+C48+1)</f>
        <v>2049</v>
      </c>
      <c r="D49" s="508">
        <f>IF(F48+SUM(E$17:E48)=D$10,F48,D$10-SUM(E$17:E48))</f>
        <v>97258.914292922709</v>
      </c>
      <c r="E49" s="509">
        <f t="shared" si="9"/>
        <v>97258.914292922709</v>
      </c>
      <c r="F49" s="510">
        <f t="shared" si="10"/>
        <v>0</v>
      </c>
      <c r="G49" s="511">
        <f t="shared" ref="G49:G71" si="13">(D49+F49)/2*I$12+E49</f>
        <v>102519.89538151564</v>
      </c>
      <c r="H49" s="477">
        <f t="shared" ref="H49:H71" si="14">+(D49+F49)/2*I$13+E49</f>
        <v>102519.89538151564</v>
      </c>
      <c r="I49" s="500">
        <f t="shared" si="4"/>
        <v>0</v>
      </c>
      <c r="J49" s="500"/>
      <c r="K49" s="512"/>
      <c r="L49" s="504">
        <f t="shared" si="1"/>
        <v>0</v>
      </c>
      <c r="M49" s="512"/>
      <c r="N49" s="504">
        <f t="shared" si="2"/>
        <v>0</v>
      </c>
      <c r="O49" s="504">
        <f t="shared" si="3"/>
        <v>0</v>
      </c>
      <c r="P49" s="278"/>
    </row>
    <row r="50" spans="2:16" ht="12.5">
      <c r="B50" s="145" t="str">
        <f t="shared" si="0"/>
        <v/>
      </c>
      <c r="C50" s="495">
        <f>IF(D11="","-",+C49+1)</f>
        <v>2050</v>
      </c>
      <c r="D50" s="508">
        <f>IF(F49+SUM(E$17:E49)=D$10,F49,D$10-SUM(E$17:E49))</f>
        <v>0</v>
      </c>
      <c r="E50" s="509">
        <f t="shared" ref="E50:E71" si="15">IF(+I$14&lt;F49,I$14,D50)</f>
        <v>0</v>
      </c>
      <c r="F50" s="510">
        <f t="shared" si="10"/>
        <v>0</v>
      </c>
      <c r="G50" s="511">
        <f t="shared" si="13"/>
        <v>0</v>
      </c>
      <c r="H50" s="477">
        <f t="shared" si="14"/>
        <v>0</v>
      </c>
      <c r="I50" s="500">
        <f t="shared" si="4"/>
        <v>0</v>
      </c>
      <c r="J50" s="500"/>
      <c r="K50" s="512"/>
      <c r="L50" s="504">
        <f t="shared" si="1"/>
        <v>0</v>
      </c>
      <c r="M50" s="512"/>
      <c r="N50" s="504">
        <f t="shared" si="2"/>
        <v>0</v>
      </c>
      <c r="O50" s="504">
        <f t="shared" si="3"/>
        <v>0</v>
      </c>
      <c r="P50" s="278"/>
    </row>
    <row r="51" spans="2:16" ht="12.5">
      <c r="B51" s="145" t="str">
        <f t="shared" si="0"/>
        <v/>
      </c>
      <c r="C51" s="495">
        <f>IF(D11="","-",+C50+1)</f>
        <v>2051</v>
      </c>
      <c r="D51" s="508">
        <f>IF(F50+SUM(E$17:E50)=D$10,F50,D$10-SUM(E$17:E50))</f>
        <v>0</v>
      </c>
      <c r="E51" s="509">
        <f t="shared" si="15"/>
        <v>0</v>
      </c>
      <c r="F51" s="510">
        <f t="shared" si="10"/>
        <v>0</v>
      </c>
      <c r="G51" s="511">
        <f t="shared" si="13"/>
        <v>0</v>
      </c>
      <c r="H51" s="477">
        <f t="shared" si="14"/>
        <v>0</v>
      </c>
      <c r="I51" s="500">
        <f t="shared" si="4"/>
        <v>0</v>
      </c>
      <c r="J51" s="500"/>
      <c r="K51" s="512"/>
      <c r="L51" s="504">
        <f t="shared" si="1"/>
        <v>0</v>
      </c>
      <c r="M51" s="512"/>
      <c r="N51" s="504">
        <f t="shared" si="2"/>
        <v>0</v>
      </c>
      <c r="O51" s="504">
        <f t="shared" si="3"/>
        <v>0</v>
      </c>
      <c r="P51" s="278"/>
    </row>
    <row r="52" spans="2:16" ht="12.5">
      <c r="B52" s="145" t="str">
        <f t="shared" si="0"/>
        <v/>
      </c>
      <c r="C52" s="495">
        <f>IF(D11="","-",+C51+1)</f>
        <v>2052</v>
      </c>
      <c r="D52" s="508">
        <f>IF(F51+SUM(E$17:E51)=D$10,F51,D$10-SUM(E$17:E51))</f>
        <v>0</v>
      </c>
      <c r="E52" s="509">
        <f t="shared" si="15"/>
        <v>0</v>
      </c>
      <c r="F52" s="510">
        <f t="shared" si="10"/>
        <v>0</v>
      </c>
      <c r="G52" s="511">
        <f t="shared" si="13"/>
        <v>0</v>
      </c>
      <c r="H52" s="477">
        <f t="shared" si="14"/>
        <v>0</v>
      </c>
      <c r="I52" s="500">
        <f t="shared" si="4"/>
        <v>0</v>
      </c>
      <c r="J52" s="500"/>
      <c r="K52" s="512"/>
      <c r="L52" s="504">
        <f t="shared" si="1"/>
        <v>0</v>
      </c>
      <c r="M52" s="512"/>
      <c r="N52" s="504">
        <f t="shared" si="2"/>
        <v>0</v>
      </c>
      <c r="O52" s="504">
        <f t="shared" si="3"/>
        <v>0</v>
      </c>
      <c r="P52" s="278"/>
    </row>
    <row r="53" spans="2:16" ht="12.5">
      <c r="B53" s="145" t="str">
        <f t="shared" si="0"/>
        <v/>
      </c>
      <c r="C53" s="495">
        <f>IF(D11="","-",+C52+1)</f>
        <v>2053</v>
      </c>
      <c r="D53" s="508">
        <f>IF(F52+SUM(E$17:E52)=D$10,F52,D$10-SUM(E$17:E52))</f>
        <v>0</v>
      </c>
      <c r="E53" s="509">
        <f t="shared" si="15"/>
        <v>0</v>
      </c>
      <c r="F53" s="510">
        <f t="shared" si="10"/>
        <v>0</v>
      </c>
      <c r="G53" s="511">
        <f t="shared" si="13"/>
        <v>0</v>
      </c>
      <c r="H53" s="477">
        <f t="shared" si="14"/>
        <v>0</v>
      </c>
      <c r="I53" s="500">
        <f t="shared" si="4"/>
        <v>0</v>
      </c>
      <c r="J53" s="500"/>
      <c r="K53" s="512"/>
      <c r="L53" s="504">
        <f t="shared" si="1"/>
        <v>0</v>
      </c>
      <c r="M53" s="512"/>
      <c r="N53" s="504">
        <f t="shared" si="2"/>
        <v>0</v>
      </c>
      <c r="O53" s="504">
        <f t="shared" si="3"/>
        <v>0</v>
      </c>
      <c r="P53" s="278"/>
    </row>
    <row r="54" spans="2:16" ht="12.5">
      <c r="B54" s="145" t="str">
        <f t="shared" si="0"/>
        <v/>
      </c>
      <c r="C54" s="495">
        <f>IF(D11="","-",+C53+1)</f>
        <v>2054</v>
      </c>
      <c r="D54" s="508">
        <f>IF(F53+SUM(E$17:E53)=D$10,F53,D$10-SUM(E$17:E53))</f>
        <v>0</v>
      </c>
      <c r="E54" s="509">
        <f t="shared" si="15"/>
        <v>0</v>
      </c>
      <c r="F54" s="510">
        <f t="shared" si="10"/>
        <v>0</v>
      </c>
      <c r="G54" s="511">
        <f t="shared" si="13"/>
        <v>0</v>
      </c>
      <c r="H54" s="477">
        <f t="shared" si="14"/>
        <v>0</v>
      </c>
      <c r="I54" s="500">
        <f t="shared" si="4"/>
        <v>0</v>
      </c>
      <c r="J54" s="500"/>
      <c r="K54" s="512"/>
      <c r="L54" s="504">
        <f t="shared" si="1"/>
        <v>0</v>
      </c>
      <c r="M54" s="512"/>
      <c r="N54" s="504">
        <f t="shared" si="2"/>
        <v>0</v>
      </c>
      <c r="O54" s="504">
        <f t="shared" si="3"/>
        <v>0</v>
      </c>
      <c r="P54" s="278"/>
    </row>
    <row r="55" spans="2:16" ht="12.5">
      <c r="B55" s="145" t="str">
        <f t="shared" si="0"/>
        <v/>
      </c>
      <c r="C55" s="495">
        <f>IF(D11="","-",+C54+1)</f>
        <v>2055</v>
      </c>
      <c r="D55" s="508">
        <f>IF(F54+SUM(E$17:E54)=D$10,F54,D$10-SUM(E$17:E54))</f>
        <v>0</v>
      </c>
      <c r="E55" s="509">
        <f t="shared" si="15"/>
        <v>0</v>
      </c>
      <c r="F55" s="510">
        <f t="shared" si="10"/>
        <v>0</v>
      </c>
      <c r="G55" s="511">
        <f t="shared" si="13"/>
        <v>0</v>
      </c>
      <c r="H55" s="477">
        <f t="shared" si="14"/>
        <v>0</v>
      </c>
      <c r="I55" s="500">
        <f t="shared" si="4"/>
        <v>0</v>
      </c>
      <c r="J55" s="500"/>
      <c r="K55" s="512"/>
      <c r="L55" s="504">
        <f t="shared" si="1"/>
        <v>0</v>
      </c>
      <c r="M55" s="512"/>
      <c r="N55" s="504">
        <f t="shared" si="2"/>
        <v>0</v>
      </c>
      <c r="O55" s="504">
        <f t="shared" si="3"/>
        <v>0</v>
      </c>
      <c r="P55" s="278"/>
    </row>
    <row r="56" spans="2:16" ht="12.5">
      <c r="B56" s="145" t="str">
        <f t="shared" si="0"/>
        <v/>
      </c>
      <c r="C56" s="495">
        <f>IF(D11="","-",+C55+1)</f>
        <v>2056</v>
      </c>
      <c r="D56" s="508">
        <f>IF(F55+SUM(E$17:E55)=D$10,F55,D$10-SUM(E$17:E55))</f>
        <v>0</v>
      </c>
      <c r="E56" s="509">
        <f t="shared" si="15"/>
        <v>0</v>
      </c>
      <c r="F56" s="510">
        <f t="shared" si="10"/>
        <v>0</v>
      </c>
      <c r="G56" s="511">
        <f t="shared" si="13"/>
        <v>0</v>
      </c>
      <c r="H56" s="477">
        <f t="shared" si="14"/>
        <v>0</v>
      </c>
      <c r="I56" s="500">
        <f t="shared" si="4"/>
        <v>0</v>
      </c>
      <c r="J56" s="500"/>
      <c r="K56" s="512"/>
      <c r="L56" s="504">
        <f t="shared" si="1"/>
        <v>0</v>
      </c>
      <c r="M56" s="512"/>
      <c r="N56" s="504">
        <f t="shared" si="2"/>
        <v>0</v>
      </c>
      <c r="O56" s="504">
        <f t="shared" si="3"/>
        <v>0</v>
      </c>
      <c r="P56" s="278"/>
    </row>
    <row r="57" spans="2:16" ht="12.5">
      <c r="B57" s="145" t="str">
        <f t="shared" si="0"/>
        <v/>
      </c>
      <c r="C57" s="495">
        <f>IF(D11="","-",+C56+1)</f>
        <v>2057</v>
      </c>
      <c r="D57" s="508">
        <f>IF(F56+SUM(E$17:E56)=D$10,F56,D$10-SUM(E$17:E56))</f>
        <v>0</v>
      </c>
      <c r="E57" s="509">
        <f t="shared" si="15"/>
        <v>0</v>
      </c>
      <c r="F57" s="510">
        <f t="shared" si="10"/>
        <v>0</v>
      </c>
      <c r="G57" s="511">
        <f t="shared" si="13"/>
        <v>0</v>
      </c>
      <c r="H57" s="477">
        <f t="shared" si="14"/>
        <v>0</v>
      </c>
      <c r="I57" s="500">
        <f t="shared" si="4"/>
        <v>0</v>
      </c>
      <c r="J57" s="500"/>
      <c r="K57" s="512"/>
      <c r="L57" s="504">
        <f t="shared" si="1"/>
        <v>0</v>
      </c>
      <c r="M57" s="512"/>
      <c r="N57" s="504">
        <f t="shared" si="2"/>
        <v>0</v>
      </c>
      <c r="O57" s="504">
        <f t="shared" si="3"/>
        <v>0</v>
      </c>
      <c r="P57" s="278"/>
    </row>
    <row r="58" spans="2:16" ht="12.5">
      <c r="B58" s="145" t="str">
        <f t="shared" si="0"/>
        <v/>
      </c>
      <c r="C58" s="495">
        <f>IF(D11="","-",+C57+1)</f>
        <v>2058</v>
      </c>
      <c r="D58" s="508">
        <f>IF(F57+SUM(E$17:E57)=D$10,F57,D$10-SUM(E$17:E57))</f>
        <v>0</v>
      </c>
      <c r="E58" s="509">
        <f t="shared" si="15"/>
        <v>0</v>
      </c>
      <c r="F58" s="510">
        <f t="shared" si="10"/>
        <v>0</v>
      </c>
      <c r="G58" s="511">
        <f t="shared" si="13"/>
        <v>0</v>
      </c>
      <c r="H58" s="477">
        <f t="shared" si="14"/>
        <v>0</v>
      </c>
      <c r="I58" s="500">
        <f t="shared" si="4"/>
        <v>0</v>
      </c>
      <c r="J58" s="500"/>
      <c r="K58" s="512"/>
      <c r="L58" s="504">
        <f t="shared" si="1"/>
        <v>0</v>
      </c>
      <c r="M58" s="512"/>
      <c r="N58" s="504">
        <f t="shared" si="2"/>
        <v>0</v>
      </c>
      <c r="O58" s="504">
        <f t="shared" si="3"/>
        <v>0</v>
      </c>
      <c r="P58" s="278"/>
    </row>
    <row r="59" spans="2:16" ht="12.5">
      <c r="B59" s="145" t="str">
        <f t="shared" si="0"/>
        <v/>
      </c>
      <c r="C59" s="495">
        <f>IF(D11="","-",+C58+1)</f>
        <v>2059</v>
      </c>
      <c r="D59" s="508">
        <f>IF(F58+SUM(E$17:E58)=D$10,F58,D$10-SUM(E$17:E58))</f>
        <v>0</v>
      </c>
      <c r="E59" s="509">
        <f t="shared" si="15"/>
        <v>0</v>
      </c>
      <c r="F59" s="510">
        <f t="shared" si="10"/>
        <v>0</v>
      </c>
      <c r="G59" s="511">
        <f t="shared" si="13"/>
        <v>0</v>
      </c>
      <c r="H59" s="477">
        <f t="shared" si="14"/>
        <v>0</v>
      </c>
      <c r="I59" s="500">
        <f t="shared" si="4"/>
        <v>0</v>
      </c>
      <c r="J59" s="500"/>
      <c r="K59" s="512"/>
      <c r="L59" s="504">
        <f t="shared" si="1"/>
        <v>0</v>
      </c>
      <c r="M59" s="512"/>
      <c r="N59" s="504">
        <f t="shared" si="2"/>
        <v>0</v>
      </c>
      <c r="O59" s="504">
        <f t="shared" si="3"/>
        <v>0</v>
      </c>
      <c r="P59" s="278"/>
    </row>
    <row r="60" spans="2:16" ht="12.5">
      <c r="B60" s="145" t="str">
        <f t="shared" si="0"/>
        <v/>
      </c>
      <c r="C60" s="495">
        <f>IF(D11="","-",+C59+1)</f>
        <v>2060</v>
      </c>
      <c r="D60" s="508">
        <f>IF(F59+SUM(E$17:E59)=D$10,F59,D$10-SUM(E$17:E59))</f>
        <v>0</v>
      </c>
      <c r="E60" s="509">
        <f t="shared" si="15"/>
        <v>0</v>
      </c>
      <c r="F60" s="510">
        <f t="shared" si="10"/>
        <v>0</v>
      </c>
      <c r="G60" s="511">
        <f t="shared" si="13"/>
        <v>0</v>
      </c>
      <c r="H60" s="477">
        <f t="shared" si="14"/>
        <v>0</v>
      </c>
      <c r="I60" s="500">
        <f t="shared" si="4"/>
        <v>0</v>
      </c>
      <c r="J60" s="500"/>
      <c r="K60" s="512"/>
      <c r="L60" s="504">
        <f t="shared" si="1"/>
        <v>0</v>
      </c>
      <c r="M60" s="512"/>
      <c r="N60" s="504">
        <f t="shared" si="2"/>
        <v>0</v>
      </c>
      <c r="O60" s="504">
        <f t="shared" si="3"/>
        <v>0</v>
      </c>
      <c r="P60" s="278"/>
    </row>
    <row r="61" spans="2:16" ht="12.5">
      <c r="B61" s="145" t="str">
        <f t="shared" si="0"/>
        <v/>
      </c>
      <c r="C61" s="495">
        <f>IF(D11="","-",+C60+1)</f>
        <v>2061</v>
      </c>
      <c r="D61" s="508">
        <f>IF(F60+SUM(E$17:E60)=D$10,F60,D$10-SUM(E$17:E60))</f>
        <v>0</v>
      </c>
      <c r="E61" s="509">
        <f t="shared" si="15"/>
        <v>0</v>
      </c>
      <c r="F61" s="510">
        <f t="shared" si="10"/>
        <v>0</v>
      </c>
      <c r="G61" s="523">
        <f t="shared" si="13"/>
        <v>0</v>
      </c>
      <c r="H61" s="477">
        <f t="shared" si="14"/>
        <v>0</v>
      </c>
      <c r="I61" s="500">
        <f t="shared" si="4"/>
        <v>0</v>
      </c>
      <c r="J61" s="500"/>
      <c r="K61" s="512"/>
      <c r="L61" s="504">
        <f t="shared" si="1"/>
        <v>0</v>
      </c>
      <c r="M61" s="512"/>
      <c r="N61" s="504">
        <f t="shared" si="2"/>
        <v>0</v>
      </c>
      <c r="O61" s="504">
        <f t="shared" si="3"/>
        <v>0</v>
      </c>
      <c r="P61" s="278"/>
    </row>
    <row r="62" spans="2:16" ht="12.5">
      <c r="B62" s="145" t="str">
        <f t="shared" si="0"/>
        <v/>
      </c>
      <c r="C62" s="495">
        <f>IF(D11="","-",+C61+1)</f>
        <v>2062</v>
      </c>
      <c r="D62" s="508">
        <f>IF(F61+SUM(E$17:E61)=D$10,F61,D$10-SUM(E$17:E61))</f>
        <v>0</v>
      </c>
      <c r="E62" s="509">
        <f t="shared" si="15"/>
        <v>0</v>
      </c>
      <c r="F62" s="510">
        <f t="shared" si="10"/>
        <v>0</v>
      </c>
      <c r="G62" s="523">
        <f t="shared" si="13"/>
        <v>0</v>
      </c>
      <c r="H62" s="477">
        <f t="shared" si="14"/>
        <v>0</v>
      </c>
      <c r="I62" s="500">
        <f t="shared" si="4"/>
        <v>0</v>
      </c>
      <c r="J62" s="500"/>
      <c r="K62" s="512"/>
      <c r="L62" s="504">
        <f t="shared" si="1"/>
        <v>0</v>
      </c>
      <c r="M62" s="512"/>
      <c r="N62" s="504">
        <f t="shared" si="2"/>
        <v>0</v>
      </c>
      <c r="O62" s="504">
        <f t="shared" si="3"/>
        <v>0</v>
      </c>
      <c r="P62" s="278"/>
    </row>
    <row r="63" spans="2:16" ht="12.5">
      <c r="B63" s="145" t="str">
        <f t="shared" si="0"/>
        <v/>
      </c>
      <c r="C63" s="495">
        <f>IF(D11="","-",+C62+1)</f>
        <v>2063</v>
      </c>
      <c r="D63" s="508">
        <f>IF(F62+SUM(E$17:E62)=D$10,F62,D$10-SUM(E$17:E62))</f>
        <v>0</v>
      </c>
      <c r="E63" s="509">
        <f t="shared" si="15"/>
        <v>0</v>
      </c>
      <c r="F63" s="510">
        <f t="shared" si="10"/>
        <v>0</v>
      </c>
      <c r="G63" s="523">
        <f t="shared" si="13"/>
        <v>0</v>
      </c>
      <c r="H63" s="477">
        <f t="shared" si="14"/>
        <v>0</v>
      </c>
      <c r="I63" s="500">
        <f t="shared" si="4"/>
        <v>0</v>
      </c>
      <c r="J63" s="500"/>
      <c r="K63" s="512"/>
      <c r="L63" s="504">
        <f t="shared" si="1"/>
        <v>0</v>
      </c>
      <c r="M63" s="512"/>
      <c r="N63" s="504">
        <f t="shared" si="2"/>
        <v>0</v>
      </c>
      <c r="O63" s="504">
        <f t="shared" si="3"/>
        <v>0</v>
      </c>
      <c r="P63" s="278"/>
    </row>
    <row r="64" spans="2:16" ht="12.5">
      <c r="B64" s="145" t="str">
        <f t="shared" si="0"/>
        <v/>
      </c>
      <c r="C64" s="495">
        <f>IF(D11="","-",+C63+1)</f>
        <v>2064</v>
      </c>
      <c r="D64" s="508">
        <f>IF(F63+SUM(E$17:E63)=D$10,F63,D$10-SUM(E$17:E63))</f>
        <v>0</v>
      </c>
      <c r="E64" s="509">
        <f t="shared" si="15"/>
        <v>0</v>
      </c>
      <c r="F64" s="510">
        <f t="shared" si="10"/>
        <v>0</v>
      </c>
      <c r="G64" s="523">
        <f t="shared" si="13"/>
        <v>0</v>
      </c>
      <c r="H64" s="477">
        <f t="shared" si="14"/>
        <v>0</v>
      </c>
      <c r="I64" s="500">
        <f t="shared" si="4"/>
        <v>0</v>
      </c>
      <c r="J64" s="500"/>
      <c r="K64" s="512"/>
      <c r="L64" s="504">
        <f t="shared" si="1"/>
        <v>0</v>
      </c>
      <c r="M64" s="512"/>
      <c r="N64" s="504">
        <f t="shared" si="2"/>
        <v>0</v>
      </c>
      <c r="O64" s="504">
        <f t="shared" si="3"/>
        <v>0</v>
      </c>
      <c r="P64" s="278"/>
    </row>
    <row r="65" spans="2:16" ht="12.5">
      <c r="B65" s="145" t="str">
        <f t="shared" si="0"/>
        <v/>
      </c>
      <c r="C65" s="495">
        <f>IF(D11="","-",+C64+1)</f>
        <v>2065</v>
      </c>
      <c r="D65" s="508">
        <f>IF(F64+SUM(E$17:E64)=D$10,F64,D$10-SUM(E$17:E64))</f>
        <v>0</v>
      </c>
      <c r="E65" s="509">
        <f t="shared" si="15"/>
        <v>0</v>
      </c>
      <c r="F65" s="510">
        <f t="shared" si="10"/>
        <v>0</v>
      </c>
      <c r="G65" s="523">
        <f t="shared" si="13"/>
        <v>0</v>
      </c>
      <c r="H65" s="477">
        <f t="shared" si="14"/>
        <v>0</v>
      </c>
      <c r="I65" s="500">
        <f t="shared" si="4"/>
        <v>0</v>
      </c>
      <c r="J65" s="500"/>
      <c r="K65" s="512"/>
      <c r="L65" s="504">
        <f t="shared" si="1"/>
        <v>0</v>
      </c>
      <c r="M65" s="512"/>
      <c r="N65" s="504">
        <f t="shared" si="2"/>
        <v>0</v>
      </c>
      <c r="O65" s="504">
        <f t="shared" si="3"/>
        <v>0</v>
      </c>
      <c r="P65" s="278"/>
    </row>
    <row r="66" spans="2:16" ht="12.5">
      <c r="B66" s="145" t="str">
        <f t="shared" si="0"/>
        <v/>
      </c>
      <c r="C66" s="495">
        <f>IF(D11="","-",+C65+1)</f>
        <v>2066</v>
      </c>
      <c r="D66" s="508">
        <f>IF(F65+SUM(E$17:E65)=D$10,F65,D$10-SUM(E$17:E65))</f>
        <v>0</v>
      </c>
      <c r="E66" s="509">
        <f t="shared" si="15"/>
        <v>0</v>
      </c>
      <c r="F66" s="510">
        <f t="shared" si="10"/>
        <v>0</v>
      </c>
      <c r="G66" s="523">
        <f t="shared" si="13"/>
        <v>0</v>
      </c>
      <c r="H66" s="477">
        <f t="shared" si="14"/>
        <v>0</v>
      </c>
      <c r="I66" s="500">
        <f t="shared" si="4"/>
        <v>0</v>
      </c>
      <c r="J66" s="500"/>
      <c r="K66" s="512"/>
      <c r="L66" s="504">
        <f t="shared" si="1"/>
        <v>0</v>
      </c>
      <c r="M66" s="512"/>
      <c r="N66" s="504">
        <f t="shared" si="2"/>
        <v>0</v>
      </c>
      <c r="O66" s="504">
        <f t="shared" si="3"/>
        <v>0</v>
      </c>
      <c r="P66" s="278"/>
    </row>
    <row r="67" spans="2:16" ht="12.5">
      <c r="B67" s="145" t="str">
        <f t="shared" si="0"/>
        <v/>
      </c>
      <c r="C67" s="495">
        <f>IF(D11="","-",+C66+1)</f>
        <v>2067</v>
      </c>
      <c r="D67" s="508">
        <f>IF(F66+SUM(E$17:E66)=D$10,F66,D$10-SUM(E$17:E66))</f>
        <v>0</v>
      </c>
      <c r="E67" s="509">
        <f t="shared" si="15"/>
        <v>0</v>
      </c>
      <c r="F67" s="510">
        <f t="shared" si="10"/>
        <v>0</v>
      </c>
      <c r="G67" s="523">
        <f t="shared" si="13"/>
        <v>0</v>
      </c>
      <c r="H67" s="477">
        <f t="shared" si="14"/>
        <v>0</v>
      </c>
      <c r="I67" s="500">
        <f t="shared" si="4"/>
        <v>0</v>
      </c>
      <c r="J67" s="500"/>
      <c r="K67" s="512"/>
      <c r="L67" s="504">
        <f t="shared" si="1"/>
        <v>0</v>
      </c>
      <c r="M67" s="512"/>
      <c r="N67" s="504">
        <f t="shared" si="2"/>
        <v>0</v>
      </c>
      <c r="O67" s="504">
        <f t="shared" si="3"/>
        <v>0</v>
      </c>
      <c r="P67" s="278"/>
    </row>
    <row r="68" spans="2:16" ht="12.5">
      <c r="B68" s="145" t="str">
        <f t="shared" si="0"/>
        <v/>
      </c>
      <c r="C68" s="495">
        <f>IF(D11="","-",+C67+1)</f>
        <v>2068</v>
      </c>
      <c r="D68" s="508">
        <f>IF(F67+SUM(E$17:E67)=D$10,F67,D$10-SUM(E$17:E67))</f>
        <v>0</v>
      </c>
      <c r="E68" s="509">
        <f t="shared" si="15"/>
        <v>0</v>
      </c>
      <c r="F68" s="510">
        <f t="shared" si="10"/>
        <v>0</v>
      </c>
      <c r="G68" s="523">
        <f t="shared" si="13"/>
        <v>0</v>
      </c>
      <c r="H68" s="477">
        <f t="shared" si="14"/>
        <v>0</v>
      </c>
      <c r="I68" s="500">
        <f t="shared" si="4"/>
        <v>0</v>
      </c>
      <c r="J68" s="500"/>
      <c r="K68" s="512"/>
      <c r="L68" s="504">
        <f t="shared" si="1"/>
        <v>0</v>
      </c>
      <c r="M68" s="512"/>
      <c r="N68" s="504">
        <f t="shared" si="2"/>
        <v>0</v>
      </c>
      <c r="O68" s="504">
        <f t="shared" si="3"/>
        <v>0</v>
      </c>
      <c r="P68" s="278"/>
    </row>
    <row r="69" spans="2:16" ht="12.5">
      <c r="B69" s="145" t="str">
        <f t="shared" si="0"/>
        <v/>
      </c>
      <c r="C69" s="495">
        <f>IF(D11="","-",+C68+1)</f>
        <v>2069</v>
      </c>
      <c r="D69" s="508">
        <f>IF(F68+SUM(E$17:E68)=D$10,F68,D$10-SUM(E$17:E68))</f>
        <v>0</v>
      </c>
      <c r="E69" s="509">
        <f t="shared" si="15"/>
        <v>0</v>
      </c>
      <c r="F69" s="510">
        <f t="shared" si="10"/>
        <v>0</v>
      </c>
      <c r="G69" s="523">
        <f t="shared" si="13"/>
        <v>0</v>
      </c>
      <c r="H69" s="477">
        <f t="shared" si="14"/>
        <v>0</v>
      </c>
      <c r="I69" s="500">
        <f t="shared" si="4"/>
        <v>0</v>
      </c>
      <c r="J69" s="500"/>
      <c r="K69" s="512"/>
      <c r="L69" s="504">
        <f t="shared" si="1"/>
        <v>0</v>
      </c>
      <c r="M69" s="512"/>
      <c r="N69" s="504">
        <f t="shared" si="2"/>
        <v>0</v>
      </c>
      <c r="O69" s="504">
        <f t="shared" si="3"/>
        <v>0</v>
      </c>
      <c r="P69" s="278"/>
    </row>
    <row r="70" spans="2:16" ht="12.5">
      <c r="B70" s="145" t="str">
        <f t="shared" si="0"/>
        <v/>
      </c>
      <c r="C70" s="495">
        <f>IF(D11="","-",+C69+1)</f>
        <v>2070</v>
      </c>
      <c r="D70" s="508">
        <f>IF(F69+SUM(E$17:E69)=D$10,F69,D$10-SUM(E$17:E69))</f>
        <v>0</v>
      </c>
      <c r="E70" s="509">
        <f t="shared" si="15"/>
        <v>0</v>
      </c>
      <c r="F70" s="510">
        <f t="shared" si="10"/>
        <v>0</v>
      </c>
      <c r="G70" s="523">
        <f t="shared" si="13"/>
        <v>0</v>
      </c>
      <c r="H70" s="477">
        <f t="shared" si="14"/>
        <v>0</v>
      </c>
      <c r="I70" s="500">
        <f t="shared" si="4"/>
        <v>0</v>
      </c>
      <c r="J70" s="500"/>
      <c r="K70" s="512"/>
      <c r="L70" s="504">
        <f t="shared" si="1"/>
        <v>0</v>
      </c>
      <c r="M70" s="512"/>
      <c r="N70" s="504">
        <f t="shared" si="2"/>
        <v>0</v>
      </c>
      <c r="O70" s="504">
        <f t="shared" si="3"/>
        <v>0</v>
      </c>
      <c r="P70" s="278"/>
    </row>
    <row r="71" spans="2:16" ht="12.5">
      <c r="B71" s="145" t="str">
        <f t="shared" si="0"/>
        <v/>
      </c>
      <c r="C71" s="495">
        <f>IF(D11="","-",+C70+1)</f>
        <v>2071</v>
      </c>
      <c r="D71" s="508">
        <f>IF(F70+SUM(E$17:E70)=D$10,F70,D$10-SUM(E$17:E70))</f>
        <v>0</v>
      </c>
      <c r="E71" s="509">
        <f t="shared" si="15"/>
        <v>0</v>
      </c>
      <c r="F71" s="510">
        <f t="shared" si="10"/>
        <v>0</v>
      </c>
      <c r="G71" s="523">
        <f t="shared" si="13"/>
        <v>0</v>
      </c>
      <c r="H71" s="477">
        <f t="shared" si="14"/>
        <v>0</v>
      </c>
      <c r="I71" s="500">
        <f t="shared" si="4"/>
        <v>0</v>
      </c>
      <c r="J71" s="500"/>
      <c r="K71" s="512"/>
      <c r="L71" s="504">
        <f t="shared" si="1"/>
        <v>0</v>
      </c>
      <c r="M71" s="512"/>
      <c r="N71" s="504">
        <f t="shared" si="2"/>
        <v>0</v>
      </c>
      <c r="O71" s="504">
        <f t="shared" si="3"/>
        <v>0</v>
      </c>
      <c r="P71" s="278"/>
    </row>
    <row r="72" spans="2:16" ht="12.5">
      <c r="C72" s="495">
        <f>IF(D12="","-",+C71+1)</f>
        <v>2072</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 thickBot="1">
      <c r="B73" s="145" t="str">
        <f>IF(D73=F71,"","IU")</f>
        <v/>
      </c>
      <c r="C73" s="524">
        <f>IF(D13="","-",+C72+1)</f>
        <v>2073</v>
      </c>
      <c r="D73" s="508">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ht="12.5">
      <c r="C74" s="349" t="s">
        <v>75</v>
      </c>
      <c r="D74" s="294"/>
      <c r="E74" s="294">
        <f>SUM(E17:E73)</f>
        <v>9662951.0000000019</v>
      </c>
      <c r="F74" s="294"/>
      <c r="G74" s="294">
        <f>SUM(G17:G73)</f>
        <v>26378956.991512939</v>
      </c>
      <c r="H74" s="294">
        <f>SUM(H17:H73)</f>
        <v>26378956.991512939</v>
      </c>
      <c r="I74" s="294">
        <f>SUM(I17:I73)</f>
        <v>0</v>
      </c>
      <c r="J74" s="294"/>
      <c r="K74" s="294"/>
      <c r="L74" s="294"/>
      <c r="M74" s="294"/>
      <c r="N74" s="294"/>
      <c r="O74" s="278"/>
      <c r="P74" s="278"/>
    </row>
    <row r="75" spans="2:16" ht="12.5">
      <c r="D75" s="292"/>
      <c r="E75" s="243"/>
      <c r="F75" s="243"/>
      <c r="G75" s="243"/>
      <c r="H75" s="325"/>
      <c r="I75" s="325"/>
      <c r="J75" s="294"/>
      <c r="K75" s="325"/>
      <c r="L75" s="325"/>
      <c r="M75" s="325"/>
      <c r="N75" s="325"/>
      <c r="O75" s="243"/>
      <c r="P75" s="243"/>
    </row>
    <row r="76" spans="2:16" ht="13">
      <c r="C76" s="532" t="s">
        <v>95</v>
      </c>
      <c r="D76" s="292"/>
      <c r="E76" s="243"/>
      <c r="F76" s="243"/>
      <c r="G76" s="243"/>
      <c r="H76" s="325"/>
      <c r="I76" s="325"/>
      <c r="J76" s="294"/>
      <c r="K76" s="325"/>
      <c r="L76" s="325"/>
      <c r="M76" s="325"/>
      <c r="N76" s="325"/>
      <c r="O76" s="243"/>
      <c r="P76" s="243"/>
    </row>
    <row r="77" spans="2:16" ht="13">
      <c r="C77" s="454" t="s">
        <v>76</v>
      </c>
      <c r="D77" s="292"/>
      <c r="E77" s="243"/>
      <c r="F77" s="243"/>
      <c r="G77" s="243"/>
      <c r="H77" s="325"/>
      <c r="I77" s="325"/>
      <c r="J77" s="294"/>
      <c r="K77" s="325"/>
      <c r="L77" s="325"/>
      <c r="M77" s="325"/>
      <c r="N77" s="325"/>
      <c r="O77" s="278"/>
      <c r="P77" s="278"/>
    </row>
    <row r="78" spans="2:16" ht="13">
      <c r="C78" s="454" t="s">
        <v>77</v>
      </c>
      <c r="D78" s="349"/>
      <c r="E78" s="349"/>
      <c r="F78" s="349"/>
      <c r="G78" s="294"/>
      <c r="H78" s="294"/>
      <c r="I78" s="350"/>
      <c r="J78" s="350"/>
      <c r="K78" s="350"/>
      <c r="L78" s="350"/>
      <c r="M78" s="350"/>
      <c r="N78" s="350"/>
      <c r="O78" s="278"/>
      <c r="P78" s="278"/>
    </row>
    <row r="79" spans="2:16" ht="13">
      <c r="C79" s="454"/>
      <c r="D79" s="349"/>
      <c r="E79" s="349"/>
      <c r="F79" s="349"/>
      <c r="G79" s="294"/>
      <c r="H79" s="294"/>
      <c r="I79" s="350"/>
      <c r="J79" s="350"/>
      <c r="K79" s="350"/>
      <c r="L79" s="350"/>
      <c r="M79" s="350"/>
      <c r="N79" s="350"/>
      <c r="O79" s="278"/>
      <c r="P79" s="243"/>
    </row>
    <row r="80" spans="2:16" ht="12.5">
      <c r="B80" s="243"/>
      <c r="C80" s="248"/>
      <c r="D80" s="292"/>
      <c r="E80" s="243"/>
      <c r="F80" s="347"/>
      <c r="G80" s="243"/>
      <c r="H80" s="325"/>
      <c r="I80" s="243"/>
      <c r="J80" s="278"/>
      <c r="K80" s="243"/>
      <c r="L80" s="243"/>
      <c r="M80" s="243"/>
      <c r="N80" s="243"/>
      <c r="O80" s="243"/>
      <c r="P80" s="243"/>
    </row>
    <row r="81" spans="1:16" ht="17.5">
      <c r="B81" s="243"/>
      <c r="C81" s="535"/>
      <c r="D81" s="292"/>
      <c r="E81" s="243"/>
      <c r="F81" s="347"/>
      <c r="G81" s="243"/>
      <c r="H81" s="325"/>
      <c r="I81" s="243"/>
      <c r="J81" s="278"/>
      <c r="K81" s="243"/>
      <c r="L81" s="243"/>
      <c r="M81" s="243"/>
      <c r="N81" s="243"/>
      <c r="P81" s="536" t="s">
        <v>128</v>
      </c>
    </row>
    <row r="82" spans="1:16" ht="12.5">
      <c r="B82" s="243"/>
      <c r="C82" s="248"/>
      <c r="D82" s="292"/>
      <c r="E82" s="243"/>
      <c r="F82" s="347"/>
      <c r="G82" s="243"/>
      <c r="H82" s="325"/>
      <c r="I82" s="243"/>
      <c r="J82" s="278"/>
      <c r="K82" s="243"/>
      <c r="L82" s="243"/>
      <c r="M82" s="243"/>
      <c r="N82" s="243"/>
      <c r="O82" s="243"/>
      <c r="P82" s="243"/>
    </row>
    <row r="83" spans="1:16" ht="12.5">
      <c r="B83" s="243"/>
      <c r="C83" s="248"/>
      <c r="D83" s="292"/>
      <c r="E83" s="243"/>
      <c r="F83" s="347"/>
      <c r="G83" s="243"/>
      <c r="H83" s="325"/>
      <c r="I83" s="243"/>
      <c r="J83" s="278"/>
      <c r="K83" s="243"/>
      <c r="L83" s="243"/>
      <c r="M83" s="243"/>
      <c r="N83" s="243"/>
      <c r="O83" s="243"/>
      <c r="P83" s="243"/>
    </row>
    <row r="84" spans="1:16" ht="20">
      <c r="A84" s="437" t="s">
        <v>190</v>
      </c>
      <c r="B84" s="243"/>
      <c r="C84" s="248"/>
      <c r="D84" s="292"/>
      <c r="E84" s="243"/>
      <c r="F84" s="339"/>
      <c r="G84" s="339"/>
      <c r="H84" s="243"/>
      <c r="I84" s="325"/>
      <c r="K84" s="220"/>
      <c r="L84" s="438"/>
      <c r="M84" s="438"/>
      <c r="P84" s="438" t="str">
        <f ca="1">P1</f>
        <v>OKT Project 16 of 20</v>
      </c>
    </row>
    <row r="85" spans="1:16" ht="17.5">
      <c r="B85" s="243"/>
      <c r="C85" s="243"/>
      <c r="D85" s="292"/>
      <c r="E85" s="243"/>
      <c r="F85" s="243"/>
      <c r="G85" s="243"/>
      <c r="H85" s="243"/>
      <c r="I85" s="325"/>
      <c r="J85" s="243"/>
      <c r="K85" s="278"/>
      <c r="L85" s="243"/>
      <c r="M85" s="243"/>
      <c r="P85" s="441" t="s">
        <v>132</v>
      </c>
    </row>
    <row r="86" spans="1:16" ht="17.5" thickBot="1">
      <c r="B86" s="233" t="s">
        <v>42</v>
      </c>
      <c r="C86" s="537" t="s">
        <v>81</v>
      </c>
      <c r="D86" s="292"/>
      <c r="E86" s="243"/>
      <c r="F86" s="243"/>
      <c r="G86" s="243"/>
      <c r="H86" s="243"/>
      <c r="I86" s="325"/>
      <c r="J86" s="325"/>
      <c r="K86" s="294"/>
      <c r="L86" s="325"/>
      <c r="M86" s="325"/>
      <c r="N86" s="325"/>
      <c r="O86" s="294"/>
      <c r="P86" s="243"/>
    </row>
    <row r="87" spans="1:16" ht="16" thickBot="1">
      <c r="C87" s="304"/>
      <c r="D87" s="292"/>
      <c r="E87" s="243"/>
      <c r="F87" s="243"/>
      <c r="G87" s="243"/>
      <c r="H87" s="243"/>
      <c r="I87" s="325"/>
      <c r="J87" s="325"/>
      <c r="K87" s="294"/>
      <c r="L87" s="538">
        <f>+J93</f>
        <v>2019</v>
      </c>
      <c r="M87" s="539" t="s">
        <v>9</v>
      </c>
      <c r="N87" s="540" t="s">
        <v>134</v>
      </c>
      <c r="O87" s="541" t="s">
        <v>11</v>
      </c>
      <c r="P87" s="243"/>
    </row>
    <row r="88" spans="1:16" ht="15.5">
      <c r="C88" s="232" t="s">
        <v>44</v>
      </c>
      <c r="D88" s="292"/>
      <c r="E88" s="243"/>
      <c r="F88" s="243"/>
      <c r="G88" s="243"/>
      <c r="H88" s="444"/>
      <c r="I88" s="243" t="s">
        <v>45</v>
      </c>
      <c r="J88" s="243"/>
      <c r="K88" s="542"/>
      <c r="L88" s="543" t="s">
        <v>253</v>
      </c>
      <c r="M88" s="544">
        <f>IF(J93&lt;D11,0,VLOOKUP(J93,C17:O73,9))</f>
        <v>1144883.2286713799</v>
      </c>
      <c r="N88" s="544">
        <f>IF(J93&lt;D11,0,VLOOKUP(J93,C17:O73,11))</f>
        <v>1144883.2286713799</v>
      </c>
      <c r="O88" s="545">
        <f>+N88-M88</f>
        <v>0</v>
      </c>
      <c r="P88" s="243"/>
    </row>
    <row r="89" spans="1:16" ht="15.5">
      <c r="C89" s="235"/>
      <c r="D89" s="292"/>
      <c r="E89" s="243"/>
      <c r="F89" s="243"/>
      <c r="G89" s="243"/>
      <c r="H89" s="243"/>
      <c r="I89" s="449"/>
      <c r="J89" s="449"/>
      <c r="K89" s="546"/>
      <c r="L89" s="547" t="s">
        <v>254</v>
      </c>
      <c r="M89" s="548">
        <f>IF(J93&lt;D11,0,VLOOKUP(J93,C100:P155,6))</f>
        <v>1271190.9493493373</v>
      </c>
      <c r="N89" s="548">
        <f>IF(J93&lt;D11,0,VLOOKUP(J93,C100:P155,7))</f>
        <v>1271190.9493493373</v>
      </c>
      <c r="O89" s="549">
        <f>+N89-M89</f>
        <v>0</v>
      </c>
      <c r="P89" s="243"/>
    </row>
    <row r="90" spans="1:16" ht="13.5" thickBot="1">
      <c r="C90" s="454" t="s">
        <v>82</v>
      </c>
      <c r="D90" s="550" t="str">
        <f>+D7</f>
        <v>Carnegie South-Southwestern 123 kv line rebuild</v>
      </c>
      <c r="E90" s="243"/>
      <c r="F90" s="243"/>
      <c r="G90" s="243"/>
      <c r="H90" s="243"/>
      <c r="I90" s="325"/>
      <c r="J90" s="325"/>
      <c r="K90" s="551"/>
      <c r="L90" s="552" t="s">
        <v>135</v>
      </c>
      <c r="M90" s="553">
        <f>+M89-M88</f>
        <v>126307.7206779574</v>
      </c>
      <c r="N90" s="553">
        <f>+N89-N88</f>
        <v>126307.7206779574</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2014207</v>
      </c>
      <c r="E92" s="558"/>
      <c r="F92" s="558"/>
      <c r="G92" s="558"/>
      <c r="H92" s="558"/>
      <c r="I92" s="558"/>
      <c r="J92" s="558"/>
      <c r="K92" s="560"/>
      <c r="P92" s="468"/>
    </row>
    <row r="93" spans="1:16" ht="13">
      <c r="C93" s="472" t="s">
        <v>49</v>
      </c>
      <c r="D93" s="470">
        <v>9589270</v>
      </c>
      <c r="E93" s="248" t="s">
        <v>84</v>
      </c>
      <c r="H93" s="408"/>
      <c r="I93" s="408"/>
      <c r="J93" s="471">
        <f>+'OKT.WS.G.BPU.ATRR.True-up'!M16</f>
        <v>2019</v>
      </c>
      <c r="K93" s="467"/>
      <c r="L93" s="294" t="s">
        <v>85</v>
      </c>
      <c r="P93" s="278"/>
    </row>
    <row r="94" spans="1:16" ht="12.5">
      <c r="C94" s="472" t="s">
        <v>52</v>
      </c>
      <c r="D94" s="473">
        <f>IF(D11=I10,"",D11)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ht="12.5">
      <c r="C95" s="472" t="s">
        <v>54</v>
      </c>
      <c r="D95" s="470">
        <f>IF(D11=I10,"",D12)</f>
        <v>7</v>
      </c>
      <c r="E95" s="472" t="s">
        <v>55</v>
      </c>
      <c r="F95" s="408"/>
      <c r="G95" s="408"/>
      <c r="J95" s="476">
        <f>'OKT.WS.G.BPU.ATRR.True-up'!$F$81</f>
        <v>0.10800922592579221</v>
      </c>
      <c r="K95" s="413"/>
      <c r="L95" s="145" t="s">
        <v>86</v>
      </c>
      <c r="P95" s="278"/>
    </row>
    <row r="96" spans="1:16" ht="12.5">
      <c r="C96" s="472" t="s">
        <v>57</v>
      </c>
      <c r="D96" s="474">
        <f>'OKT.WS.G.BPU.ATRR.True-up'!F$93</f>
        <v>33</v>
      </c>
      <c r="E96" s="472" t="s">
        <v>58</v>
      </c>
      <c r="F96" s="408"/>
      <c r="G96" s="408"/>
      <c r="J96" s="476">
        <f>IF(H88="",J95,'OKT.WS.G.BPU.ATRR.True-up'!$F$80)</f>
        <v>0.10800922592579221</v>
      </c>
      <c r="K96" s="291"/>
      <c r="L96" s="294" t="s">
        <v>59</v>
      </c>
      <c r="M96" s="291"/>
      <c r="N96" s="291"/>
      <c r="O96" s="291"/>
      <c r="P96" s="278"/>
    </row>
    <row r="97" spans="1:16" ht="13" thickBot="1">
      <c r="C97" s="472" t="s">
        <v>60</v>
      </c>
      <c r="D97" s="473" t="str">
        <f>+D14</f>
        <v>No</v>
      </c>
      <c r="E97" s="563" t="s">
        <v>62</v>
      </c>
      <c r="F97" s="564"/>
      <c r="G97" s="564"/>
      <c r="H97" s="565"/>
      <c r="I97" s="565"/>
      <c r="J97" s="458">
        <f>IF(D93=0,0,D93/D96)</f>
        <v>290583.93939393939</v>
      </c>
      <c r="K97" s="294"/>
      <c r="L97" s="294"/>
      <c r="M97" s="294"/>
      <c r="N97" s="294"/>
      <c r="O97" s="294"/>
      <c r="P97" s="278"/>
    </row>
    <row r="98" spans="1:16"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ht="12.5">
      <c r="B100" s="145" t="str">
        <f t="shared" ref="B100:B155" si="16">IF(D100=F99,"","IU")</f>
        <v>IU</v>
      </c>
      <c r="C100" s="495">
        <f>IF(D94= "","-",D94)</f>
        <v>2017</v>
      </c>
      <c r="D100" s="496">
        <v>0</v>
      </c>
      <c r="E100" s="498">
        <v>99561.5625</v>
      </c>
      <c r="F100" s="505">
        <v>9458348.4375</v>
      </c>
      <c r="G100" s="505">
        <v>4729174.21875</v>
      </c>
      <c r="H100" s="498">
        <v>654463.30646394705</v>
      </c>
      <c r="I100" s="499">
        <v>654463.30646394705</v>
      </c>
      <c r="J100" s="504">
        <f t="shared" ref="J100:J131" si="17">+I100-H100</f>
        <v>0</v>
      </c>
      <c r="K100" s="504"/>
      <c r="L100" s="506">
        <f>+H100</f>
        <v>654463.30646394705</v>
      </c>
      <c r="M100" s="504">
        <f t="shared" ref="M100:M131" si="18">IF(L100&lt;&gt;0,+H100-L100,0)</f>
        <v>0</v>
      </c>
      <c r="N100" s="506">
        <f>+I100</f>
        <v>654463.30646394705</v>
      </c>
      <c r="O100" s="586">
        <f t="shared" ref="O100:O131" si="19">IF(N100&lt;&gt;0,+I100-N100,0)</f>
        <v>0</v>
      </c>
      <c r="P100" s="504">
        <f t="shared" ref="P100:P131" si="20">+O100-M100</f>
        <v>0</v>
      </c>
    </row>
    <row r="101" spans="1:16" ht="12.5">
      <c r="B101" s="145" t="str">
        <f t="shared" si="16"/>
        <v/>
      </c>
      <c r="C101" s="495">
        <f>IF(D94="","-",+C100+1)</f>
        <v>2018</v>
      </c>
      <c r="D101" s="496">
        <v>9458348.4375</v>
      </c>
      <c r="E101" s="498">
        <v>265497.5</v>
      </c>
      <c r="F101" s="505">
        <v>9192850.9375</v>
      </c>
      <c r="G101" s="505">
        <v>9325599.6875</v>
      </c>
      <c r="H101" s="498">
        <v>1249930.642330141</v>
      </c>
      <c r="I101" s="499">
        <v>1249930.642330141</v>
      </c>
      <c r="J101" s="504">
        <f t="shared" si="17"/>
        <v>0</v>
      </c>
      <c r="K101" s="504"/>
      <c r="L101" s="506">
        <f>H101</f>
        <v>1249930.642330141</v>
      </c>
      <c r="M101" s="504">
        <f>IF(L101&lt;&gt;0,+H101-L101,0)</f>
        <v>0</v>
      </c>
      <c r="N101" s="506">
        <f>I101</f>
        <v>1249930.642330141</v>
      </c>
      <c r="O101" s="504">
        <f>IF(N101&lt;&gt;0,+I101-N101,0)</f>
        <v>0</v>
      </c>
      <c r="P101" s="504">
        <f>+O101-M101</f>
        <v>0</v>
      </c>
    </row>
    <row r="102" spans="1:16" ht="12.5">
      <c r="B102" s="145" t="str">
        <f t="shared" si="16"/>
        <v>IU</v>
      </c>
      <c r="C102" s="495">
        <f>IF(D94="","-",+C101+1)</f>
        <v>2019</v>
      </c>
      <c r="D102" s="349">
        <f>IF(F101+SUM(E$100:E101)=D$93,F101,D$93-SUM(E$100:E101))</f>
        <v>9224210.9375</v>
      </c>
      <c r="E102" s="509">
        <f t="shared" ref="E102:E132" si="21">IF(+J$97&lt;F101,J$97,D102)</f>
        <v>290583.93939393939</v>
      </c>
      <c r="F102" s="510">
        <f t="shared" ref="F102:F131" si="22">+D102-E102</f>
        <v>8933626.9981060605</v>
      </c>
      <c r="G102" s="510">
        <f t="shared" ref="G102:G131" si="23">+(F102+D102)/2</f>
        <v>9078918.9678030312</v>
      </c>
      <c r="H102" s="627">
        <f t="shared" ref="H102:H155" si="24">+J$95*G102+E102</f>
        <v>1271190.9493493373</v>
      </c>
      <c r="I102" s="628">
        <f t="shared" ref="I102:I155" si="25">+J$96*G102+E102</f>
        <v>1271190.9493493373</v>
      </c>
      <c r="J102" s="504">
        <f t="shared" si="17"/>
        <v>0</v>
      </c>
      <c r="K102" s="504"/>
      <c r="L102" s="512"/>
      <c r="M102" s="504">
        <f t="shared" si="18"/>
        <v>0</v>
      </c>
      <c r="N102" s="512"/>
      <c r="O102" s="504">
        <f t="shared" si="19"/>
        <v>0</v>
      </c>
      <c r="P102" s="504">
        <f t="shared" si="20"/>
        <v>0</v>
      </c>
    </row>
    <row r="103" spans="1:16" ht="12.5">
      <c r="B103" s="145" t="str">
        <f t="shared" si="16"/>
        <v/>
      </c>
      <c r="C103" s="495">
        <f>IF(D94="","-",+C102+1)</f>
        <v>2020</v>
      </c>
      <c r="D103" s="349">
        <f>IF(F102+SUM(E$100:E102)=D$93,F102,D$93-SUM(E$100:E102))</f>
        <v>8933626.9981060605</v>
      </c>
      <c r="E103" s="509">
        <f t="shared" si="21"/>
        <v>290583.93939393939</v>
      </c>
      <c r="F103" s="510">
        <f t="shared" si="22"/>
        <v>8643043.0587121211</v>
      </c>
      <c r="G103" s="510">
        <f t="shared" si="23"/>
        <v>8788335.0284090899</v>
      </c>
      <c r="H103" s="627">
        <f t="shared" si="24"/>
        <v>1239805.2029889303</v>
      </c>
      <c r="I103" s="628">
        <f t="shared" si="25"/>
        <v>1239805.2029889303</v>
      </c>
      <c r="J103" s="504">
        <f t="shared" si="17"/>
        <v>0</v>
      </c>
      <c r="K103" s="504"/>
      <c r="L103" s="512"/>
      <c r="M103" s="504">
        <f t="shared" si="18"/>
        <v>0</v>
      </c>
      <c r="N103" s="512"/>
      <c r="O103" s="504">
        <f t="shared" si="19"/>
        <v>0</v>
      </c>
      <c r="P103" s="504">
        <f t="shared" si="20"/>
        <v>0</v>
      </c>
    </row>
    <row r="104" spans="1:16" ht="12.5">
      <c r="B104" s="145" t="str">
        <f t="shared" si="16"/>
        <v/>
      </c>
      <c r="C104" s="495">
        <f>IF(D94="","-",+C103+1)</f>
        <v>2021</v>
      </c>
      <c r="D104" s="349">
        <f>IF(F103+SUM(E$100:E103)=D$93,F103,D$93-SUM(E$100:E103))</f>
        <v>8643043.0587121211</v>
      </c>
      <c r="E104" s="509">
        <f t="shared" si="21"/>
        <v>290583.93939393939</v>
      </c>
      <c r="F104" s="510">
        <f t="shared" si="22"/>
        <v>8352459.1193181816</v>
      </c>
      <c r="G104" s="510">
        <f t="shared" si="23"/>
        <v>8497751.0890151523</v>
      </c>
      <c r="H104" s="627">
        <f t="shared" si="24"/>
        <v>1208419.4566285238</v>
      </c>
      <c r="I104" s="628">
        <f t="shared" si="25"/>
        <v>1208419.4566285238</v>
      </c>
      <c r="J104" s="504">
        <f t="shared" si="17"/>
        <v>0</v>
      </c>
      <c r="K104" s="504"/>
      <c r="L104" s="512"/>
      <c r="M104" s="504">
        <f t="shared" si="18"/>
        <v>0</v>
      </c>
      <c r="N104" s="512"/>
      <c r="O104" s="504">
        <f t="shared" si="19"/>
        <v>0</v>
      </c>
      <c r="P104" s="504">
        <f t="shared" si="20"/>
        <v>0</v>
      </c>
    </row>
    <row r="105" spans="1:16" ht="12.5">
      <c r="B105" s="145" t="str">
        <f t="shared" si="16"/>
        <v/>
      </c>
      <c r="C105" s="495">
        <f>IF(D94="","-",+C104+1)</f>
        <v>2022</v>
      </c>
      <c r="D105" s="349">
        <f>IF(F104+SUM(E$100:E104)=D$93,F104,D$93-SUM(E$100:E104))</f>
        <v>8352459.1193181816</v>
      </c>
      <c r="E105" s="509">
        <f t="shared" si="21"/>
        <v>290583.93939393939</v>
      </c>
      <c r="F105" s="510">
        <f t="shared" si="22"/>
        <v>8061875.1799242422</v>
      </c>
      <c r="G105" s="510">
        <f t="shared" si="23"/>
        <v>8207167.1496212119</v>
      </c>
      <c r="H105" s="627">
        <f t="shared" si="24"/>
        <v>1177033.710268117</v>
      </c>
      <c r="I105" s="628">
        <f t="shared" si="25"/>
        <v>1177033.710268117</v>
      </c>
      <c r="J105" s="504">
        <f t="shared" si="17"/>
        <v>0</v>
      </c>
      <c r="K105" s="504"/>
      <c r="L105" s="512"/>
      <c r="M105" s="504">
        <f t="shared" si="18"/>
        <v>0</v>
      </c>
      <c r="N105" s="512"/>
      <c r="O105" s="504">
        <f t="shared" si="19"/>
        <v>0</v>
      </c>
      <c r="P105" s="504">
        <f t="shared" si="20"/>
        <v>0</v>
      </c>
    </row>
    <row r="106" spans="1:16" ht="12.5">
      <c r="B106" s="145" t="str">
        <f t="shared" si="16"/>
        <v/>
      </c>
      <c r="C106" s="495">
        <f>IF(D94="","-",+C105+1)</f>
        <v>2023</v>
      </c>
      <c r="D106" s="349">
        <f>IF(F105+SUM(E$100:E105)=D$93,F105,D$93-SUM(E$100:E105))</f>
        <v>8061875.1799242422</v>
      </c>
      <c r="E106" s="509">
        <f t="shared" si="21"/>
        <v>290583.93939393939</v>
      </c>
      <c r="F106" s="510">
        <f t="shared" si="22"/>
        <v>7771291.2405303027</v>
      </c>
      <c r="G106" s="510">
        <f t="shared" si="23"/>
        <v>7916583.2102272725</v>
      </c>
      <c r="H106" s="627">
        <f t="shared" si="24"/>
        <v>1145647.9639077103</v>
      </c>
      <c r="I106" s="628">
        <f t="shared" si="25"/>
        <v>1145647.9639077103</v>
      </c>
      <c r="J106" s="504">
        <f t="shared" si="17"/>
        <v>0</v>
      </c>
      <c r="K106" s="504"/>
      <c r="L106" s="512"/>
      <c r="M106" s="504">
        <f t="shared" si="18"/>
        <v>0</v>
      </c>
      <c r="N106" s="512"/>
      <c r="O106" s="504">
        <f t="shared" si="19"/>
        <v>0</v>
      </c>
      <c r="P106" s="504">
        <f t="shared" si="20"/>
        <v>0</v>
      </c>
    </row>
    <row r="107" spans="1:16" ht="12.5">
      <c r="B107" s="145" t="str">
        <f t="shared" si="16"/>
        <v/>
      </c>
      <c r="C107" s="495">
        <f>IF(D94="","-",+C106+1)</f>
        <v>2024</v>
      </c>
      <c r="D107" s="349">
        <f>IF(F106+SUM(E$100:E106)=D$93,F106,D$93-SUM(E$100:E106))</f>
        <v>7771291.2405303027</v>
      </c>
      <c r="E107" s="509">
        <f t="shared" si="21"/>
        <v>290583.93939393939</v>
      </c>
      <c r="F107" s="510">
        <f t="shared" si="22"/>
        <v>7480707.3011363633</v>
      </c>
      <c r="G107" s="510">
        <f t="shared" si="23"/>
        <v>7625999.270833333</v>
      </c>
      <c r="H107" s="627">
        <f t="shared" si="24"/>
        <v>1114262.2175473035</v>
      </c>
      <c r="I107" s="628">
        <f t="shared" si="25"/>
        <v>1114262.2175473035</v>
      </c>
      <c r="J107" s="504">
        <f t="shared" si="17"/>
        <v>0</v>
      </c>
      <c r="K107" s="504"/>
      <c r="L107" s="512"/>
      <c r="M107" s="504">
        <f t="shared" si="18"/>
        <v>0</v>
      </c>
      <c r="N107" s="512"/>
      <c r="O107" s="504">
        <f t="shared" si="19"/>
        <v>0</v>
      </c>
      <c r="P107" s="504">
        <f t="shared" si="20"/>
        <v>0</v>
      </c>
    </row>
    <row r="108" spans="1:16" ht="12.5">
      <c r="B108" s="145" t="str">
        <f t="shared" si="16"/>
        <v/>
      </c>
      <c r="C108" s="495">
        <f>IF(D94="","-",+C107+1)</f>
        <v>2025</v>
      </c>
      <c r="D108" s="349">
        <f>IF(F107+SUM(E$100:E107)=D$93,F107,D$93-SUM(E$100:E107))</f>
        <v>7480707.3011363633</v>
      </c>
      <c r="E108" s="509">
        <f t="shared" si="21"/>
        <v>290583.93939393939</v>
      </c>
      <c r="F108" s="510">
        <f t="shared" si="22"/>
        <v>7190123.3617424238</v>
      </c>
      <c r="G108" s="510">
        <f t="shared" si="23"/>
        <v>7335415.3314393936</v>
      </c>
      <c r="H108" s="627">
        <f t="shared" si="24"/>
        <v>1082876.4711868968</v>
      </c>
      <c r="I108" s="628">
        <f t="shared" si="25"/>
        <v>1082876.4711868968</v>
      </c>
      <c r="J108" s="504">
        <f t="shared" si="17"/>
        <v>0</v>
      </c>
      <c r="K108" s="504"/>
      <c r="L108" s="512"/>
      <c r="M108" s="504">
        <f t="shared" si="18"/>
        <v>0</v>
      </c>
      <c r="N108" s="512"/>
      <c r="O108" s="504">
        <f t="shared" si="19"/>
        <v>0</v>
      </c>
      <c r="P108" s="504">
        <f t="shared" si="20"/>
        <v>0</v>
      </c>
    </row>
    <row r="109" spans="1:16" ht="12.5">
      <c r="B109" s="145" t="str">
        <f t="shared" si="16"/>
        <v/>
      </c>
      <c r="C109" s="495">
        <f>IF(D94="","-",+C108+1)</f>
        <v>2026</v>
      </c>
      <c r="D109" s="349">
        <f>IF(F108+SUM(E$100:E108)=D$93,F108,D$93-SUM(E$100:E108))</f>
        <v>7190123.3617424238</v>
      </c>
      <c r="E109" s="509">
        <f t="shared" si="21"/>
        <v>290583.93939393939</v>
      </c>
      <c r="F109" s="510">
        <f t="shared" si="22"/>
        <v>6899539.4223484844</v>
      </c>
      <c r="G109" s="510">
        <f t="shared" si="23"/>
        <v>7044831.3920454541</v>
      </c>
      <c r="H109" s="627">
        <f t="shared" si="24"/>
        <v>1051490.72482649</v>
      </c>
      <c r="I109" s="628">
        <f t="shared" si="25"/>
        <v>1051490.72482649</v>
      </c>
      <c r="J109" s="504">
        <f t="shared" si="17"/>
        <v>0</v>
      </c>
      <c r="K109" s="504"/>
      <c r="L109" s="512"/>
      <c r="M109" s="504">
        <f t="shared" si="18"/>
        <v>0</v>
      </c>
      <c r="N109" s="512"/>
      <c r="O109" s="504">
        <f t="shared" si="19"/>
        <v>0</v>
      </c>
      <c r="P109" s="504">
        <f t="shared" si="20"/>
        <v>0</v>
      </c>
    </row>
    <row r="110" spans="1:16" ht="12.5">
      <c r="B110" s="145" t="str">
        <f t="shared" si="16"/>
        <v/>
      </c>
      <c r="C110" s="495">
        <f>IF(D94="","-",+C109+1)</f>
        <v>2027</v>
      </c>
      <c r="D110" s="349">
        <f>IF(F109+SUM(E$100:E109)=D$93,F109,D$93-SUM(E$100:E109))</f>
        <v>6899539.4223484844</v>
      </c>
      <c r="E110" s="509">
        <f t="shared" si="21"/>
        <v>290583.93939393939</v>
      </c>
      <c r="F110" s="510">
        <f t="shared" si="22"/>
        <v>6608955.4829545449</v>
      </c>
      <c r="G110" s="510">
        <f t="shared" si="23"/>
        <v>6754247.4526515147</v>
      </c>
      <c r="H110" s="627">
        <f t="shared" si="24"/>
        <v>1020104.9784660833</v>
      </c>
      <c r="I110" s="628">
        <f t="shared" si="25"/>
        <v>1020104.9784660833</v>
      </c>
      <c r="J110" s="504">
        <f t="shared" si="17"/>
        <v>0</v>
      </c>
      <c r="K110" s="504"/>
      <c r="L110" s="512"/>
      <c r="M110" s="504">
        <f t="shared" si="18"/>
        <v>0</v>
      </c>
      <c r="N110" s="512"/>
      <c r="O110" s="504">
        <f t="shared" si="19"/>
        <v>0</v>
      </c>
      <c r="P110" s="504">
        <f t="shared" si="20"/>
        <v>0</v>
      </c>
    </row>
    <row r="111" spans="1:16" ht="12.5">
      <c r="B111" s="145" t="str">
        <f t="shared" si="16"/>
        <v/>
      </c>
      <c r="C111" s="495">
        <f>IF(D94="","-",+C110+1)</f>
        <v>2028</v>
      </c>
      <c r="D111" s="349">
        <f>IF(F110+SUM(E$100:E110)=D$93,F110,D$93-SUM(E$100:E110))</f>
        <v>6608955.4829545449</v>
      </c>
      <c r="E111" s="509">
        <f t="shared" si="21"/>
        <v>290583.93939393939</v>
      </c>
      <c r="F111" s="510">
        <f t="shared" si="22"/>
        <v>6318371.5435606055</v>
      </c>
      <c r="G111" s="510">
        <f t="shared" si="23"/>
        <v>6463663.5132575752</v>
      </c>
      <c r="H111" s="627">
        <f t="shared" si="24"/>
        <v>988719.23210567655</v>
      </c>
      <c r="I111" s="628">
        <f t="shared" si="25"/>
        <v>988719.23210567655</v>
      </c>
      <c r="J111" s="504">
        <f t="shared" si="17"/>
        <v>0</v>
      </c>
      <c r="K111" s="504"/>
      <c r="L111" s="512"/>
      <c r="M111" s="504">
        <f t="shared" si="18"/>
        <v>0</v>
      </c>
      <c r="N111" s="512"/>
      <c r="O111" s="504">
        <f t="shared" si="19"/>
        <v>0</v>
      </c>
      <c r="P111" s="504">
        <f t="shared" si="20"/>
        <v>0</v>
      </c>
    </row>
    <row r="112" spans="1:16" ht="12.5">
      <c r="B112" s="145" t="str">
        <f t="shared" si="16"/>
        <v/>
      </c>
      <c r="C112" s="495">
        <f>IF(D94="","-",+C111+1)</f>
        <v>2029</v>
      </c>
      <c r="D112" s="349">
        <f>IF(F111+SUM(E$100:E111)=D$93,F111,D$93-SUM(E$100:E111))</f>
        <v>6318371.5435606055</v>
      </c>
      <c r="E112" s="509">
        <f t="shared" si="21"/>
        <v>290583.93939393939</v>
      </c>
      <c r="F112" s="510">
        <f t="shared" si="22"/>
        <v>6027787.604166666</v>
      </c>
      <c r="G112" s="510">
        <f t="shared" si="23"/>
        <v>6173079.5738636358</v>
      </c>
      <c r="H112" s="627">
        <f t="shared" si="24"/>
        <v>957333.48574526981</v>
      </c>
      <c r="I112" s="628">
        <f t="shared" si="25"/>
        <v>957333.48574526981</v>
      </c>
      <c r="J112" s="504">
        <f t="shared" si="17"/>
        <v>0</v>
      </c>
      <c r="K112" s="504"/>
      <c r="L112" s="512"/>
      <c r="M112" s="504">
        <f t="shared" si="18"/>
        <v>0</v>
      </c>
      <c r="N112" s="512"/>
      <c r="O112" s="504">
        <f t="shared" si="19"/>
        <v>0</v>
      </c>
      <c r="P112" s="504">
        <f t="shared" si="20"/>
        <v>0</v>
      </c>
    </row>
    <row r="113" spans="2:16" ht="12.5">
      <c r="B113" s="145" t="str">
        <f t="shared" si="16"/>
        <v/>
      </c>
      <c r="C113" s="495">
        <f>IF(D94="","-",+C112+1)</f>
        <v>2030</v>
      </c>
      <c r="D113" s="349">
        <f>IF(F112+SUM(E$100:E112)=D$93,F112,D$93-SUM(E$100:E112))</f>
        <v>6027787.604166666</v>
      </c>
      <c r="E113" s="509">
        <f t="shared" si="21"/>
        <v>290583.93939393939</v>
      </c>
      <c r="F113" s="510">
        <f t="shared" si="22"/>
        <v>5737203.6647727266</v>
      </c>
      <c r="G113" s="510">
        <f t="shared" si="23"/>
        <v>5882495.6344696963</v>
      </c>
      <c r="H113" s="627">
        <f t="shared" si="24"/>
        <v>925947.73938486329</v>
      </c>
      <c r="I113" s="628">
        <f t="shared" si="25"/>
        <v>925947.73938486329</v>
      </c>
      <c r="J113" s="504">
        <f t="shared" si="17"/>
        <v>0</v>
      </c>
      <c r="K113" s="504"/>
      <c r="L113" s="512"/>
      <c r="M113" s="504">
        <f t="shared" si="18"/>
        <v>0</v>
      </c>
      <c r="N113" s="512"/>
      <c r="O113" s="504">
        <f t="shared" si="19"/>
        <v>0</v>
      </c>
      <c r="P113" s="504">
        <f t="shared" si="20"/>
        <v>0</v>
      </c>
    </row>
    <row r="114" spans="2:16" ht="12.5">
      <c r="B114" s="145" t="str">
        <f t="shared" si="16"/>
        <v/>
      </c>
      <c r="C114" s="495">
        <f>IF(D94="","-",+C113+1)</f>
        <v>2031</v>
      </c>
      <c r="D114" s="349">
        <f>IF(F113+SUM(E$100:E113)=D$93,F113,D$93-SUM(E$100:E113))</f>
        <v>5737203.6647727266</v>
      </c>
      <c r="E114" s="509">
        <f t="shared" si="21"/>
        <v>290583.93939393939</v>
      </c>
      <c r="F114" s="510">
        <f t="shared" si="22"/>
        <v>5446619.7253787871</v>
      </c>
      <c r="G114" s="510">
        <f t="shared" si="23"/>
        <v>5591911.6950757569</v>
      </c>
      <c r="H114" s="627">
        <f t="shared" si="24"/>
        <v>894561.99302445655</v>
      </c>
      <c r="I114" s="628">
        <f t="shared" si="25"/>
        <v>894561.99302445655</v>
      </c>
      <c r="J114" s="504">
        <f t="shared" si="17"/>
        <v>0</v>
      </c>
      <c r="K114" s="504"/>
      <c r="L114" s="512"/>
      <c r="M114" s="504">
        <f t="shared" si="18"/>
        <v>0</v>
      </c>
      <c r="N114" s="512"/>
      <c r="O114" s="504">
        <f t="shared" si="19"/>
        <v>0</v>
      </c>
      <c r="P114" s="504">
        <f t="shared" si="20"/>
        <v>0</v>
      </c>
    </row>
    <row r="115" spans="2:16" ht="12.5">
      <c r="B115" s="145" t="str">
        <f t="shared" si="16"/>
        <v/>
      </c>
      <c r="C115" s="495">
        <f>IF(D94="","-",+C114+1)</f>
        <v>2032</v>
      </c>
      <c r="D115" s="349">
        <f>IF(F114+SUM(E$100:E114)=D$93,F114,D$93-SUM(E$100:E114))</f>
        <v>5446619.7253787871</v>
      </c>
      <c r="E115" s="509">
        <f t="shared" si="21"/>
        <v>290583.93939393939</v>
      </c>
      <c r="F115" s="510">
        <f t="shared" si="22"/>
        <v>5156035.7859848477</v>
      </c>
      <c r="G115" s="510">
        <f t="shared" si="23"/>
        <v>5301327.7556818174</v>
      </c>
      <c r="H115" s="627">
        <f t="shared" si="24"/>
        <v>863176.2466640498</v>
      </c>
      <c r="I115" s="628">
        <f t="shared" si="25"/>
        <v>863176.2466640498</v>
      </c>
      <c r="J115" s="504">
        <f t="shared" si="17"/>
        <v>0</v>
      </c>
      <c r="K115" s="504"/>
      <c r="L115" s="512"/>
      <c r="M115" s="504">
        <f t="shared" si="18"/>
        <v>0</v>
      </c>
      <c r="N115" s="512"/>
      <c r="O115" s="504">
        <f t="shared" si="19"/>
        <v>0</v>
      </c>
      <c r="P115" s="504">
        <f t="shared" si="20"/>
        <v>0</v>
      </c>
    </row>
    <row r="116" spans="2:16" ht="12.5">
      <c r="B116" s="145" t="str">
        <f t="shared" si="16"/>
        <v/>
      </c>
      <c r="C116" s="495">
        <f>IF(D94="","-",+C115+1)</f>
        <v>2033</v>
      </c>
      <c r="D116" s="349">
        <f>IF(F115+SUM(E$100:E115)=D$93,F115,D$93-SUM(E$100:E115))</f>
        <v>5156035.7859848477</v>
      </c>
      <c r="E116" s="509">
        <f t="shared" si="21"/>
        <v>290583.93939393939</v>
      </c>
      <c r="F116" s="510">
        <f t="shared" si="22"/>
        <v>4865451.8465909082</v>
      </c>
      <c r="G116" s="510">
        <f t="shared" si="23"/>
        <v>5010743.816287878</v>
      </c>
      <c r="H116" s="627">
        <f t="shared" si="24"/>
        <v>831790.50030364306</v>
      </c>
      <c r="I116" s="628">
        <f t="shared" si="25"/>
        <v>831790.50030364306</v>
      </c>
      <c r="J116" s="504">
        <f t="shared" si="17"/>
        <v>0</v>
      </c>
      <c r="K116" s="504"/>
      <c r="L116" s="512"/>
      <c r="M116" s="504">
        <f t="shared" si="18"/>
        <v>0</v>
      </c>
      <c r="N116" s="512"/>
      <c r="O116" s="504">
        <f t="shared" si="19"/>
        <v>0</v>
      </c>
      <c r="P116" s="504">
        <f t="shared" si="20"/>
        <v>0</v>
      </c>
    </row>
    <row r="117" spans="2:16" ht="12.5">
      <c r="B117" s="145" t="str">
        <f t="shared" si="16"/>
        <v/>
      </c>
      <c r="C117" s="495">
        <f>IF(D94="","-",+C116+1)</f>
        <v>2034</v>
      </c>
      <c r="D117" s="349">
        <f>IF(F116+SUM(E$100:E116)=D$93,F116,D$93-SUM(E$100:E116))</f>
        <v>4865451.8465909082</v>
      </c>
      <c r="E117" s="509">
        <f t="shared" si="21"/>
        <v>290583.93939393939</v>
      </c>
      <c r="F117" s="510">
        <f t="shared" si="22"/>
        <v>4574867.9071969688</v>
      </c>
      <c r="G117" s="510">
        <f t="shared" si="23"/>
        <v>4720159.8768939385</v>
      </c>
      <c r="H117" s="627">
        <f t="shared" si="24"/>
        <v>800404.75394323631</v>
      </c>
      <c r="I117" s="628">
        <f t="shared" si="25"/>
        <v>800404.75394323631</v>
      </c>
      <c r="J117" s="504">
        <f t="shared" si="17"/>
        <v>0</v>
      </c>
      <c r="K117" s="504"/>
      <c r="L117" s="512"/>
      <c r="M117" s="504">
        <f t="shared" si="18"/>
        <v>0</v>
      </c>
      <c r="N117" s="512"/>
      <c r="O117" s="504">
        <f t="shared" si="19"/>
        <v>0</v>
      </c>
      <c r="P117" s="504">
        <f t="shared" si="20"/>
        <v>0</v>
      </c>
    </row>
    <row r="118" spans="2:16" ht="12.5">
      <c r="B118" s="145" t="str">
        <f t="shared" si="16"/>
        <v/>
      </c>
      <c r="C118" s="495">
        <f>IF(D94="","-",+C117+1)</f>
        <v>2035</v>
      </c>
      <c r="D118" s="349">
        <f>IF(F117+SUM(E$100:E117)=D$93,F117,D$93-SUM(E$100:E117))</f>
        <v>4574867.9071969688</v>
      </c>
      <c r="E118" s="509">
        <f t="shared" si="21"/>
        <v>290583.93939393939</v>
      </c>
      <c r="F118" s="510">
        <f t="shared" si="22"/>
        <v>4284283.9678030293</v>
      </c>
      <c r="G118" s="510">
        <f t="shared" si="23"/>
        <v>4429575.9374999991</v>
      </c>
      <c r="H118" s="627">
        <f t="shared" si="24"/>
        <v>769019.00758282957</v>
      </c>
      <c r="I118" s="628">
        <f t="shared" si="25"/>
        <v>769019.00758282957</v>
      </c>
      <c r="J118" s="504">
        <f t="shared" si="17"/>
        <v>0</v>
      </c>
      <c r="K118" s="504"/>
      <c r="L118" s="512"/>
      <c r="M118" s="504">
        <f t="shared" si="18"/>
        <v>0</v>
      </c>
      <c r="N118" s="512"/>
      <c r="O118" s="504">
        <f t="shared" si="19"/>
        <v>0</v>
      </c>
      <c r="P118" s="504">
        <f t="shared" si="20"/>
        <v>0</v>
      </c>
    </row>
    <row r="119" spans="2:16" ht="12.5">
      <c r="B119" s="145" t="str">
        <f t="shared" si="16"/>
        <v/>
      </c>
      <c r="C119" s="495">
        <f>IF(D94="","-",+C118+1)</f>
        <v>2036</v>
      </c>
      <c r="D119" s="349">
        <f>IF(F118+SUM(E$100:E118)=D$93,F118,D$93-SUM(E$100:E118))</f>
        <v>4284283.9678030293</v>
      </c>
      <c r="E119" s="509">
        <f t="shared" si="21"/>
        <v>290583.93939393939</v>
      </c>
      <c r="F119" s="510">
        <f t="shared" si="22"/>
        <v>3993700.0284090899</v>
      </c>
      <c r="G119" s="510">
        <f t="shared" si="23"/>
        <v>4138991.9981060596</v>
      </c>
      <c r="H119" s="627">
        <f t="shared" si="24"/>
        <v>737633.26122242282</v>
      </c>
      <c r="I119" s="628">
        <f t="shared" si="25"/>
        <v>737633.26122242282</v>
      </c>
      <c r="J119" s="504">
        <f t="shared" si="17"/>
        <v>0</v>
      </c>
      <c r="K119" s="504"/>
      <c r="L119" s="512"/>
      <c r="M119" s="504">
        <f t="shared" si="18"/>
        <v>0</v>
      </c>
      <c r="N119" s="512"/>
      <c r="O119" s="504">
        <f t="shared" si="19"/>
        <v>0</v>
      </c>
      <c r="P119" s="504">
        <f t="shared" si="20"/>
        <v>0</v>
      </c>
    </row>
    <row r="120" spans="2:16" ht="12.5">
      <c r="B120" s="145" t="str">
        <f t="shared" si="16"/>
        <v/>
      </c>
      <c r="C120" s="495">
        <f>IF(D94="","-",+C119+1)</f>
        <v>2037</v>
      </c>
      <c r="D120" s="349">
        <f>IF(F119+SUM(E$100:E119)=D$93,F119,D$93-SUM(E$100:E119))</f>
        <v>3993700.0284090899</v>
      </c>
      <c r="E120" s="509">
        <f t="shared" si="21"/>
        <v>290583.93939393939</v>
      </c>
      <c r="F120" s="510">
        <f t="shared" si="22"/>
        <v>3703116.0890151504</v>
      </c>
      <c r="G120" s="510">
        <f t="shared" si="23"/>
        <v>3848408.0587121202</v>
      </c>
      <c r="H120" s="627">
        <f t="shared" si="24"/>
        <v>706247.51486201619</v>
      </c>
      <c r="I120" s="628">
        <f t="shared" si="25"/>
        <v>706247.51486201619</v>
      </c>
      <c r="J120" s="504">
        <f t="shared" si="17"/>
        <v>0</v>
      </c>
      <c r="K120" s="504"/>
      <c r="L120" s="512"/>
      <c r="M120" s="504">
        <f t="shared" si="18"/>
        <v>0</v>
      </c>
      <c r="N120" s="512"/>
      <c r="O120" s="504">
        <f t="shared" si="19"/>
        <v>0</v>
      </c>
      <c r="P120" s="504">
        <f t="shared" si="20"/>
        <v>0</v>
      </c>
    </row>
    <row r="121" spans="2:16" ht="12.5">
      <c r="B121" s="145" t="str">
        <f t="shared" si="16"/>
        <v/>
      </c>
      <c r="C121" s="495">
        <f>IF(D94="","-",+C120+1)</f>
        <v>2038</v>
      </c>
      <c r="D121" s="349">
        <f>IF(F120+SUM(E$100:E120)=D$93,F120,D$93-SUM(E$100:E120))</f>
        <v>3703116.0890151504</v>
      </c>
      <c r="E121" s="509">
        <f t="shared" si="21"/>
        <v>290583.93939393939</v>
      </c>
      <c r="F121" s="510">
        <f t="shared" si="22"/>
        <v>3412532.149621211</v>
      </c>
      <c r="G121" s="510">
        <f t="shared" si="23"/>
        <v>3557824.1193181807</v>
      </c>
      <c r="H121" s="627">
        <f t="shared" si="24"/>
        <v>674861.76850160945</v>
      </c>
      <c r="I121" s="628">
        <f t="shared" si="25"/>
        <v>674861.76850160945</v>
      </c>
      <c r="J121" s="504">
        <f t="shared" si="17"/>
        <v>0</v>
      </c>
      <c r="K121" s="504"/>
      <c r="L121" s="512"/>
      <c r="M121" s="504">
        <f t="shared" si="18"/>
        <v>0</v>
      </c>
      <c r="N121" s="512"/>
      <c r="O121" s="504">
        <f t="shared" si="19"/>
        <v>0</v>
      </c>
      <c r="P121" s="504">
        <f t="shared" si="20"/>
        <v>0</v>
      </c>
    </row>
    <row r="122" spans="2:16" ht="12.5">
      <c r="B122" s="145" t="str">
        <f t="shared" si="16"/>
        <v/>
      </c>
      <c r="C122" s="495">
        <f>IF(D94="","-",+C121+1)</f>
        <v>2039</v>
      </c>
      <c r="D122" s="349">
        <f>IF(F121+SUM(E$100:E121)=D$93,F121,D$93-SUM(E$100:E121))</f>
        <v>3412532.149621211</v>
      </c>
      <c r="E122" s="509">
        <f t="shared" si="21"/>
        <v>290583.93939393939</v>
      </c>
      <c r="F122" s="510">
        <f t="shared" si="22"/>
        <v>3121948.2102272715</v>
      </c>
      <c r="G122" s="510">
        <f t="shared" si="23"/>
        <v>3267240.1799242413</v>
      </c>
      <c r="H122" s="627">
        <f t="shared" si="24"/>
        <v>643476.02214120282</v>
      </c>
      <c r="I122" s="628">
        <f t="shared" si="25"/>
        <v>643476.02214120282</v>
      </c>
      <c r="J122" s="504">
        <f t="shared" si="17"/>
        <v>0</v>
      </c>
      <c r="K122" s="504"/>
      <c r="L122" s="512"/>
      <c r="M122" s="504">
        <f t="shared" si="18"/>
        <v>0</v>
      </c>
      <c r="N122" s="512"/>
      <c r="O122" s="504">
        <f t="shared" si="19"/>
        <v>0</v>
      </c>
      <c r="P122" s="504">
        <f t="shared" si="20"/>
        <v>0</v>
      </c>
    </row>
    <row r="123" spans="2:16" ht="12.5">
      <c r="B123" s="145" t="str">
        <f t="shared" si="16"/>
        <v/>
      </c>
      <c r="C123" s="495">
        <f>IF(D94="","-",+C122+1)</f>
        <v>2040</v>
      </c>
      <c r="D123" s="349">
        <f>IF(F122+SUM(E$100:E122)=D$93,F122,D$93-SUM(E$100:E122))</f>
        <v>3121948.2102272715</v>
      </c>
      <c r="E123" s="509">
        <f t="shared" si="21"/>
        <v>290583.93939393939</v>
      </c>
      <c r="F123" s="510">
        <f t="shared" si="22"/>
        <v>2831364.2708333321</v>
      </c>
      <c r="G123" s="510">
        <f t="shared" si="23"/>
        <v>2976656.2405303018</v>
      </c>
      <c r="H123" s="627">
        <f t="shared" si="24"/>
        <v>612090.27578079607</v>
      </c>
      <c r="I123" s="628">
        <f t="shared" si="25"/>
        <v>612090.27578079607</v>
      </c>
      <c r="J123" s="504">
        <f t="shared" si="17"/>
        <v>0</v>
      </c>
      <c r="K123" s="504"/>
      <c r="L123" s="512"/>
      <c r="M123" s="504">
        <f t="shared" si="18"/>
        <v>0</v>
      </c>
      <c r="N123" s="512"/>
      <c r="O123" s="504">
        <f t="shared" si="19"/>
        <v>0</v>
      </c>
      <c r="P123" s="504">
        <f t="shared" si="20"/>
        <v>0</v>
      </c>
    </row>
    <row r="124" spans="2:16" ht="12.5">
      <c r="B124" s="145" t="str">
        <f t="shared" si="16"/>
        <v/>
      </c>
      <c r="C124" s="495">
        <f>IF(D94="","-",+C123+1)</f>
        <v>2041</v>
      </c>
      <c r="D124" s="349">
        <f>IF(F123+SUM(E$100:E123)=D$93,F123,D$93-SUM(E$100:E123))</f>
        <v>2831364.2708333321</v>
      </c>
      <c r="E124" s="509">
        <f t="shared" si="21"/>
        <v>290583.93939393939</v>
      </c>
      <c r="F124" s="510">
        <f t="shared" si="22"/>
        <v>2540780.3314393926</v>
      </c>
      <c r="G124" s="510">
        <f t="shared" si="23"/>
        <v>2686072.3011363624</v>
      </c>
      <c r="H124" s="627">
        <f t="shared" si="24"/>
        <v>580704.52942038933</v>
      </c>
      <c r="I124" s="628">
        <f t="shared" si="25"/>
        <v>580704.52942038933</v>
      </c>
      <c r="J124" s="504">
        <f t="shared" si="17"/>
        <v>0</v>
      </c>
      <c r="K124" s="504"/>
      <c r="L124" s="512"/>
      <c r="M124" s="504">
        <f t="shared" si="18"/>
        <v>0</v>
      </c>
      <c r="N124" s="512"/>
      <c r="O124" s="504">
        <f t="shared" si="19"/>
        <v>0</v>
      </c>
      <c r="P124" s="504">
        <f t="shared" si="20"/>
        <v>0</v>
      </c>
    </row>
    <row r="125" spans="2:16" ht="12.5">
      <c r="B125" s="145" t="str">
        <f t="shared" si="16"/>
        <v/>
      </c>
      <c r="C125" s="495">
        <f>IF(D94="","-",+C124+1)</f>
        <v>2042</v>
      </c>
      <c r="D125" s="349">
        <f>IF(F124+SUM(E$100:E124)=D$93,F124,D$93-SUM(E$100:E124))</f>
        <v>2540780.3314393926</v>
      </c>
      <c r="E125" s="509">
        <f t="shared" si="21"/>
        <v>290583.93939393939</v>
      </c>
      <c r="F125" s="510">
        <f t="shared" si="22"/>
        <v>2250196.3920454532</v>
      </c>
      <c r="G125" s="510">
        <f t="shared" si="23"/>
        <v>2395488.3617424229</v>
      </c>
      <c r="H125" s="627">
        <f t="shared" si="24"/>
        <v>549318.78305998258</v>
      </c>
      <c r="I125" s="628">
        <f t="shared" si="25"/>
        <v>549318.78305998258</v>
      </c>
      <c r="J125" s="504">
        <f t="shared" si="17"/>
        <v>0</v>
      </c>
      <c r="K125" s="504"/>
      <c r="L125" s="512"/>
      <c r="M125" s="504">
        <f t="shared" si="18"/>
        <v>0</v>
      </c>
      <c r="N125" s="512"/>
      <c r="O125" s="504">
        <f t="shared" si="19"/>
        <v>0</v>
      </c>
      <c r="P125" s="504">
        <f t="shared" si="20"/>
        <v>0</v>
      </c>
    </row>
    <row r="126" spans="2:16" ht="12.5">
      <c r="B126" s="145" t="str">
        <f t="shared" si="16"/>
        <v/>
      </c>
      <c r="C126" s="495">
        <f>IF(D94="","-",+C125+1)</f>
        <v>2043</v>
      </c>
      <c r="D126" s="349">
        <f>IF(F125+SUM(E$100:E125)=D$93,F125,D$93-SUM(E$100:E125))</f>
        <v>2250196.3920454532</v>
      </c>
      <c r="E126" s="509">
        <f t="shared" si="21"/>
        <v>290583.93939393939</v>
      </c>
      <c r="F126" s="510">
        <f t="shared" si="22"/>
        <v>1959612.4526515137</v>
      </c>
      <c r="G126" s="510">
        <f t="shared" si="23"/>
        <v>2104904.4223484835</v>
      </c>
      <c r="H126" s="627">
        <f t="shared" si="24"/>
        <v>517933.0366995759</v>
      </c>
      <c r="I126" s="628">
        <f t="shared" si="25"/>
        <v>517933.0366995759</v>
      </c>
      <c r="J126" s="504">
        <f t="shared" si="17"/>
        <v>0</v>
      </c>
      <c r="K126" s="504"/>
      <c r="L126" s="512"/>
      <c r="M126" s="504">
        <f t="shared" si="18"/>
        <v>0</v>
      </c>
      <c r="N126" s="512"/>
      <c r="O126" s="504">
        <f t="shared" si="19"/>
        <v>0</v>
      </c>
      <c r="P126" s="504">
        <f t="shared" si="20"/>
        <v>0</v>
      </c>
    </row>
    <row r="127" spans="2:16" ht="12.5">
      <c r="B127" s="145" t="str">
        <f t="shared" si="16"/>
        <v/>
      </c>
      <c r="C127" s="495">
        <f>IF(D94="","-",+C126+1)</f>
        <v>2044</v>
      </c>
      <c r="D127" s="349">
        <f>IF(F126+SUM(E$100:E126)=D$93,F126,D$93-SUM(E$100:E126))</f>
        <v>1959612.4526515137</v>
      </c>
      <c r="E127" s="509">
        <f t="shared" si="21"/>
        <v>290583.93939393939</v>
      </c>
      <c r="F127" s="510">
        <f t="shared" si="22"/>
        <v>1669028.5132575743</v>
      </c>
      <c r="G127" s="510">
        <f t="shared" si="23"/>
        <v>1814320.482954544</v>
      </c>
      <c r="H127" s="627">
        <f t="shared" si="24"/>
        <v>486547.29033916921</v>
      </c>
      <c r="I127" s="628">
        <f t="shared" si="25"/>
        <v>486547.29033916921</v>
      </c>
      <c r="J127" s="504">
        <f t="shared" si="17"/>
        <v>0</v>
      </c>
      <c r="K127" s="504"/>
      <c r="L127" s="512"/>
      <c r="M127" s="504">
        <f t="shared" si="18"/>
        <v>0</v>
      </c>
      <c r="N127" s="512"/>
      <c r="O127" s="504">
        <f t="shared" si="19"/>
        <v>0</v>
      </c>
      <c r="P127" s="504">
        <f t="shared" si="20"/>
        <v>0</v>
      </c>
    </row>
    <row r="128" spans="2:16" ht="12.5">
      <c r="B128" s="145" t="str">
        <f t="shared" si="16"/>
        <v/>
      </c>
      <c r="C128" s="495">
        <f>IF(D94="","-",+C127+1)</f>
        <v>2045</v>
      </c>
      <c r="D128" s="349">
        <f>IF(F127+SUM(E$100:E127)=D$93,F127,D$93-SUM(E$100:E127))</f>
        <v>1669028.5132575743</v>
      </c>
      <c r="E128" s="509">
        <f t="shared" si="21"/>
        <v>290583.93939393939</v>
      </c>
      <c r="F128" s="510">
        <f t="shared" si="22"/>
        <v>1378444.5738636348</v>
      </c>
      <c r="G128" s="510">
        <f t="shared" si="23"/>
        <v>1523736.5435606046</v>
      </c>
      <c r="H128" s="627">
        <f t="shared" si="24"/>
        <v>455161.54397876246</v>
      </c>
      <c r="I128" s="628">
        <f t="shared" si="25"/>
        <v>455161.54397876246</v>
      </c>
      <c r="J128" s="504">
        <f t="shared" si="17"/>
        <v>0</v>
      </c>
      <c r="K128" s="504"/>
      <c r="L128" s="512"/>
      <c r="M128" s="504">
        <f t="shared" si="18"/>
        <v>0</v>
      </c>
      <c r="N128" s="512"/>
      <c r="O128" s="504">
        <f t="shared" si="19"/>
        <v>0</v>
      </c>
      <c r="P128" s="504">
        <f t="shared" si="20"/>
        <v>0</v>
      </c>
    </row>
    <row r="129" spans="2:16" ht="12.5">
      <c r="B129" s="145" t="str">
        <f t="shared" si="16"/>
        <v/>
      </c>
      <c r="C129" s="495">
        <f>IF(D94="","-",+C128+1)</f>
        <v>2046</v>
      </c>
      <c r="D129" s="349">
        <f>IF(F128+SUM(E$100:E128)=D$93,F128,D$93-SUM(E$100:E128))</f>
        <v>1378444.5738636348</v>
      </c>
      <c r="E129" s="509">
        <f t="shared" si="21"/>
        <v>290583.93939393939</v>
      </c>
      <c r="F129" s="510">
        <f t="shared" si="22"/>
        <v>1087860.6344696954</v>
      </c>
      <c r="G129" s="510">
        <f t="shared" si="23"/>
        <v>1233152.6041666651</v>
      </c>
      <c r="H129" s="627">
        <f t="shared" si="24"/>
        <v>423775.79761835572</v>
      </c>
      <c r="I129" s="628">
        <f t="shared" si="25"/>
        <v>423775.79761835572</v>
      </c>
      <c r="J129" s="504">
        <f t="shared" si="17"/>
        <v>0</v>
      </c>
      <c r="K129" s="504"/>
      <c r="L129" s="512"/>
      <c r="M129" s="504">
        <f t="shared" si="18"/>
        <v>0</v>
      </c>
      <c r="N129" s="512"/>
      <c r="O129" s="504">
        <f t="shared" si="19"/>
        <v>0</v>
      </c>
      <c r="P129" s="504">
        <f t="shared" si="20"/>
        <v>0</v>
      </c>
    </row>
    <row r="130" spans="2:16" ht="12.5">
      <c r="B130" s="145" t="str">
        <f t="shared" si="16"/>
        <v/>
      </c>
      <c r="C130" s="495">
        <f>IF(D94="","-",+C129+1)</f>
        <v>2047</v>
      </c>
      <c r="D130" s="349">
        <f>IF(F129+SUM(E$100:E129)=D$93,F129,D$93-SUM(E$100:E129))</f>
        <v>1087860.6344696954</v>
      </c>
      <c r="E130" s="509">
        <f t="shared" si="21"/>
        <v>290583.93939393939</v>
      </c>
      <c r="F130" s="510">
        <f t="shared" si="22"/>
        <v>797276.69507575594</v>
      </c>
      <c r="G130" s="510">
        <f t="shared" si="23"/>
        <v>942568.66477272566</v>
      </c>
      <c r="H130" s="627">
        <f t="shared" si="24"/>
        <v>392390.05125794903</v>
      </c>
      <c r="I130" s="628">
        <f t="shared" si="25"/>
        <v>392390.05125794903</v>
      </c>
      <c r="J130" s="504">
        <f t="shared" si="17"/>
        <v>0</v>
      </c>
      <c r="K130" s="504"/>
      <c r="L130" s="512"/>
      <c r="M130" s="504">
        <f t="shared" si="18"/>
        <v>0</v>
      </c>
      <c r="N130" s="512"/>
      <c r="O130" s="504">
        <f t="shared" si="19"/>
        <v>0</v>
      </c>
      <c r="P130" s="504">
        <f t="shared" si="20"/>
        <v>0</v>
      </c>
    </row>
    <row r="131" spans="2:16" ht="12.5">
      <c r="B131" s="145" t="str">
        <f t="shared" si="16"/>
        <v/>
      </c>
      <c r="C131" s="495">
        <f>IF(D94="","-",+C130+1)</f>
        <v>2048</v>
      </c>
      <c r="D131" s="349">
        <f>IF(F130+SUM(E$100:E130)=D$93,F130,D$93-SUM(E$100:E130))</f>
        <v>797276.69507575594</v>
      </c>
      <c r="E131" s="509">
        <f t="shared" si="21"/>
        <v>290583.93939393939</v>
      </c>
      <c r="F131" s="510">
        <f t="shared" si="22"/>
        <v>506692.75568181655</v>
      </c>
      <c r="G131" s="510">
        <f t="shared" si="23"/>
        <v>651984.72537878621</v>
      </c>
      <c r="H131" s="627">
        <f t="shared" si="24"/>
        <v>361004.30489754229</v>
      </c>
      <c r="I131" s="628">
        <f t="shared" si="25"/>
        <v>361004.30489754229</v>
      </c>
      <c r="J131" s="504">
        <f t="shared" si="17"/>
        <v>0</v>
      </c>
      <c r="K131" s="504"/>
      <c r="L131" s="512"/>
      <c r="M131" s="504">
        <f t="shared" si="18"/>
        <v>0</v>
      </c>
      <c r="N131" s="512"/>
      <c r="O131" s="504">
        <f t="shared" si="19"/>
        <v>0</v>
      </c>
      <c r="P131" s="504">
        <f t="shared" si="20"/>
        <v>0</v>
      </c>
    </row>
    <row r="132" spans="2:16" ht="12.5">
      <c r="B132" s="145" t="str">
        <f t="shared" si="16"/>
        <v/>
      </c>
      <c r="C132" s="495">
        <f>IF(D94="","-",+C131+1)</f>
        <v>2049</v>
      </c>
      <c r="D132" s="349">
        <f>IF(F131+SUM(E$100:E131)=D$93,F131,D$93-SUM(E$100:E131))</f>
        <v>506692.75568181655</v>
      </c>
      <c r="E132" s="509">
        <f t="shared" si="21"/>
        <v>290583.93939393939</v>
      </c>
      <c r="F132" s="510">
        <f t="shared" ref="F132:F155" si="26">+D132-E132</f>
        <v>216108.81628787715</v>
      </c>
      <c r="G132" s="510">
        <f t="shared" ref="G132:G155" si="27">+(F132+D132)/2</f>
        <v>361400.78598484688</v>
      </c>
      <c r="H132" s="627">
        <f t="shared" si="24"/>
        <v>329618.5585371356</v>
      </c>
      <c r="I132" s="628">
        <f t="shared" si="25"/>
        <v>329618.5585371356</v>
      </c>
      <c r="J132" s="504">
        <f t="shared" ref="J132:J155" si="28">+I542-H542</f>
        <v>0</v>
      </c>
      <c r="K132" s="504"/>
      <c r="L132" s="512"/>
      <c r="M132" s="504">
        <f t="shared" ref="M132:M155" si="29">IF(L542&lt;&gt;0,+H542-L542,0)</f>
        <v>0</v>
      </c>
      <c r="N132" s="512"/>
      <c r="O132" s="504">
        <f t="shared" ref="O132:O155" si="30">IF(N542&lt;&gt;0,+I542-N542,0)</f>
        <v>0</v>
      </c>
      <c r="P132" s="504">
        <f t="shared" ref="P132:P155" si="31">+O542-M542</f>
        <v>0</v>
      </c>
    </row>
    <row r="133" spans="2:16" ht="12.5">
      <c r="B133" s="145" t="str">
        <f t="shared" si="16"/>
        <v/>
      </c>
      <c r="C133" s="495">
        <f>IF(D94="","-",+C132+1)</f>
        <v>2050</v>
      </c>
      <c r="D133" s="349">
        <f>IF(F132+SUM(E$100:E132)=D$93,F132,D$93-SUM(E$100:E132))</f>
        <v>216108.81628787715</v>
      </c>
      <c r="E133" s="509">
        <f t="shared" ref="E133:E155" si="32">IF(+J$97&lt;F132,J$97,D133)</f>
        <v>216108.81628787715</v>
      </c>
      <c r="F133" s="510">
        <f t="shared" si="26"/>
        <v>0</v>
      </c>
      <c r="G133" s="510">
        <f t="shared" si="27"/>
        <v>108054.40814393858</v>
      </c>
      <c r="H133" s="627">
        <f t="shared" si="24"/>
        <v>227779.68926937357</v>
      </c>
      <c r="I133" s="628">
        <f t="shared" si="25"/>
        <v>227779.68926937357</v>
      </c>
      <c r="J133" s="504">
        <f t="shared" si="28"/>
        <v>0</v>
      </c>
      <c r="K133" s="504"/>
      <c r="L133" s="512"/>
      <c r="M133" s="504">
        <f t="shared" si="29"/>
        <v>0</v>
      </c>
      <c r="N133" s="512"/>
      <c r="O133" s="504">
        <f t="shared" si="30"/>
        <v>0</v>
      </c>
      <c r="P133" s="504">
        <f t="shared" si="31"/>
        <v>0</v>
      </c>
    </row>
    <row r="134" spans="2:16" ht="12.5">
      <c r="B134" s="145" t="str">
        <f t="shared" si="16"/>
        <v/>
      </c>
      <c r="C134" s="495">
        <f>IF(D94="","-",+C133+1)</f>
        <v>2051</v>
      </c>
      <c r="D134" s="349">
        <f>IF(F133+SUM(E$100:E133)=D$93,F133,D$93-SUM(E$100:E133))</f>
        <v>0</v>
      </c>
      <c r="E134" s="509">
        <f t="shared" si="32"/>
        <v>0</v>
      </c>
      <c r="F134" s="510">
        <f t="shared" si="26"/>
        <v>0</v>
      </c>
      <c r="G134" s="510">
        <f t="shared" si="27"/>
        <v>0</v>
      </c>
      <c r="H134" s="627">
        <f t="shared" si="24"/>
        <v>0</v>
      </c>
      <c r="I134" s="628">
        <f t="shared" si="25"/>
        <v>0</v>
      </c>
      <c r="J134" s="504">
        <f t="shared" si="28"/>
        <v>0</v>
      </c>
      <c r="K134" s="504"/>
      <c r="L134" s="512"/>
      <c r="M134" s="504">
        <f t="shared" si="29"/>
        <v>0</v>
      </c>
      <c r="N134" s="512"/>
      <c r="O134" s="504">
        <f t="shared" si="30"/>
        <v>0</v>
      </c>
      <c r="P134" s="504">
        <f t="shared" si="31"/>
        <v>0</v>
      </c>
    </row>
    <row r="135" spans="2:16" ht="12.5">
      <c r="B135" s="145" t="str">
        <f t="shared" si="16"/>
        <v/>
      </c>
      <c r="C135" s="495">
        <f>IF(D94="","-",+C134+1)</f>
        <v>2052</v>
      </c>
      <c r="D135" s="349">
        <f>IF(F134+SUM(E$100:E134)=D$93,F134,D$93-SUM(E$100:E134))</f>
        <v>0</v>
      </c>
      <c r="E135" s="509">
        <f t="shared" si="32"/>
        <v>0</v>
      </c>
      <c r="F135" s="510">
        <f t="shared" si="26"/>
        <v>0</v>
      </c>
      <c r="G135" s="510">
        <f t="shared" si="27"/>
        <v>0</v>
      </c>
      <c r="H135" s="627">
        <f t="shared" si="24"/>
        <v>0</v>
      </c>
      <c r="I135" s="628">
        <f t="shared" si="25"/>
        <v>0</v>
      </c>
      <c r="J135" s="504">
        <f t="shared" si="28"/>
        <v>0</v>
      </c>
      <c r="K135" s="504"/>
      <c r="L135" s="512"/>
      <c r="M135" s="504">
        <f t="shared" si="29"/>
        <v>0</v>
      </c>
      <c r="N135" s="512"/>
      <c r="O135" s="504">
        <f t="shared" si="30"/>
        <v>0</v>
      </c>
      <c r="P135" s="504">
        <f t="shared" si="31"/>
        <v>0</v>
      </c>
    </row>
    <row r="136" spans="2:16" ht="12.5">
      <c r="B136" s="145" t="str">
        <f t="shared" si="16"/>
        <v/>
      </c>
      <c r="C136" s="495">
        <f>IF(D94="","-",+C135+1)</f>
        <v>2053</v>
      </c>
      <c r="D136" s="349">
        <f>IF(F135+SUM(E$100:E135)=D$93,F135,D$93-SUM(E$100:E135))</f>
        <v>0</v>
      </c>
      <c r="E136" s="509">
        <f t="shared" si="32"/>
        <v>0</v>
      </c>
      <c r="F136" s="510">
        <f t="shared" si="26"/>
        <v>0</v>
      </c>
      <c r="G136" s="510">
        <f t="shared" si="27"/>
        <v>0</v>
      </c>
      <c r="H136" s="627">
        <f t="shared" si="24"/>
        <v>0</v>
      </c>
      <c r="I136" s="628">
        <f t="shared" si="25"/>
        <v>0</v>
      </c>
      <c r="J136" s="504">
        <f t="shared" si="28"/>
        <v>0</v>
      </c>
      <c r="K136" s="504"/>
      <c r="L136" s="512"/>
      <c r="M136" s="504">
        <f t="shared" si="29"/>
        <v>0</v>
      </c>
      <c r="N136" s="512"/>
      <c r="O136" s="504">
        <f t="shared" si="30"/>
        <v>0</v>
      </c>
      <c r="P136" s="504">
        <f t="shared" si="31"/>
        <v>0</v>
      </c>
    </row>
    <row r="137" spans="2:16" ht="12.5">
      <c r="B137" s="145" t="str">
        <f t="shared" si="16"/>
        <v/>
      </c>
      <c r="C137" s="495">
        <f>IF(D94="","-",+C136+1)</f>
        <v>2054</v>
      </c>
      <c r="D137" s="349">
        <f>IF(F136+SUM(E$100:E136)=D$93,F136,D$93-SUM(E$100:E136))</f>
        <v>0</v>
      </c>
      <c r="E137" s="509">
        <f t="shared" si="32"/>
        <v>0</v>
      </c>
      <c r="F137" s="510">
        <f t="shared" si="26"/>
        <v>0</v>
      </c>
      <c r="G137" s="510">
        <f t="shared" si="27"/>
        <v>0</v>
      </c>
      <c r="H137" s="627">
        <f t="shared" si="24"/>
        <v>0</v>
      </c>
      <c r="I137" s="628">
        <f t="shared" si="25"/>
        <v>0</v>
      </c>
      <c r="J137" s="504">
        <f t="shared" si="28"/>
        <v>0</v>
      </c>
      <c r="K137" s="504"/>
      <c r="L137" s="512"/>
      <c r="M137" s="504">
        <f t="shared" si="29"/>
        <v>0</v>
      </c>
      <c r="N137" s="512"/>
      <c r="O137" s="504">
        <f t="shared" si="30"/>
        <v>0</v>
      </c>
      <c r="P137" s="504">
        <f t="shared" si="31"/>
        <v>0</v>
      </c>
    </row>
    <row r="138" spans="2:16" ht="12.5">
      <c r="B138" s="145" t="str">
        <f t="shared" si="16"/>
        <v/>
      </c>
      <c r="C138" s="495">
        <f>IF(D94="","-",+C137+1)</f>
        <v>2055</v>
      </c>
      <c r="D138" s="349">
        <f>IF(F137+SUM(E$100:E137)=D$93,F137,D$93-SUM(E$100:E137))</f>
        <v>0</v>
      </c>
      <c r="E138" s="509">
        <f t="shared" si="32"/>
        <v>0</v>
      </c>
      <c r="F138" s="510">
        <f t="shared" si="26"/>
        <v>0</v>
      </c>
      <c r="G138" s="510">
        <f t="shared" si="27"/>
        <v>0</v>
      </c>
      <c r="H138" s="627">
        <f t="shared" si="24"/>
        <v>0</v>
      </c>
      <c r="I138" s="628">
        <f t="shared" si="25"/>
        <v>0</v>
      </c>
      <c r="J138" s="504">
        <f t="shared" si="28"/>
        <v>0</v>
      </c>
      <c r="K138" s="504"/>
      <c r="L138" s="512"/>
      <c r="M138" s="504">
        <f t="shared" si="29"/>
        <v>0</v>
      </c>
      <c r="N138" s="512"/>
      <c r="O138" s="504">
        <f t="shared" si="30"/>
        <v>0</v>
      </c>
      <c r="P138" s="504">
        <f t="shared" si="31"/>
        <v>0</v>
      </c>
    </row>
    <row r="139" spans="2:16" ht="12.5">
      <c r="B139" s="145" t="str">
        <f t="shared" si="16"/>
        <v/>
      </c>
      <c r="C139" s="495">
        <f>IF(D94="","-",+C138+1)</f>
        <v>2056</v>
      </c>
      <c r="D139" s="349">
        <f>IF(F138+SUM(E$100:E138)=D$93,F138,D$93-SUM(E$100:E138))</f>
        <v>0</v>
      </c>
      <c r="E139" s="509">
        <f t="shared" si="32"/>
        <v>0</v>
      </c>
      <c r="F139" s="510">
        <f t="shared" si="26"/>
        <v>0</v>
      </c>
      <c r="G139" s="510">
        <f t="shared" si="27"/>
        <v>0</v>
      </c>
      <c r="H139" s="627">
        <f t="shared" si="24"/>
        <v>0</v>
      </c>
      <c r="I139" s="628">
        <f t="shared" si="25"/>
        <v>0</v>
      </c>
      <c r="J139" s="504">
        <f t="shared" si="28"/>
        <v>0</v>
      </c>
      <c r="K139" s="504"/>
      <c r="L139" s="512"/>
      <c r="M139" s="504">
        <f t="shared" si="29"/>
        <v>0</v>
      </c>
      <c r="N139" s="512"/>
      <c r="O139" s="504">
        <f t="shared" si="30"/>
        <v>0</v>
      </c>
      <c r="P139" s="504">
        <f t="shared" si="31"/>
        <v>0</v>
      </c>
    </row>
    <row r="140" spans="2:16" ht="12.5">
      <c r="B140" s="145" t="str">
        <f t="shared" si="16"/>
        <v/>
      </c>
      <c r="C140" s="495">
        <f>IF(D94="","-",+C139+1)</f>
        <v>2057</v>
      </c>
      <c r="D140" s="349">
        <f>IF(F139+SUM(E$100:E139)=D$93,F139,D$93-SUM(E$100:E139))</f>
        <v>0</v>
      </c>
      <c r="E140" s="509">
        <f t="shared" si="32"/>
        <v>0</v>
      </c>
      <c r="F140" s="510">
        <f t="shared" si="26"/>
        <v>0</v>
      </c>
      <c r="G140" s="510">
        <f t="shared" si="27"/>
        <v>0</v>
      </c>
      <c r="H140" s="627">
        <f t="shared" si="24"/>
        <v>0</v>
      </c>
      <c r="I140" s="628">
        <f t="shared" si="25"/>
        <v>0</v>
      </c>
      <c r="J140" s="504">
        <f t="shared" si="28"/>
        <v>0</v>
      </c>
      <c r="K140" s="504"/>
      <c r="L140" s="512"/>
      <c r="M140" s="504">
        <f t="shared" si="29"/>
        <v>0</v>
      </c>
      <c r="N140" s="512"/>
      <c r="O140" s="504">
        <f t="shared" si="30"/>
        <v>0</v>
      </c>
      <c r="P140" s="504">
        <f t="shared" si="31"/>
        <v>0</v>
      </c>
    </row>
    <row r="141" spans="2:16" ht="12.5">
      <c r="B141" s="145" t="str">
        <f t="shared" si="16"/>
        <v/>
      </c>
      <c r="C141" s="495">
        <f>IF(D94="","-",+C140+1)</f>
        <v>2058</v>
      </c>
      <c r="D141" s="349">
        <f>IF(F140+SUM(E$100:E140)=D$93,F140,D$93-SUM(E$100:E140))</f>
        <v>0</v>
      </c>
      <c r="E141" s="509">
        <f t="shared" si="32"/>
        <v>0</v>
      </c>
      <c r="F141" s="510">
        <f t="shared" si="26"/>
        <v>0</v>
      </c>
      <c r="G141" s="510">
        <f t="shared" si="27"/>
        <v>0</v>
      </c>
      <c r="H141" s="627">
        <f t="shared" si="24"/>
        <v>0</v>
      </c>
      <c r="I141" s="628">
        <f t="shared" si="25"/>
        <v>0</v>
      </c>
      <c r="J141" s="504">
        <f t="shared" si="28"/>
        <v>0</v>
      </c>
      <c r="K141" s="504"/>
      <c r="L141" s="512"/>
      <c r="M141" s="504">
        <f t="shared" si="29"/>
        <v>0</v>
      </c>
      <c r="N141" s="512"/>
      <c r="O141" s="504">
        <f t="shared" si="30"/>
        <v>0</v>
      </c>
      <c r="P141" s="504">
        <f t="shared" si="31"/>
        <v>0</v>
      </c>
    </row>
    <row r="142" spans="2:16" ht="12.5">
      <c r="B142" s="145" t="str">
        <f t="shared" si="16"/>
        <v/>
      </c>
      <c r="C142" s="495">
        <f>IF(D94="","-",+C141+1)</f>
        <v>2059</v>
      </c>
      <c r="D142" s="349">
        <f>IF(F141+SUM(E$100:E141)=D$93,F141,D$93-SUM(E$100:E141))</f>
        <v>0</v>
      </c>
      <c r="E142" s="509">
        <f t="shared" si="32"/>
        <v>0</v>
      </c>
      <c r="F142" s="510">
        <f t="shared" si="26"/>
        <v>0</v>
      </c>
      <c r="G142" s="510">
        <f t="shared" si="27"/>
        <v>0</v>
      </c>
      <c r="H142" s="627">
        <f t="shared" si="24"/>
        <v>0</v>
      </c>
      <c r="I142" s="628">
        <f t="shared" si="25"/>
        <v>0</v>
      </c>
      <c r="J142" s="504">
        <f t="shared" si="28"/>
        <v>0</v>
      </c>
      <c r="K142" s="504"/>
      <c r="L142" s="512"/>
      <c r="M142" s="504">
        <f t="shared" si="29"/>
        <v>0</v>
      </c>
      <c r="N142" s="512"/>
      <c r="O142" s="504">
        <f t="shared" si="30"/>
        <v>0</v>
      </c>
      <c r="P142" s="504">
        <f t="shared" si="31"/>
        <v>0</v>
      </c>
    </row>
    <row r="143" spans="2:16" ht="12.5">
      <c r="B143" s="145" t="str">
        <f t="shared" si="16"/>
        <v/>
      </c>
      <c r="C143" s="495">
        <f>IF(D94="","-",+C142+1)</f>
        <v>2060</v>
      </c>
      <c r="D143" s="349">
        <f>IF(F142+SUM(E$100:E142)=D$93,F142,D$93-SUM(E$100:E142))</f>
        <v>0</v>
      </c>
      <c r="E143" s="509">
        <f t="shared" si="32"/>
        <v>0</v>
      </c>
      <c r="F143" s="510">
        <f t="shared" si="26"/>
        <v>0</v>
      </c>
      <c r="G143" s="510">
        <f t="shared" si="27"/>
        <v>0</v>
      </c>
      <c r="H143" s="627">
        <f t="shared" si="24"/>
        <v>0</v>
      </c>
      <c r="I143" s="628">
        <f t="shared" si="25"/>
        <v>0</v>
      </c>
      <c r="J143" s="504">
        <f t="shared" si="28"/>
        <v>0</v>
      </c>
      <c r="K143" s="504"/>
      <c r="L143" s="512"/>
      <c r="M143" s="504">
        <f t="shared" si="29"/>
        <v>0</v>
      </c>
      <c r="N143" s="512"/>
      <c r="O143" s="504">
        <f t="shared" si="30"/>
        <v>0</v>
      </c>
      <c r="P143" s="504">
        <f t="shared" si="31"/>
        <v>0</v>
      </c>
    </row>
    <row r="144" spans="2:16" ht="12.5">
      <c r="B144" s="145" t="str">
        <f t="shared" si="16"/>
        <v/>
      </c>
      <c r="C144" s="495">
        <f>IF(D94="","-",+C143+1)</f>
        <v>2061</v>
      </c>
      <c r="D144" s="349">
        <f>IF(F143+SUM(E$100:E143)=D$93,F143,D$93-SUM(E$100:E143))</f>
        <v>0</v>
      </c>
      <c r="E144" s="509">
        <f t="shared" si="32"/>
        <v>0</v>
      </c>
      <c r="F144" s="510">
        <f t="shared" si="26"/>
        <v>0</v>
      </c>
      <c r="G144" s="510">
        <f t="shared" si="27"/>
        <v>0</v>
      </c>
      <c r="H144" s="627">
        <f t="shared" si="24"/>
        <v>0</v>
      </c>
      <c r="I144" s="628">
        <f t="shared" si="25"/>
        <v>0</v>
      </c>
      <c r="J144" s="504">
        <f t="shared" si="28"/>
        <v>0</v>
      </c>
      <c r="K144" s="504"/>
      <c r="L144" s="512"/>
      <c r="M144" s="504">
        <f t="shared" si="29"/>
        <v>0</v>
      </c>
      <c r="N144" s="512"/>
      <c r="O144" s="504">
        <f t="shared" si="30"/>
        <v>0</v>
      </c>
      <c r="P144" s="504">
        <f t="shared" si="31"/>
        <v>0</v>
      </c>
    </row>
    <row r="145" spans="2:16" ht="12.5">
      <c r="B145" s="145" t="str">
        <f t="shared" si="16"/>
        <v/>
      </c>
      <c r="C145" s="495">
        <f>IF(D94="","-",+C144+1)</f>
        <v>2062</v>
      </c>
      <c r="D145" s="349">
        <f>IF(F144+SUM(E$100:E144)=D$93,F144,D$93-SUM(E$100:E144))</f>
        <v>0</v>
      </c>
      <c r="E145" s="509">
        <f t="shared" si="32"/>
        <v>0</v>
      </c>
      <c r="F145" s="510">
        <f t="shared" si="26"/>
        <v>0</v>
      </c>
      <c r="G145" s="510">
        <f t="shared" si="27"/>
        <v>0</v>
      </c>
      <c r="H145" s="627">
        <f t="shared" si="24"/>
        <v>0</v>
      </c>
      <c r="I145" s="628">
        <f t="shared" si="25"/>
        <v>0</v>
      </c>
      <c r="J145" s="504">
        <f t="shared" si="28"/>
        <v>0</v>
      </c>
      <c r="K145" s="504"/>
      <c r="L145" s="512"/>
      <c r="M145" s="504">
        <f t="shared" si="29"/>
        <v>0</v>
      </c>
      <c r="N145" s="512"/>
      <c r="O145" s="504">
        <f t="shared" si="30"/>
        <v>0</v>
      </c>
      <c r="P145" s="504">
        <f t="shared" si="31"/>
        <v>0</v>
      </c>
    </row>
    <row r="146" spans="2:16" ht="12.5">
      <c r="B146" s="145" t="str">
        <f t="shared" si="16"/>
        <v/>
      </c>
      <c r="C146" s="495">
        <f>IF(D94="","-",+C145+1)</f>
        <v>2063</v>
      </c>
      <c r="D146" s="349">
        <f>IF(F145+SUM(E$100:E145)=D$93,F145,D$93-SUM(E$100:E145))</f>
        <v>0</v>
      </c>
      <c r="E146" s="509">
        <f t="shared" si="32"/>
        <v>0</v>
      </c>
      <c r="F146" s="510">
        <f t="shared" si="26"/>
        <v>0</v>
      </c>
      <c r="G146" s="510">
        <f t="shared" si="27"/>
        <v>0</v>
      </c>
      <c r="H146" s="627">
        <f t="shared" si="24"/>
        <v>0</v>
      </c>
      <c r="I146" s="628">
        <f t="shared" si="25"/>
        <v>0</v>
      </c>
      <c r="J146" s="504">
        <f t="shared" si="28"/>
        <v>0</v>
      </c>
      <c r="K146" s="504"/>
      <c r="L146" s="512"/>
      <c r="M146" s="504">
        <f t="shared" si="29"/>
        <v>0</v>
      </c>
      <c r="N146" s="512"/>
      <c r="O146" s="504">
        <f t="shared" si="30"/>
        <v>0</v>
      </c>
      <c r="P146" s="504">
        <f t="shared" si="31"/>
        <v>0</v>
      </c>
    </row>
    <row r="147" spans="2:16" ht="12.5">
      <c r="B147" s="145" t="str">
        <f t="shared" si="16"/>
        <v/>
      </c>
      <c r="C147" s="495">
        <f>IF(D94="","-",+C146+1)</f>
        <v>2064</v>
      </c>
      <c r="D147" s="349">
        <f>IF(F146+SUM(E$100:E146)=D$93,F146,D$93-SUM(E$100:E146))</f>
        <v>0</v>
      </c>
      <c r="E147" s="509">
        <f t="shared" si="32"/>
        <v>0</v>
      </c>
      <c r="F147" s="510">
        <f t="shared" si="26"/>
        <v>0</v>
      </c>
      <c r="G147" s="510">
        <f t="shared" si="27"/>
        <v>0</v>
      </c>
      <c r="H147" s="627">
        <f t="shared" si="24"/>
        <v>0</v>
      </c>
      <c r="I147" s="628">
        <f t="shared" si="25"/>
        <v>0</v>
      </c>
      <c r="J147" s="504">
        <f t="shared" si="28"/>
        <v>0</v>
      </c>
      <c r="K147" s="504"/>
      <c r="L147" s="512"/>
      <c r="M147" s="504">
        <f t="shared" si="29"/>
        <v>0</v>
      </c>
      <c r="N147" s="512"/>
      <c r="O147" s="504">
        <f t="shared" si="30"/>
        <v>0</v>
      </c>
      <c r="P147" s="504">
        <f t="shared" si="31"/>
        <v>0</v>
      </c>
    </row>
    <row r="148" spans="2:16" ht="12.5">
      <c r="B148" s="145" t="str">
        <f t="shared" si="16"/>
        <v/>
      </c>
      <c r="C148" s="495">
        <f>IF(D94="","-",+C147+1)</f>
        <v>2065</v>
      </c>
      <c r="D148" s="349">
        <f>IF(F147+SUM(E$100:E147)=D$93,F147,D$93-SUM(E$100:E147))</f>
        <v>0</v>
      </c>
      <c r="E148" s="509">
        <f t="shared" si="32"/>
        <v>0</v>
      </c>
      <c r="F148" s="510">
        <f t="shared" si="26"/>
        <v>0</v>
      </c>
      <c r="G148" s="510">
        <f t="shared" si="27"/>
        <v>0</v>
      </c>
      <c r="H148" s="627">
        <f t="shared" si="24"/>
        <v>0</v>
      </c>
      <c r="I148" s="628">
        <f t="shared" si="25"/>
        <v>0</v>
      </c>
      <c r="J148" s="504">
        <f t="shared" si="28"/>
        <v>0</v>
      </c>
      <c r="K148" s="504"/>
      <c r="L148" s="512"/>
      <c r="M148" s="504">
        <f t="shared" si="29"/>
        <v>0</v>
      </c>
      <c r="N148" s="512"/>
      <c r="O148" s="504">
        <f t="shared" si="30"/>
        <v>0</v>
      </c>
      <c r="P148" s="504">
        <f t="shared" si="31"/>
        <v>0</v>
      </c>
    </row>
    <row r="149" spans="2:16" ht="12.5">
      <c r="B149" s="145" t="str">
        <f t="shared" si="16"/>
        <v/>
      </c>
      <c r="C149" s="495">
        <f>IF(D94="","-",+C148+1)</f>
        <v>2066</v>
      </c>
      <c r="D149" s="349">
        <f>IF(F148+SUM(E$100:E148)=D$93,F148,D$93-SUM(E$100:E148))</f>
        <v>0</v>
      </c>
      <c r="E149" s="509">
        <f t="shared" si="32"/>
        <v>0</v>
      </c>
      <c r="F149" s="510">
        <f t="shared" si="26"/>
        <v>0</v>
      </c>
      <c r="G149" s="510">
        <f t="shared" si="27"/>
        <v>0</v>
      </c>
      <c r="H149" s="627">
        <f t="shared" si="24"/>
        <v>0</v>
      </c>
      <c r="I149" s="628">
        <f t="shared" si="25"/>
        <v>0</v>
      </c>
      <c r="J149" s="504">
        <f t="shared" si="28"/>
        <v>0</v>
      </c>
      <c r="K149" s="504"/>
      <c r="L149" s="512"/>
      <c r="M149" s="504">
        <f t="shared" si="29"/>
        <v>0</v>
      </c>
      <c r="N149" s="512"/>
      <c r="O149" s="504">
        <f t="shared" si="30"/>
        <v>0</v>
      </c>
      <c r="P149" s="504">
        <f t="shared" si="31"/>
        <v>0</v>
      </c>
    </row>
    <row r="150" spans="2:16" ht="12.5">
      <c r="B150" s="145" t="str">
        <f t="shared" si="16"/>
        <v/>
      </c>
      <c r="C150" s="495">
        <f>IF(D94="","-",+C149+1)</f>
        <v>2067</v>
      </c>
      <c r="D150" s="349">
        <f>IF(F149+SUM(E$100:E149)=D$93,F149,D$93-SUM(E$100:E149))</f>
        <v>0</v>
      </c>
      <c r="E150" s="509">
        <f t="shared" si="32"/>
        <v>0</v>
      </c>
      <c r="F150" s="510">
        <f t="shared" si="26"/>
        <v>0</v>
      </c>
      <c r="G150" s="510">
        <f t="shared" si="27"/>
        <v>0</v>
      </c>
      <c r="H150" s="627">
        <f t="shared" si="24"/>
        <v>0</v>
      </c>
      <c r="I150" s="628">
        <f t="shared" si="25"/>
        <v>0</v>
      </c>
      <c r="J150" s="504">
        <f t="shared" si="28"/>
        <v>0</v>
      </c>
      <c r="K150" s="504"/>
      <c r="L150" s="512"/>
      <c r="M150" s="504">
        <f t="shared" si="29"/>
        <v>0</v>
      </c>
      <c r="N150" s="512"/>
      <c r="O150" s="504">
        <f t="shared" si="30"/>
        <v>0</v>
      </c>
      <c r="P150" s="504">
        <f t="shared" si="31"/>
        <v>0</v>
      </c>
    </row>
    <row r="151" spans="2:16" ht="12.5">
      <c r="B151" s="145" t="str">
        <f t="shared" si="16"/>
        <v/>
      </c>
      <c r="C151" s="495">
        <f>IF(D94="","-",+C150+1)</f>
        <v>2068</v>
      </c>
      <c r="D151" s="349">
        <f>IF(F150+SUM(E$100:E150)=D$93,F150,D$93-SUM(E$100:E150))</f>
        <v>0</v>
      </c>
      <c r="E151" s="509">
        <f t="shared" si="32"/>
        <v>0</v>
      </c>
      <c r="F151" s="510">
        <f t="shared" si="26"/>
        <v>0</v>
      </c>
      <c r="G151" s="510">
        <f t="shared" si="27"/>
        <v>0</v>
      </c>
      <c r="H151" s="627">
        <f t="shared" si="24"/>
        <v>0</v>
      </c>
      <c r="I151" s="628">
        <f t="shared" si="25"/>
        <v>0</v>
      </c>
      <c r="J151" s="504">
        <f t="shared" si="28"/>
        <v>0</v>
      </c>
      <c r="K151" s="504"/>
      <c r="L151" s="512"/>
      <c r="M151" s="504">
        <f t="shared" si="29"/>
        <v>0</v>
      </c>
      <c r="N151" s="512"/>
      <c r="O151" s="504">
        <f t="shared" si="30"/>
        <v>0</v>
      </c>
      <c r="P151" s="504">
        <f t="shared" si="31"/>
        <v>0</v>
      </c>
    </row>
    <row r="152" spans="2:16" ht="12.5">
      <c r="B152" s="145" t="str">
        <f t="shared" si="16"/>
        <v/>
      </c>
      <c r="C152" s="495">
        <f>IF(D94="","-",+C151+1)</f>
        <v>2069</v>
      </c>
      <c r="D152" s="349">
        <f>IF(F151+SUM(E$100:E151)=D$93,F151,D$93-SUM(E$100:E151))</f>
        <v>0</v>
      </c>
      <c r="E152" s="509">
        <f t="shared" si="32"/>
        <v>0</v>
      </c>
      <c r="F152" s="510">
        <f t="shared" si="26"/>
        <v>0</v>
      </c>
      <c r="G152" s="510">
        <f t="shared" si="27"/>
        <v>0</v>
      </c>
      <c r="H152" s="627">
        <f t="shared" si="24"/>
        <v>0</v>
      </c>
      <c r="I152" s="628">
        <f t="shared" si="25"/>
        <v>0</v>
      </c>
      <c r="J152" s="504">
        <f t="shared" si="28"/>
        <v>0</v>
      </c>
      <c r="K152" s="504"/>
      <c r="L152" s="512"/>
      <c r="M152" s="504">
        <f t="shared" si="29"/>
        <v>0</v>
      </c>
      <c r="N152" s="512"/>
      <c r="O152" s="504">
        <f t="shared" si="30"/>
        <v>0</v>
      </c>
      <c r="P152" s="504">
        <f t="shared" si="31"/>
        <v>0</v>
      </c>
    </row>
    <row r="153" spans="2:16" ht="12.5">
      <c r="B153" s="145" t="str">
        <f t="shared" si="16"/>
        <v/>
      </c>
      <c r="C153" s="495">
        <f>IF(D94="","-",+C152+1)</f>
        <v>2070</v>
      </c>
      <c r="D153" s="349">
        <f>IF(F152+SUM(E$100:E152)=D$93,F152,D$93-SUM(E$100:E152))</f>
        <v>0</v>
      </c>
      <c r="E153" s="509">
        <f t="shared" si="32"/>
        <v>0</v>
      </c>
      <c r="F153" s="510">
        <f t="shared" si="26"/>
        <v>0</v>
      </c>
      <c r="G153" s="510">
        <f t="shared" si="27"/>
        <v>0</v>
      </c>
      <c r="H153" s="627">
        <f t="shared" si="24"/>
        <v>0</v>
      </c>
      <c r="I153" s="628">
        <f t="shared" si="25"/>
        <v>0</v>
      </c>
      <c r="J153" s="504">
        <f t="shared" si="28"/>
        <v>0</v>
      </c>
      <c r="K153" s="504"/>
      <c r="L153" s="512"/>
      <c r="M153" s="504">
        <f t="shared" si="29"/>
        <v>0</v>
      </c>
      <c r="N153" s="512"/>
      <c r="O153" s="504">
        <f t="shared" si="30"/>
        <v>0</v>
      </c>
      <c r="P153" s="504">
        <f t="shared" si="31"/>
        <v>0</v>
      </c>
    </row>
    <row r="154" spans="2:16" ht="12.5">
      <c r="B154" s="145" t="str">
        <f t="shared" si="16"/>
        <v/>
      </c>
      <c r="C154" s="495">
        <f>IF(D94="","-",+C153+1)</f>
        <v>2071</v>
      </c>
      <c r="D154" s="349">
        <f>IF(F153+SUM(E$100:E153)=D$93,F153,D$93-SUM(E$100:E153))</f>
        <v>0</v>
      </c>
      <c r="E154" s="509">
        <f t="shared" si="32"/>
        <v>0</v>
      </c>
      <c r="F154" s="510">
        <f t="shared" si="26"/>
        <v>0</v>
      </c>
      <c r="G154" s="510">
        <f t="shared" si="27"/>
        <v>0</v>
      </c>
      <c r="H154" s="627">
        <f t="shared" si="24"/>
        <v>0</v>
      </c>
      <c r="I154" s="628">
        <f t="shared" si="25"/>
        <v>0</v>
      </c>
      <c r="J154" s="504">
        <f t="shared" si="28"/>
        <v>0</v>
      </c>
      <c r="K154" s="504"/>
      <c r="L154" s="512"/>
      <c r="M154" s="504">
        <f t="shared" si="29"/>
        <v>0</v>
      </c>
      <c r="N154" s="512"/>
      <c r="O154" s="504">
        <f t="shared" si="30"/>
        <v>0</v>
      </c>
      <c r="P154" s="504">
        <f t="shared" si="31"/>
        <v>0</v>
      </c>
    </row>
    <row r="155" spans="2:16" ht="13" thickBot="1">
      <c r="B155" s="145" t="str">
        <f t="shared" si="16"/>
        <v/>
      </c>
      <c r="C155" s="524">
        <f>IF(D94="","-",+C154+1)</f>
        <v>2072</v>
      </c>
      <c r="D155" s="638">
        <f>IF(F154+SUM(E$100:E154)=D$93,F154,D$93-SUM(E$100:E154))</f>
        <v>0</v>
      </c>
      <c r="E155" s="526">
        <f t="shared" si="32"/>
        <v>0</v>
      </c>
      <c r="F155" s="527">
        <f t="shared" si="26"/>
        <v>0</v>
      </c>
      <c r="G155" s="527">
        <f t="shared" si="27"/>
        <v>0</v>
      </c>
      <c r="H155" s="623">
        <f t="shared" si="24"/>
        <v>0</v>
      </c>
      <c r="I155" s="624">
        <f t="shared" si="25"/>
        <v>0</v>
      </c>
      <c r="J155" s="531">
        <f t="shared" si="28"/>
        <v>0</v>
      </c>
      <c r="K155" s="504"/>
      <c r="L155" s="530"/>
      <c r="M155" s="531">
        <f t="shared" si="29"/>
        <v>0</v>
      </c>
      <c r="N155" s="530"/>
      <c r="O155" s="531">
        <f t="shared" si="30"/>
        <v>0</v>
      </c>
      <c r="P155" s="531">
        <f t="shared" si="31"/>
        <v>0</v>
      </c>
    </row>
    <row r="156" spans="2:16" ht="12.5">
      <c r="C156" s="349" t="s">
        <v>75</v>
      </c>
      <c r="D156" s="294"/>
      <c r="E156" s="294">
        <f>SUM(E100:E155)</f>
        <v>9589270</v>
      </c>
      <c r="F156" s="294"/>
      <c r="G156" s="294"/>
      <c r="H156" s="294">
        <f>SUM(H100:H155)</f>
        <v>26944721.010303795</v>
      </c>
      <c r="I156" s="294">
        <f>SUM(I100:I155)</f>
        <v>26944721.010303795</v>
      </c>
      <c r="J156" s="294">
        <f>SUM(J100:J155)</f>
        <v>0</v>
      </c>
      <c r="K156" s="294"/>
      <c r="L156" s="294"/>
      <c r="M156" s="294"/>
      <c r="N156" s="294"/>
      <c r="O156" s="294"/>
      <c r="P156" s="243"/>
    </row>
    <row r="157" spans="2:16" ht="12.5">
      <c r="C157" s="145" t="s">
        <v>90</v>
      </c>
      <c r="D157" s="292"/>
      <c r="E157" s="243"/>
      <c r="F157" s="243"/>
      <c r="G157" s="243"/>
      <c r="H157" s="243"/>
      <c r="I157" s="325"/>
      <c r="J157" s="325"/>
      <c r="K157" s="294"/>
      <c r="L157" s="325"/>
      <c r="M157" s="325"/>
      <c r="N157" s="325"/>
      <c r="O157" s="325"/>
      <c r="P157" s="243"/>
    </row>
    <row r="158" spans="2:16" ht="12.5">
      <c r="C158" s="574"/>
      <c r="D158" s="292"/>
      <c r="E158" s="243"/>
      <c r="F158" s="243"/>
      <c r="G158" s="243"/>
      <c r="H158" s="243"/>
      <c r="I158" s="325"/>
      <c r="J158" s="325"/>
      <c r="K158" s="294"/>
      <c r="L158" s="325"/>
      <c r="M158" s="325"/>
      <c r="N158" s="325"/>
      <c r="O158" s="325"/>
      <c r="P158" s="243"/>
    </row>
    <row r="159" spans="2:16" ht="13">
      <c r="C159" s="619" t="s">
        <v>130</v>
      </c>
      <c r="D159" s="292"/>
      <c r="E159" s="243"/>
      <c r="F159" s="243"/>
      <c r="G159" s="243"/>
      <c r="H159" s="243"/>
      <c r="I159" s="325"/>
      <c r="J159" s="325"/>
      <c r="K159" s="294"/>
      <c r="L159" s="325"/>
      <c r="M159" s="325"/>
      <c r="N159" s="325"/>
      <c r="O159" s="325"/>
      <c r="P159" s="243"/>
    </row>
    <row r="160" spans="2:16" ht="13">
      <c r="C160" s="454" t="s">
        <v>76</v>
      </c>
      <c r="D160" s="349"/>
      <c r="E160" s="349"/>
      <c r="F160" s="349"/>
      <c r="G160" s="349"/>
      <c r="H160" s="294"/>
      <c r="I160" s="294"/>
      <c r="J160" s="350"/>
      <c r="K160" s="350"/>
      <c r="L160" s="350"/>
      <c r="M160" s="350"/>
      <c r="N160" s="350"/>
      <c r="O160" s="350"/>
      <c r="P160" s="243"/>
    </row>
    <row r="161" spans="3:16" ht="13">
      <c r="C161" s="575" t="s">
        <v>77</v>
      </c>
      <c r="D161" s="349"/>
      <c r="E161" s="349"/>
      <c r="F161" s="349"/>
      <c r="G161" s="349"/>
      <c r="H161" s="294"/>
      <c r="I161" s="294"/>
      <c r="J161" s="350"/>
      <c r="K161" s="350"/>
      <c r="L161" s="350"/>
      <c r="M161" s="350"/>
      <c r="N161" s="350"/>
      <c r="O161" s="350"/>
      <c r="P161" s="243"/>
    </row>
    <row r="162" spans="3:16" ht="13">
      <c r="C162" s="575"/>
      <c r="D162" s="349"/>
      <c r="E162" s="349"/>
      <c r="F162" s="349"/>
      <c r="G162" s="349"/>
      <c r="H162" s="294"/>
      <c r="I162" s="294"/>
      <c r="J162" s="350"/>
      <c r="K162" s="350"/>
      <c r="L162" s="350"/>
      <c r="M162" s="350"/>
      <c r="N162" s="350"/>
      <c r="O162" s="350"/>
      <c r="P162" s="243"/>
    </row>
    <row r="163" spans="3:16" ht="17.5">
      <c r="C163" s="575"/>
      <c r="D163" s="349"/>
      <c r="E163" s="349"/>
      <c r="F163" s="349"/>
      <c r="G163" s="349"/>
      <c r="H163" s="294"/>
      <c r="I163" s="294"/>
      <c r="J163" s="350"/>
      <c r="K163" s="350"/>
      <c r="L163" s="350"/>
      <c r="M163" s="350"/>
      <c r="N163" s="350"/>
      <c r="P163" s="583" t="s">
        <v>129</v>
      </c>
    </row>
  </sheetData>
  <conditionalFormatting sqref="C17:C71 C73">
    <cfRule type="cellIs" dxfId="17" priority="2" stopIfTrue="1" operator="equal">
      <formula>$I$10</formula>
    </cfRule>
  </conditionalFormatting>
  <conditionalFormatting sqref="C100:C155">
    <cfRule type="cellIs" dxfId="16" priority="3" stopIfTrue="1" operator="equal">
      <formula>$J$93</formula>
    </cfRule>
  </conditionalFormatting>
  <conditionalFormatting sqref="C72">
    <cfRule type="cellIs" dxfId="15"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U134"/>
  <sheetViews>
    <sheetView zoomScale="80" zoomScaleNormal="80" zoomScaleSheetLayoutView="90" workbookViewId="0">
      <selection sqref="A1:J1"/>
    </sheetView>
  </sheetViews>
  <sheetFormatPr defaultColWidth="8.7265625" defaultRowHeight="12.75" customHeight="1"/>
  <cols>
    <col min="1" max="1" width="8.1796875" style="145" customWidth="1"/>
    <col min="2" max="2" width="6.7265625" style="145" customWidth="1"/>
    <col min="3" max="3" width="23.26953125" style="145" customWidth="1"/>
    <col min="4" max="8" width="17.7265625" style="145" customWidth="1"/>
    <col min="9" max="9" width="16.1796875" style="145" customWidth="1"/>
    <col min="10" max="10" width="2.1796875" style="145" customWidth="1"/>
    <col min="11" max="11" width="17.7265625" style="145" customWidth="1"/>
    <col min="12" max="12" width="16.1796875" style="145" customWidth="1"/>
    <col min="13" max="13" width="17.7265625" style="145" customWidth="1"/>
    <col min="14" max="14" width="16.7265625" style="145" customWidth="1"/>
    <col min="15" max="15" width="22.453125" style="145" customWidth="1"/>
    <col min="16" max="16" width="3.54296875" style="145" bestFit="1" customWidth="1"/>
    <col min="17" max="17" width="4.7265625" style="145" customWidth="1"/>
    <col min="18" max="18" width="15.453125" style="145" customWidth="1"/>
    <col min="19" max="19" width="81.81640625" style="145" bestFit="1" customWidth="1"/>
    <col min="20" max="22" width="8.7265625" style="145"/>
    <col min="23" max="23" width="9.1796875" style="145" customWidth="1"/>
    <col min="24" max="16384" width="8.7265625" style="145"/>
  </cols>
  <sheetData>
    <row r="1" spans="1:21" ht="17.5">
      <c r="A1" s="660" t="s">
        <v>109</v>
      </c>
      <c r="B1" s="661"/>
      <c r="C1" s="661"/>
      <c r="D1" s="661"/>
      <c r="E1" s="661"/>
      <c r="F1" s="661"/>
      <c r="G1" s="661"/>
      <c r="H1" s="661"/>
      <c r="I1" s="661"/>
      <c r="J1" s="661"/>
    </row>
    <row r="2" spans="1:21" ht="17.5">
      <c r="A2" s="663" t="str">
        <f>L19&amp;" Cost of Service Formula Rate Projected on "&amp;L19-1&amp;" FF1 Balances"</f>
        <v>2021 Cost of Service Formula Rate Projected on 2020 FF1 Balances</v>
      </c>
      <c r="B2" s="663"/>
      <c r="C2" s="663"/>
      <c r="D2" s="663"/>
      <c r="E2" s="663"/>
      <c r="F2" s="663"/>
      <c r="G2" s="663"/>
      <c r="H2" s="663"/>
      <c r="I2" s="663"/>
      <c r="J2" s="663"/>
    </row>
    <row r="3" spans="1:21" ht="18">
      <c r="A3" s="662" t="s">
        <v>124</v>
      </c>
      <c r="B3" s="663"/>
      <c r="C3" s="663"/>
      <c r="D3" s="663"/>
      <c r="E3" s="663"/>
      <c r="F3" s="663"/>
      <c r="G3" s="663"/>
      <c r="H3" s="663"/>
      <c r="I3" s="663"/>
      <c r="J3" s="663"/>
      <c r="Q3" s="232" t="s">
        <v>110</v>
      </c>
    </row>
    <row r="4" spans="1:21" ht="17.5">
      <c r="A4" s="663" t="str">
        <f>"Based on a Carrying Charge Derived from ""Historic"" "&amp;L19-1&amp;" Data"</f>
        <v>Based on a Carrying Charge Derived from "Historic" 2020 Data</v>
      </c>
      <c r="B4" s="663"/>
      <c r="C4" s="663"/>
      <c r="D4" s="663"/>
      <c r="E4" s="663"/>
      <c r="F4" s="663"/>
      <c r="G4" s="663"/>
      <c r="H4" s="663"/>
      <c r="I4" s="663"/>
      <c r="J4" s="663"/>
      <c r="K4" s="663"/>
    </row>
    <row r="5" spans="1:21" ht="18">
      <c r="A5" s="664" t="s">
        <v>188</v>
      </c>
      <c r="B5" s="664"/>
      <c r="C5" s="664"/>
      <c r="D5" s="664"/>
      <c r="E5" s="664"/>
      <c r="F5" s="664"/>
      <c r="G5" s="664"/>
      <c r="H5" s="664"/>
      <c r="I5" s="664"/>
      <c r="J5" s="664"/>
    </row>
    <row r="6" spans="1:21" ht="18">
      <c r="A6" s="151"/>
      <c r="B6" s="151"/>
      <c r="C6" s="151"/>
      <c r="D6" s="151"/>
      <c r="E6" s="151"/>
      <c r="F6" s="151"/>
      <c r="G6" s="151"/>
      <c r="H6" s="151"/>
      <c r="I6" s="151"/>
      <c r="J6" s="151"/>
    </row>
    <row r="7" spans="1:21" ht="12.5">
      <c r="D7" s="157"/>
      <c r="H7" s="212"/>
      <c r="J7" s="220"/>
    </row>
    <row r="8" spans="1:21" ht="33.75" customHeight="1">
      <c r="B8" s="233" t="s">
        <v>0</v>
      </c>
      <c r="C8" s="657" t="str">
        <f>"Calculate Return and Income Taxes with "&amp;F13&amp;" basis point ROE increase for Projects Qualified for Incentive."</f>
        <v>Calculate Return and Income Taxes with 0 basis point ROE increase for Projects Qualified for Incentive.</v>
      </c>
      <c r="D8" s="658"/>
      <c r="E8" s="658"/>
      <c r="F8" s="658"/>
      <c r="G8" s="658"/>
      <c r="H8" s="658"/>
      <c r="J8" s="220"/>
      <c r="R8" s="234"/>
    </row>
    <row r="9" spans="1:21" ht="12.5">
      <c r="D9" s="157"/>
      <c r="H9" s="212"/>
      <c r="J9" s="220"/>
    </row>
    <row r="10" spans="1:21" ht="15.5">
      <c r="C10" s="235" t="str">
        <f>"A.   Determine 'R' with hypothetical "&amp;F13&amp;" basis point increase in ROE for Identified Projects"</f>
        <v>A.   Determine 'R' with hypothetical 0 basis point increase in ROE for Identified Projects</v>
      </c>
      <c r="D10" s="157"/>
      <c r="H10" s="212"/>
      <c r="J10" s="220"/>
    </row>
    <row r="11" spans="1:21" ht="12.5">
      <c r="D11" s="157"/>
      <c r="H11" s="212"/>
      <c r="J11" s="220"/>
    </row>
    <row r="12" spans="1:21" ht="12.5">
      <c r="C12" s="236" t="str">
        <f>S102</f>
        <v xml:space="preserve">   ROE w/o incentives  (TCOS, ln 143)</v>
      </c>
      <c r="D12" s="157"/>
      <c r="E12" s="237"/>
      <c r="F12" s="238">
        <f>+R102</f>
        <v>0.105</v>
      </c>
      <c r="G12" s="239"/>
      <c r="H12" s="240"/>
      <c r="I12" s="241"/>
      <c r="J12" s="242"/>
      <c r="K12" s="241"/>
      <c r="L12" s="241"/>
      <c r="M12" s="241"/>
      <c r="N12" s="241"/>
      <c r="O12" s="237"/>
      <c r="P12" s="241"/>
      <c r="Q12" s="243"/>
      <c r="U12" s="244"/>
    </row>
    <row r="13" spans="1:21" ht="12.5">
      <c r="C13" s="236" t="s">
        <v>1</v>
      </c>
      <c r="D13" s="157"/>
      <c r="E13" s="237"/>
      <c r="F13" s="245">
        <f>+R103</f>
        <v>0</v>
      </c>
      <c r="G13" s="145" t="s">
        <v>133</v>
      </c>
      <c r="K13" s="241"/>
      <c r="L13" s="241"/>
      <c r="M13" s="241"/>
      <c r="N13" s="241"/>
      <c r="O13" s="237"/>
      <c r="P13" s="241"/>
      <c r="Q13" s="243"/>
      <c r="U13" s="244"/>
    </row>
    <row r="14" spans="1:21" ht="13.5" thickBot="1">
      <c r="C14" s="236" t="str">
        <f>"   ROE with additional "&amp;F13&amp;" basis point incentive"</f>
        <v xml:space="preserve">   ROE with additional 0 basis point incentive</v>
      </c>
      <c r="D14" s="237"/>
      <c r="E14" s="237"/>
      <c r="F14" s="246">
        <f>IF((F12+(F13/10000)&gt;0.1245),"ERROR",F12+(F13/10000))</f>
        <v>0.105</v>
      </c>
      <c r="G14" s="247" t="s">
        <v>2</v>
      </c>
      <c r="H14" s="241"/>
      <c r="I14" s="241"/>
      <c r="J14" s="242"/>
      <c r="K14" s="241"/>
      <c r="L14" s="241"/>
      <c r="M14" s="241"/>
      <c r="N14" s="241"/>
      <c r="O14" s="237"/>
      <c r="P14" s="241"/>
      <c r="Q14" s="243"/>
      <c r="U14" s="248"/>
    </row>
    <row r="15" spans="1:21" ht="12.5">
      <c r="C15" s="236" t="s">
        <v>3</v>
      </c>
      <c r="D15" s="157"/>
      <c r="E15" s="237"/>
      <c r="F15" s="246"/>
      <c r="G15" s="237"/>
      <c r="H15" s="241"/>
      <c r="I15" s="241"/>
      <c r="J15" s="242"/>
      <c r="K15" s="651" t="s">
        <v>4</v>
      </c>
      <c r="L15" s="652"/>
      <c r="M15" s="652"/>
      <c r="N15" s="652"/>
      <c r="O15" s="653"/>
      <c r="P15" s="241"/>
      <c r="Q15" s="243"/>
      <c r="U15" s="248"/>
    </row>
    <row r="16" spans="1:21" ht="12.5">
      <c r="C16" s="242"/>
      <c r="D16" s="249" t="s">
        <v>5</v>
      </c>
      <c r="E16" s="249" t="s">
        <v>6</v>
      </c>
      <c r="F16" s="250" t="s">
        <v>7</v>
      </c>
      <c r="G16" s="237"/>
      <c r="H16" s="241"/>
      <c r="I16" s="241"/>
      <c r="J16" s="242"/>
      <c r="K16" s="654"/>
      <c r="L16" s="655"/>
      <c r="M16" s="655"/>
      <c r="N16" s="655"/>
      <c r="O16" s="656"/>
      <c r="P16" s="241"/>
      <c r="Q16" s="243"/>
    </row>
    <row r="17" spans="3:21" ht="12.5">
      <c r="C17" s="251" t="s">
        <v>8</v>
      </c>
      <c r="D17" s="252">
        <f>+R104</f>
        <v>0.4509793666251149</v>
      </c>
      <c r="E17" s="253">
        <f>+R105</f>
        <v>4.0470839588437502E-2</v>
      </c>
      <c r="F17" s="254">
        <f>E17*D17</f>
        <v>1.8251513604380171E-2</v>
      </c>
      <c r="G17" s="237"/>
      <c r="H17" s="241"/>
      <c r="I17" s="255"/>
      <c r="J17" s="256"/>
      <c r="K17" s="257"/>
      <c r="L17" s="258"/>
      <c r="M17" s="242" t="s">
        <v>9</v>
      </c>
      <c r="N17" s="242" t="s">
        <v>10</v>
      </c>
      <c r="O17" s="259" t="s">
        <v>11</v>
      </c>
      <c r="P17" s="241"/>
      <c r="Q17" s="243"/>
      <c r="U17" s="241"/>
    </row>
    <row r="18" spans="3:21" ht="12.5">
      <c r="C18" s="251" t="s">
        <v>12</v>
      </c>
      <c r="D18" s="252">
        <f>+R106</f>
        <v>0</v>
      </c>
      <c r="E18" s="253">
        <f>+R107</f>
        <v>0</v>
      </c>
      <c r="F18" s="254">
        <f>E18*D18</f>
        <v>0</v>
      </c>
      <c r="G18" s="260"/>
      <c r="H18" s="260"/>
      <c r="I18" s="261"/>
      <c r="J18" s="262"/>
      <c r="K18" s="263"/>
      <c r="L18" s="220"/>
      <c r="M18" s="220"/>
      <c r="N18" s="220"/>
      <c r="O18" s="264"/>
      <c r="P18" s="260"/>
      <c r="Q18" s="243"/>
      <c r="U18" s="248"/>
    </row>
    <row r="19" spans="3:21" ht="13" thickBot="1">
      <c r="C19" s="265" t="s">
        <v>13</v>
      </c>
      <c r="D19" s="252">
        <f>+R108</f>
        <v>0.54902063337488505</v>
      </c>
      <c r="E19" s="253">
        <f>+F14</f>
        <v>0.105</v>
      </c>
      <c r="F19" s="266">
        <f>E19*D19</f>
        <v>5.7647166504362926E-2</v>
      </c>
      <c r="G19" s="260"/>
      <c r="H19" s="260"/>
      <c r="I19" s="246"/>
      <c r="J19" s="262"/>
      <c r="K19" s="267" t="s">
        <v>14</v>
      </c>
      <c r="L19" s="268">
        <f>R101</f>
        <v>2021</v>
      </c>
      <c r="M19" s="269">
        <f>SUM('OKT.001:OKT.xyz - blank'!N5)</f>
        <v>39209807.067353562</v>
      </c>
      <c r="N19" s="269">
        <f>SUM('OKT.001:OKT.xyz - blank'!N6)</f>
        <v>39209807.067353562</v>
      </c>
      <c r="O19" s="270">
        <f>+N19-M19</f>
        <v>0</v>
      </c>
      <c r="P19" s="261"/>
      <c r="Q19" s="243"/>
      <c r="U19" s="248"/>
    </row>
    <row r="20" spans="3:21" ht="12.5">
      <c r="C20" s="236"/>
      <c r="D20" s="237"/>
      <c r="E20" s="271" t="s">
        <v>15</v>
      </c>
      <c r="F20" s="254">
        <f>SUM(F17:F19)</f>
        <v>7.5898680108743094E-2</v>
      </c>
      <c r="G20" s="260"/>
      <c r="H20" s="260"/>
      <c r="I20" s="261"/>
      <c r="J20" s="262"/>
      <c r="M20" s="272" t="str">
        <f>IF(M19=SUM('OKT.001:OKT.xyz - blank'!N5),"","ERROR")</f>
        <v/>
      </c>
      <c r="N20" s="272" t="str">
        <f>IF(N19=SUM('OKT.001:OKT.xyz - blank'!N6),"","ERROR")</f>
        <v/>
      </c>
      <c r="O20" s="272" t="str">
        <f>IF(O19=SUM('OKT.001:OKT.xyz - blank'!N7),"","ERROR")</f>
        <v/>
      </c>
      <c r="P20" s="260"/>
      <c r="Q20" s="243"/>
      <c r="U20" s="248"/>
    </row>
    <row r="21" spans="3:21" ht="13">
      <c r="D21" s="273"/>
      <c r="E21" s="273"/>
      <c r="F21" s="260"/>
      <c r="G21" s="260"/>
      <c r="H21" s="260"/>
      <c r="I21" s="260"/>
      <c r="J21" s="274"/>
      <c r="K21" s="175" t="s">
        <v>16</v>
      </c>
      <c r="P21" s="260"/>
      <c r="Q21" s="243"/>
      <c r="U21" s="248"/>
    </row>
    <row r="22" spans="3:21" ht="15.5">
      <c r="C22" s="235" t="str">
        <f>"B.   Determine Return using 'R' with hypothetical "&amp;F13&amp;" basis point ROE increase for Identified Projects."</f>
        <v>B.   Determine Return using 'R' with hypothetical 0 basis point ROE increase for Identified Projects.</v>
      </c>
      <c r="D22" s="273"/>
      <c r="E22" s="273"/>
      <c r="F22" s="275"/>
      <c r="G22" s="260"/>
      <c r="H22" s="237"/>
      <c r="I22" s="260"/>
      <c r="J22" s="274"/>
      <c r="K22" s="145" t="s">
        <v>17</v>
      </c>
      <c r="P22" s="260"/>
      <c r="Q22" s="243"/>
      <c r="U22" s="248"/>
    </row>
    <row r="23" spans="3:21" ht="12.5">
      <c r="C23" s="242"/>
      <c r="D23" s="273"/>
      <c r="E23" s="273"/>
      <c r="F23" s="274"/>
      <c r="G23" s="274"/>
      <c r="H23" s="274"/>
      <c r="I23" s="274"/>
      <c r="J23" s="274"/>
      <c r="K23" s="261"/>
      <c r="L23" s="276"/>
      <c r="M23" s="277"/>
      <c r="N23" s="261"/>
      <c r="O23" s="260"/>
      <c r="P23" s="274"/>
      <c r="Q23" s="278"/>
      <c r="U23" s="248"/>
    </row>
    <row r="24" spans="3:21" ht="12.5">
      <c r="C24" s="236" t="str">
        <f>+S109</f>
        <v xml:space="preserve">   Rate Base  (TCOS, ln 63)</v>
      </c>
      <c r="D24" s="237"/>
      <c r="E24" s="279">
        <f>+R109</f>
        <v>937038855.78647721</v>
      </c>
      <c r="F24" s="280"/>
      <c r="G24" s="274"/>
      <c r="H24" s="274"/>
      <c r="I24" s="274"/>
      <c r="J24" s="274"/>
      <c r="K24" s="274"/>
      <c r="L24" s="274"/>
      <c r="M24" s="274"/>
      <c r="N24" s="274"/>
      <c r="O24" s="274"/>
      <c r="P24" s="280"/>
      <c r="Q24" s="278"/>
      <c r="U24" s="248"/>
    </row>
    <row r="25" spans="3:21" ht="12.5">
      <c r="C25" s="242" t="s">
        <v>18</v>
      </c>
      <c r="D25" s="239"/>
      <c r="E25" s="281">
        <f>F20</f>
        <v>7.5898680108743094E-2</v>
      </c>
      <c r="F25" s="274"/>
      <c r="G25" s="274"/>
      <c r="H25" s="274"/>
      <c r="I25" s="274"/>
      <c r="J25" s="274"/>
      <c r="K25" s="274"/>
      <c r="L25" s="274"/>
      <c r="M25" s="282"/>
      <c r="N25" s="274"/>
      <c r="O25" s="274"/>
      <c r="P25" s="274"/>
      <c r="Q25" s="278"/>
      <c r="U25" s="248"/>
    </row>
    <row r="26" spans="3:21" ht="12.5">
      <c r="C26" s="283" t="s">
        <v>19</v>
      </c>
      <c r="D26" s="283"/>
      <c r="E26" s="261">
        <f>E24*E25</f>
        <v>71120012.364800483</v>
      </c>
      <c r="F26" s="274"/>
      <c r="G26" s="274"/>
      <c r="H26" s="274"/>
      <c r="I26" s="262"/>
      <c r="J26" s="262"/>
      <c r="K26" s="262"/>
      <c r="L26" s="262"/>
      <c r="M26" s="262"/>
      <c r="N26" s="262"/>
      <c r="O26" s="274"/>
      <c r="P26" s="274"/>
      <c r="Q26" s="278"/>
      <c r="U26" s="248"/>
    </row>
    <row r="27" spans="3:21" ht="12.5">
      <c r="C27" s="284"/>
      <c r="D27" s="241"/>
      <c r="E27" s="241"/>
      <c r="F27" s="274"/>
      <c r="G27" s="274"/>
      <c r="H27" s="274"/>
      <c r="I27" s="262"/>
      <c r="J27" s="262"/>
      <c r="K27" s="262"/>
      <c r="L27" s="262"/>
      <c r="M27" s="262"/>
      <c r="N27" s="262"/>
      <c r="O27" s="274"/>
      <c r="P27" s="274"/>
      <c r="Q27" s="278"/>
      <c r="U27" s="248"/>
    </row>
    <row r="28" spans="3:21" ht="15.5">
      <c r="C28" s="235" t="str">
        <f>"C.   Determine Income Taxes using Return with hypothetical "&amp;F13&amp;" basis point ROE increase for Identified Projects."</f>
        <v>C.   Determine Income Taxes using Return with hypothetical 0 basis point ROE increase for Identified Projects.</v>
      </c>
      <c r="D28" s="285"/>
      <c r="E28" s="285"/>
      <c r="F28" s="286"/>
      <c r="G28" s="286"/>
      <c r="H28" s="286"/>
      <c r="I28" s="287"/>
      <c r="J28" s="287"/>
      <c r="K28" s="287"/>
      <c r="L28" s="287"/>
      <c r="M28" s="287"/>
      <c r="N28" s="287"/>
      <c r="O28" s="286"/>
      <c r="P28" s="286"/>
      <c r="Q28" s="278"/>
      <c r="U28" s="248"/>
    </row>
    <row r="29" spans="3:21" ht="13">
      <c r="C29" s="236"/>
      <c r="D29" s="241"/>
      <c r="E29" s="241"/>
      <c r="F29" s="274"/>
      <c r="G29" s="274"/>
      <c r="H29" s="274"/>
      <c r="I29" s="262"/>
      <c r="J29" s="262"/>
      <c r="K29" s="262"/>
      <c r="L29" s="262"/>
      <c r="M29" s="262"/>
      <c r="N29" s="262"/>
      <c r="O29" s="274"/>
      <c r="P29" s="274"/>
      <c r="Q29" s="278"/>
      <c r="U29" s="288"/>
    </row>
    <row r="30" spans="3:21" ht="12.5">
      <c r="C30" s="242" t="s">
        <v>20</v>
      </c>
      <c r="D30" s="289"/>
      <c r="E30" s="290">
        <f>E26</f>
        <v>71120012.364800483</v>
      </c>
      <c r="F30" s="274"/>
      <c r="G30" s="274"/>
      <c r="H30" s="274"/>
      <c r="I30" s="274"/>
      <c r="J30" s="274"/>
      <c r="K30" s="274"/>
      <c r="L30" s="274"/>
      <c r="M30" s="274"/>
      <c r="N30" s="274"/>
      <c r="O30" s="274"/>
      <c r="P30" s="274"/>
      <c r="Q30" s="278"/>
      <c r="U30" s="248"/>
    </row>
    <row r="31" spans="3:21" ht="12.5">
      <c r="C31" s="236" t="str">
        <f>+S110</f>
        <v xml:space="preserve">   Tax Rate  (TCOS, ln 99)</v>
      </c>
      <c r="D31" s="289"/>
      <c r="E31" s="291">
        <f>+R110</f>
        <v>0.254714</v>
      </c>
      <c r="F31" s="274"/>
      <c r="G31" s="274"/>
      <c r="H31" s="274"/>
      <c r="I31" s="274"/>
      <c r="J31" s="274"/>
      <c r="K31" s="274"/>
      <c r="L31" s="274"/>
      <c r="M31" s="274"/>
      <c r="N31" s="274"/>
      <c r="O31" s="274"/>
      <c r="P31" s="274"/>
      <c r="Q31" s="278"/>
      <c r="R31" s="220"/>
      <c r="S31" s="220"/>
      <c r="T31" s="220"/>
      <c r="U31" s="248"/>
    </row>
    <row r="32" spans="3:21" ht="12.5">
      <c r="C32" s="242" t="s">
        <v>21</v>
      </c>
      <c r="D32" s="292"/>
      <c r="E32" s="246">
        <f>IF(F17&gt;0,($E31/(1-$E31))*(1-$F17/$F20),0)</f>
        <v>0.2595814146256567</v>
      </c>
      <c r="F32" s="278"/>
      <c r="G32" s="293"/>
      <c r="H32" s="294"/>
      <c r="I32" s="278"/>
      <c r="J32" s="278"/>
      <c r="K32" s="278"/>
      <c r="L32" s="278"/>
      <c r="M32" s="278"/>
      <c r="N32" s="278"/>
      <c r="O32" s="278"/>
      <c r="P32" s="278"/>
      <c r="Q32" s="278"/>
      <c r="R32" s="220"/>
      <c r="S32" s="220"/>
      <c r="T32" s="220"/>
      <c r="U32" s="248"/>
    </row>
    <row r="33" spans="2:21" ht="12.5">
      <c r="C33" s="295" t="s">
        <v>22</v>
      </c>
      <c r="D33" s="296"/>
      <c r="E33" s="297">
        <f>E30*E32</f>
        <v>18461433.417849105</v>
      </c>
      <c r="F33" s="298"/>
      <c r="G33" s="278"/>
      <c r="H33" s="294"/>
      <c r="I33" s="278"/>
      <c r="J33" s="278"/>
      <c r="K33" s="278"/>
      <c r="L33" s="278"/>
      <c r="M33" s="278"/>
      <c r="N33" s="278"/>
      <c r="O33" s="278"/>
      <c r="P33" s="278"/>
      <c r="Q33" s="278"/>
      <c r="R33" s="220"/>
      <c r="S33" s="220"/>
      <c r="T33" s="220"/>
      <c r="U33" s="299"/>
    </row>
    <row r="34" spans="2:21" ht="12.5">
      <c r="C34" s="283" t="s">
        <v>274</v>
      </c>
      <c r="D34" s="321"/>
      <c r="E34" s="298">
        <f>+R112</f>
        <v>730855.26898398693</v>
      </c>
      <c r="F34" s="298"/>
      <c r="G34" s="278"/>
      <c r="H34" s="294"/>
      <c r="I34" s="278"/>
      <c r="J34" s="278"/>
      <c r="K34" s="278"/>
      <c r="L34" s="278"/>
      <c r="M34" s="278"/>
      <c r="N34" s="278"/>
      <c r="O34" s="278"/>
      <c r="P34" s="278"/>
      <c r="Q34" s="278"/>
      <c r="R34" s="220"/>
      <c r="S34" s="220"/>
      <c r="T34" s="220"/>
      <c r="U34" s="299"/>
    </row>
    <row r="35" spans="2:21" ht="15.5">
      <c r="C35" s="236" t="s">
        <v>286</v>
      </c>
      <c r="D35" s="300"/>
      <c r="E35" s="298">
        <f>+R113</f>
        <v>287350.65464801429</v>
      </c>
      <c r="F35" s="300"/>
      <c r="G35" s="300"/>
      <c r="H35" s="300"/>
      <c r="I35" s="300"/>
      <c r="J35" s="300"/>
      <c r="K35" s="300"/>
      <c r="L35" s="300"/>
      <c r="M35" s="300"/>
      <c r="N35" s="300"/>
      <c r="O35" s="300"/>
      <c r="P35" s="302"/>
      <c r="Q35" s="300"/>
      <c r="R35" s="220"/>
      <c r="S35" s="220"/>
      <c r="T35" s="220"/>
      <c r="U35" s="288"/>
    </row>
    <row r="36" spans="2:21" ht="15.5">
      <c r="C36" s="284" t="s">
        <v>23</v>
      </c>
      <c r="D36" s="300"/>
      <c r="E36" s="301">
        <f>SUM(E33:E35)</f>
        <v>19479639.341481104</v>
      </c>
      <c r="F36" s="300"/>
      <c r="G36" s="300"/>
      <c r="H36" s="300"/>
      <c r="I36" s="300"/>
      <c r="J36" s="300"/>
      <c r="K36" s="300"/>
      <c r="L36" s="300"/>
      <c r="M36" s="300"/>
      <c r="N36" s="300"/>
      <c r="O36" s="300"/>
      <c r="P36" s="303"/>
      <c r="Q36" s="300"/>
      <c r="U36" s="243"/>
    </row>
    <row r="37" spans="2:21" ht="12.75" customHeight="1">
      <c r="C37" s="304"/>
      <c r="D37" s="300"/>
      <c r="E37" s="300"/>
      <c r="F37" s="300"/>
      <c r="G37" s="300"/>
      <c r="H37" s="300"/>
      <c r="I37" s="300"/>
      <c r="J37" s="300"/>
      <c r="K37" s="300"/>
      <c r="L37" s="300"/>
      <c r="M37" s="300"/>
      <c r="N37" s="300"/>
      <c r="O37" s="300"/>
      <c r="P37" s="303"/>
      <c r="Q37" s="300"/>
      <c r="R37" s="243"/>
      <c r="S37" s="243"/>
      <c r="T37" s="243"/>
      <c r="U37" s="243"/>
    </row>
    <row r="38" spans="2:21" ht="18">
      <c r="B38" s="233" t="s">
        <v>24</v>
      </c>
      <c r="C38" s="305" t="str">
        <f>"Calculate Net Plant Carrying Charge Rate (Fixed Charge Rate or FCR) with hypothetical "&amp;F13&amp;" basis point"</f>
        <v>Calculate Net Plant Carrying Charge Rate (Fixed Charge Rate or FCR) with hypothetical 0 basis point</v>
      </c>
      <c r="D38" s="300"/>
      <c r="E38" s="300"/>
      <c r="F38" s="300"/>
      <c r="G38" s="300"/>
      <c r="H38" s="300"/>
      <c r="I38" s="300"/>
      <c r="J38" s="300"/>
      <c r="K38" s="300"/>
      <c r="L38" s="300"/>
      <c r="M38" s="300"/>
      <c r="N38" s="300"/>
      <c r="O38" s="300"/>
      <c r="P38" s="303"/>
      <c r="Q38" s="300"/>
      <c r="R38" s="243"/>
      <c r="S38" s="243"/>
      <c r="T38" s="243"/>
      <c r="U38" s="243"/>
    </row>
    <row r="39" spans="2:21" ht="15.75" customHeight="1">
      <c r="B39" s="233"/>
      <c r="C39" s="305" t="str">
        <f>"ROE increase."</f>
        <v>ROE increase.</v>
      </c>
      <c r="D39" s="300"/>
      <c r="E39" s="300"/>
      <c r="F39" s="300"/>
      <c r="G39" s="300"/>
      <c r="H39" s="300"/>
      <c r="I39" s="300"/>
      <c r="J39" s="300"/>
      <c r="K39" s="300"/>
      <c r="L39" s="300"/>
      <c r="M39" s="300"/>
      <c r="N39" s="300"/>
      <c r="O39" s="300"/>
      <c r="P39" s="303"/>
      <c r="Q39" s="300"/>
      <c r="R39" s="243"/>
      <c r="S39" s="243"/>
      <c r="T39" s="243"/>
      <c r="U39" s="243"/>
    </row>
    <row r="40" spans="2:21" ht="12.75" customHeight="1">
      <c r="C40" s="304"/>
      <c r="D40" s="300"/>
      <c r="E40" s="300"/>
      <c r="F40" s="300"/>
      <c r="G40" s="300"/>
      <c r="H40" s="300"/>
      <c r="I40" s="300"/>
      <c r="J40" s="300"/>
      <c r="K40" s="300"/>
      <c r="L40" s="300"/>
      <c r="M40" s="300"/>
      <c r="N40" s="300"/>
      <c r="O40" s="300"/>
      <c r="P40" s="303"/>
      <c r="Q40" s="300"/>
      <c r="R40" s="243"/>
      <c r="S40" s="243"/>
      <c r="T40" s="243"/>
      <c r="U40" s="243"/>
    </row>
    <row r="41" spans="2:21" ht="15.5">
      <c r="B41" s="243"/>
      <c r="C41" s="306" t="s">
        <v>240</v>
      </c>
      <c r="D41" s="307"/>
      <c r="E41" s="307"/>
      <c r="F41" s="307"/>
      <c r="G41" s="307"/>
      <c r="H41" s="307"/>
      <c r="I41" s="307"/>
      <c r="J41" s="307"/>
      <c r="K41" s="307"/>
      <c r="L41" s="307"/>
      <c r="M41" s="307"/>
      <c r="N41" s="307"/>
      <c r="O41" s="307"/>
      <c r="P41" s="301"/>
      <c r="Q41" s="307"/>
      <c r="R41" s="243"/>
      <c r="S41" s="243"/>
      <c r="T41" s="243"/>
      <c r="U41" s="243"/>
    </row>
    <row r="42" spans="2:21" ht="15.5">
      <c r="B42" s="243"/>
      <c r="C42" s="306"/>
      <c r="D42" s="307"/>
      <c r="E42" s="307"/>
      <c r="F42" s="307"/>
      <c r="G42" s="307"/>
      <c r="H42" s="307"/>
      <c r="I42" s="307"/>
      <c r="J42" s="307"/>
      <c r="K42" s="307"/>
      <c r="L42" s="307"/>
      <c r="M42" s="307"/>
      <c r="N42" s="307"/>
      <c r="O42" s="307"/>
      <c r="P42" s="301"/>
      <c r="Q42" s="307"/>
      <c r="R42" s="243"/>
      <c r="S42" s="243"/>
      <c r="T42" s="243"/>
      <c r="U42" s="243"/>
    </row>
    <row r="43" spans="2:21" ht="12.75" customHeight="1">
      <c r="B43" s="243"/>
      <c r="C43" s="236" t="str">
        <f>+S114</f>
        <v xml:space="preserve">   Net Revenue Requirement  (TCOS, ln 117)</v>
      </c>
      <c r="D43" s="307"/>
      <c r="E43" s="307"/>
      <c r="F43" s="301">
        <f>+R114</f>
        <v>159414780.91885906</v>
      </c>
      <c r="G43" s="307"/>
      <c r="H43" s="307"/>
      <c r="I43" s="307"/>
      <c r="J43" s="307"/>
      <c r="K43" s="307"/>
      <c r="L43" s="307"/>
      <c r="M43" s="307"/>
      <c r="N43" s="307"/>
      <c r="O43" s="307"/>
      <c r="P43" s="301"/>
      <c r="Q43" s="307"/>
      <c r="R43" s="243"/>
      <c r="S43" s="243"/>
      <c r="T43" s="243"/>
      <c r="U43" s="243"/>
    </row>
    <row r="44" spans="2:21" ht="12.5">
      <c r="B44" s="243"/>
      <c r="C44" s="236" t="str">
        <f>+S115</f>
        <v xml:space="preserve">   Return  (TCOS, ln 112)</v>
      </c>
      <c r="D44" s="307"/>
      <c r="E44" s="307"/>
      <c r="F44" s="308">
        <f>+R115</f>
        <v>71120012.364800483</v>
      </c>
      <c r="G44" s="309"/>
      <c r="H44" s="309"/>
      <c r="I44" s="309"/>
      <c r="J44" s="309"/>
      <c r="K44" s="309"/>
      <c r="L44" s="309"/>
      <c r="M44" s="309"/>
      <c r="N44" s="309"/>
      <c r="O44" s="309"/>
      <c r="P44" s="301"/>
      <c r="Q44" s="307"/>
      <c r="R44" s="243"/>
      <c r="S44" s="243"/>
      <c r="T44" s="243"/>
      <c r="U44" s="243"/>
    </row>
    <row r="45" spans="2:21" ht="12.5">
      <c r="B45" s="243"/>
      <c r="C45" s="236" t="str">
        <f>+S116</f>
        <v xml:space="preserve">   Income Taxes  (TCOS, ln 111)</v>
      </c>
      <c r="D45" s="307"/>
      <c r="E45" s="307"/>
      <c r="F45" s="301">
        <f>+R116</f>
        <v>19479639.341481104</v>
      </c>
      <c r="G45" s="307"/>
      <c r="H45" s="307"/>
      <c r="I45" s="310"/>
      <c r="J45" s="310"/>
      <c r="K45" s="310"/>
      <c r="L45" s="310"/>
      <c r="M45" s="310"/>
      <c r="N45" s="310"/>
      <c r="O45" s="307"/>
      <c r="P45" s="307"/>
      <c r="Q45" s="307"/>
      <c r="R45" s="243"/>
      <c r="S45" s="243"/>
      <c r="T45" s="243"/>
      <c r="U45" s="243"/>
    </row>
    <row r="46" spans="2:21" ht="12.5">
      <c r="B46" s="243"/>
      <c r="C46" s="311" t="str">
        <f>+S117</f>
        <v xml:space="preserve">  Gross Margin Taxes  (TCOS, ln 116)</v>
      </c>
      <c r="D46" s="307"/>
      <c r="E46" s="307"/>
      <c r="F46" s="312">
        <f>+R117</f>
        <v>0</v>
      </c>
      <c r="G46" s="307"/>
      <c r="H46" s="307"/>
      <c r="I46" s="310"/>
      <c r="J46" s="310"/>
      <c r="K46" s="310"/>
      <c r="L46" s="310"/>
      <c r="M46" s="310"/>
      <c r="N46" s="310"/>
      <c r="O46" s="307"/>
      <c r="P46" s="307"/>
      <c r="Q46" s="307"/>
      <c r="R46" s="243"/>
      <c r="S46" s="243"/>
      <c r="T46" s="243"/>
      <c r="U46" s="243"/>
    </row>
    <row r="47" spans="2:21" ht="12.5">
      <c r="B47" s="243"/>
      <c r="C47" s="248" t="s">
        <v>25</v>
      </c>
      <c r="D47" s="307"/>
      <c r="E47" s="307"/>
      <c r="F47" s="308">
        <f>F43-F44-F45-F46</f>
        <v>68815129.212577477</v>
      </c>
      <c r="G47" s="313"/>
      <c r="H47" s="307"/>
      <c r="I47" s="313"/>
      <c r="J47" s="313"/>
      <c r="K47" s="313"/>
      <c r="L47" s="313"/>
      <c r="M47" s="313"/>
      <c r="N47" s="313"/>
      <c r="O47" s="307"/>
      <c r="P47" s="313"/>
      <c r="Q47" s="307"/>
      <c r="R47" s="243"/>
      <c r="S47" s="243"/>
      <c r="T47" s="243"/>
      <c r="U47" s="243"/>
    </row>
    <row r="48" spans="2:21" ht="12.5">
      <c r="B48" s="243"/>
      <c r="C48" s="311"/>
      <c r="D48" s="307"/>
      <c r="E48" s="307"/>
      <c r="F48" s="301"/>
      <c r="G48" s="314"/>
      <c r="H48" s="315"/>
      <c r="I48" s="315"/>
      <c r="J48" s="315"/>
      <c r="K48" s="315"/>
      <c r="L48" s="315"/>
      <c r="M48" s="315"/>
      <c r="N48" s="315"/>
      <c r="O48" s="316"/>
      <c r="P48" s="315"/>
      <c r="Q48" s="317"/>
      <c r="R48" s="243"/>
      <c r="S48" s="243"/>
      <c r="T48" s="243"/>
      <c r="U48" s="243"/>
    </row>
    <row r="49" spans="2:21" ht="15.5">
      <c r="B49" s="243"/>
      <c r="C49" s="235" t="str">
        <f>"B.   Determine Net Revenue Requirement with hypothetical "&amp;F13&amp;" basis point increase in ROE."</f>
        <v>B.   Determine Net Revenue Requirement with hypothetical 0 basis point increase in ROE.</v>
      </c>
      <c r="D49" s="316"/>
      <c r="E49" s="316"/>
      <c r="F49" s="301"/>
      <c r="G49" s="314"/>
      <c r="H49" s="315"/>
      <c r="I49" s="315"/>
      <c r="J49" s="315"/>
      <c r="K49" s="315"/>
      <c r="L49" s="315"/>
      <c r="M49" s="315"/>
      <c r="N49" s="315"/>
      <c r="O49" s="316"/>
      <c r="P49" s="315"/>
      <c r="Q49" s="307"/>
      <c r="T49" s="243"/>
      <c r="U49" s="243"/>
    </row>
    <row r="50" spans="2:21" ht="15.5">
      <c r="B50" s="243"/>
      <c r="C50" s="235"/>
      <c r="D50" s="316"/>
      <c r="E50" s="316"/>
      <c r="F50" s="301"/>
      <c r="G50" s="314"/>
      <c r="H50" s="315"/>
      <c r="I50" s="315"/>
      <c r="J50" s="315"/>
      <c r="K50" s="315"/>
      <c r="L50" s="315"/>
      <c r="M50" s="315"/>
      <c r="N50" s="315"/>
      <c r="O50" s="316"/>
      <c r="P50" s="315"/>
      <c r="Q50" s="307"/>
      <c r="T50" s="243"/>
      <c r="U50" s="243"/>
    </row>
    <row r="51" spans="2:21" ht="13">
      <c r="B51" s="243"/>
      <c r="C51" s="311" t="str">
        <f>C47</f>
        <v xml:space="preserve">   Net Revenue Requirement, Less Return and Taxes</v>
      </c>
      <c r="D51" s="316"/>
      <c r="E51" s="316"/>
      <c r="F51" s="301">
        <f>F47</f>
        <v>68815129.212577477</v>
      </c>
      <c r="G51" s="307"/>
      <c r="H51" s="307"/>
      <c r="I51" s="307"/>
      <c r="J51" s="307"/>
      <c r="K51" s="307"/>
      <c r="L51" s="307"/>
      <c r="M51" s="307"/>
      <c r="N51" s="307"/>
      <c r="O51" s="318"/>
      <c r="P51" s="319"/>
      <c r="Q51" s="320"/>
      <c r="T51" s="243"/>
      <c r="U51" s="243"/>
    </row>
    <row r="52" spans="2:21" ht="13">
      <c r="B52" s="243"/>
      <c r="C52" s="242" t="s">
        <v>92</v>
      </c>
      <c r="D52" s="321"/>
      <c r="E52" s="248"/>
      <c r="F52" s="322">
        <f>E26</f>
        <v>71120012.364800483</v>
      </c>
      <c r="G52" s="248"/>
      <c r="H52" s="323"/>
      <c r="I52" s="248"/>
      <c r="J52" s="248"/>
      <c r="K52" s="248"/>
      <c r="L52" s="248"/>
      <c r="M52" s="248"/>
      <c r="N52" s="248"/>
      <c r="O52" s="248"/>
      <c r="P52" s="248"/>
      <c r="Q52" s="248"/>
      <c r="T52" s="243"/>
      <c r="U52" s="243"/>
    </row>
    <row r="53" spans="2:21" ht="12.75" customHeight="1">
      <c r="B53" s="243"/>
      <c r="C53" s="236" t="s">
        <v>26</v>
      </c>
      <c r="D53" s="307"/>
      <c r="E53" s="307"/>
      <c r="F53" s="324">
        <f>E36</f>
        <v>19479639.341481104</v>
      </c>
      <c r="G53" s="243"/>
      <c r="H53" s="325"/>
      <c r="I53" s="243"/>
      <c r="J53" s="278"/>
      <c r="K53" s="243"/>
      <c r="L53" s="243"/>
      <c r="M53" s="243"/>
      <c r="N53" s="243"/>
      <c r="O53" s="243"/>
      <c r="P53" s="243"/>
      <c r="Q53" s="243"/>
      <c r="T53" s="243"/>
      <c r="U53" s="243"/>
    </row>
    <row r="54" spans="2:21" ht="12.5">
      <c r="B54" s="243"/>
      <c r="C54" s="248" t="str">
        <f>"   Net Revenue Requirement, with "&amp;F13&amp;" Basis Point ROE increase"</f>
        <v xml:space="preserve">   Net Revenue Requirement, with 0 Basis Point ROE increase</v>
      </c>
      <c r="D54" s="292"/>
      <c r="E54" s="243"/>
      <c r="F54" s="326">
        <f>SUM(F51:F53)</f>
        <v>159414780.91885906</v>
      </c>
      <c r="G54" s="243"/>
      <c r="H54" s="325"/>
      <c r="I54" s="243"/>
      <c r="J54" s="278"/>
      <c r="K54" s="243"/>
      <c r="L54" s="243"/>
      <c r="M54" s="243"/>
      <c r="N54" s="243"/>
      <c r="O54" s="243"/>
      <c r="P54" s="243"/>
      <c r="Q54" s="243"/>
      <c r="R54" s="243"/>
      <c r="S54" s="243"/>
      <c r="T54" s="243"/>
      <c r="U54" s="243"/>
    </row>
    <row r="55" spans="2:21" ht="12.5">
      <c r="B55" s="243"/>
      <c r="C55" s="299" t="str">
        <f>"   Gross Margin Tax with "&amp;F13&amp;" Basis Point ROE Increase (II C. below)"</f>
        <v xml:space="preserve">   Gross Margin Tax with 0 Basis Point ROE Increase (II C. below)</v>
      </c>
      <c r="D55" s="327"/>
      <c r="E55" s="327"/>
      <c r="F55" s="328">
        <f>+F70</f>
        <v>0</v>
      </c>
      <c r="G55" s="243"/>
      <c r="H55" s="325"/>
      <c r="I55" s="243"/>
      <c r="J55" s="278"/>
      <c r="K55" s="243"/>
      <c r="L55" s="243"/>
      <c r="M55" s="243"/>
      <c r="N55" s="243"/>
      <c r="O55" s="243"/>
      <c r="P55" s="243"/>
      <c r="Q55" s="243"/>
      <c r="R55" s="243"/>
      <c r="S55" s="243"/>
      <c r="T55" s="243"/>
      <c r="U55" s="243"/>
    </row>
    <row r="56" spans="2:21" ht="12.5">
      <c r="B56" s="243"/>
      <c r="C56" s="248" t="s">
        <v>27</v>
      </c>
      <c r="D56" s="292"/>
      <c r="E56" s="243"/>
      <c r="F56" s="298">
        <f>+F54+F55</f>
        <v>159414780.91885906</v>
      </c>
      <c r="G56" s="243"/>
      <c r="H56" s="325"/>
      <c r="I56" s="243"/>
      <c r="J56" s="278"/>
      <c r="K56" s="243"/>
      <c r="L56" s="243"/>
      <c r="M56" s="243"/>
      <c r="N56" s="243"/>
      <c r="O56" s="243"/>
      <c r="P56" s="243"/>
      <c r="Q56" s="243"/>
      <c r="R56" s="243"/>
      <c r="S56" s="243"/>
      <c r="T56" s="243"/>
      <c r="U56" s="243"/>
    </row>
    <row r="57" spans="2:21" ht="12.5">
      <c r="B57" s="243"/>
      <c r="C57" s="236" t="str">
        <f>+S118</f>
        <v xml:space="preserve">   Less: Depreciation  (TCOS, ln 86)</v>
      </c>
      <c r="D57" s="292"/>
      <c r="E57" s="243"/>
      <c r="F57" s="329">
        <f>+R118</f>
        <v>40153971.4885557</v>
      </c>
      <c r="G57" s="243"/>
      <c r="H57" s="325"/>
      <c r="I57" s="243"/>
      <c r="J57" s="278"/>
      <c r="K57" s="243"/>
      <c r="L57" s="243"/>
      <c r="M57" s="243"/>
      <c r="N57" s="243"/>
      <c r="O57" s="243"/>
      <c r="P57" s="243"/>
      <c r="Q57" s="243"/>
      <c r="R57" s="243"/>
      <c r="S57" s="243"/>
      <c r="T57" s="243"/>
      <c r="U57" s="243"/>
    </row>
    <row r="58" spans="2:21" ht="12.5">
      <c r="B58" s="243"/>
      <c r="C58" s="248" t="str">
        <f>"   Net Rev. Req, w/"&amp;F13&amp;" Basis Point ROE increase, less Depreciation"</f>
        <v xml:space="preserve">   Net Rev. Req, w/0 Basis Point ROE increase, less Depreciation</v>
      </c>
      <c r="D58" s="292"/>
      <c r="E58" s="243"/>
      <c r="F58" s="326">
        <f>F56-F57</f>
        <v>119260809.43030336</v>
      </c>
      <c r="G58" s="243"/>
      <c r="H58" s="325"/>
      <c r="I58" s="243"/>
      <c r="J58" s="278"/>
      <c r="K58" s="243"/>
      <c r="L58" s="243"/>
      <c r="M58" s="243"/>
      <c r="N58" s="243"/>
      <c r="O58" s="243"/>
      <c r="P58" s="243"/>
      <c r="Q58" s="243"/>
      <c r="R58" s="243"/>
      <c r="S58" s="243"/>
      <c r="T58" s="243"/>
      <c r="U58" s="243"/>
    </row>
    <row r="59" spans="2:21" ht="12.5">
      <c r="B59" s="243"/>
      <c r="C59" s="243"/>
      <c r="D59" s="292"/>
      <c r="E59" s="243"/>
      <c r="F59" s="243"/>
      <c r="G59" s="243"/>
      <c r="H59" s="325"/>
      <c r="I59" s="243"/>
      <c r="J59" s="278"/>
      <c r="K59" s="243"/>
      <c r="L59" s="243"/>
      <c r="M59" s="243"/>
      <c r="N59" s="243"/>
      <c r="O59" s="243"/>
      <c r="P59" s="243"/>
      <c r="Q59" s="243"/>
      <c r="R59" s="243"/>
      <c r="S59" s="243"/>
      <c r="T59" s="243"/>
      <c r="U59" s="243"/>
    </row>
    <row r="60" spans="2:21" ht="15.5">
      <c r="B60" s="244"/>
      <c r="C60" s="306" t="str">
        <f>"C.   Determine Gross Margin Tax with hypothetical "&amp;F13&amp;" basis point increase in ROE."</f>
        <v>C.   Determine Gross Margin Tax with hypothetical 0 basis point increase in ROE.</v>
      </c>
      <c r="D60" s="330"/>
      <c r="E60" s="330"/>
      <c r="F60" s="331"/>
      <c r="G60" s="244"/>
      <c r="H60" s="332"/>
      <c r="I60" s="244"/>
      <c r="J60" s="278"/>
      <c r="K60" s="243"/>
      <c r="L60" s="243"/>
      <c r="M60" s="243"/>
      <c r="N60" s="243"/>
      <c r="O60" s="243"/>
      <c r="P60" s="243"/>
      <c r="Q60" s="243"/>
      <c r="R60" s="243"/>
      <c r="S60" s="243"/>
      <c r="T60" s="243"/>
      <c r="U60" s="243"/>
    </row>
    <row r="61" spans="2:21" ht="12.5">
      <c r="B61" s="244"/>
      <c r="C61" s="299" t="str">
        <f>"   Net Revenue Requirement before Gross Margin Taxes, with "&amp;F13&amp;" "</f>
        <v xml:space="preserve">   Net Revenue Requirement before Gross Margin Taxes, with 0 </v>
      </c>
      <c r="D61" s="330"/>
      <c r="E61" s="330"/>
      <c r="F61" s="331">
        <f>+F54</f>
        <v>159414780.91885906</v>
      </c>
      <c r="G61" s="244"/>
      <c r="H61" s="332"/>
      <c r="I61" s="244"/>
      <c r="J61" s="278"/>
      <c r="K61" s="243"/>
      <c r="L61" s="243"/>
      <c r="M61" s="243"/>
      <c r="N61" s="243"/>
      <c r="O61" s="243"/>
      <c r="P61" s="243"/>
      <c r="Q61" s="243"/>
      <c r="R61" s="243"/>
      <c r="S61" s="243"/>
      <c r="T61" s="243"/>
      <c r="U61" s="243"/>
    </row>
    <row r="62" spans="2:21" ht="12.5">
      <c r="B62" s="244"/>
      <c r="C62" s="299" t="s">
        <v>28</v>
      </c>
      <c r="D62" s="330"/>
      <c r="E62" s="330"/>
      <c r="F62" s="331"/>
      <c r="G62" s="244"/>
      <c r="H62" s="332"/>
      <c r="I62" s="244"/>
      <c r="J62" s="278"/>
      <c r="K62" s="243"/>
      <c r="L62" s="243"/>
      <c r="M62" s="243"/>
      <c r="N62" s="243"/>
      <c r="O62" s="243"/>
      <c r="P62" s="243"/>
      <c r="Q62" s="243"/>
      <c r="R62" s="243"/>
      <c r="S62" s="243"/>
      <c r="T62" s="243"/>
      <c r="U62" s="243"/>
    </row>
    <row r="63" spans="2:21" ht="12.5">
      <c r="B63" s="244"/>
      <c r="C63" s="248" t="str">
        <f>+S119</f>
        <v xml:space="preserve">       Apportionment Factor to Texas (Worksheet K, ln 12)</v>
      </c>
      <c r="D63" s="333"/>
      <c r="E63" s="244"/>
      <c r="F63" s="334">
        <f>+R119</f>
        <v>0</v>
      </c>
      <c r="G63" s="244"/>
      <c r="H63" s="332"/>
      <c r="I63" s="244"/>
      <c r="J63" s="278"/>
      <c r="K63" s="243"/>
      <c r="L63" s="243"/>
      <c r="M63" s="243"/>
      <c r="N63" s="243"/>
      <c r="O63" s="243"/>
      <c r="P63" s="243"/>
      <c r="Q63" s="243"/>
      <c r="R63" s="243"/>
      <c r="S63" s="243"/>
      <c r="T63" s="243"/>
      <c r="U63" s="243"/>
    </row>
    <row r="64" spans="2:21" ht="12.5">
      <c r="B64" s="244"/>
      <c r="C64" s="248" t="s">
        <v>29</v>
      </c>
      <c r="D64" s="333"/>
      <c r="E64" s="244"/>
      <c r="F64" s="331">
        <f>+F61*F63</f>
        <v>0</v>
      </c>
      <c r="G64" s="244"/>
      <c r="H64" s="332"/>
      <c r="I64" s="244"/>
      <c r="J64" s="278"/>
      <c r="K64" s="243"/>
      <c r="L64" s="243"/>
      <c r="M64" s="243"/>
      <c r="N64" s="243"/>
      <c r="O64" s="243"/>
      <c r="P64" s="243"/>
      <c r="Q64" s="243"/>
      <c r="R64" s="243"/>
      <c r="S64" s="243"/>
      <c r="T64" s="243"/>
      <c r="U64" s="243"/>
    </row>
    <row r="65" spans="2:21" ht="12.5">
      <c r="B65" s="244"/>
      <c r="C65" s="248" t="s">
        <v>257</v>
      </c>
      <c r="D65" s="333"/>
      <c r="E65" s="244"/>
      <c r="F65" s="335">
        <v>0.22</v>
      </c>
      <c r="G65" s="244"/>
      <c r="H65" s="332"/>
      <c r="I65" s="244"/>
      <c r="J65" s="278"/>
      <c r="K65" s="243"/>
      <c r="L65" s="243"/>
      <c r="M65" s="243"/>
      <c r="N65" s="243"/>
      <c r="O65" s="243"/>
      <c r="P65" s="243"/>
      <c r="Q65" s="243"/>
      <c r="R65" s="243"/>
      <c r="S65" s="243"/>
      <c r="T65" s="243"/>
      <c r="U65" s="243"/>
    </row>
    <row r="66" spans="2:21" ht="12.5">
      <c r="B66" s="244"/>
      <c r="C66" s="248" t="s">
        <v>30</v>
      </c>
      <c r="D66" s="333"/>
      <c r="E66" s="244"/>
      <c r="F66" s="331">
        <f>+F64*F65</f>
        <v>0</v>
      </c>
      <c r="G66" s="244"/>
      <c r="H66" s="332"/>
      <c r="I66" s="244"/>
      <c r="J66" s="278"/>
      <c r="K66" s="243"/>
      <c r="L66" s="243"/>
      <c r="M66" s="243"/>
      <c r="N66" s="243"/>
      <c r="O66" s="243"/>
      <c r="P66" s="243"/>
      <c r="Q66" s="243"/>
      <c r="R66" s="243"/>
      <c r="S66" s="243"/>
      <c r="T66" s="243"/>
      <c r="U66" s="243"/>
    </row>
    <row r="67" spans="2:21" ht="12.5">
      <c r="B67" s="244"/>
      <c r="C67" s="248" t="s">
        <v>31</v>
      </c>
      <c r="D67" s="333"/>
      <c r="E67" s="244"/>
      <c r="F67" s="335">
        <v>0.01</v>
      </c>
      <c r="G67" s="244"/>
      <c r="H67" s="332"/>
      <c r="I67" s="244"/>
      <c r="J67" s="278"/>
      <c r="K67" s="243"/>
      <c r="L67" s="243"/>
      <c r="M67" s="243"/>
      <c r="N67" s="243"/>
      <c r="O67" s="243"/>
      <c r="P67" s="243"/>
      <c r="Q67" s="243"/>
      <c r="R67" s="243"/>
      <c r="S67" s="243"/>
      <c r="T67" s="243"/>
      <c r="U67" s="243"/>
    </row>
    <row r="68" spans="2:21" ht="12.5">
      <c r="B68" s="244"/>
      <c r="C68" s="248" t="s">
        <v>32</v>
      </c>
      <c r="D68" s="333"/>
      <c r="E68" s="244"/>
      <c r="F68" s="331">
        <f>+F66*F67</f>
        <v>0</v>
      </c>
      <c r="G68" s="244"/>
      <c r="H68" s="332"/>
      <c r="I68" s="244"/>
      <c r="J68" s="278"/>
      <c r="K68" s="243"/>
      <c r="L68" s="243"/>
      <c r="M68" s="243"/>
      <c r="N68" s="243"/>
      <c r="O68" s="243"/>
      <c r="P68" s="243"/>
      <c r="Q68" s="243"/>
      <c r="R68" s="243"/>
      <c r="S68" s="243"/>
      <c r="T68" s="243"/>
      <c r="U68" s="243"/>
    </row>
    <row r="69" spans="2:21" ht="12.5">
      <c r="B69" s="244"/>
      <c r="C69" s="248" t="s">
        <v>33</v>
      </c>
      <c r="D69" s="333"/>
      <c r="E69" s="244"/>
      <c r="F69" s="336">
        <f>+ROUND((F68*F65*F63)/(1-F67)*F67,0)</f>
        <v>0</v>
      </c>
      <c r="G69" s="244"/>
      <c r="H69" s="332"/>
      <c r="I69" s="244"/>
      <c r="J69" s="278"/>
      <c r="K69" s="243"/>
      <c r="L69" s="243"/>
      <c r="M69" s="243"/>
      <c r="N69" s="243"/>
      <c r="O69" s="243"/>
      <c r="P69" s="243"/>
      <c r="Q69" s="243"/>
      <c r="R69" s="243"/>
      <c r="S69" s="243"/>
      <c r="T69" s="243"/>
      <c r="U69" s="243"/>
    </row>
    <row r="70" spans="2:21" ht="12.5">
      <c r="B70" s="244"/>
      <c r="C70" s="248" t="s">
        <v>34</v>
      </c>
      <c r="D70" s="333"/>
      <c r="E70" s="244"/>
      <c r="F70" s="331">
        <f>+F68+F69</f>
        <v>0</v>
      </c>
      <c r="G70" s="244"/>
      <c r="H70" s="332"/>
      <c r="I70" s="244"/>
      <c r="J70" s="278"/>
      <c r="K70" s="243"/>
      <c r="L70" s="243"/>
      <c r="M70" s="243"/>
      <c r="N70" s="243"/>
      <c r="O70" s="243"/>
      <c r="P70" s="243"/>
      <c r="Q70" s="243"/>
      <c r="R70" s="243"/>
      <c r="S70" s="243"/>
      <c r="T70" s="243"/>
      <c r="U70" s="243"/>
    </row>
    <row r="71" spans="2:21" ht="12.5">
      <c r="B71" s="243"/>
      <c r="C71" s="243"/>
      <c r="D71" s="292"/>
      <c r="E71" s="243"/>
      <c r="F71" s="243"/>
      <c r="G71" s="243"/>
      <c r="H71" s="325"/>
      <c r="I71" s="243"/>
      <c r="J71" s="278"/>
      <c r="K71" s="243"/>
      <c r="L71" s="243"/>
      <c r="M71" s="243"/>
      <c r="N71" s="243"/>
      <c r="O71" s="243"/>
      <c r="P71" s="243"/>
      <c r="Q71" s="243"/>
      <c r="R71" s="243"/>
      <c r="S71" s="243"/>
      <c r="T71" s="243"/>
      <c r="U71" s="243"/>
    </row>
    <row r="72" spans="2:21" ht="15.5">
      <c r="B72" s="243"/>
      <c r="C72" s="235" t="str">
        <f>"D.   Determine FCR with hypothetical "&amp;F13&amp;" basis point ROE increase."</f>
        <v>D.   Determine FCR with hypothetical 0 basis point ROE increase.</v>
      </c>
      <c r="D72" s="292"/>
      <c r="E72" s="243"/>
      <c r="F72" s="243"/>
      <c r="G72" s="243"/>
      <c r="H72" s="325"/>
      <c r="I72" s="243"/>
      <c r="J72" s="278"/>
      <c r="K72" s="243"/>
      <c r="L72" s="243"/>
      <c r="M72" s="243"/>
      <c r="N72" s="243"/>
      <c r="O72" s="243"/>
      <c r="P72" s="243"/>
      <c r="Q72" s="243"/>
      <c r="R72" s="243"/>
      <c r="S72" s="243"/>
      <c r="T72" s="243"/>
      <c r="U72" s="243"/>
    </row>
    <row r="73" spans="2:21" ht="12.5">
      <c r="B73" s="243"/>
      <c r="C73" s="236" t="str">
        <f>+S120</f>
        <v xml:space="preserve">   Net Transmission Plant  (TCOS, ln 37)</v>
      </c>
      <c r="D73" s="292"/>
      <c r="E73" s="243"/>
      <c r="F73" s="326">
        <f>+R120</f>
        <v>1102377735.9736443</v>
      </c>
      <c r="G73" s="337"/>
      <c r="H73" s="212"/>
      <c r="J73" s="220"/>
      <c r="P73" s="243"/>
      <c r="Q73" s="243"/>
      <c r="R73" s="243"/>
      <c r="S73" s="243"/>
      <c r="T73" s="243"/>
      <c r="U73" s="325"/>
    </row>
    <row r="74" spans="2:21" ht="12.5">
      <c r="B74" s="243"/>
      <c r="C74" s="248" t="str">
        <f>"   Net Revenue Requirement, with "&amp;F13&amp;" Basis Point ROE increase"</f>
        <v xml:space="preserve">   Net Revenue Requirement, with 0 Basis Point ROE increase</v>
      </c>
      <c r="D74" s="292"/>
      <c r="E74" s="243"/>
      <c r="F74" s="338">
        <f>F54</f>
        <v>159414780.91885906</v>
      </c>
      <c r="H74" s="212"/>
      <c r="J74" s="220"/>
      <c r="P74" s="243"/>
      <c r="Q74" s="243"/>
      <c r="R74" s="243"/>
      <c r="S74" s="243"/>
      <c r="T74" s="243"/>
      <c r="U74" s="325"/>
    </row>
    <row r="75" spans="2:21" ht="12.5">
      <c r="B75" s="243"/>
      <c r="C75" s="248" t="str">
        <f>"   FCR with "&amp;F13&amp;" Basis Point increase in ROE"</f>
        <v xml:space="preserve">   FCR with 0 Basis Point increase in ROE</v>
      </c>
      <c r="D75" s="292"/>
      <c r="E75" s="243"/>
      <c r="F75" s="339">
        <f>IF(F73=0,0,F74/F73)</f>
        <v>0.14460994241512001</v>
      </c>
      <c r="H75" s="212"/>
      <c r="J75" s="220"/>
      <c r="P75" s="243"/>
      <c r="Q75" s="243"/>
      <c r="R75" s="243"/>
      <c r="S75" s="243"/>
      <c r="T75" s="243"/>
      <c r="U75" s="325"/>
    </row>
    <row r="76" spans="2:21" ht="12.5">
      <c r="B76" s="243"/>
      <c r="D76" s="292"/>
      <c r="E76" s="243"/>
      <c r="F76" s="244"/>
      <c r="H76" s="212"/>
      <c r="J76" s="220"/>
      <c r="P76" s="243"/>
      <c r="Q76" s="243"/>
      <c r="R76" s="243"/>
      <c r="S76" s="243"/>
      <c r="T76" s="243"/>
      <c r="U76" s="325"/>
    </row>
    <row r="77" spans="2:21" ht="12.5">
      <c r="B77" s="243"/>
      <c r="C77" s="248" t="str">
        <f>"   Net Rev. Req, w / "&amp;F13&amp;" Basis Point ROE increase, less Dep."</f>
        <v xml:space="preserve">   Net Rev. Req, w / 0 Basis Point ROE increase, less Dep.</v>
      </c>
      <c r="D77" s="292"/>
      <c r="E77" s="243"/>
      <c r="F77" s="326">
        <f>F58</f>
        <v>119260809.43030336</v>
      </c>
      <c r="G77" s="337"/>
      <c r="H77" s="212"/>
      <c r="J77" s="220"/>
      <c r="P77" s="243"/>
      <c r="Q77" s="243"/>
      <c r="R77" s="243"/>
      <c r="S77" s="243"/>
      <c r="T77" s="243"/>
      <c r="U77" s="325"/>
    </row>
    <row r="78" spans="2:21" ht="12.5">
      <c r="B78" s="243"/>
      <c r="C78" s="248" t="str">
        <f>"   FCR with "&amp;F13&amp;" Basis Point ROE increase, less Depreciation"</f>
        <v xml:space="preserve">   FCR with 0 Basis Point ROE increase, less Depreciation</v>
      </c>
      <c r="D78" s="292"/>
      <c r="E78" s="243"/>
      <c r="F78" s="339">
        <f>IF(F73=0,0,F77/F73)</f>
        <v>0.10818506718567715</v>
      </c>
      <c r="G78" s="339"/>
      <c r="H78" s="212"/>
      <c r="J78" s="220"/>
      <c r="P78" s="243"/>
      <c r="Q78" s="243"/>
      <c r="R78" s="243"/>
      <c r="S78" s="243"/>
      <c r="T78" s="243"/>
      <c r="U78" s="325"/>
    </row>
    <row r="79" spans="2:21" ht="12.5">
      <c r="B79" s="243"/>
      <c r="C79" s="236" t="str">
        <f>+S121</f>
        <v xml:space="preserve">   FCR less Depreciation  (TCOS, ln 10)</v>
      </c>
      <c r="D79" s="292"/>
      <c r="E79" s="243"/>
      <c r="F79" s="340">
        <f>+R121</f>
        <v>0.10818506718567715</v>
      </c>
      <c r="H79" s="212"/>
      <c r="J79" s="220"/>
      <c r="P79" s="243"/>
      <c r="Q79" s="243"/>
      <c r="R79" s="243"/>
      <c r="S79" s="243"/>
      <c r="T79" s="243"/>
      <c r="U79" s="325"/>
    </row>
    <row r="80" spans="2:21" ht="12.5">
      <c r="B80" s="243"/>
      <c r="C80" s="659" t="str">
        <f>"   Incremental FCR with "&amp;F13&amp;" Basis Point ROE increase, less Depreciation"</f>
        <v xml:space="preserve">   Incremental FCR with 0 Basis Point ROE increase, less Depreciation</v>
      </c>
      <c r="D80" s="658"/>
      <c r="E80" s="658"/>
      <c r="F80" s="339">
        <f>F78-F79</f>
        <v>0</v>
      </c>
      <c r="H80" s="212"/>
      <c r="J80" s="220"/>
      <c r="P80" s="243"/>
      <c r="Q80" s="243"/>
      <c r="R80" s="243"/>
      <c r="S80" s="243"/>
      <c r="T80" s="243"/>
      <c r="U80" s="325"/>
    </row>
    <row r="81" spans="2:21" ht="12.5">
      <c r="B81" s="243"/>
      <c r="C81" s="658"/>
      <c r="D81" s="658"/>
      <c r="E81" s="658"/>
      <c r="F81" s="339"/>
      <c r="G81" s="243"/>
      <c r="H81" s="325"/>
      <c r="I81" s="243"/>
      <c r="J81" s="278"/>
      <c r="K81" s="243"/>
      <c r="L81" s="243"/>
      <c r="M81" s="243"/>
      <c r="N81" s="243"/>
      <c r="O81" s="243"/>
      <c r="P81" s="243"/>
      <c r="Q81" s="243"/>
      <c r="R81" s="243"/>
      <c r="S81" s="243"/>
      <c r="T81" s="243"/>
      <c r="U81" s="243"/>
    </row>
    <row r="82" spans="2:21" ht="18">
      <c r="B82" s="233" t="s">
        <v>35</v>
      </c>
      <c r="C82" s="305" t="s">
        <v>36</v>
      </c>
      <c r="D82" s="292"/>
      <c r="E82" s="243"/>
      <c r="F82" s="339"/>
      <c r="G82" s="243"/>
      <c r="H82" s="325"/>
      <c r="I82" s="243"/>
      <c r="J82" s="278"/>
      <c r="K82" s="243"/>
      <c r="L82" s="243"/>
      <c r="M82" s="243"/>
      <c r="N82" s="243"/>
      <c r="O82" s="243"/>
      <c r="P82" s="243"/>
      <c r="Q82" s="243"/>
      <c r="R82" s="243"/>
      <c r="S82" s="243"/>
      <c r="T82" s="243"/>
      <c r="U82" s="243"/>
    </row>
    <row r="83" spans="2:21" ht="12.75" customHeight="1">
      <c r="B83" s="233"/>
      <c r="C83" s="248" t="s">
        <v>37</v>
      </c>
      <c r="D83" s="292"/>
      <c r="F83" s="332">
        <f>R122</f>
        <v>1190579155.9866798</v>
      </c>
      <c r="G83" s="243" t="s">
        <v>241</v>
      </c>
      <c r="H83" s="325"/>
      <c r="I83" s="650" t="s">
        <v>259</v>
      </c>
      <c r="J83" s="650"/>
      <c r="K83" s="650"/>
      <c r="L83" s="650"/>
      <c r="M83" s="650"/>
      <c r="N83" s="650"/>
      <c r="O83" s="243"/>
      <c r="P83" s="243"/>
      <c r="Q83" s="243"/>
      <c r="R83" s="243"/>
      <c r="S83" s="243"/>
      <c r="T83" s="243"/>
      <c r="U83" s="243"/>
    </row>
    <row r="84" spans="2:21" ht="12.75" customHeight="1">
      <c r="B84" s="233"/>
      <c r="C84" s="248" t="s">
        <v>38</v>
      </c>
      <c r="D84" s="292"/>
      <c r="F84" s="341">
        <f>R123</f>
        <v>1334773847.9738498</v>
      </c>
      <c r="G84" s="243" t="s">
        <v>241</v>
      </c>
      <c r="H84" s="325"/>
      <c r="I84" s="650"/>
      <c r="J84" s="650"/>
      <c r="K84" s="650"/>
      <c r="L84" s="650"/>
      <c r="M84" s="650"/>
      <c r="N84" s="650"/>
      <c r="O84" s="243"/>
      <c r="P84" s="243"/>
      <c r="Q84" s="243"/>
      <c r="R84" s="243"/>
      <c r="S84" s="243"/>
      <c r="T84" s="243"/>
      <c r="U84" s="243"/>
    </row>
    <row r="85" spans="2:21" ht="12.5">
      <c r="B85" s="243"/>
      <c r="C85" s="248"/>
      <c r="D85" s="292"/>
      <c r="F85" s="325">
        <f>SUM(F83:F84)</f>
        <v>2525353003.9605293</v>
      </c>
      <c r="G85" s="326"/>
      <c r="H85" s="325"/>
      <c r="I85" s="650"/>
      <c r="J85" s="650"/>
      <c r="K85" s="650"/>
      <c r="L85" s="650"/>
      <c r="M85" s="650"/>
      <c r="N85" s="650"/>
      <c r="O85" s="243"/>
      <c r="P85" s="243"/>
      <c r="Q85" s="243"/>
      <c r="R85" s="243"/>
      <c r="S85" s="243"/>
      <c r="T85" s="243"/>
      <c r="U85" s="243"/>
    </row>
    <row r="86" spans="2:21" ht="12.5">
      <c r="B86" s="243"/>
      <c r="C86" s="248" t="str">
        <f>S124</f>
        <v>Transmission Plant Average Balance for 2021</v>
      </c>
      <c r="D86" s="333"/>
      <c r="E86" s="152"/>
      <c r="F86" s="342">
        <f>+F85/2</f>
        <v>1262676501.9802647</v>
      </c>
      <c r="G86" s="343"/>
      <c r="H86" s="325"/>
      <c r="I86" s="650"/>
      <c r="J86" s="650"/>
      <c r="K86" s="650"/>
      <c r="L86" s="650"/>
      <c r="M86" s="650"/>
      <c r="N86" s="650"/>
      <c r="O86" s="243"/>
      <c r="P86" s="243"/>
      <c r="Q86" s="243"/>
      <c r="R86" s="243"/>
      <c r="S86" s="243"/>
      <c r="T86" s="243"/>
      <c r="U86" s="243"/>
    </row>
    <row r="87" spans="2:21" ht="12.5">
      <c r="B87" s="243"/>
      <c r="C87" s="236" t="str">
        <f>S125</f>
        <v>Annual Depreciation Expense  (Historic TCOS, ln 259)</v>
      </c>
      <c r="D87" s="333"/>
      <c r="E87" s="244"/>
      <c r="F87" s="342">
        <f>R125</f>
        <v>40153971.4885557</v>
      </c>
      <c r="G87" s="243"/>
      <c r="H87" s="325"/>
      <c r="I87" s="650"/>
      <c r="J87" s="650"/>
      <c r="K87" s="650"/>
      <c r="L87" s="650"/>
      <c r="M87" s="650"/>
      <c r="N87" s="650"/>
      <c r="O87" s="243"/>
      <c r="P87" s="243"/>
      <c r="Q87" s="243"/>
      <c r="R87" s="243"/>
      <c r="S87" s="243"/>
      <c r="T87" s="243"/>
      <c r="U87" s="243"/>
    </row>
    <row r="88" spans="2:21" ht="12.5">
      <c r="B88" s="243"/>
      <c r="C88" s="248" t="s">
        <v>39</v>
      </c>
      <c r="D88" s="292"/>
      <c r="E88" s="243"/>
      <c r="F88" s="344">
        <f>F87/F86</f>
        <v>3.1800680083601728E-2</v>
      </c>
      <c r="G88" s="243"/>
      <c r="H88" s="345"/>
      <c r="I88" s="650"/>
      <c r="J88" s="650"/>
      <c r="K88" s="650"/>
      <c r="L88" s="650"/>
      <c r="M88" s="650"/>
      <c r="N88" s="650"/>
      <c r="O88" s="243"/>
      <c r="P88" s="243"/>
      <c r="Q88" s="243"/>
      <c r="R88" s="243"/>
      <c r="S88" s="243"/>
      <c r="T88" s="243"/>
      <c r="U88" s="243"/>
    </row>
    <row r="89" spans="2:21" ht="12.5">
      <c r="B89" s="243"/>
      <c r="C89" s="248" t="s">
        <v>40</v>
      </c>
      <c r="D89" s="292"/>
      <c r="E89" s="243"/>
      <c r="F89" s="346">
        <f>IF(F88=0,0,1/F88)</f>
        <v>31.445868370458463</v>
      </c>
      <c r="H89" s="325"/>
      <c r="I89" s="243"/>
      <c r="J89" s="278"/>
      <c r="K89" s="243"/>
      <c r="L89" s="243"/>
      <c r="M89" s="243"/>
      <c r="N89" s="243"/>
      <c r="O89" s="243"/>
      <c r="P89" s="243"/>
      <c r="Q89" s="243"/>
      <c r="R89" s="243"/>
      <c r="S89" s="243"/>
      <c r="T89" s="243"/>
      <c r="U89" s="243"/>
    </row>
    <row r="90" spans="2:21" ht="12.5">
      <c r="B90" s="243"/>
      <c r="C90" s="248" t="s">
        <v>41</v>
      </c>
      <c r="D90" s="292"/>
      <c r="E90" s="243"/>
      <c r="F90" s="347">
        <f>ROUND(F89,0)</f>
        <v>31</v>
      </c>
      <c r="G90" s="243"/>
      <c r="H90" s="325"/>
      <c r="I90" s="243"/>
      <c r="J90" s="278"/>
      <c r="K90" s="243"/>
      <c r="L90" s="243"/>
      <c r="M90" s="243"/>
      <c r="N90" s="243"/>
      <c r="O90" s="243"/>
      <c r="P90" s="243"/>
      <c r="Q90" s="243"/>
      <c r="R90" s="243"/>
      <c r="S90" s="243"/>
      <c r="T90" s="243"/>
      <c r="U90" s="243"/>
    </row>
    <row r="91" spans="2:21" ht="12.5">
      <c r="C91" s="348"/>
      <c r="D91" s="349"/>
      <c r="E91" s="349"/>
      <c r="F91" s="349"/>
      <c r="G91" s="294"/>
      <c r="H91" s="294"/>
      <c r="I91" s="350"/>
      <c r="J91" s="350"/>
      <c r="K91" s="350"/>
      <c r="L91" s="350"/>
      <c r="M91" s="350"/>
      <c r="N91" s="350"/>
      <c r="O91" s="278"/>
      <c r="P91" s="278"/>
      <c r="Q91" s="243"/>
      <c r="R91" s="243"/>
      <c r="S91" s="243"/>
      <c r="T91" s="243"/>
      <c r="U91" s="243"/>
    </row>
    <row r="92" spans="2:21" ht="12.5">
      <c r="C92" s="348"/>
      <c r="D92" s="349"/>
      <c r="E92" s="349"/>
      <c r="F92" s="349"/>
      <c r="G92" s="294"/>
      <c r="H92" s="294"/>
      <c r="I92" s="350"/>
      <c r="J92" s="350"/>
      <c r="K92" s="350"/>
      <c r="L92" s="350"/>
      <c r="M92" s="350"/>
      <c r="N92" s="350"/>
      <c r="O92" s="278"/>
      <c r="P92" s="278"/>
      <c r="Q92" s="243"/>
      <c r="R92" s="243"/>
      <c r="S92" s="243"/>
      <c r="T92" s="243"/>
      <c r="U92" s="243"/>
    </row>
    <row r="93" spans="2:21" ht="12.5">
      <c r="J93" s="220"/>
      <c r="P93" s="243"/>
      <c r="Q93" s="243"/>
      <c r="R93" s="243"/>
      <c r="S93" s="243"/>
      <c r="T93" s="243"/>
      <c r="U93" s="243"/>
    </row>
    <row r="94" spans="2:21" ht="13">
      <c r="J94" s="220"/>
      <c r="P94" s="243"/>
      <c r="Q94" s="243"/>
      <c r="R94" s="351" t="s">
        <v>111</v>
      </c>
      <c r="S94" s="145" t="s">
        <v>112</v>
      </c>
      <c r="U94" s="243"/>
    </row>
    <row r="95" spans="2:21" ht="12.5">
      <c r="J95" s="220"/>
      <c r="P95" s="243"/>
      <c r="Q95" s="243"/>
      <c r="U95" s="243"/>
    </row>
    <row r="96" spans="2:21" ht="13">
      <c r="C96" s="232" t="s">
        <v>108</v>
      </c>
      <c r="J96" s="220"/>
      <c r="L96" s="232" t="s">
        <v>107</v>
      </c>
      <c r="P96" s="243"/>
      <c r="Q96" s="243"/>
      <c r="U96" s="243"/>
    </row>
    <row r="97" spans="10:21" ht="13">
      <c r="J97" s="220"/>
      <c r="P97" s="243"/>
      <c r="Q97" s="243"/>
      <c r="R97" s="351" t="s">
        <v>102</v>
      </c>
      <c r="S97" s="352" t="s">
        <v>250</v>
      </c>
      <c r="U97" s="243"/>
    </row>
    <row r="98" spans="10:21" ht="13">
      <c r="J98" s="220"/>
      <c r="P98" s="243"/>
      <c r="Q98" s="243"/>
      <c r="R98" s="351"/>
      <c r="S98" s="200" t="s">
        <v>106</v>
      </c>
      <c r="U98" s="243"/>
    </row>
    <row r="99" spans="10:21" ht="13.5" thickBot="1">
      <c r="J99" s="220"/>
      <c r="P99" s="243"/>
      <c r="Q99" s="243"/>
      <c r="R99" s="353" t="s">
        <v>184</v>
      </c>
      <c r="U99" s="243"/>
    </row>
    <row r="100" spans="10:21" ht="12.5">
      <c r="J100" s="220"/>
      <c r="P100" s="243"/>
      <c r="Q100" s="243"/>
      <c r="R100" s="354" t="s">
        <v>126</v>
      </c>
      <c r="S100" s="355" t="s">
        <v>127</v>
      </c>
      <c r="U100" s="243"/>
    </row>
    <row r="101" spans="10:21" ht="12.5">
      <c r="J101" s="220"/>
      <c r="P101" s="243"/>
      <c r="Q101" s="243"/>
      <c r="R101" s="356">
        <v>2021</v>
      </c>
      <c r="S101" s="357" t="s">
        <v>285</v>
      </c>
      <c r="T101" s="243"/>
      <c r="U101" s="243"/>
    </row>
    <row r="102" spans="10:21" ht="12.5">
      <c r="J102" s="220"/>
      <c r="P102" s="243"/>
      <c r="Q102" s="243"/>
      <c r="R102" s="358">
        <v>0.105</v>
      </c>
      <c r="S102" s="357" t="s">
        <v>270</v>
      </c>
      <c r="T102" s="243"/>
      <c r="U102" s="243"/>
    </row>
    <row r="103" spans="10:21" ht="12.5">
      <c r="J103" s="220"/>
      <c r="P103" s="243"/>
      <c r="Q103" s="243"/>
      <c r="R103" s="359">
        <v>0</v>
      </c>
      <c r="S103" s="357" t="s">
        <v>1</v>
      </c>
      <c r="T103" s="243"/>
      <c r="U103" s="243"/>
    </row>
    <row r="104" spans="10:21" ht="12.5">
      <c r="J104" s="220"/>
      <c r="P104" s="243"/>
      <c r="Q104" s="243"/>
      <c r="R104" s="360">
        <v>0.4509793666251149</v>
      </c>
      <c r="S104" s="361" t="s">
        <v>97</v>
      </c>
      <c r="T104" s="243"/>
      <c r="U104" s="243"/>
    </row>
    <row r="105" spans="10:21" ht="12.5">
      <c r="J105" s="220"/>
      <c r="P105" s="243"/>
      <c r="Q105" s="243"/>
      <c r="R105" s="360">
        <v>4.0470839588437502E-2</v>
      </c>
      <c r="S105" s="361" t="s">
        <v>98</v>
      </c>
      <c r="T105" s="243"/>
      <c r="U105" s="243"/>
    </row>
    <row r="106" spans="10:21" ht="12.5">
      <c r="J106" s="220"/>
      <c r="P106" s="243"/>
      <c r="Q106" s="243"/>
      <c r="R106" s="360">
        <v>0</v>
      </c>
      <c r="S106" s="361" t="s">
        <v>99</v>
      </c>
      <c r="T106" s="243"/>
      <c r="U106" s="243"/>
    </row>
    <row r="107" spans="10:21" ht="12.5">
      <c r="J107" s="220"/>
      <c r="P107" s="243"/>
      <c r="Q107" s="243"/>
      <c r="R107" s="360">
        <v>0</v>
      </c>
      <c r="S107" s="361" t="s">
        <v>100</v>
      </c>
      <c r="T107" s="243"/>
      <c r="U107" s="243"/>
    </row>
    <row r="108" spans="10:21" ht="12.5">
      <c r="J108" s="220"/>
      <c r="P108" s="243"/>
      <c r="Q108" s="243"/>
      <c r="R108" s="360">
        <v>0.54902063337488505</v>
      </c>
      <c r="S108" s="362" t="s">
        <v>101</v>
      </c>
      <c r="T108" s="243"/>
      <c r="U108" s="243"/>
    </row>
    <row r="109" spans="10:21" ht="12.5">
      <c r="J109" s="220"/>
      <c r="P109" s="243"/>
      <c r="Q109" s="243"/>
      <c r="R109" s="363">
        <v>937038855.78647721</v>
      </c>
      <c r="S109" s="364" t="s">
        <v>271</v>
      </c>
      <c r="T109" s="243"/>
      <c r="U109" s="243"/>
    </row>
    <row r="110" spans="10:21" ht="12.5">
      <c r="J110" s="220"/>
      <c r="P110" s="243"/>
      <c r="Q110" s="243"/>
      <c r="R110" s="365">
        <v>0.254714</v>
      </c>
      <c r="S110" s="366" t="s">
        <v>272</v>
      </c>
      <c r="T110" s="243"/>
      <c r="U110" s="243"/>
    </row>
    <row r="111" spans="10:21" ht="12.5">
      <c r="J111" s="220"/>
      <c r="P111" s="243"/>
      <c r="Q111" s="243"/>
      <c r="R111" s="367">
        <v>0</v>
      </c>
      <c r="S111" s="366" t="s">
        <v>273</v>
      </c>
      <c r="T111" s="243"/>
      <c r="U111" s="243"/>
    </row>
    <row r="112" spans="10:21" ht="12.5">
      <c r="J112" s="220"/>
      <c r="P112" s="243"/>
      <c r="Q112" s="243"/>
      <c r="R112" s="367">
        <v>730855.26898398693</v>
      </c>
      <c r="S112" s="366" t="s">
        <v>274</v>
      </c>
      <c r="T112" s="243"/>
      <c r="U112" s="243"/>
    </row>
    <row r="113" spans="3:21" ht="12.5">
      <c r="J113" s="220"/>
      <c r="P113" s="243"/>
      <c r="Q113" s="243"/>
      <c r="R113" s="367">
        <v>287350.65464801429</v>
      </c>
      <c r="S113" s="366" t="s">
        <v>286</v>
      </c>
      <c r="T113" s="243"/>
      <c r="U113" s="243"/>
    </row>
    <row r="114" spans="3:21" ht="12.5">
      <c r="C114" s="243"/>
      <c r="D114" s="292"/>
      <c r="E114" s="243"/>
      <c r="F114" s="243"/>
      <c r="G114" s="243"/>
      <c r="H114" s="325"/>
      <c r="I114" s="243"/>
      <c r="J114" s="278"/>
      <c r="K114" s="243"/>
      <c r="L114" s="243"/>
      <c r="M114" s="243"/>
      <c r="P114" s="243"/>
      <c r="Q114" s="243"/>
      <c r="R114" s="367">
        <v>159414780.91885906</v>
      </c>
      <c r="S114" s="366" t="s">
        <v>276</v>
      </c>
      <c r="T114" s="243"/>
      <c r="U114" s="243"/>
    </row>
    <row r="115" spans="3:21" ht="12.5">
      <c r="C115" s="243"/>
      <c r="D115" s="292"/>
      <c r="E115" s="243"/>
      <c r="F115" s="243"/>
      <c r="G115" s="243"/>
      <c r="H115" s="325"/>
      <c r="I115" s="243"/>
      <c r="J115" s="278"/>
      <c r="K115" s="243"/>
      <c r="L115" s="243"/>
      <c r="M115" s="243"/>
      <c r="P115" s="243"/>
      <c r="Q115" s="243"/>
      <c r="R115" s="367">
        <v>71120012.364800483</v>
      </c>
      <c r="S115" s="366" t="s">
        <v>277</v>
      </c>
      <c r="T115" s="243"/>
      <c r="U115" s="243"/>
    </row>
    <row r="116" spans="3:21" ht="12.5">
      <c r="C116" s="243"/>
      <c r="D116" s="292"/>
      <c r="E116" s="243"/>
      <c r="F116" s="243"/>
      <c r="G116" s="243"/>
      <c r="H116" s="325"/>
      <c r="I116" s="243"/>
      <c r="J116" s="278"/>
      <c r="K116" s="243"/>
      <c r="L116" s="243"/>
      <c r="M116" s="243"/>
      <c r="P116" s="243"/>
      <c r="Q116" s="243"/>
      <c r="R116" s="367">
        <v>19479639.341481104</v>
      </c>
      <c r="S116" s="366" t="s">
        <v>278</v>
      </c>
      <c r="T116" s="243"/>
      <c r="U116" s="243"/>
    </row>
    <row r="117" spans="3:21" ht="12.5">
      <c r="C117" s="243"/>
      <c r="D117" s="292"/>
      <c r="E117" s="243"/>
      <c r="F117" s="243"/>
      <c r="G117" s="243"/>
      <c r="H117" s="325"/>
      <c r="I117" s="243"/>
      <c r="J117" s="278"/>
      <c r="K117" s="243"/>
      <c r="L117" s="243"/>
      <c r="M117" s="243"/>
      <c r="P117" s="243"/>
      <c r="Q117" s="243"/>
      <c r="R117" s="367">
        <v>0</v>
      </c>
      <c r="S117" s="366" t="s">
        <v>279</v>
      </c>
      <c r="T117" s="243"/>
      <c r="U117" s="243"/>
    </row>
    <row r="118" spans="3:21" ht="12.5">
      <c r="C118" s="243"/>
      <c r="D118" s="292"/>
      <c r="E118" s="243"/>
      <c r="F118" s="243"/>
      <c r="G118" s="243"/>
      <c r="H118" s="325"/>
      <c r="I118" s="243"/>
      <c r="J118" s="278"/>
      <c r="K118" s="243"/>
      <c r="L118" s="243"/>
      <c r="M118" s="243"/>
      <c r="P118" s="243"/>
      <c r="Q118" s="243"/>
      <c r="R118" s="367">
        <v>40153971.4885557</v>
      </c>
      <c r="S118" s="366" t="s">
        <v>280</v>
      </c>
      <c r="T118" s="243"/>
      <c r="U118" s="243"/>
    </row>
    <row r="119" spans="3:21" ht="12.5">
      <c r="C119" s="243"/>
      <c r="D119" s="292"/>
      <c r="E119" s="243"/>
      <c r="F119" s="243"/>
      <c r="G119" s="243"/>
      <c r="H119" s="325"/>
      <c r="I119" s="243"/>
      <c r="J119" s="278"/>
      <c r="K119" s="243"/>
      <c r="L119" s="243"/>
      <c r="M119" s="243"/>
      <c r="P119" s="243"/>
      <c r="Q119" s="243"/>
      <c r="R119" s="368">
        <v>0</v>
      </c>
      <c r="S119" s="366" t="s">
        <v>104</v>
      </c>
      <c r="T119" s="243"/>
      <c r="U119" s="243"/>
    </row>
    <row r="120" spans="3:21" ht="12.5">
      <c r="C120" s="243"/>
      <c r="D120" s="292"/>
      <c r="E120" s="243"/>
      <c r="F120" s="243"/>
      <c r="G120" s="243"/>
      <c r="H120" s="325"/>
      <c r="I120" s="243"/>
      <c r="J120" s="278"/>
      <c r="K120" s="243"/>
      <c r="L120" s="243"/>
      <c r="M120" s="243"/>
      <c r="P120" s="243"/>
      <c r="Q120" s="243"/>
      <c r="R120" s="367">
        <v>1102377735.9736443</v>
      </c>
      <c r="S120" s="366" t="s">
        <v>281</v>
      </c>
      <c r="T120" s="243"/>
      <c r="U120" s="243"/>
    </row>
    <row r="121" spans="3:21" ht="12.5">
      <c r="C121" s="243"/>
      <c r="D121" s="292"/>
      <c r="E121" s="243"/>
      <c r="F121" s="243"/>
      <c r="G121" s="243"/>
      <c r="H121" s="325"/>
      <c r="I121" s="243"/>
      <c r="J121" s="278"/>
      <c r="K121" s="243"/>
      <c r="L121" s="243"/>
      <c r="M121" s="243"/>
      <c r="P121" s="243"/>
      <c r="Q121" s="243"/>
      <c r="R121" s="368">
        <v>0.10818506718567715</v>
      </c>
      <c r="S121" s="369" t="s">
        <v>282</v>
      </c>
      <c r="T121" s="243"/>
      <c r="U121" s="243"/>
    </row>
    <row r="122" spans="3:21" ht="12.5">
      <c r="C122" s="243"/>
      <c r="D122" s="292"/>
      <c r="E122" s="243"/>
      <c r="F122" s="243"/>
      <c r="G122" s="243"/>
      <c r="H122" s="325"/>
      <c r="I122" s="243"/>
      <c r="J122" s="278"/>
      <c r="K122" s="243"/>
      <c r="L122" s="243"/>
      <c r="M122" s="243"/>
      <c r="P122" s="243"/>
      <c r="Q122" s="243"/>
      <c r="R122" s="370">
        <v>1190579155.9866798</v>
      </c>
      <c r="S122" s="361" t="s">
        <v>37</v>
      </c>
      <c r="T122" s="243"/>
      <c r="U122" s="243"/>
    </row>
    <row r="123" spans="3:21" ht="12.5">
      <c r="C123" s="243"/>
      <c r="D123" s="292"/>
      <c r="E123" s="243"/>
      <c r="F123" s="243"/>
      <c r="G123" s="243"/>
      <c r="H123" s="325"/>
      <c r="I123" s="243"/>
      <c r="J123" s="278"/>
      <c r="K123" s="243"/>
      <c r="L123" s="243"/>
      <c r="M123" s="243"/>
      <c r="P123" s="243"/>
      <c r="Q123" s="243"/>
      <c r="R123" s="371">
        <v>1334773847.9738498</v>
      </c>
      <c r="S123" s="362" t="s">
        <v>38</v>
      </c>
      <c r="T123" s="243"/>
      <c r="U123" s="243"/>
    </row>
    <row r="124" spans="3:21" ht="12.5">
      <c r="C124" s="243"/>
      <c r="D124" s="292"/>
      <c r="E124" s="243"/>
      <c r="F124" s="243"/>
      <c r="G124" s="243"/>
      <c r="H124" s="325"/>
      <c r="I124" s="243"/>
      <c r="J124" s="278"/>
      <c r="K124" s="243"/>
      <c r="L124" s="243"/>
      <c r="M124" s="243"/>
      <c r="N124" s="243"/>
      <c r="P124" s="243"/>
      <c r="Q124" s="243"/>
      <c r="R124" s="371">
        <v>1248694295.6402359</v>
      </c>
      <c r="S124" s="372" t="s">
        <v>313</v>
      </c>
      <c r="T124" s="373"/>
      <c r="U124" s="243"/>
    </row>
    <row r="125" spans="3:21" ht="13" thickBot="1">
      <c r="C125" s="243"/>
      <c r="D125" s="292"/>
      <c r="E125" s="243"/>
      <c r="F125" s="243"/>
      <c r="G125" s="243"/>
      <c r="H125" s="325"/>
      <c r="I125" s="243"/>
      <c r="J125" s="278"/>
      <c r="K125" s="243"/>
      <c r="L125" s="243"/>
      <c r="M125" s="243"/>
      <c r="N125" s="243"/>
      <c r="P125" s="243"/>
      <c r="Q125" s="243"/>
      <c r="R125" s="374">
        <v>40153971.4885557</v>
      </c>
      <c r="S125" s="375" t="s">
        <v>258</v>
      </c>
      <c r="T125" s="243"/>
      <c r="U125" s="243"/>
    </row>
    <row r="126" spans="3:21" ht="12.5">
      <c r="C126" s="243"/>
      <c r="D126" s="292"/>
      <c r="E126" s="243"/>
      <c r="F126" s="243"/>
      <c r="G126" s="243"/>
      <c r="H126" s="325"/>
      <c r="I126" s="243"/>
      <c r="J126" s="278"/>
      <c r="K126" s="243"/>
      <c r="L126" s="243"/>
      <c r="M126" s="243"/>
      <c r="N126" s="243"/>
      <c r="P126" s="243"/>
      <c r="Q126" s="243"/>
      <c r="R126" s="243"/>
      <c r="S126" s="243"/>
      <c r="T126" s="243"/>
      <c r="U126" s="243"/>
    </row>
    <row r="127" spans="3:21" ht="13">
      <c r="C127" s="243"/>
      <c r="D127" s="292"/>
      <c r="E127" s="243"/>
      <c r="F127" s="243"/>
      <c r="G127" s="243"/>
      <c r="H127" s="325"/>
      <c r="I127" s="243"/>
      <c r="J127" s="278"/>
      <c r="K127" s="243"/>
      <c r="L127" s="243"/>
      <c r="M127" s="243"/>
      <c r="N127" s="243"/>
      <c r="P127" s="243"/>
      <c r="Q127" s="243"/>
      <c r="R127" s="351" t="s">
        <v>103</v>
      </c>
      <c r="S127" s="243" t="s">
        <v>115</v>
      </c>
      <c r="T127" s="376"/>
      <c r="U127" s="343"/>
    </row>
    <row r="128" spans="3:21" ht="13.5" thickBot="1">
      <c r="C128" s="248"/>
      <c r="D128" s="321"/>
      <c r="E128" s="248"/>
      <c r="F128" s="248"/>
      <c r="G128" s="248"/>
      <c r="H128" s="323"/>
      <c r="I128" s="243"/>
      <c r="J128" s="278"/>
      <c r="K128" s="243"/>
      <c r="L128" s="243"/>
      <c r="M128" s="243"/>
      <c r="N128" s="243"/>
      <c r="P128" s="243"/>
      <c r="Q128" s="243"/>
      <c r="R128" s="353" t="s">
        <v>185</v>
      </c>
      <c r="S128" s="243"/>
      <c r="T128" s="376"/>
      <c r="U128" s="343"/>
    </row>
    <row r="129" spans="3:21" ht="12.5">
      <c r="C129" s="248"/>
      <c r="D129" s="321"/>
      <c r="E129" s="248"/>
      <c r="F129" s="248"/>
      <c r="G129" s="248"/>
      <c r="H129" s="323"/>
      <c r="I129" s="243"/>
      <c r="J129" s="278"/>
      <c r="K129" s="243"/>
      <c r="L129" s="243"/>
      <c r="M129" s="243"/>
      <c r="N129" s="243"/>
      <c r="P129" s="243"/>
      <c r="Q129" s="243"/>
      <c r="R129" s="377">
        <f>+M19</f>
        <v>39209807.067353562</v>
      </c>
      <c r="S129" s="243" t="str">
        <f>+K19&amp;" "&amp;M17</f>
        <v>PROJECTED YEAR Rev Require</v>
      </c>
      <c r="T129" s="376"/>
      <c r="U129" s="343"/>
    </row>
    <row r="130" spans="3:21" ht="12.5">
      <c r="C130" s="248"/>
      <c r="D130" s="321"/>
      <c r="E130" s="248"/>
      <c r="F130" s="248"/>
      <c r="G130" s="248"/>
      <c r="H130" s="323"/>
      <c r="I130" s="243"/>
      <c r="J130" s="278"/>
      <c r="K130" s="243"/>
      <c r="L130" s="243"/>
      <c r="M130" s="243"/>
      <c r="N130" s="243"/>
      <c r="O130" s="243"/>
      <c r="P130" s="243"/>
      <c r="Q130" s="243"/>
      <c r="R130" s="378">
        <f>+N19</f>
        <v>39209807.067353562</v>
      </c>
      <c r="S130" s="243" t="str">
        <f>K19&amp;" "&amp;N17</f>
        <v>PROJECTED YEAR  W Incentives</v>
      </c>
      <c r="T130" s="243"/>
      <c r="U130" s="243"/>
    </row>
    <row r="131" spans="3:21" ht="13" thickBot="1">
      <c r="C131" s="248"/>
      <c r="D131" s="321"/>
      <c r="E131" s="248"/>
      <c r="F131" s="248"/>
      <c r="G131" s="248"/>
      <c r="H131" s="323"/>
      <c r="I131" s="243"/>
      <c r="J131" s="278"/>
      <c r="K131" s="243"/>
      <c r="L131" s="243"/>
      <c r="M131" s="243"/>
      <c r="N131" s="243"/>
      <c r="O131" s="243"/>
      <c r="P131" s="243"/>
      <c r="Q131" s="243"/>
      <c r="R131" s="379">
        <f>+O19</f>
        <v>0</v>
      </c>
      <c r="S131" s="243" t="str">
        <f>K19&amp;" "&amp;O17</f>
        <v>PROJECTED YEAR Incentive Amounts</v>
      </c>
      <c r="T131" s="243"/>
      <c r="U131" s="243"/>
    </row>
    <row r="132" spans="3:21" ht="12.5">
      <c r="C132" s="248"/>
      <c r="D132" s="321"/>
      <c r="E132" s="248"/>
      <c r="F132" s="248"/>
      <c r="G132" s="248"/>
      <c r="H132" s="323"/>
      <c r="I132" s="243"/>
      <c r="J132" s="278"/>
      <c r="K132" s="243"/>
      <c r="L132" s="243"/>
      <c r="M132" s="243"/>
      <c r="N132" s="243"/>
      <c r="O132" s="243"/>
      <c r="P132" s="243"/>
      <c r="Q132" s="243"/>
      <c r="R132" s="243"/>
      <c r="S132" s="243"/>
      <c r="T132" s="243"/>
      <c r="U132" s="243"/>
    </row>
    <row r="133" spans="3:21" ht="12.75" customHeight="1">
      <c r="R133" s="243"/>
      <c r="S133" s="243"/>
    </row>
    <row r="134" spans="3:21" ht="12.75" customHeight="1">
      <c r="R134" s="351" t="s">
        <v>113</v>
      </c>
      <c r="S134" s="352" t="s">
        <v>114</v>
      </c>
    </row>
  </sheetData>
  <mergeCells count="9">
    <mergeCell ref="I83:N88"/>
    <mergeCell ref="K15:O16"/>
    <mergeCell ref="C8:H8"/>
    <mergeCell ref="C80:E81"/>
    <mergeCell ref="A1:J1"/>
    <mergeCell ref="A3:J3"/>
    <mergeCell ref="A5:J5"/>
    <mergeCell ref="A4:K4"/>
    <mergeCell ref="A2:J2"/>
  </mergeCells>
  <phoneticPr fontId="0" type="noConversion"/>
  <printOptions horizontalCentered="1"/>
  <pageMargins left="0.25" right="0.25" top="0.75" bottom="0.25" header="0.25" footer="0.5"/>
  <pageSetup scale="41" fitToHeight="2" orientation="landscape" horizontalDpi="1200" verticalDpi="1200" r:id="rId1"/>
  <headerFooter alignWithMargins="0">
    <oddHeader xml:space="preserve">&amp;R&amp;16AEPTCo - SPP Formula Rate
&amp;A TCOS - WS F
Page: &amp;P of &amp;N
</oddHeader>
    <oddFooter xml:space="preserve">&amp;C &amp;R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P163"/>
  <sheetViews>
    <sheetView zoomScale="85" zoomScaleNormal="85"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17 of 20</v>
      </c>
    </row>
    <row r="2" spans="1:16" ht="17.5">
      <c r="B2" s="243"/>
      <c r="C2" s="243"/>
      <c r="D2" s="292"/>
      <c r="E2" s="243"/>
      <c r="F2" s="243"/>
      <c r="G2" s="243"/>
      <c r="H2" s="325"/>
      <c r="I2" s="243"/>
      <c r="J2" s="278"/>
      <c r="K2" s="243"/>
      <c r="L2" s="243"/>
      <c r="M2" s="243"/>
      <c r="N2" s="243"/>
      <c r="P2" s="441" t="s">
        <v>131</v>
      </c>
    </row>
    <row r="3" spans="1:16" ht="18">
      <c r="B3" s="233" t="s">
        <v>42</v>
      </c>
      <c r="C3" s="305" t="s">
        <v>43</v>
      </c>
      <c r="D3" s="292"/>
      <c r="E3" s="243"/>
      <c r="F3" s="243"/>
      <c r="G3" s="243"/>
      <c r="H3" s="325"/>
      <c r="I3" s="325"/>
      <c r="J3" s="294"/>
      <c r="K3" s="325"/>
      <c r="L3" s="325"/>
      <c r="M3" s="325"/>
      <c r="N3" s="325"/>
      <c r="O3" s="243"/>
      <c r="P3" s="577">
        <v>1</v>
      </c>
    </row>
    <row r="4" spans="1:16" ht="16" thickBot="1">
      <c r="C4" s="304"/>
      <c r="D4" s="292"/>
      <c r="E4" s="243"/>
      <c r="F4" s="243"/>
      <c r="G4" s="243"/>
      <c r="H4" s="325"/>
      <c r="I4" s="325"/>
      <c r="J4" s="294"/>
      <c r="K4" s="325"/>
      <c r="L4" s="325"/>
      <c r="M4" s="325"/>
      <c r="N4" s="325"/>
      <c r="O4" s="243"/>
      <c r="P4" s="243"/>
    </row>
    <row r="5" spans="1:16" ht="15.5">
      <c r="C5" s="443" t="s">
        <v>44</v>
      </c>
      <c r="D5" s="292"/>
      <c r="E5" s="243"/>
      <c r="F5" s="243"/>
      <c r="G5" s="444"/>
      <c r="H5" s="243" t="s">
        <v>45</v>
      </c>
      <c r="I5" s="243"/>
      <c r="J5" s="278"/>
      <c r="K5" s="445" t="s">
        <v>242</v>
      </c>
      <c r="L5" s="446"/>
      <c r="M5" s="447"/>
      <c r="N5" s="448">
        <f>VLOOKUP(I10,C17:I73,5)</f>
        <v>11380637.767430846</v>
      </c>
      <c r="P5" s="243"/>
    </row>
    <row r="6" spans="1:16" ht="15.5">
      <c r="C6" s="235"/>
      <c r="D6" s="292"/>
      <c r="E6" s="243"/>
      <c r="F6" s="243"/>
      <c r="G6" s="243"/>
      <c r="H6" s="449"/>
      <c r="I6" s="449"/>
      <c r="J6" s="450"/>
      <c r="K6" s="451" t="s">
        <v>243</v>
      </c>
      <c r="L6" s="452"/>
      <c r="M6" s="278"/>
      <c r="N6" s="453">
        <f>VLOOKUP(I10,C17:I73,6)</f>
        <v>11380637.767430846</v>
      </c>
      <c r="O6" s="243"/>
      <c r="P6" s="243"/>
    </row>
    <row r="7" spans="1:16" ht="13.5" thickBot="1">
      <c r="C7" s="454" t="s">
        <v>46</v>
      </c>
      <c r="D7" s="637" t="s">
        <v>247</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262</v>
      </c>
      <c r="E9" s="647" t="s">
        <v>296</v>
      </c>
      <c r="F9" s="465"/>
      <c r="G9" s="465"/>
      <c r="H9" s="465"/>
      <c r="I9" s="466"/>
      <c r="J9" s="467"/>
      <c r="O9" s="468"/>
      <c r="P9" s="278"/>
    </row>
    <row r="10" spans="1:16" ht="13">
      <c r="C10" s="469" t="s">
        <v>49</v>
      </c>
      <c r="D10" s="470">
        <v>87569395</v>
      </c>
      <c r="E10" s="299" t="s">
        <v>50</v>
      </c>
      <c r="F10" s="468"/>
      <c r="G10" s="408"/>
      <c r="H10" s="408"/>
      <c r="I10" s="471">
        <f>+OKT.WS.F.BPU.ATRR.Projected!R101</f>
        <v>2021</v>
      </c>
      <c r="J10" s="467"/>
      <c r="K10" s="294" t="s">
        <v>51</v>
      </c>
      <c r="O10" s="278"/>
      <c r="P10" s="278"/>
    </row>
    <row r="11" spans="1:16" ht="12.5">
      <c r="C11" s="472" t="s">
        <v>52</v>
      </c>
      <c r="D11" s="473">
        <v>2017</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ht="12.5">
      <c r="C12" s="472" t="s">
        <v>54</v>
      </c>
      <c r="D12" s="470">
        <v>12</v>
      </c>
      <c r="E12" s="472" t="s">
        <v>55</v>
      </c>
      <c r="F12" s="408"/>
      <c r="G12" s="220"/>
      <c r="H12" s="220"/>
      <c r="I12" s="476">
        <f>OKT.WS.F.BPU.ATRR.Projected!$F$79</f>
        <v>0.10818506718567715</v>
      </c>
      <c r="J12" s="413"/>
      <c r="K12" s="145" t="s">
        <v>56</v>
      </c>
      <c r="O12" s="278"/>
      <c r="P12" s="278"/>
    </row>
    <row r="13" spans="1:16"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row>
    <row r="14" spans="1:16" ht="13" thickBot="1">
      <c r="C14" s="472" t="s">
        <v>60</v>
      </c>
      <c r="D14" s="473" t="s">
        <v>61</v>
      </c>
      <c r="E14" s="278" t="s">
        <v>62</v>
      </c>
      <c r="F14" s="408"/>
      <c r="G14" s="220"/>
      <c r="H14" s="220"/>
      <c r="I14" s="477">
        <f>IF(D10=0,0,D10/D13)</f>
        <v>2824819.1935483869</v>
      </c>
      <c r="J14" s="294"/>
      <c r="K14" s="294"/>
      <c r="L14" s="294"/>
      <c r="M14" s="294"/>
      <c r="N14" s="294"/>
      <c r="O14" s="278"/>
      <c r="P14" s="278"/>
    </row>
    <row r="15" spans="1:16"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ht="12.5">
      <c r="B17" s="145" t="str">
        <f t="shared" ref="B17:B71" si="0">IF(D17=F16,"","IU")</f>
        <v>IU</v>
      </c>
      <c r="C17" s="495">
        <f>IF(D11= "","-",D11)</f>
        <v>2017</v>
      </c>
      <c r="D17" s="612">
        <v>0</v>
      </c>
      <c r="E17" s="620">
        <v>0</v>
      </c>
      <c r="F17" s="612">
        <v>82823000</v>
      </c>
      <c r="G17" s="620">
        <v>4552779.1652027937</v>
      </c>
      <c r="H17" s="617">
        <v>4552779.1652027937</v>
      </c>
      <c r="I17" s="500">
        <f t="shared" ref="I17:I71" si="1">H17-G17</f>
        <v>0</v>
      </c>
      <c r="J17" s="500"/>
      <c r="K17" s="501">
        <f>+G17</f>
        <v>4552779.1652027937</v>
      </c>
      <c r="L17" s="503">
        <f t="shared" ref="L17:L71" si="2">IF(K17&lt;&gt;0,+G17-K17,0)</f>
        <v>0</v>
      </c>
      <c r="M17" s="501">
        <f>+H17</f>
        <v>4552779.1652027937</v>
      </c>
      <c r="N17" s="503">
        <f t="shared" ref="N17:N71" si="3">IF(M17&lt;&gt;0,+H17-M17,0)</f>
        <v>0</v>
      </c>
      <c r="O17" s="504">
        <f t="shared" ref="O17:O71" si="4">+N17-L17</f>
        <v>0</v>
      </c>
      <c r="P17" s="278"/>
    </row>
    <row r="18" spans="2:16" ht="12.5">
      <c r="B18" s="145" t="str">
        <f t="shared" si="0"/>
        <v/>
      </c>
      <c r="C18" s="495">
        <f>IF(D11="","-",+C17+1)</f>
        <v>2018</v>
      </c>
      <c r="D18" s="614">
        <v>82823000</v>
      </c>
      <c r="E18" s="613">
        <v>2031199.4497102054</v>
      </c>
      <c r="F18" s="614">
        <v>80791800.550289795</v>
      </c>
      <c r="G18" s="613">
        <v>10344766.031909464</v>
      </c>
      <c r="H18" s="617">
        <v>10344766.031909464</v>
      </c>
      <c r="I18" s="500">
        <f t="shared" si="1"/>
        <v>0</v>
      </c>
      <c r="J18" s="500"/>
      <c r="K18" s="592">
        <f>+G18</f>
        <v>10344766.031909464</v>
      </c>
      <c r="L18" s="596">
        <f t="shared" si="2"/>
        <v>0</v>
      </c>
      <c r="M18" s="592">
        <f>+H18</f>
        <v>10344766.031909464</v>
      </c>
      <c r="N18" s="504">
        <f t="shared" si="3"/>
        <v>0</v>
      </c>
      <c r="O18" s="504">
        <f t="shared" si="4"/>
        <v>0</v>
      </c>
      <c r="P18" s="278"/>
    </row>
    <row r="19" spans="2:16" ht="12.5">
      <c r="B19" s="145" t="str">
        <f t="shared" si="0"/>
        <v/>
      </c>
      <c r="C19" s="495">
        <f>IF(D11="","-",+C18+1)</f>
        <v>2019</v>
      </c>
      <c r="D19" s="614">
        <v>80791800.550289795</v>
      </c>
      <c r="E19" s="613">
        <v>2456434.6786346282</v>
      </c>
      <c r="F19" s="614">
        <v>78335365.871655166</v>
      </c>
      <c r="G19" s="613">
        <v>10725952.439931182</v>
      </c>
      <c r="H19" s="617">
        <v>10725952.439931182</v>
      </c>
      <c r="I19" s="500">
        <f t="shared" si="1"/>
        <v>0</v>
      </c>
      <c r="J19" s="500"/>
      <c r="K19" s="592">
        <f>+G19</f>
        <v>10725952.439931182</v>
      </c>
      <c r="L19" s="596">
        <f t="shared" ref="L19" si="5">IF(K19&lt;&gt;0,+G19-K19,0)</f>
        <v>0</v>
      </c>
      <c r="M19" s="592">
        <f>+H19</f>
        <v>10725952.439931182</v>
      </c>
      <c r="N19" s="504">
        <f t="shared" ref="N19" si="6">IF(M19&lt;&gt;0,+H19-M19,0)</f>
        <v>0</v>
      </c>
      <c r="O19" s="504">
        <f t="shared" ref="O19" si="7">+N19-L19</f>
        <v>0</v>
      </c>
      <c r="P19" s="278"/>
    </row>
    <row r="20" spans="2:16" ht="12.5">
      <c r="B20" s="145" t="str">
        <f t="shared" si="0"/>
        <v>IU</v>
      </c>
      <c r="C20" s="495">
        <f>IF(D11="","-",+C19+1)</f>
        <v>2020</v>
      </c>
      <c r="D20" s="614">
        <v>84194797.10057959</v>
      </c>
      <c r="E20" s="613">
        <v>2584327.8381604804</v>
      </c>
      <c r="F20" s="614">
        <v>81610469.262419105</v>
      </c>
      <c r="G20" s="613">
        <v>11283505.602105767</v>
      </c>
      <c r="H20" s="617">
        <v>11283505.602105767</v>
      </c>
      <c r="I20" s="500">
        <f t="shared" si="1"/>
        <v>0</v>
      </c>
      <c r="J20" s="500"/>
      <c r="K20" s="592">
        <f>+G20</f>
        <v>11283505.602105767</v>
      </c>
      <c r="L20" s="596">
        <f t="shared" ref="L20" si="8">IF(K20&lt;&gt;0,+G20-K20,0)</f>
        <v>0</v>
      </c>
      <c r="M20" s="592">
        <f>+H20</f>
        <v>11283505.602105767</v>
      </c>
      <c r="N20" s="504">
        <f t="shared" si="3"/>
        <v>0</v>
      </c>
      <c r="O20" s="504">
        <f t="shared" si="4"/>
        <v>0</v>
      </c>
      <c r="P20" s="278"/>
    </row>
    <row r="21" spans="2:16" ht="12.5">
      <c r="B21" s="145" t="str">
        <f t="shared" si="0"/>
        <v>IU</v>
      </c>
      <c r="C21" s="495">
        <f>IF(D11="","-",+C20+1)</f>
        <v>2021</v>
      </c>
      <c r="D21" s="508">
        <f>IF(F20+SUM(E$17:E20)=D$10,F20,D$10-SUM(E$17:E20))</f>
        <v>80497433.033494681</v>
      </c>
      <c r="E21" s="509">
        <f t="shared" ref="E21:E49" si="9">IF(+I$14&lt;F20,I$14,D21)</f>
        <v>2824819.1935483869</v>
      </c>
      <c r="F21" s="510">
        <f t="shared" ref="F21:F71" si="10">+D21-E21</f>
        <v>77672613.8399463</v>
      </c>
      <c r="G21" s="511">
        <f t="shared" ref="G21:G71" si="11">(D21+F21)/2*I$12+E21</f>
        <v>11380637.767430846</v>
      </c>
      <c r="H21" s="477">
        <f t="shared" ref="H21:H71" si="12">+(D21+F21)/2*I$13+E21</f>
        <v>11380637.767430846</v>
      </c>
      <c r="I21" s="500">
        <f t="shared" si="1"/>
        <v>0</v>
      </c>
      <c r="J21" s="500"/>
      <c r="K21" s="512"/>
      <c r="L21" s="504">
        <f t="shared" si="2"/>
        <v>0</v>
      </c>
      <c r="M21" s="512"/>
      <c r="N21" s="504">
        <f t="shared" si="3"/>
        <v>0</v>
      </c>
      <c r="O21" s="504">
        <f t="shared" si="4"/>
        <v>0</v>
      </c>
      <c r="P21" s="278"/>
    </row>
    <row r="22" spans="2:16" ht="12.5">
      <c r="B22" s="145" t="str">
        <f t="shared" si="0"/>
        <v/>
      </c>
      <c r="C22" s="495">
        <f>IF(D11="","-",+C21+1)</f>
        <v>2022</v>
      </c>
      <c r="D22" s="508">
        <f>IF(F21+SUM(E$17:E21)=D$10,F21,D$10-SUM(E$17:E21))</f>
        <v>77672613.8399463</v>
      </c>
      <c r="E22" s="509">
        <f t="shared" si="9"/>
        <v>2824819.1935483869</v>
      </c>
      <c r="F22" s="510">
        <f t="shared" si="10"/>
        <v>74847794.646397918</v>
      </c>
      <c r="G22" s="511">
        <f t="shared" si="11"/>
        <v>11075034.513189424</v>
      </c>
      <c r="H22" s="477">
        <f t="shared" si="12"/>
        <v>11075034.513189424</v>
      </c>
      <c r="I22" s="500">
        <f t="shared" si="1"/>
        <v>0</v>
      </c>
      <c r="J22" s="500"/>
      <c r="K22" s="512"/>
      <c r="L22" s="504">
        <f t="shared" si="2"/>
        <v>0</v>
      </c>
      <c r="M22" s="512"/>
      <c r="N22" s="504">
        <f t="shared" si="3"/>
        <v>0</v>
      </c>
      <c r="O22" s="504">
        <f t="shared" si="4"/>
        <v>0</v>
      </c>
      <c r="P22" s="278"/>
    </row>
    <row r="23" spans="2:16" ht="12.5">
      <c r="B23" s="145" t="str">
        <f t="shared" si="0"/>
        <v/>
      </c>
      <c r="C23" s="495">
        <f>IF(D11="","-",+C22+1)</f>
        <v>2023</v>
      </c>
      <c r="D23" s="508">
        <f>IF(F22+SUM(E$17:E22)=D$10,F22,D$10-SUM(E$17:E22))</f>
        <v>74847794.646397918</v>
      </c>
      <c r="E23" s="509">
        <f t="shared" si="9"/>
        <v>2824819.1935483869</v>
      </c>
      <c r="F23" s="510">
        <f t="shared" si="10"/>
        <v>72022975.452849537</v>
      </c>
      <c r="G23" s="511">
        <f t="shared" si="11"/>
        <v>10769431.258948002</v>
      </c>
      <c r="H23" s="477">
        <f t="shared" si="12"/>
        <v>10769431.258948002</v>
      </c>
      <c r="I23" s="500">
        <f t="shared" si="1"/>
        <v>0</v>
      </c>
      <c r="J23" s="500"/>
      <c r="K23" s="512"/>
      <c r="L23" s="504">
        <f t="shared" si="2"/>
        <v>0</v>
      </c>
      <c r="M23" s="512"/>
      <c r="N23" s="504">
        <f t="shared" si="3"/>
        <v>0</v>
      </c>
      <c r="O23" s="504">
        <f t="shared" si="4"/>
        <v>0</v>
      </c>
      <c r="P23" s="278"/>
    </row>
    <row r="24" spans="2:16" ht="12.5">
      <c r="B24" s="145" t="str">
        <f t="shared" si="0"/>
        <v/>
      </c>
      <c r="C24" s="495">
        <f>IF(D11="","-",+C23+1)</f>
        <v>2024</v>
      </c>
      <c r="D24" s="508">
        <f>IF(F23+SUM(E$17:E23)=D$10,F23,D$10-SUM(E$17:E23))</f>
        <v>72022975.452849537</v>
      </c>
      <c r="E24" s="509">
        <f t="shared" si="9"/>
        <v>2824819.1935483869</v>
      </c>
      <c r="F24" s="510">
        <f t="shared" si="10"/>
        <v>69198156.259301156</v>
      </c>
      <c r="G24" s="511">
        <f t="shared" si="11"/>
        <v>10463828.00470658</v>
      </c>
      <c r="H24" s="477">
        <f t="shared" si="12"/>
        <v>10463828.00470658</v>
      </c>
      <c r="I24" s="500">
        <f t="shared" si="1"/>
        <v>0</v>
      </c>
      <c r="J24" s="500"/>
      <c r="K24" s="512"/>
      <c r="L24" s="504">
        <f t="shared" si="2"/>
        <v>0</v>
      </c>
      <c r="M24" s="512"/>
      <c r="N24" s="504">
        <f t="shared" si="3"/>
        <v>0</v>
      </c>
      <c r="O24" s="504">
        <f t="shared" si="4"/>
        <v>0</v>
      </c>
      <c r="P24" s="278"/>
    </row>
    <row r="25" spans="2:16" ht="12.5">
      <c r="B25" s="145" t="str">
        <f t="shared" si="0"/>
        <v/>
      </c>
      <c r="C25" s="495">
        <f>IF(D11="","-",+C24+1)</f>
        <v>2025</v>
      </c>
      <c r="D25" s="508">
        <f>IF(F24+SUM(E$17:E24)=D$10,F24,D$10-SUM(E$17:E24))</f>
        <v>69198156.259301156</v>
      </c>
      <c r="E25" s="509">
        <f t="shared" si="9"/>
        <v>2824819.1935483869</v>
      </c>
      <c r="F25" s="510">
        <f t="shared" si="10"/>
        <v>66373337.065752767</v>
      </c>
      <c r="G25" s="511">
        <f t="shared" si="11"/>
        <v>10158224.750465158</v>
      </c>
      <c r="H25" s="477">
        <f t="shared" si="12"/>
        <v>10158224.750465158</v>
      </c>
      <c r="I25" s="500">
        <f t="shared" si="1"/>
        <v>0</v>
      </c>
      <c r="J25" s="500"/>
      <c r="K25" s="512"/>
      <c r="L25" s="504">
        <f t="shared" si="2"/>
        <v>0</v>
      </c>
      <c r="M25" s="512"/>
      <c r="N25" s="504">
        <f t="shared" si="3"/>
        <v>0</v>
      </c>
      <c r="O25" s="504">
        <f t="shared" si="4"/>
        <v>0</v>
      </c>
      <c r="P25" s="278"/>
    </row>
    <row r="26" spans="2:16" ht="12.5">
      <c r="B26" s="145" t="str">
        <f t="shared" si="0"/>
        <v/>
      </c>
      <c r="C26" s="495">
        <f>IF(D11="","-",+C25+1)</f>
        <v>2026</v>
      </c>
      <c r="D26" s="508">
        <f>IF(F25+SUM(E$17:E25)=D$10,F25,D$10-SUM(E$17:E25))</f>
        <v>66373337.065752767</v>
      </c>
      <c r="E26" s="509">
        <f t="shared" si="9"/>
        <v>2824819.1935483869</v>
      </c>
      <c r="F26" s="510">
        <f t="shared" si="10"/>
        <v>63548517.872204378</v>
      </c>
      <c r="G26" s="511">
        <f t="shared" si="11"/>
        <v>9852621.4962237328</v>
      </c>
      <c r="H26" s="477">
        <f t="shared" si="12"/>
        <v>9852621.4962237328</v>
      </c>
      <c r="I26" s="500">
        <f t="shared" si="1"/>
        <v>0</v>
      </c>
      <c r="J26" s="500"/>
      <c r="K26" s="512"/>
      <c r="L26" s="504">
        <f t="shared" si="2"/>
        <v>0</v>
      </c>
      <c r="M26" s="512"/>
      <c r="N26" s="504">
        <f t="shared" si="3"/>
        <v>0</v>
      </c>
      <c r="O26" s="504">
        <f t="shared" si="4"/>
        <v>0</v>
      </c>
      <c r="P26" s="278"/>
    </row>
    <row r="27" spans="2:16" ht="12.5">
      <c r="B27" s="145" t="str">
        <f t="shared" si="0"/>
        <v/>
      </c>
      <c r="C27" s="495">
        <f>IF(D11="","-",+C26+1)</f>
        <v>2027</v>
      </c>
      <c r="D27" s="508">
        <f>IF(F26+SUM(E$17:E26)=D$10,F26,D$10-SUM(E$17:E26))</f>
        <v>63548517.872204378</v>
      </c>
      <c r="E27" s="509">
        <f t="shared" si="9"/>
        <v>2824819.1935483869</v>
      </c>
      <c r="F27" s="510">
        <f t="shared" si="10"/>
        <v>60723698.678655989</v>
      </c>
      <c r="G27" s="511">
        <f t="shared" si="11"/>
        <v>9547018.241982311</v>
      </c>
      <c r="H27" s="477">
        <f t="shared" si="12"/>
        <v>9547018.241982311</v>
      </c>
      <c r="I27" s="500">
        <f t="shared" si="1"/>
        <v>0</v>
      </c>
      <c r="J27" s="500"/>
      <c r="K27" s="512"/>
      <c r="L27" s="504">
        <f t="shared" si="2"/>
        <v>0</v>
      </c>
      <c r="M27" s="512"/>
      <c r="N27" s="504">
        <f t="shared" si="3"/>
        <v>0</v>
      </c>
      <c r="O27" s="504">
        <f t="shared" si="4"/>
        <v>0</v>
      </c>
      <c r="P27" s="278"/>
    </row>
    <row r="28" spans="2:16" ht="12.5">
      <c r="B28" s="145" t="str">
        <f t="shared" si="0"/>
        <v/>
      </c>
      <c r="C28" s="495">
        <f>IF(D11="","-",+C27+1)</f>
        <v>2028</v>
      </c>
      <c r="D28" s="508">
        <f>IF(F27+SUM(E$17:E27)=D$10,F27,D$10-SUM(E$17:E27))</f>
        <v>60723698.678655989</v>
      </c>
      <c r="E28" s="509">
        <f t="shared" si="9"/>
        <v>2824819.1935483869</v>
      </c>
      <c r="F28" s="510">
        <f t="shared" si="10"/>
        <v>57898879.485107601</v>
      </c>
      <c r="G28" s="511">
        <f t="shared" si="11"/>
        <v>9241414.9877408892</v>
      </c>
      <c r="H28" s="477">
        <f t="shared" si="12"/>
        <v>9241414.9877408892</v>
      </c>
      <c r="I28" s="500">
        <f t="shared" si="1"/>
        <v>0</v>
      </c>
      <c r="J28" s="500"/>
      <c r="K28" s="512"/>
      <c r="L28" s="504">
        <f t="shared" si="2"/>
        <v>0</v>
      </c>
      <c r="M28" s="512"/>
      <c r="N28" s="504">
        <f t="shared" si="3"/>
        <v>0</v>
      </c>
      <c r="O28" s="504">
        <f t="shared" si="4"/>
        <v>0</v>
      </c>
      <c r="P28" s="278"/>
    </row>
    <row r="29" spans="2:16" ht="12.5">
      <c r="B29" s="145" t="str">
        <f t="shared" si="0"/>
        <v/>
      </c>
      <c r="C29" s="495">
        <f>IF(D11="","-",+C28+1)</f>
        <v>2029</v>
      </c>
      <c r="D29" s="508">
        <f>IF(F28+SUM(E$17:E28)=D$10,F28,D$10-SUM(E$17:E28))</f>
        <v>57898879.485107601</v>
      </c>
      <c r="E29" s="509">
        <f t="shared" si="9"/>
        <v>2824819.1935483869</v>
      </c>
      <c r="F29" s="510">
        <f t="shared" si="10"/>
        <v>55074060.291559212</v>
      </c>
      <c r="G29" s="511">
        <f t="shared" si="11"/>
        <v>8935811.7334994674</v>
      </c>
      <c r="H29" s="477">
        <f t="shared" si="12"/>
        <v>8935811.7334994674</v>
      </c>
      <c r="I29" s="500">
        <f t="shared" si="1"/>
        <v>0</v>
      </c>
      <c r="J29" s="500"/>
      <c r="K29" s="512"/>
      <c r="L29" s="504">
        <f t="shared" si="2"/>
        <v>0</v>
      </c>
      <c r="M29" s="512"/>
      <c r="N29" s="504">
        <f t="shared" si="3"/>
        <v>0</v>
      </c>
      <c r="O29" s="504">
        <f t="shared" si="4"/>
        <v>0</v>
      </c>
      <c r="P29" s="278"/>
    </row>
    <row r="30" spans="2:16" ht="12.5">
      <c r="B30" s="145" t="str">
        <f t="shared" si="0"/>
        <v/>
      </c>
      <c r="C30" s="495">
        <f>IF(D11="","-",+C29+1)</f>
        <v>2030</v>
      </c>
      <c r="D30" s="508">
        <f>IF(F29+SUM(E$17:E29)=D$10,F29,D$10-SUM(E$17:E29))</f>
        <v>55074060.291559212</v>
      </c>
      <c r="E30" s="509">
        <f t="shared" si="9"/>
        <v>2824819.1935483869</v>
      </c>
      <c r="F30" s="510">
        <f t="shared" si="10"/>
        <v>52249241.098010823</v>
      </c>
      <c r="G30" s="511">
        <f t="shared" si="11"/>
        <v>8630208.4792580418</v>
      </c>
      <c r="H30" s="477">
        <f t="shared" si="12"/>
        <v>8630208.4792580418</v>
      </c>
      <c r="I30" s="500">
        <f t="shared" si="1"/>
        <v>0</v>
      </c>
      <c r="J30" s="500"/>
      <c r="K30" s="512"/>
      <c r="L30" s="504">
        <f t="shared" si="2"/>
        <v>0</v>
      </c>
      <c r="M30" s="512"/>
      <c r="N30" s="504">
        <f t="shared" si="3"/>
        <v>0</v>
      </c>
      <c r="O30" s="504">
        <f t="shared" si="4"/>
        <v>0</v>
      </c>
      <c r="P30" s="278"/>
    </row>
    <row r="31" spans="2:16" ht="12.5">
      <c r="B31" s="145" t="str">
        <f t="shared" si="0"/>
        <v/>
      </c>
      <c r="C31" s="495">
        <f>IF(D11="","-",+C30+1)</f>
        <v>2031</v>
      </c>
      <c r="D31" s="508">
        <f>IF(F30+SUM(E$17:E30)=D$10,F30,D$10-SUM(E$17:E30))</f>
        <v>52249241.098010823</v>
      </c>
      <c r="E31" s="509">
        <f t="shared" si="9"/>
        <v>2824819.1935483869</v>
      </c>
      <c r="F31" s="510">
        <f t="shared" si="10"/>
        <v>49424421.904462434</v>
      </c>
      <c r="G31" s="511">
        <f t="shared" si="11"/>
        <v>8324605.2250166209</v>
      </c>
      <c r="H31" s="477">
        <f t="shared" si="12"/>
        <v>8324605.2250166209</v>
      </c>
      <c r="I31" s="500">
        <f t="shared" si="1"/>
        <v>0</v>
      </c>
      <c r="J31" s="500"/>
      <c r="K31" s="512"/>
      <c r="L31" s="504">
        <f t="shared" si="2"/>
        <v>0</v>
      </c>
      <c r="M31" s="512"/>
      <c r="N31" s="504">
        <f t="shared" si="3"/>
        <v>0</v>
      </c>
      <c r="O31" s="504">
        <f t="shared" si="4"/>
        <v>0</v>
      </c>
      <c r="P31" s="278"/>
    </row>
    <row r="32" spans="2:16" ht="12.5">
      <c r="B32" s="145" t="str">
        <f t="shared" si="0"/>
        <v/>
      </c>
      <c r="C32" s="495">
        <f>IF(D11="","-",+C31+1)</f>
        <v>2032</v>
      </c>
      <c r="D32" s="508">
        <f>IF(F31+SUM(E$17:E31)=D$10,F31,D$10-SUM(E$17:E31))</f>
        <v>49424421.904462434</v>
      </c>
      <c r="E32" s="509">
        <f t="shared" si="9"/>
        <v>2824819.1935483869</v>
      </c>
      <c r="F32" s="510">
        <f t="shared" si="10"/>
        <v>46599602.710914046</v>
      </c>
      <c r="G32" s="511">
        <f t="shared" si="11"/>
        <v>8019001.9707751973</v>
      </c>
      <c r="H32" s="477">
        <f t="shared" si="12"/>
        <v>8019001.9707751973</v>
      </c>
      <c r="I32" s="500">
        <f t="shared" si="1"/>
        <v>0</v>
      </c>
      <c r="J32" s="500"/>
      <c r="K32" s="512"/>
      <c r="L32" s="504">
        <f t="shared" si="2"/>
        <v>0</v>
      </c>
      <c r="M32" s="512"/>
      <c r="N32" s="504">
        <f t="shared" si="3"/>
        <v>0</v>
      </c>
      <c r="O32" s="504">
        <f t="shared" si="4"/>
        <v>0</v>
      </c>
      <c r="P32" s="278"/>
    </row>
    <row r="33" spans="2:16" ht="12.5">
      <c r="B33" s="145" t="str">
        <f t="shared" si="0"/>
        <v/>
      </c>
      <c r="C33" s="495">
        <f>IF(D11="","-",+C32+1)</f>
        <v>2033</v>
      </c>
      <c r="D33" s="508">
        <f>IF(F32+SUM(E$17:E32)=D$10,F32,D$10-SUM(E$17:E32))</f>
        <v>46599602.710914046</v>
      </c>
      <c r="E33" s="509">
        <f t="shared" si="9"/>
        <v>2824819.1935483869</v>
      </c>
      <c r="F33" s="510">
        <f t="shared" si="10"/>
        <v>43774783.517365657</v>
      </c>
      <c r="G33" s="511">
        <f t="shared" si="11"/>
        <v>7713398.7165337754</v>
      </c>
      <c r="H33" s="477">
        <f t="shared" si="12"/>
        <v>7713398.7165337754</v>
      </c>
      <c r="I33" s="500">
        <f t="shared" si="1"/>
        <v>0</v>
      </c>
      <c r="J33" s="500"/>
      <c r="K33" s="512"/>
      <c r="L33" s="504">
        <f t="shared" si="2"/>
        <v>0</v>
      </c>
      <c r="M33" s="512"/>
      <c r="N33" s="504">
        <f t="shared" si="3"/>
        <v>0</v>
      </c>
      <c r="O33" s="504">
        <f t="shared" si="4"/>
        <v>0</v>
      </c>
      <c r="P33" s="278"/>
    </row>
    <row r="34" spans="2:16" ht="12.5">
      <c r="B34" s="145" t="str">
        <f t="shared" si="0"/>
        <v/>
      </c>
      <c r="C34" s="495">
        <f>IF(D11="","-",+C33+1)</f>
        <v>2034</v>
      </c>
      <c r="D34" s="508">
        <f>IF(F33+SUM(E$17:E33)=D$10,F33,D$10-SUM(E$17:E33))</f>
        <v>43774783.517365657</v>
      </c>
      <c r="E34" s="509">
        <f t="shared" si="9"/>
        <v>2824819.1935483869</v>
      </c>
      <c r="F34" s="510">
        <f t="shared" si="10"/>
        <v>40949964.323817268</v>
      </c>
      <c r="G34" s="511">
        <f t="shared" si="11"/>
        <v>7407795.4622923518</v>
      </c>
      <c r="H34" s="477">
        <f t="shared" si="12"/>
        <v>7407795.4622923518</v>
      </c>
      <c r="I34" s="500">
        <f t="shared" si="1"/>
        <v>0</v>
      </c>
      <c r="J34" s="500"/>
      <c r="K34" s="512"/>
      <c r="L34" s="504">
        <f t="shared" si="2"/>
        <v>0</v>
      </c>
      <c r="M34" s="512"/>
      <c r="N34" s="504">
        <f t="shared" si="3"/>
        <v>0</v>
      </c>
      <c r="O34" s="504">
        <f t="shared" si="4"/>
        <v>0</v>
      </c>
      <c r="P34" s="278"/>
    </row>
    <row r="35" spans="2:16" ht="12.5">
      <c r="B35" s="145" t="str">
        <f t="shared" si="0"/>
        <v/>
      </c>
      <c r="C35" s="495">
        <f>IF(D11="","-",+C34+1)</f>
        <v>2035</v>
      </c>
      <c r="D35" s="508">
        <f>IF(F34+SUM(E$17:E34)=D$10,F34,D$10-SUM(E$17:E34))</f>
        <v>40949964.323817268</v>
      </c>
      <c r="E35" s="509">
        <f t="shared" si="9"/>
        <v>2824819.1935483869</v>
      </c>
      <c r="F35" s="510">
        <f t="shared" si="10"/>
        <v>38125145.130268879</v>
      </c>
      <c r="G35" s="511">
        <f t="shared" si="11"/>
        <v>7102192.208050929</v>
      </c>
      <c r="H35" s="477">
        <f t="shared" si="12"/>
        <v>7102192.208050929</v>
      </c>
      <c r="I35" s="500">
        <f t="shared" si="1"/>
        <v>0</v>
      </c>
      <c r="J35" s="500"/>
      <c r="K35" s="512"/>
      <c r="L35" s="504">
        <f t="shared" si="2"/>
        <v>0</v>
      </c>
      <c r="M35" s="512"/>
      <c r="N35" s="504">
        <f t="shared" si="3"/>
        <v>0</v>
      </c>
      <c r="O35" s="504">
        <f t="shared" si="4"/>
        <v>0</v>
      </c>
      <c r="P35" s="278"/>
    </row>
    <row r="36" spans="2:16" ht="12.5">
      <c r="B36" s="145" t="str">
        <f t="shared" si="0"/>
        <v/>
      </c>
      <c r="C36" s="495">
        <f>IF(D11="","-",+C35+1)</f>
        <v>2036</v>
      </c>
      <c r="D36" s="508">
        <f>IF(F35+SUM(E$17:E35)=D$10,F35,D$10-SUM(E$17:E35))</f>
        <v>38125145.130268879</v>
      </c>
      <c r="E36" s="509">
        <f t="shared" si="9"/>
        <v>2824819.1935483869</v>
      </c>
      <c r="F36" s="510">
        <f t="shared" si="10"/>
        <v>35300325.93672049</v>
      </c>
      <c r="G36" s="511">
        <f t="shared" si="11"/>
        <v>6796588.9538095053</v>
      </c>
      <c r="H36" s="477">
        <f t="shared" si="12"/>
        <v>6796588.9538095053</v>
      </c>
      <c r="I36" s="500">
        <f t="shared" si="1"/>
        <v>0</v>
      </c>
      <c r="J36" s="500"/>
      <c r="K36" s="512"/>
      <c r="L36" s="504">
        <f t="shared" si="2"/>
        <v>0</v>
      </c>
      <c r="M36" s="512"/>
      <c r="N36" s="504">
        <f t="shared" si="3"/>
        <v>0</v>
      </c>
      <c r="O36" s="504">
        <f t="shared" si="4"/>
        <v>0</v>
      </c>
      <c r="P36" s="278"/>
    </row>
    <row r="37" spans="2:16" ht="12.5">
      <c r="B37" s="145" t="str">
        <f t="shared" si="0"/>
        <v/>
      </c>
      <c r="C37" s="495">
        <f>IF(D11="","-",+C36+1)</f>
        <v>2037</v>
      </c>
      <c r="D37" s="508">
        <f>IF(F36+SUM(E$17:E36)=D$10,F36,D$10-SUM(E$17:E36))</f>
        <v>35300325.93672049</v>
      </c>
      <c r="E37" s="509">
        <f t="shared" si="9"/>
        <v>2824819.1935483869</v>
      </c>
      <c r="F37" s="510">
        <f t="shared" si="10"/>
        <v>32475506.743172102</v>
      </c>
      <c r="G37" s="511">
        <f t="shared" si="11"/>
        <v>6490985.6995680835</v>
      </c>
      <c r="H37" s="477">
        <f t="shared" si="12"/>
        <v>6490985.6995680835</v>
      </c>
      <c r="I37" s="500">
        <f t="shared" si="1"/>
        <v>0</v>
      </c>
      <c r="J37" s="500"/>
      <c r="K37" s="512"/>
      <c r="L37" s="504">
        <f t="shared" si="2"/>
        <v>0</v>
      </c>
      <c r="M37" s="512"/>
      <c r="N37" s="504">
        <f t="shared" si="3"/>
        <v>0</v>
      </c>
      <c r="O37" s="504">
        <f t="shared" si="4"/>
        <v>0</v>
      </c>
      <c r="P37" s="278"/>
    </row>
    <row r="38" spans="2:16" ht="12.5">
      <c r="B38" s="145" t="str">
        <f t="shared" si="0"/>
        <v/>
      </c>
      <c r="C38" s="495">
        <f>IF(D11="","-",+C37+1)</f>
        <v>2038</v>
      </c>
      <c r="D38" s="508">
        <f>IF(F37+SUM(E$17:E37)=D$10,F37,D$10-SUM(E$17:E37))</f>
        <v>32475506.743172102</v>
      </c>
      <c r="E38" s="509">
        <f t="shared" si="9"/>
        <v>2824819.1935483869</v>
      </c>
      <c r="F38" s="510">
        <f t="shared" si="10"/>
        <v>29650687.549623713</v>
      </c>
      <c r="G38" s="511">
        <f t="shared" si="11"/>
        <v>6185382.4453266608</v>
      </c>
      <c r="H38" s="477">
        <f t="shared" si="12"/>
        <v>6185382.4453266608</v>
      </c>
      <c r="I38" s="500">
        <f t="shared" si="1"/>
        <v>0</v>
      </c>
      <c r="J38" s="500"/>
      <c r="K38" s="512"/>
      <c r="L38" s="504">
        <f t="shared" si="2"/>
        <v>0</v>
      </c>
      <c r="M38" s="512"/>
      <c r="N38" s="504">
        <f t="shared" si="3"/>
        <v>0</v>
      </c>
      <c r="O38" s="504">
        <f t="shared" si="4"/>
        <v>0</v>
      </c>
      <c r="P38" s="278"/>
    </row>
    <row r="39" spans="2:16" ht="12.5">
      <c r="B39" s="145" t="str">
        <f t="shared" si="0"/>
        <v/>
      </c>
      <c r="C39" s="495">
        <f>IF(D11="","-",+C38+1)</f>
        <v>2039</v>
      </c>
      <c r="D39" s="508">
        <f>IF(F38+SUM(E$17:E38)=D$10,F38,D$10-SUM(E$17:E38))</f>
        <v>29650687.549623713</v>
      </c>
      <c r="E39" s="509">
        <f t="shared" si="9"/>
        <v>2824819.1935483869</v>
      </c>
      <c r="F39" s="510">
        <f t="shared" si="10"/>
        <v>26825868.356075324</v>
      </c>
      <c r="G39" s="511">
        <f t="shared" si="11"/>
        <v>5879779.191085238</v>
      </c>
      <c r="H39" s="477">
        <f t="shared" si="12"/>
        <v>5879779.191085238</v>
      </c>
      <c r="I39" s="500">
        <f t="shared" si="1"/>
        <v>0</v>
      </c>
      <c r="J39" s="500"/>
      <c r="K39" s="512"/>
      <c r="L39" s="504">
        <f t="shared" si="2"/>
        <v>0</v>
      </c>
      <c r="M39" s="512"/>
      <c r="N39" s="504">
        <f t="shared" si="3"/>
        <v>0</v>
      </c>
      <c r="O39" s="504">
        <f t="shared" si="4"/>
        <v>0</v>
      </c>
      <c r="P39" s="278"/>
    </row>
    <row r="40" spans="2:16" ht="12.5">
      <c r="B40" s="145" t="str">
        <f t="shared" si="0"/>
        <v/>
      </c>
      <c r="C40" s="495">
        <f>IF(D11="","-",+C39+1)</f>
        <v>2040</v>
      </c>
      <c r="D40" s="508">
        <f>IF(F39+SUM(E$17:E39)=D$10,F39,D$10-SUM(E$17:E39))</f>
        <v>26825868.356075324</v>
      </c>
      <c r="E40" s="509">
        <f t="shared" si="9"/>
        <v>2824819.1935483869</v>
      </c>
      <c r="F40" s="510">
        <f t="shared" si="10"/>
        <v>24001049.162526935</v>
      </c>
      <c r="G40" s="511">
        <f t="shared" si="11"/>
        <v>5574175.9368438153</v>
      </c>
      <c r="H40" s="477">
        <f t="shared" si="12"/>
        <v>5574175.9368438153</v>
      </c>
      <c r="I40" s="500">
        <f t="shared" si="1"/>
        <v>0</v>
      </c>
      <c r="J40" s="500"/>
      <c r="K40" s="512"/>
      <c r="L40" s="504">
        <f t="shared" si="2"/>
        <v>0</v>
      </c>
      <c r="M40" s="512"/>
      <c r="N40" s="504">
        <f t="shared" si="3"/>
        <v>0</v>
      </c>
      <c r="O40" s="504">
        <f t="shared" si="4"/>
        <v>0</v>
      </c>
      <c r="P40" s="278"/>
    </row>
    <row r="41" spans="2:16" ht="12.5">
      <c r="B41" s="145" t="str">
        <f t="shared" si="0"/>
        <v/>
      </c>
      <c r="C41" s="495">
        <f>IF(D11="","-",+C40+1)</f>
        <v>2041</v>
      </c>
      <c r="D41" s="508">
        <f>IF(F40+SUM(E$17:E40)=D$10,F40,D$10-SUM(E$17:E40))</f>
        <v>24001049.162526935</v>
      </c>
      <c r="E41" s="509">
        <f t="shared" si="9"/>
        <v>2824819.1935483869</v>
      </c>
      <c r="F41" s="510">
        <f t="shared" si="10"/>
        <v>21176229.968978547</v>
      </c>
      <c r="G41" s="511">
        <f t="shared" si="11"/>
        <v>5268572.6826023925</v>
      </c>
      <c r="H41" s="477">
        <f t="shared" si="12"/>
        <v>5268572.6826023925</v>
      </c>
      <c r="I41" s="500">
        <f t="shared" si="1"/>
        <v>0</v>
      </c>
      <c r="J41" s="500"/>
      <c r="K41" s="512"/>
      <c r="L41" s="504">
        <f t="shared" si="2"/>
        <v>0</v>
      </c>
      <c r="M41" s="512"/>
      <c r="N41" s="504">
        <f t="shared" si="3"/>
        <v>0</v>
      </c>
      <c r="O41" s="504">
        <f t="shared" si="4"/>
        <v>0</v>
      </c>
      <c r="P41" s="278"/>
    </row>
    <row r="42" spans="2:16" ht="12.5">
      <c r="B42" s="145" t="str">
        <f t="shared" si="0"/>
        <v/>
      </c>
      <c r="C42" s="495">
        <f>IF(D11="","-",+C41+1)</f>
        <v>2042</v>
      </c>
      <c r="D42" s="508">
        <f>IF(F41+SUM(E$17:E41)=D$10,F41,D$10-SUM(E$17:E41))</f>
        <v>21176229.968978547</v>
      </c>
      <c r="E42" s="509">
        <f t="shared" si="9"/>
        <v>2824819.1935483869</v>
      </c>
      <c r="F42" s="510">
        <f t="shared" si="10"/>
        <v>18351410.775430158</v>
      </c>
      <c r="G42" s="511">
        <f t="shared" si="11"/>
        <v>4962969.4283609698</v>
      </c>
      <c r="H42" s="477">
        <f t="shared" si="12"/>
        <v>4962969.4283609698</v>
      </c>
      <c r="I42" s="500">
        <f t="shared" si="1"/>
        <v>0</v>
      </c>
      <c r="J42" s="500"/>
      <c r="K42" s="512"/>
      <c r="L42" s="504">
        <f t="shared" si="2"/>
        <v>0</v>
      </c>
      <c r="M42" s="512"/>
      <c r="N42" s="504">
        <f t="shared" si="3"/>
        <v>0</v>
      </c>
      <c r="O42" s="504">
        <f t="shared" si="4"/>
        <v>0</v>
      </c>
      <c r="P42" s="278"/>
    </row>
    <row r="43" spans="2:16" ht="12.5">
      <c r="B43" s="145" t="str">
        <f t="shared" si="0"/>
        <v/>
      </c>
      <c r="C43" s="495">
        <f>IF(D11="","-",+C42+1)</f>
        <v>2043</v>
      </c>
      <c r="D43" s="508">
        <f>IF(F42+SUM(E$17:E42)=D$10,F42,D$10-SUM(E$17:E42))</f>
        <v>18351410.775430158</v>
      </c>
      <c r="E43" s="509">
        <f t="shared" si="9"/>
        <v>2824819.1935483869</v>
      </c>
      <c r="F43" s="510">
        <f t="shared" si="10"/>
        <v>15526591.581881771</v>
      </c>
      <c r="G43" s="511">
        <f t="shared" si="11"/>
        <v>4657366.174119547</v>
      </c>
      <c r="H43" s="477">
        <f t="shared" si="12"/>
        <v>4657366.174119547</v>
      </c>
      <c r="I43" s="500">
        <f t="shared" si="1"/>
        <v>0</v>
      </c>
      <c r="J43" s="500"/>
      <c r="K43" s="512"/>
      <c r="L43" s="504">
        <f t="shared" si="2"/>
        <v>0</v>
      </c>
      <c r="M43" s="512"/>
      <c r="N43" s="504">
        <f t="shared" si="3"/>
        <v>0</v>
      </c>
      <c r="O43" s="504">
        <f t="shared" si="4"/>
        <v>0</v>
      </c>
      <c r="P43" s="278"/>
    </row>
    <row r="44" spans="2:16" ht="12.5">
      <c r="B44" s="145" t="str">
        <f t="shared" si="0"/>
        <v/>
      </c>
      <c r="C44" s="495">
        <f>IF(D11="","-",+C43+1)</f>
        <v>2044</v>
      </c>
      <c r="D44" s="508">
        <f>IF(F43+SUM(E$17:E43)=D$10,F43,D$10-SUM(E$17:E43))</f>
        <v>15526591.581881771</v>
      </c>
      <c r="E44" s="509">
        <f t="shared" si="9"/>
        <v>2824819.1935483869</v>
      </c>
      <c r="F44" s="510">
        <f t="shared" si="10"/>
        <v>12701772.388333384</v>
      </c>
      <c r="G44" s="511">
        <f t="shared" si="11"/>
        <v>4351762.9198781243</v>
      </c>
      <c r="H44" s="477">
        <f t="shared" si="12"/>
        <v>4351762.9198781243</v>
      </c>
      <c r="I44" s="500">
        <f t="shared" si="1"/>
        <v>0</v>
      </c>
      <c r="J44" s="500"/>
      <c r="K44" s="512"/>
      <c r="L44" s="504">
        <f t="shared" si="2"/>
        <v>0</v>
      </c>
      <c r="M44" s="512"/>
      <c r="N44" s="504">
        <f t="shared" si="3"/>
        <v>0</v>
      </c>
      <c r="O44" s="504">
        <f t="shared" si="4"/>
        <v>0</v>
      </c>
      <c r="P44" s="278"/>
    </row>
    <row r="45" spans="2:16" ht="12.5">
      <c r="B45" s="145" t="str">
        <f t="shared" si="0"/>
        <v/>
      </c>
      <c r="C45" s="495">
        <f>IF(D11="","-",+C44+1)</f>
        <v>2045</v>
      </c>
      <c r="D45" s="508">
        <f>IF(F44+SUM(E$17:E44)=D$10,F44,D$10-SUM(E$17:E44))</f>
        <v>12701772.388333384</v>
      </c>
      <c r="E45" s="509">
        <f t="shared" si="9"/>
        <v>2824819.1935483869</v>
      </c>
      <c r="F45" s="510">
        <f t="shared" si="10"/>
        <v>9876953.194784997</v>
      </c>
      <c r="G45" s="511">
        <f t="shared" si="11"/>
        <v>4046159.6656367015</v>
      </c>
      <c r="H45" s="477">
        <f t="shared" si="12"/>
        <v>4046159.6656367015</v>
      </c>
      <c r="I45" s="500">
        <f t="shared" si="1"/>
        <v>0</v>
      </c>
      <c r="J45" s="500"/>
      <c r="K45" s="512"/>
      <c r="L45" s="504">
        <f t="shared" si="2"/>
        <v>0</v>
      </c>
      <c r="M45" s="512"/>
      <c r="N45" s="504">
        <f t="shared" si="3"/>
        <v>0</v>
      </c>
      <c r="O45" s="504">
        <f t="shared" si="4"/>
        <v>0</v>
      </c>
      <c r="P45" s="278"/>
    </row>
    <row r="46" spans="2:16" ht="12.5">
      <c r="B46" s="145" t="str">
        <f t="shared" si="0"/>
        <v/>
      </c>
      <c r="C46" s="495">
        <f>IF(D11="","-",+C45+1)</f>
        <v>2046</v>
      </c>
      <c r="D46" s="508">
        <f>IF(F45+SUM(E$17:E45)=D$10,F45,D$10-SUM(E$17:E45))</f>
        <v>9876953.194784997</v>
      </c>
      <c r="E46" s="509">
        <f t="shared" si="9"/>
        <v>2824819.1935483869</v>
      </c>
      <c r="F46" s="510">
        <f t="shared" si="10"/>
        <v>7052134.0012366101</v>
      </c>
      <c r="G46" s="511">
        <f t="shared" si="11"/>
        <v>3740556.4113952792</v>
      </c>
      <c r="H46" s="477">
        <f t="shared" si="12"/>
        <v>3740556.4113952792</v>
      </c>
      <c r="I46" s="500">
        <f t="shared" si="1"/>
        <v>0</v>
      </c>
      <c r="J46" s="500"/>
      <c r="K46" s="512"/>
      <c r="L46" s="504">
        <f t="shared" si="2"/>
        <v>0</v>
      </c>
      <c r="M46" s="512"/>
      <c r="N46" s="504">
        <f t="shared" si="3"/>
        <v>0</v>
      </c>
      <c r="O46" s="504">
        <f t="shared" si="4"/>
        <v>0</v>
      </c>
      <c r="P46" s="278"/>
    </row>
    <row r="47" spans="2:16" ht="12.5">
      <c r="B47" s="145" t="str">
        <f t="shared" si="0"/>
        <v/>
      </c>
      <c r="C47" s="495">
        <f>IF(D11="","-",+C46+1)</f>
        <v>2047</v>
      </c>
      <c r="D47" s="508">
        <f>IF(F46+SUM(E$17:E46)=D$10,F46,D$10-SUM(E$17:E46))</f>
        <v>7052134.0012366101</v>
      </c>
      <c r="E47" s="509">
        <f t="shared" si="9"/>
        <v>2824819.1935483869</v>
      </c>
      <c r="F47" s="510">
        <f t="shared" si="10"/>
        <v>4227314.8076882232</v>
      </c>
      <c r="G47" s="511">
        <f t="shared" si="11"/>
        <v>3434953.1571538565</v>
      </c>
      <c r="H47" s="477">
        <f t="shared" si="12"/>
        <v>3434953.1571538565</v>
      </c>
      <c r="I47" s="500">
        <f t="shared" si="1"/>
        <v>0</v>
      </c>
      <c r="J47" s="500"/>
      <c r="K47" s="512"/>
      <c r="L47" s="504">
        <f t="shared" si="2"/>
        <v>0</v>
      </c>
      <c r="M47" s="512"/>
      <c r="N47" s="504">
        <f t="shared" si="3"/>
        <v>0</v>
      </c>
      <c r="O47" s="504">
        <f t="shared" si="4"/>
        <v>0</v>
      </c>
      <c r="P47" s="278"/>
    </row>
    <row r="48" spans="2:16" ht="12.5">
      <c r="B48" s="145" t="str">
        <f t="shared" si="0"/>
        <v/>
      </c>
      <c r="C48" s="495">
        <f>IF(D11="","-",+C47+1)</f>
        <v>2048</v>
      </c>
      <c r="D48" s="508">
        <f>IF(F47+SUM(E$17:E47)=D$10,F47,D$10-SUM(E$17:E47))</f>
        <v>4227314.8076882232</v>
      </c>
      <c r="E48" s="509">
        <f t="shared" si="9"/>
        <v>2824819.1935483869</v>
      </c>
      <c r="F48" s="510">
        <f t="shared" si="10"/>
        <v>1402495.6141398363</v>
      </c>
      <c r="G48" s="511">
        <f t="shared" si="11"/>
        <v>3129349.9029124342</v>
      </c>
      <c r="H48" s="477">
        <f t="shared" si="12"/>
        <v>3129349.9029124342</v>
      </c>
      <c r="I48" s="500">
        <f t="shared" si="1"/>
        <v>0</v>
      </c>
      <c r="J48" s="500"/>
      <c r="K48" s="512"/>
      <c r="L48" s="504">
        <f t="shared" si="2"/>
        <v>0</v>
      </c>
      <c r="M48" s="512"/>
      <c r="N48" s="504">
        <f t="shared" si="3"/>
        <v>0</v>
      </c>
      <c r="O48" s="504">
        <f t="shared" si="4"/>
        <v>0</v>
      </c>
      <c r="P48" s="278"/>
    </row>
    <row r="49" spans="2:16" ht="12.5">
      <c r="B49" s="145" t="str">
        <f t="shared" si="0"/>
        <v/>
      </c>
      <c r="C49" s="495">
        <f>IF(D11="","-",+C48+1)</f>
        <v>2049</v>
      </c>
      <c r="D49" s="508">
        <f>IF(F48+SUM(E$17:E48)=D$10,F48,D$10-SUM(E$17:E48))</f>
        <v>1402495.6141398363</v>
      </c>
      <c r="E49" s="509">
        <f t="shared" si="9"/>
        <v>1402495.6141398363</v>
      </c>
      <c r="F49" s="510">
        <f t="shared" si="10"/>
        <v>0</v>
      </c>
      <c r="G49" s="511">
        <f t="shared" si="11"/>
        <v>1478360.1552615042</v>
      </c>
      <c r="H49" s="477">
        <f t="shared" si="12"/>
        <v>1478360.1552615042</v>
      </c>
      <c r="I49" s="500">
        <f t="shared" si="1"/>
        <v>0</v>
      </c>
      <c r="J49" s="500"/>
      <c r="K49" s="512"/>
      <c r="L49" s="504">
        <f t="shared" si="2"/>
        <v>0</v>
      </c>
      <c r="M49" s="512"/>
      <c r="N49" s="504">
        <f t="shared" si="3"/>
        <v>0</v>
      </c>
      <c r="O49" s="504">
        <f t="shared" si="4"/>
        <v>0</v>
      </c>
      <c r="P49" s="278"/>
    </row>
    <row r="50" spans="2:16" ht="12.5">
      <c r="B50" s="145" t="str">
        <f t="shared" si="0"/>
        <v/>
      </c>
      <c r="C50" s="495">
        <f>IF(D11="","-",+C49+1)</f>
        <v>2050</v>
      </c>
      <c r="D50" s="508">
        <f>IF(F49+SUM(E$17:E49)=D$10,F49,D$10-SUM(E$17:E49))</f>
        <v>0</v>
      </c>
      <c r="E50" s="509">
        <f t="shared" ref="E50:E71" si="13">IF(+I$14&lt;F49,I$14,D50)</f>
        <v>0</v>
      </c>
      <c r="F50" s="510">
        <f t="shared" si="10"/>
        <v>0</v>
      </c>
      <c r="G50" s="511">
        <f t="shared" si="11"/>
        <v>0</v>
      </c>
      <c r="H50" s="477">
        <f t="shared" si="12"/>
        <v>0</v>
      </c>
      <c r="I50" s="500">
        <f t="shared" si="1"/>
        <v>0</v>
      </c>
      <c r="J50" s="500"/>
      <c r="K50" s="512"/>
      <c r="L50" s="504">
        <f t="shared" si="2"/>
        <v>0</v>
      </c>
      <c r="M50" s="512"/>
      <c r="N50" s="504">
        <f t="shared" si="3"/>
        <v>0</v>
      </c>
      <c r="O50" s="504">
        <f t="shared" si="4"/>
        <v>0</v>
      </c>
      <c r="P50" s="278"/>
    </row>
    <row r="51" spans="2:16" ht="12.5">
      <c r="B51" s="145" t="str">
        <f t="shared" si="0"/>
        <v/>
      </c>
      <c r="C51" s="495">
        <f>IF(D11="","-",+C50+1)</f>
        <v>2051</v>
      </c>
      <c r="D51" s="508">
        <f>IF(F50+SUM(E$17:E50)=D$10,F50,D$10-SUM(E$17:E50))</f>
        <v>0</v>
      </c>
      <c r="E51" s="509">
        <f t="shared" si="13"/>
        <v>0</v>
      </c>
      <c r="F51" s="510">
        <f t="shared" si="10"/>
        <v>0</v>
      </c>
      <c r="G51" s="511">
        <f t="shared" si="11"/>
        <v>0</v>
      </c>
      <c r="H51" s="477">
        <f t="shared" si="12"/>
        <v>0</v>
      </c>
      <c r="I51" s="500">
        <f t="shared" si="1"/>
        <v>0</v>
      </c>
      <c r="J51" s="500"/>
      <c r="K51" s="512"/>
      <c r="L51" s="504">
        <f t="shared" si="2"/>
        <v>0</v>
      </c>
      <c r="M51" s="512"/>
      <c r="N51" s="504">
        <f t="shared" si="3"/>
        <v>0</v>
      </c>
      <c r="O51" s="504">
        <f t="shared" si="4"/>
        <v>0</v>
      </c>
      <c r="P51" s="278"/>
    </row>
    <row r="52" spans="2:16" ht="12.5">
      <c r="B52" s="145" t="str">
        <f t="shared" si="0"/>
        <v/>
      </c>
      <c r="C52" s="495">
        <f>IF(D11="","-",+C51+1)</f>
        <v>2052</v>
      </c>
      <c r="D52" s="508">
        <f>IF(F51+SUM(E$17:E51)=D$10,F51,D$10-SUM(E$17:E51))</f>
        <v>0</v>
      </c>
      <c r="E52" s="509">
        <f t="shared" si="13"/>
        <v>0</v>
      </c>
      <c r="F52" s="510">
        <f t="shared" si="10"/>
        <v>0</v>
      </c>
      <c r="G52" s="511">
        <f t="shared" si="11"/>
        <v>0</v>
      </c>
      <c r="H52" s="477">
        <f t="shared" si="12"/>
        <v>0</v>
      </c>
      <c r="I52" s="500">
        <f t="shared" si="1"/>
        <v>0</v>
      </c>
      <c r="J52" s="500"/>
      <c r="K52" s="512"/>
      <c r="L52" s="504">
        <f t="shared" si="2"/>
        <v>0</v>
      </c>
      <c r="M52" s="512"/>
      <c r="N52" s="504">
        <f t="shared" si="3"/>
        <v>0</v>
      </c>
      <c r="O52" s="504">
        <f t="shared" si="4"/>
        <v>0</v>
      </c>
      <c r="P52" s="278"/>
    </row>
    <row r="53" spans="2:16" ht="12.5">
      <c r="B53" s="145" t="str">
        <f t="shared" si="0"/>
        <v/>
      </c>
      <c r="C53" s="495">
        <f>IF(D11="","-",+C52+1)</f>
        <v>2053</v>
      </c>
      <c r="D53" s="508">
        <f>IF(F52+SUM(E$17:E52)=D$10,F52,D$10-SUM(E$17:E52))</f>
        <v>0</v>
      </c>
      <c r="E53" s="509">
        <f t="shared" si="13"/>
        <v>0</v>
      </c>
      <c r="F53" s="510">
        <f t="shared" si="10"/>
        <v>0</v>
      </c>
      <c r="G53" s="511">
        <f t="shared" si="11"/>
        <v>0</v>
      </c>
      <c r="H53" s="477">
        <f t="shared" si="12"/>
        <v>0</v>
      </c>
      <c r="I53" s="500">
        <f t="shared" si="1"/>
        <v>0</v>
      </c>
      <c r="J53" s="500"/>
      <c r="K53" s="512"/>
      <c r="L53" s="504">
        <f t="shared" si="2"/>
        <v>0</v>
      </c>
      <c r="M53" s="512"/>
      <c r="N53" s="504">
        <f t="shared" si="3"/>
        <v>0</v>
      </c>
      <c r="O53" s="504">
        <f t="shared" si="4"/>
        <v>0</v>
      </c>
      <c r="P53" s="278"/>
    </row>
    <row r="54" spans="2:16" ht="12.5">
      <c r="B54" s="145" t="str">
        <f t="shared" si="0"/>
        <v/>
      </c>
      <c r="C54" s="495">
        <f>IF(D11="","-",+C53+1)</f>
        <v>2054</v>
      </c>
      <c r="D54" s="508">
        <f>IF(F53+SUM(E$17:E53)=D$10,F53,D$10-SUM(E$17:E53))</f>
        <v>0</v>
      </c>
      <c r="E54" s="509">
        <f t="shared" si="13"/>
        <v>0</v>
      </c>
      <c r="F54" s="510">
        <f t="shared" si="10"/>
        <v>0</v>
      </c>
      <c r="G54" s="511">
        <f t="shared" si="11"/>
        <v>0</v>
      </c>
      <c r="H54" s="477">
        <f t="shared" si="12"/>
        <v>0</v>
      </c>
      <c r="I54" s="500">
        <f t="shared" si="1"/>
        <v>0</v>
      </c>
      <c r="J54" s="500"/>
      <c r="K54" s="512"/>
      <c r="L54" s="504">
        <f t="shared" si="2"/>
        <v>0</v>
      </c>
      <c r="M54" s="512"/>
      <c r="N54" s="504">
        <f t="shared" si="3"/>
        <v>0</v>
      </c>
      <c r="O54" s="504">
        <f t="shared" si="4"/>
        <v>0</v>
      </c>
      <c r="P54" s="278"/>
    </row>
    <row r="55" spans="2:16" ht="12.5">
      <c r="B55" s="145" t="str">
        <f t="shared" si="0"/>
        <v/>
      </c>
      <c r="C55" s="495">
        <f>IF(D11="","-",+C54+1)</f>
        <v>2055</v>
      </c>
      <c r="D55" s="508">
        <f>IF(F54+SUM(E$17:E54)=D$10,F54,D$10-SUM(E$17:E54))</f>
        <v>0</v>
      </c>
      <c r="E55" s="509">
        <f t="shared" si="13"/>
        <v>0</v>
      </c>
      <c r="F55" s="510">
        <f t="shared" si="10"/>
        <v>0</v>
      </c>
      <c r="G55" s="511">
        <f t="shared" si="11"/>
        <v>0</v>
      </c>
      <c r="H55" s="477">
        <f t="shared" si="12"/>
        <v>0</v>
      </c>
      <c r="I55" s="500">
        <f t="shared" si="1"/>
        <v>0</v>
      </c>
      <c r="J55" s="500"/>
      <c r="K55" s="512"/>
      <c r="L55" s="504">
        <f t="shared" si="2"/>
        <v>0</v>
      </c>
      <c r="M55" s="512"/>
      <c r="N55" s="504">
        <f t="shared" si="3"/>
        <v>0</v>
      </c>
      <c r="O55" s="504">
        <f t="shared" si="4"/>
        <v>0</v>
      </c>
      <c r="P55" s="278"/>
    </row>
    <row r="56" spans="2:16" ht="12.5">
      <c r="B56" s="145" t="str">
        <f t="shared" si="0"/>
        <v/>
      </c>
      <c r="C56" s="495">
        <f>IF(D11="","-",+C55+1)</f>
        <v>2056</v>
      </c>
      <c r="D56" s="508">
        <f>IF(F55+SUM(E$17:E55)=D$10,F55,D$10-SUM(E$17:E55))</f>
        <v>0</v>
      </c>
      <c r="E56" s="509">
        <f t="shared" si="13"/>
        <v>0</v>
      </c>
      <c r="F56" s="510">
        <f t="shared" si="10"/>
        <v>0</v>
      </c>
      <c r="G56" s="511">
        <f t="shared" si="11"/>
        <v>0</v>
      </c>
      <c r="H56" s="477">
        <f t="shared" si="12"/>
        <v>0</v>
      </c>
      <c r="I56" s="500">
        <f t="shared" si="1"/>
        <v>0</v>
      </c>
      <c r="J56" s="500"/>
      <c r="K56" s="512"/>
      <c r="L56" s="504">
        <f t="shared" si="2"/>
        <v>0</v>
      </c>
      <c r="M56" s="512"/>
      <c r="N56" s="504">
        <f t="shared" si="3"/>
        <v>0</v>
      </c>
      <c r="O56" s="504">
        <f t="shared" si="4"/>
        <v>0</v>
      </c>
      <c r="P56" s="278"/>
    </row>
    <row r="57" spans="2:16" ht="12.5">
      <c r="B57" s="145" t="str">
        <f t="shared" si="0"/>
        <v/>
      </c>
      <c r="C57" s="495">
        <f>IF(D11="","-",+C56+1)</f>
        <v>2057</v>
      </c>
      <c r="D57" s="508">
        <f>IF(F56+SUM(E$17:E56)=D$10,F56,D$10-SUM(E$17:E56))</f>
        <v>0</v>
      </c>
      <c r="E57" s="509">
        <f t="shared" si="13"/>
        <v>0</v>
      </c>
      <c r="F57" s="510">
        <f t="shared" si="10"/>
        <v>0</v>
      </c>
      <c r="G57" s="511">
        <f t="shared" si="11"/>
        <v>0</v>
      </c>
      <c r="H57" s="477">
        <f t="shared" si="12"/>
        <v>0</v>
      </c>
      <c r="I57" s="500">
        <f t="shared" si="1"/>
        <v>0</v>
      </c>
      <c r="J57" s="500"/>
      <c r="K57" s="512"/>
      <c r="L57" s="504">
        <f t="shared" si="2"/>
        <v>0</v>
      </c>
      <c r="M57" s="512"/>
      <c r="N57" s="504">
        <f t="shared" si="3"/>
        <v>0</v>
      </c>
      <c r="O57" s="504">
        <f t="shared" si="4"/>
        <v>0</v>
      </c>
      <c r="P57" s="278"/>
    </row>
    <row r="58" spans="2:16" ht="12.5">
      <c r="B58" s="145" t="str">
        <f t="shared" si="0"/>
        <v/>
      </c>
      <c r="C58" s="495">
        <f>IF(D11="","-",+C57+1)</f>
        <v>2058</v>
      </c>
      <c r="D58" s="508">
        <f>IF(F57+SUM(E$17:E57)=D$10,F57,D$10-SUM(E$17:E57))</f>
        <v>0</v>
      </c>
      <c r="E58" s="509">
        <f t="shared" si="13"/>
        <v>0</v>
      </c>
      <c r="F58" s="510">
        <f t="shared" si="10"/>
        <v>0</v>
      </c>
      <c r="G58" s="511">
        <f t="shared" si="11"/>
        <v>0</v>
      </c>
      <c r="H58" s="477">
        <f t="shared" si="12"/>
        <v>0</v>
      </c>
      <c r="I58" s="500">
        <f t="shared" si="1"/>
        <v>0</v>
      </c>
      <c r="J58" s="500"/>
      <c r="K58" s="512"/>
      <c r="L58" s="504">
        <f t="shared" si="2"/>
        <v>0</v>
      </c>
      <c r="M58" s="512"/>
      <c r="N58" s="504">
        <f t="shared" si="3"/>
        <v>0</v>
      </c>
      <c r="O58" s="504">
        <f t="shared" si="4"/>
        <v>0</v>
      </c>
      <c r="P58" s="278"/>
    </row>
    <row r="59" spans="2:16" ht="12.5">
      <c r="B59" s="145" t="str">
        <f t="shared" si="0"/>
        <v/>
      </c>
      <c r="C59" s="495">
        <f>IF(D11="","-",+C58+1)</f>
        <v>2059</v>
      </c>
      <c r="D59" s="508">
        <f>IF(F58+SUM(E$17:E58)=D$10,F58,D$10-SUM(E$17:E58))</f>
        <v>0</v>
      </c>
      <c r="E59" s="509">
        <f t="shared" si="13"/>
        <v>0</v>
      </c>
      <c r="F59" s="510">
        <f t="shared" si="10"/>
        <v>0</v>
      </c>
      <c r="G59" s="511">
        <f t="shared" si="11"/>
        <v>0</v>
      </c>
      <c r="H59" s="477">
        <f t="shared" si="12"/>
        <v>0</v>
      </c>
      <c r="I59" s="500">
        <f t="shared" si="1"/>
        <v>0</v>
      </c>
      <c r="J59" s="500"/>
      <c r="K59" s="512"/>
      <c r="L59" s="504">
        <f t="shared" si="2"/>
        <v>0</v>
      </c>
      <c r="M59" s="512"/>
      <c r="N59" s="504">
        <f t="shared" si="3"/>
        <v>0</v>
      </c>
      <c r="O59" s="504">
        <f t="shared" si="4"/>
        <v>0</v>
      </c>
      <c r="P59" s="278"/>
    </row>
    <row r="60" spans="2:16" ht="12.5">
      <c r="B60" s="145" t="str">
        <f t="shared" si="0"/>
        <v/>
      </c>
      <c r="C60" s="495">
        <f>IF(D11="","-",+C59+1)</f>
        <v>2060</v>
      </c>
      <c r="D60" s="508">
        <f>IF(F59+SUM(E$17:E59)=D$10,F59,D$10-SUM(E$17:E59))</f>
        <v>0</v>
      </c>
      <c r="E60" s="509">
        <f t="shared" si="13"/>
        <v>0</v>
      </c>
      <c r="F60" s="510">
        <f t="shared" si="10"/>
        <v>0</v>
      </c>
      <c r="G60" s="511">
        <f t="shared" si="11"/>
        <v>0</v>
      </c>
      <c r="H60" s="477">
        <f t="shared" si="12"/>
        <v>0</v>
      </c>
      <c r="I60" s="500">
        <f t="shared" si="1"/>
        <v>0</v>
      </c>
      <c r="J60" s="500"/>
      <c r="K60" s="512"/>
      <c r="L60" s="504">
        <f t="shared" si="2"/>
        <v>0</v>
      </c>
      <c r="M60" s="512"/>
      <c r="N60" s="504">
        <f t="shared" si="3"/>
        <v>0</v>
      </c>
      <c r="O60" s="504">
        <f t="shared" si="4"/>
        <v>0</v>
      </c>
      <c r="P60" s="278"/>
    </row>
    <row r="61" spans="2:16" ht="12.5">
      <c r="B61" s="145" t="str">
        <f t="shared" si="0"/>
        <v/>
      </c>
      <c r="C61" s="495">
        <f>IF(D11="","-",+C60+1)</f>
        <v>2061</v>
      </c>
      <c r="D61" s="508">
        <f>IF(F60+SUM(E$17:E60)=D$10,F60,D$10-SUM(E$17:E60))</f>
        <v>0</v>
      </c>
      <c r="E61" s="509">
        <f t="shared" si="13"/>
        <v>0</v>
      </c>
      <c r="F61" s="510">
        <f t="shared" si="10"/>
        <v>0</v>
      </c>
      <c r="G61" s="523">
        <f t="shared" si="11"/>
        <v>0</v>
      </c>
      <c r="H61" s="477">
        <f t="shared" si="12"/>
        <v>0</v>
      </c>
      <c r="I61" s="500">
        <f t="shared" si="1"/>
        <v>0</v>
      </c>
      <c r="J61" s="500"/>
      <c r="K61" s="512"/>
      <c r="L61" s="504">
        <f t="shared" si="2"/>
        <v>0</v>
      </c>
      <c r="M61" s="512"/>
      <c r="N61" s="504">
        <f t="shared" si="3"/>
        <v>0</v>
      </c>
      <c r="O61" s="504">
        <f t="shared" si="4"/>
        <v>0</v>
      </c>
      <c r="P61" s="278"/>
    </row>
    <row r="62" spans="2:16" ht="12.5">
      <c r="B62" s="145" t="str">
        <f t="shared" si="0"/>
        <v/>
      </c>
      <c r="C62" s="495">
        <f>IF(D11="","-",+C61+1)</f>
        <v>2062</v>
      </c>
      <c r="D62" s="508">
        <f>IF(F61+SUM(E$17:E61)=D$10,F61,D$10-SUM(E$17:E61))</f>
        <v>0</v>
      </c>
      <c r="E62" s="509">
        <f t="shared" si="13"/>
        <v>0</v>
      </c>
      <c r="F62" s="510">
        <f t="shared" si="10"/>
        <v>0</v>
      </c>
      <c r="G62" s="523">
        <f t="shared" si="11"/>
        <v>0</v>
      </c>
      <c r="H62" s="477">
        <f t="shared" si="12"/>
        <v>0</v>
      </c>
      <c r="I62" s="500">
        <f t="shared" si="1"/>
        <v>0</v>
      </c>
      <c r="J62" s="500"/>
      <c r="K62" s="512"/>
      <c r="L62" s="504">
        <f t="shared" si="2"/>
        <v>0</v>
      </c>
      <c r="M62" s="512"/>
      <c r="N62" s="504">
        <f t="shared" si="3"/>
        <v>0</v>
      </c>
      <c r="O62" s="504">
        <f t="shared" si="4"/>
        <v>0</v>
      </c>
      <c r="P62" s="278"/>
    </row>
    <row r="63" spans="2:16" ht="12.5">
      <c r="B63" s="145" t="str">
        <f t="shared" si="0"/>
        <v/>
      </c>
      <c r="C63" s="495">
        <f>IF(D11="","-",+C62+1)</f>
        <v>2063</v>
      </c>
      <c r="D63" s="508">
        <f>IF(F62+SUM(E$17:E62)=D$10,F62,D$10-SUM(E$17:E62))</f>
        <v>0</v>
      </c>
      <c r="E63" s="509">
        <f t="shared" si="13"/>
        <v>0</v>
      </c>
      <c r="F63" s="510">
        <f t="shared" si="10"/>
        <v>0</v>
      </c>
      <c r="G63" s="523">
        <f t="shared" si="11"/>
        <v>0</v>
      </c>
      <c r="H63" s="477">
        <f t="shared" si="12"/>
        <v>0</v>
      </c>
      <c r="I63" s="500">
        <f t="shared" si="1"/>
        <v>0</v>
      </c>
      <c r="J63" s="500"/>
      <c r="K63" s="512"/>
      <c r="L63" s="504">
        <f t="shared" si="2"/>
        <v>0</v>
      </c>
      <c r="M63" s="512"/>
      <c r="N63" s="504">
        <f t="shared" si="3"/>
        <v>0</v>
      </c>
      <c r="O63" s="504">
        <f t="shared" si="4"/>
        <v>0</v>
      </c>
      <c r="P63" s="278"/>
    </row>
    <row r="64" spans="2:16" ht="12.5">
      <c r="B64" s="145" t="str">
        <f t="shared" si="0"/>
        <v/>
      </c>
      <c r="C64" s="495">
        <f>IF(D11="","-",+C63+1)</f>
        <v>2064</v>
      </c>
      <c r="D64" s="508">
        <f>IF(F63+SUM(E$17:E63)=D$10,F63,D$10-SUM(E$17:E63))</f>
        <v>0</v>
      </c>
      <c r="E64" s="509">
        <f t="shared" si="13"/>
        <v>0</v>
      </c>
      <c r="F64" s="510">
        <f t="shared" si="10"/>
        <v>0</v>
      </c>
      <c r="G64" s="523">
        <f t="shared" si="11"/>
        <v>0</v>
      </c>
      <c r="H64" s="477">
        <f t="shared" si="12"/>
        <v>0</v>
      </c>
      <c r="I64" s="500">
        <f t="shared" si="1"/>
        <v>0</v>
      </c>
      <c r="J64" s="500"/>
      <c r="K64" s="512"/>
      <c r="L64" s="504">
        <f t="shared" si="2"/>
        <v>0</v>
      </c>
      <c r="M64" s="512"/>
      <c r="N64" s="504">
        <f t="shared" si="3"/>
        <v>0</v>
      </c>
      <c r="O64" s="504">
        <f t="shared" si="4"/>
        <v>0</v>
      </c>
      <c r="P64" s="278"/>
    </row>
    <row r="65" spans="2:16" ht="12.5">
      <c r="B65" s="145" t="str">
        <f t="shared" si="0"/>
        <v/>
      </c>
      <c r="C65" s="495">
        <f>IF(D11="","-",+C64+1)</f>
        <v>2065</v>
      </c>
      <c r="D65" s="508">
        <f>IF(F64+SUM(E$17:E64)=D$10,F64,D$10-SUM(E$17:E64))</f>
        <v>0</v>
      </c>
      <c r="E65" s="509">
        <f t="shared" si="13"/>
        <v>0</v>
      </c>
      <c r="F65" s="510">
        <f t="shared" si="10"/>
        <v>0</v>
      </c>
      <c r="G65" s="523">
        <f t="shared" si="11"/>
        <v>0</v>
      </c>
      <c r="H65" s="477">
        <f t="shared" si="12"/>
        <v>0</v>
      </c>
      <c r="I65" s="500">
        <f t="shared" si="1"/>
        <v>0</v>
      </c>
      <c r="J65" s="500"/>
      <c r="K65" s="512"/>
      <c r="L65" s="504">
        <f t="shared" si="2"/>
        <v>0</v>
      </c>
      <c r="M65" s="512"/>
      <c r="N65" s="504">
        <f t="shared" si="3"/>
        <v>0</v>
      </c>
      <c r="O65" s="504">
        <f t="shared" si="4"/>
        <v>0</v>
      </c>
      <c r="P65" s="278"/>
    </row>
    <row r="66" spans="2:16" ht="12.5">
      <c r="B66" s="145" t="str">
        <f t="shared" si="0"/>
        <v/>
      </c>
      <c r="C66" s="495">
        <f>IF(D11="","-",+C65+1)</f>
        <v>2066</v>
      </c>
      <c r="D66" s="508">
        <f>IF(F65+SUM(E$17:E65)=D$10,F65,D$10-SUM(E$17:E65))</f>
        <v>0</v>
      </c>
      <c r="E66" s="509">
        <f t="shared" si="13"/>
        <v>0</v>
      </c>
      <c r="F66" s="510">
        <f t="shared" si="10"/>
        <v>0</v>
      </c>
      <c r="G66" s="523">
        <f t="shared" si="11"/>
        <v>0</v>
      </c>
      <c r="H66" s="477">
        <f t="shared" si="12"/>
        <v>0</v>
      </c>
      <c r="I66" s="500">
        <f t="shared" si="1"/>
        <v>0</v>
      </c>
      <c r="J66" s="500"/>
      <c r="K66" s="512"/>
      <c r="L66" s="504">
        <f t="shared" si="2"/>
        <v>0</v>
      </c>
      <c r="M66" s="512"/>
      <c r="N66" s="504">
        <f t="shared" si="3"/>
        <v>0</v>
      </c>
      <c r="O66" s="504">
        <f t="shared" si="4"/>
        <v>0</v>
      </c>
      <c r="P66" s="278"/>
    </row>
    <row r="67" spans="2:16" ht="12.5">
      <c r="B67" s="145" t="str">
        <f t="shared" si="0"/>
        <v/>
      </c>
      <c r="C67" s="495">
        <f>IF(D11="","-",+C66+1)</f>
        <v>2067</v>
      </c>
      <c r="D67" s="508">
        <f>IF(F66+SUM(E$17:E66)=D$10,F66,D$10-SUM(E$17:E66))</f>
        <v>0</v>
      </c>
      <c r="E67" s="509">
        <f t="shared" si="13"/>
        <v>0</v>
      </c>
      <c r="F67" s="510">
        <f t="shared" si="10"/>
        <v>0</v>
      </c>
      <c r="G67" s="523">
        <f t="shared" si="11"/>
        <v>0</v>
      </c>
      <c r="H67" s="477">
        <f t="shared" si="12"/>
        <v>0</v>
      </c>
      <c r="I67" s="500">
        <f t="shared" si="1"/>
        <v>0</v>
      </c>
      <c r="J67" s="500"/>
      <c r="K67" s="512"/>
      <c r="L67" s="504">
        <f t="shared" si="2"/>
        <v>0</v>
      </c>
      <c r="M67" s="512"/>
      <c r="N67" s="504">
        <f t="shared" si="3"/>
        <v>0</v>
      </c>
      <c r="O67" s="504">
        <f t="shared" si="4"/>
        <v>0</v>
      </c>
      <c r="P67" s="278"/>
    </row>
    <row r="68" spans="2:16" ht="12.5">
      <c r="B68" s="145" t="str">
        <f t="shared" si="0"/>
        <v/>
      </c>
      <c r="C68" s="495">
        <f>IF(D11="","-",+C67+1)</f>
        <v>2068</v>
      </c>
      <c r="D68" s="508">
        <f>IF(F67+SUM(E$17:E67)=D$10,F67,D$10-SUM(E$17:E67))</f>
        <v>0</v>
      </c>
      <c r="E68" s="509">
        <f t="shared" si="13"/>
        <v>0</v>
      </c>
      <c r="F68" s="510">
        <f t="shared" si="10"/>
        <v>0</v>
      </c>
      <c r="G68" s="523">
        <f t="shared" si="11"/>
        <v>0</v>
      </c>
      <c r="H68" s="477">
        <f t="shared" si="12"/>
        <v>0</v>
      </c>
      <c r="I68" s="500">
        <f t="shared" si="1"/>
        <v>0</v>
      </c>
      <c r="J68" s="500"/>
      <c r="K68" s="512"/>
      <c r="L68" s="504">
        <f t="shared" si="2"/>
        <v>0</v>
      </c>
      <c r="M68" s="512"/>
      <c r="N68" s="504">
        <f t="shared" si="3"/>
        <v>0</v>
      </c>
      <c r="O68" s="504">
        <f t="shared" si="4"/>
        <v>0</v>
      </c>
      <c r="P68" s="278"/>
    </row>
    <row r="69" spans="2:16" ht="12.5">
      <c r="B69" s="145" t="str">
        <f t="shared" si="0"/>
        <v/>
      </c>
      <c r="C69" s="495">
        <f>IF(D11="","-",+C68+1)</f>
        <v>2069</v>
      </c>
      <c r="D69" s="508">
        <f>IF(F68+SUM(E$17:E68)=D$10,F68,D$10-SUM(E$17:E68))</f>
        <v>0</v>
      </c>
      <c r="E69" s="509">
        <f t="shared" si="13"/>
        <v>0</v>
      </c>
      <c r="F69" s="510">
        <f t="shared" si="10"/>
        <v>0</v>
      </c>
      <c r="G69" s="523">
        <f t="shared" si="11"/>
        <v>0</v>
      </c>
      <c r="H69" s="477">
        <f t="shared" si="12"/>
        <v>0</v>
      </c>
      <c r="I69" s="500">
        <f t="shared" si="1"/>
        <v>0</v>
      </c>
      <c r="J69" s="500"/>
      <c r="K69" s="512"/>
      <c r="L69" s="504">
        <f t="shared" si="2"/>
        <v>0</v>
      </c>
      <c r="M69" s="512"/>
      <c r="N69" s="504">
        <f t="shared" si="3"/>
        <v>0</v>
      </c>
      <c r="O69" s="504">
        <f t="shared" si="4"/>
        <v>0</v>
      </c>
      <c r="P69" s="278"/>
    </row>
    <row r="70" spans="2:16" ht="12.5">
      <c r="B70" s="145" t="str">
        <f t="shared" si="0"/>
        <v/>
      </c>
      <c r="C70" s="495">
        <f>IF(D11="","-",+C69+1)</f>
        <v>2070</v>
      </c>
      <c r="D70" s="508">
        <f>IF(F69+SUM(E$17:E69)=D$10,F69,D$10-SUM(E$17:E69))</f>
        <v>0</v>
      </c>
      <c r="E70" s="509">
        <f t="shared" si="13"/>
        <v>0</v>
      </c>
      <c r="F70" s="510">
        <f t="shared" si="10"/>
        <v>0</v>
      </c>
      <c r="G70" s="523">
        <f t="shared" si="11"/>
        <v>0</v>
      </c>
      <c r="H70" s="477">
        <f t="shared" si="12"/>
        <v>0</v>
      </c>
      <c r="I70" s="500">
        <f t="shared" si="1"/>
        <v>0</v>
      </c>
      <c r="J70" s="500"/>
      <c r="K70" s="512"/>
      <c r="L70" s="504">
        <f t="shared" si="2"/>
        <v>0</v>
      </c>
      <c r="M70" s="512"/>
      <c r="N70" s="504">
        <f t="shared" si="3"/>
        <v>0</v>
      </c>
      <c r="O70" s="504">
        <f t="shared" si="4"/>
        <v>0</v>
      </c>
      <c r="P70" s="278"/>
    </row>
    <row r="71" spans="2:16" ht="12.5">
      <c r="B71" s="145" t="str">
        <f t="shared" si="0"/>
        <v/>
      </c>
      <c r="C71" s="495">
        <f>IF(D11="","-",+C70+1)</f>
        <v>2071</v>
      </c>
      <c r="D71" s="508">
        <f>IF(F70+SUM(E$17:E70)=D$10,F70,D$10-SUM(E$17:E70))</f>
        <v>0</v>
      </c>
      <c r="E71" s="509">
        <f t="shared" si="13"/>
        <v>0</v>
      </c>
      <c r="F71" s="510">
        <f t="shared" si="10"/>
        <v>0</v>
      </c>
      <c r="G71" s="523">
        <f t="shared" si="11"/>
        <v>0</v>
      </c>
      <c r="H71" s="477">
        <f t="shared" si="12"/>
        <v>0</v>
      </c>
      <c r="I71" s="500">
        <f t="shared" si="1"/>
        <v>0</v>
      </c>
      <c r="J71" s="500"/>
      <c r="K71" s="512"/>
      <c r="L71" s="504">
        <f t="shared" si="2"/>
        <v>0</v>
      </c>
      <c r="M71" s="512"/>
      <c r="N71" s="504">
        <f t="shared" si="3"/>
        <v>0</v>
      </c>
      <c r="O71" s="504">
        <f t="shared" si="4"/>
        <v>0</v>
      </c>
      <c r="P71" s="278"/>
    </row>
    <row r="72" spans="2:16" ht="12.5">
      <c r="C72" s="495">
        <f>IF(D12="","-",+C71+1)</f>
        <v>2072</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 thickBot="1">
      <c r="B73" s="145" t="str">
        <f>IF(D73=F71,"","IU")</f>
        <v/>
      </c>
      <c r="C73" s="524">
        <f>IF(D13="","-",+C72+1)</f>
        <v>2073</v>
      </c>
      <c r="D73" s="508">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ht="12.5">
      <c r="C74" s="349" t="s">
        <v>75</v>
      </c>
      <c r="D74" s="294"/>
      <c r="E74" s="294">
        <f>SUM(E17:E73)</f>
        <v>87569394.999999985</v>
      </c>
      <c r="F74" s="294"/>
      <c r="G74" s="294">
        <f>SUM(G17:G73)</f>
        <v>241525190.77921665</v>
      </c>
      <c r="H74" s="294">
        <f>SUM(H17:H73)</f>
        <v>241525190.77921665</v>
      </c>
      <c r="I74" s="294">
        <f>SUM(I17:I73)</f>
        <v>0</v>
      </c>
      <c r="J74" s="294"/>
      <c r="K74" s="294"/>
      <c r="L74" s="294"/>
      <c r="M74" s="294"/>
      <c r="N74" s="294"/>
      <c r="O74" s="278"/>
      <c r="P74" s="278"/>
    </row>
    <row r="75" spans="2:16" ht="12.5">
      <c r="D75" s="292"/>
      <c r="E75" s="243"/>
      <c r="F75" s="243"/>
      <c r="G75" s="243"/>
      <c r="H75" s="325"/>
      <c r="I75" s="325"/>
      <c r="J75" s="294"/>
      <c r="K75" s="325"/>
      <c r="L75" s="325"/>
      <c r="M75" s="325"/>
      <c r="N75" s="325"/>
      <c r="O75" s="243"/>
      <c r="P75" s="243"/>
    </row>
    <row r="76" spans="2:16" ht="13">
      <c r="C76" s="532" t="s">
        <v>95</v>
      </c>
      <c r="D76" s="292"/>
      <c r="E76" s="243"/>
      <c r="F76" s="243"/>
      <c r="G76" s="243"/>
      <c r="H76" s="325"/>
      <c r="I76" s="325"/>
      <c r="J76" s="294"/>
      <c r="K76" s="325"/>
      <c r="L76" s="325"/>
      <c r="M76" s="325"/>
      <c r="N76" s="325"/>
      <c r="O76" s="243"/>
      <c r="P76" s="243"/>
    </row>
    <row r="77" spans="2:16" ht="13">
      <c r="C77" s="454" t="s">
        <v>76</v>
      </c>
      <c r="D77" s="292"/>
      <c r="E77" s="243"/>
      <c r="F77" s="243"/>
      <c r="G77" s="243"/>
      <c r="H77" s="325"/>
      <c r="I77" s="325"/>
      <c r="J77" s="294"/>
      <c r="K77" s="325"/>
      <c r="L77" s="325"/>
      <c r="M77" s="325"/>
      <c r="N77" s="325"/>
      <c r="O77" s="278"/>
      <c r="P77" s="278"/>
    </row>
    <row r="78" spans="2:16" ht="13">
      <c r="C78" s="454" t="s">
        <v>77</v>
      </c>
      <c r="D78" s="349"/>
      <c r="E78" s="349"/>
      <c r="F78" s="349"/>
      <c r="G78" s="294"/>
      <c r="H78" s="294"/>
      <c r="I78" s="350"/>
      <c r="J78" s="350"/>
      <c r="K78" s="350"/>
      <c r="L78" s="350"/>
      <c r="M78" s="350"/>
      <c r="N78" s="350"/>
      <c r="O78" s="278"/>
      <c r="P78" s="278"/>
    </row>
    <row r="79" spans="2:16" ht="13">
      <c r="C79" s="454"/>
      <c r="D79" s="349"/>
      <c r="E79" s="349"/>
      <c r="F79" s="349"/>
      <c r="G79" s="294"/>
      <c r="H79" s="294"/>
      <c r="I79" s="350"/>
      <c r="J79" s="350"/>
      <c r="K79" s="350"/>
      <c r="L79" s="350"/>
      <c r="M79" s="350"/>
      <c r="N79" s="350"/>
      <c r="O79" s="278"/>
      <c r="P79" s="243"/>
    </row>
    <row r="80" spans="2:16" ht="12.5">
      <c r="B80" s="243"/>
      <c r="C80" s="248"/>
      <c r="D80" s="292"/>
      <c r="E80" s="243"/>
      <c r="F80" s="347"/>
      <c r="G80" s="243"/>
      <c r="H80" s="325"/>
      <c r="I80" s="243"/>
      <c r="J80" s="278"/>
      <c r="K80" s="243"/>
      <c r="L80" s="243"/>
      <c r="M80" s="243"/>
      <c r="N80" s="243"/>
      <c r="O80" s="243"/>
      <c r="P80" s="243"/>
    </row>
    <row r="81" spans="1:16" ht="17.5">
      <c r="B81" s="243"/>
      <c r="C81" s="535"/>
      <c r="D81" s="292"/>
      <c r="E81" s="243"/>
      <c r="F81" s="347"/>
      <c r="G81" s="243"/>
      <c r="H81" s="325"/>
      <c r="I81" s="243"/>
      <c r="J81" s="278"/>
      <c r="K81" s="243"/>
      <c r="L81" s="243"/>
      <c r="M81" s="243"/>
      <c r="N81" s="243"/>
      <c r="P81" s="536" t="s">
        <v>128</v>
      </c>
    </row>
    <row r="82" spans="1:16" ht="12.5">
      <c r="B82" s="243"/>
      <c r="C82" s="248"/>
      <c r="D82" s="292"/>
      <c r="E82" s="243"/>
      <c r="F82" s="347"/>
      <c r="G82" s="243"/>
      <c r="H82" s="325"/>
      <c r="I82" s="243"/>
      <c r="J82" s="278"/>
      <c r="K82" s="243"/>
      <c r="L82" s="243"/>
      <c r="M82" s="243"/>
      <c r="N82" s="243"/>
      <c r="O82" s="243"/>
      <c r="P82" s="243"/>
    </row>
    <row r="83" spans="1:16" ht="12.5">
      <c r="B83" s="243"/>
      <c r="C83" s="248"/>
      <c r="D83" s="292"/>
      <c r="E83" s="243"/>
      <c r="F83" s="347"/>
      <c r="G83" s="243"/>
      <c r="H83" s="325"/>
      <c r="I83" s="243"/>
      <c r="J83" s="278"/>
      <c r="K83" s="243"/>
      <c r="L83" s="243"/>
      <c r="M83" s="243"/>
      <c r="N83" s="243"/>
      <c r="O83" s="243"/>
      <c r="P83" s="243"/>
    </row>
    <row r="84" spans="1:16" ht="20">
      <c r="A84" s="437" t="s">
        <v>190</v>
      </c>
      <c r="B84" s="243"/>
      <c r="C84" s="248"/>
      <c r="D84" s="292"/>
      <c r="E84" s="243"/>
      <c r="F84" s="339"/>
      <c r="G84" s="339"/>
      <c r="H84" s="243"/>
      <c r="I84" s="325"/>
      <c r="K84" s="220"/>
      <c r="L84" s="438"/>
      <c r="M84" s="438"/>
      <c r="P84" s="438" t="str">
        <f ca="1">P1</f>
        <v>OKT Project 17 of 20</v>
      </c>
    </row>
    <row r="85" spans="1:16" ht="17.5">
      <c r="B85" s="243"/>
      <c r="C85" s="243"/>
      <c r="D85" s="292"/>
      <c r="E85" s="243"/>
      <c r="F85" s="243"/>
      <c r="G85" s="243"/>
      <c r="H85" s="243"/>
      <c r="I85" s="325"/>
      <c r="J85" s="243"/>
      <c r="K85" s="278"/>
      <c r="L85" s="243"/>
      <c r="M85" s="243"/>
      <c r="P85" s="441" t="s">
        <v>132</v>
      </c>
    </row>
    <row r="86" spans="1:16" ht="17.5" thickBot="1">
      <c r="B86" s="233" t="s">
        <v>42</v>
      </c>
      <c r="C86" s="537" t="s">
        <v>81</v>
      </c>
      <c r="D86" s="292"/>
      <c r="E86" s="243"/>
      <c r="F86" s="243"/>
      <c r="G86" s="243"/>
      <c r="H86" s="243"/>
      <c r="I86" s="325"/>
      <c r="J86" s="325"/>
      <c r="K86" s="294"/>
      <c r="L86" s="325"/>
      <c r="M86" s="325"/>
      <c r="N86" s="325"/>
      <c r="O86" s="294"/>
      <c r="P86" s="243"/>
    </row>
    <row r="87" spans="1:16" ht="16" thickBot="1">
      <c r="C87" s="304"/>
      <c r="D87" s="292"/>
      <c r="E87" s="243"/>
      <c r="F87" s="243"/>
      <c r="G87" s="243"/>
      <c r="H87" s="243"/>
      <c r="I87" s="325"/>
      <c r="J87" s="325"/>
      <c r="K87" s="294"/>
      <c r="L87" s="538">
        <f>+J93</f>
        <v>2019</v>
      </c>
      <c r="M87" s="539" t="s">
        <v>9</v>
      </c>
      <c r="N87" s="540" t="s">
        <v>134</v>
      </c>
      <c r="O87" s="541" t="s">
        <v>11</v>
      </c>
      <c r="P87" s="243"/>
    </row>
    <row r="88" spans="1:16" ht="15.5">
      <c r="C88" s="232" t="s">
        <v>44</v>
      </c>
      <c r="D88" s="292"/>
      <c r="E88" s="243"/>
      <c r="F88" s="243"/>
      <c r="G88" s="243"/>
      <c r="H88" s="444"/>
      <c r="I88" s="243" t="s">
        <v>45</v>
      </c>
      <c r="J88" s="243"/>
      <c r="K88" s="542"/>
      <c r="L88" s="543" t="s">
        <v>253</v>
      </c>
      <c r="M88" s="544">
        <f>IF(J93&lt;D11,0,VLOOKUP(J93,C17:O73,9))</f>
        <v>10725952.439931182</v>
      </c>
      <c r="N88" s="544">
        <f>IF(J93&lt;D11,0,VLOOKUP(J93,C17:O73,11))</f>
        <v>10725952.439931182</v>
      </c>
      <c r="O88" s="545">
        <f>+N88-M88</f>
        <v>0</v>
      </c>
      <c r="P88" s="243"/>
    </row>
    <row r="89" spans="1:16" ht="15.5">
      <c r="C89" s="235"/>
      <c r="D89" s="292"/>
      <c r="E89" s="243"/>
      <c r="F89" s="243"/>
      <c r="G89" s="243"/>
      <c r="H89" s="243"/>
      <c r="I89" s="449"/>
      <c r="J89" s="449"/>
      <c r="K89" s="546"/>
      <c r="L89" s="547" t="s">
        <v>254</v>
      </c>
      <c r="M89" s="548">
        <f>IF(J93&lt;D11,0,VLOOKUP(J93,C100:P155,6))</f>
        <v>11706401.041760594</v>
      </c>
      <c r="N89" s="548">
        <f>IF(J93&lt;D11,0,VLOOKUP(J93,C100:P155,7))</f>
        <v>11706401.041760594</v>
      </c>
      <c r="O89" s="549">
        <f>+N89-M89</f>
        <v>0</v>
      </c>
      <c r="P89" s="243"/>
    </row>
    <row r="90" spans="1:16" ht="13.5" thickBot="1">
      <c r="C90" s="454" t="s">
        <v>82</v>
      </c>
      <c r="D90" s="550" t="str">
        <f>+D7</f>
        <v>Chisholm - Gracemont 345 kv line and station</v>
      </c>
      <c r="E90" s="243"/>
      <c r="F90" s="243"/>
      <c r="G90" s="243"/>
      <c r="H90" s="243"/>
      <c r="I90" s="325"/>
      <c r="J90" s="325"/>
      <c r="K90" s="551"/>
      <c r="L90" s="552" t="s">
        <v>135</v>
      </c>
      <c r="M90" s="553">
        <f>+M89-M88</f>
        <v>980448.60182941146</v>
      </c>
      <c r="N90" s="553">
        <f>+N89-N88</f>
        <v>980448.60182941146</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2011150</v>
      </c>
      <c r="E92" s="558"/>
      <c r="F92" s="558"/>
      <c r="G92" s="558"/>
      <c r="H92" s="558"/>
      <c r="I92" s="558"/>
      <c r="J92" s="558"/>
      <c r="K92" s="560"/>
      <c r="P92" s="468"/>
    </row>
    <row r="93" spans="1:16" ht="13">
      <c r="C93" s="472" t="s">
        <v>49</v>
      </c>
      <c r="D93" s="470">
        <v>87569395</v>
      </c>
      <c r="E93" s="248" t="s">
        <v>84</v>
      </c>
      <c r="H93" s="408"/>
      <c r="I93" s="408"/>
      <c r="J93" s="471">
        <f>+'OKT.WS.G.BPU.ATRR.True-up'!M16</f>
        <v>2019</v>
      </c>
      <c r="K93" s="467"/>
      <c r="L93" s="294" t="s">
        <v>85</v>
      </c>
      <c r="P93" s="278"/>
    </row>
    <row r="94" spans="1:16" ht="12.5">
      <c r="C94" s="472" t="s">
        <v>52</v>
      </c>
      <c r="D94" s="473">
        <f>IF(D11=I10,"",D11)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ht="12.5">
      <c r="C95" s="472" t="s">
        <v>54</v>
      </c>
      <c r="D95" s="470">
        <f>IF(D11=I10,"",D12)</f>
        <v>12</v>
      </c>
      <c r="E95" s="472" t="s">
        <v>55</v>
      </c>
      <c r="F95" s="408"/>
      <c r="G95" s="408"/>
      <c r="J95" s="476">
        <f>'OKT.WS.G.BPU.ATRR.True-up'!$F$81</f>
        <v>0.10800922592579221</v>
      </c>
      <c r="K95" s="413"/>
      <c r="L95" s="145" t="s">
        <v>86</v>
      </c>
      <c r="P95" s="278"/>
    </row>
    <row r="96" spans="1:16" ht="12.5">
      <c r="C96" s="472" t="s">
        <v>57</v>
      </c>
      <c r="D96" s="474">
        <f>'OKT.WS.G.BPU.ATRR.True-up'!F$93</f>
        <v>33</v>
      </c>
      <c r="E96" s="472" t="s">
        <v>58</v>
      </c>
      <c r="F96" s="408"/>
      <c r="G96" s="408"/>
      <c r="J96" s="476">
        <f>IF(H88="",J95,'OKT.WS.G.BPU.ATRR.True-up'!$F$80)</f>
        <v>0.10800922592579221</v>
      </c>
      <c r="K96" s="291"/>
      <c r="L96" s="294" t="s">
        <v>59</v>
      </c>
      <c r="M96" s="291"/>
      <c r="N96" s="291"/>
      <c r="O96" s="291"/>
      <c r="P96" s="278"/>
    </row>
    <row r="97" spans="1:16" ht="13" thickBot="1">
      <c r="C97" s="472" t="s">
        <v>60</v>
      </c>
      <c r="D97" s="640" t="str">
        <f>+D14</f>
        <v>No</v>
      </c>
      <c r="E97" s="563" t="s">
        <v>62</v>
      </c>
      <c r="F97" s="564"/>
      <c r="G97" s="564"/>
      <c r="H97" s="565"/>
      <c r="I97" s="565"/>
      <c r="J97" s="458">
        <f>IF(D93=0,0,D93/D96)</f>
        <v>2653618.0303030303</v>
      </c>
      <c r="K97" s="294"/>
      <c r="L97" s="294"/>
      <c r="M97" s="294"/>
      <c r="N97" s="294"/>
      <c r="O97" s="294"/>
      <c r="P97" s="278"/>
    </row>
    <row r="98" spans="1:16"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row>
    <row r="100" spans="1:16" ht="12.5">
      <c r="B100" s="145" t="str">
        <f t="shared" ref="B100:B155" si="14">IF(D100=F99,"","IU")</f>
        <v>IU</v>
      </c>
      <c r="C100" s="495">
        <f>IF(D94= "","-",D94)</f>
        <v>2017</v>
      </c>
      <c r="D100" s="496">
        <v>0</v>
      </c>
      <c r="E100" s="498">
        <v>0</v>
      </c>
      <c r="F100" s="505">
        <v>87396515</v>
      </c>
      <c r="G100" s="505">
        <v>43698257.5</v>
      </c>
      <c r="H100" s="498">
        <v>5127372.8083007364</v>
      </c>
      <c r="I100" s="499">
        <v>5127372.8083007364</v>
      </c>
      <c r="J100" s="504">
        <f t="shared" ref="J100:J131" si="15">+I100-H100</f>
        <v>0</v>
      </c>
      <c r="K100" s="504"/>
      <c r="L100" s="506">
        <f>+H100</f>
        <v>5127372.8083007364</v>
      </c>
      <c r="M100" s="504">
        <f t="shared" ref="M100:M131" si="16">IF(L100&lt;&gt;0,+H100-L100,0)</f>
        <v>0</v>
      </c>
      <c r="N100" s="506">
        <f>+I100</f>
        <v>5127372.8083007364</v>
      </c>
      <c r="O100" s="586">
        <f t="shared" ref="O100:O131" si="17">IF(N100&lt;&gt;0,+I100-N100,0)</f>
        <v>0</v>
      </c>
      <c r="P100" s="504">
        <f t="shared" ref="P100:P131" si="18">+O100-M100</f>
        <v>0</v>
      </c>
    </row>
    <row r="101" spans="1:16" ht="12.5">
      <c r="B101" s="145" t="str">
        <f t="shared" si="14"/>
        <v/>
      </c>
      <c r="C101" s="495">
        <f>IF(D94="","-",+C100+1)</f>
        <v>2018</v>
      </c>
      <c r="D101" s="496">
        <v>87396515</v>
      </c>
      <c r="E101" s="498">
        <v>2427680.972222222</v>
      </c>
      <c r="F101" s="505">
        <v>84968834.027777776</v>
      </c>
      <c r="G101" s="505">
        <v>86182674.513888896</v>
      </c>
      <c r="H101" s="498">
        <v>11525335.163817437</v>
      </c>
      <c r="I101" s="499">
        <v>11525335.163817437</v>
      </c>
      <c r="J101" s="504">
        <f t="shared" si="15"/>
        <v>0</v>
      </c>
      <c r="K101" s="504"/>
      <c r="L101" s="506">
        <f>H101</f>
        <v>11525335.163817437</v>
      </c>
      <c r="M101" s="504">
        <f>IF(L101&lt;&gt;0,+H101-L101,0)</f>
        <v>0</v>
      </c>
      <c r="N101" s="506">
        <f>I101</f>
        <v>11525335.163817437</v>
      </c>
      <c r="O101" s="504">
        <f>IF(N101&lt;&gt;0,+I101-N101,0)</f>
        <v>0</v>
      </c>
      <c r="P101" s="504">
        <f>+O101-M101</f>
        <v>0</v>
      </c>
    </row>
    <row r="102" spans="1:16" ht="12.5">
      <c r="B102" s="145" t="str">
        <f t="shared" si="14"/>
        <v>IU</v>
      </c>
      <c r="C102" s="495">
        <f>IF(D94="","-",+C101+1)</f>
        <v>2019</v>
      </c>
      <c r="D102" s="349">
        <f>IF(F101+SUM(E$100:E101)=D$93,F101,D$93-SUM(E$100:E101))</f>
        <v>85141714.027777776</v>
      </c>
      <c r="E102" s="509">
        <f t="shared" ref="E102:E132" si="19">IF(+J$97&lt;F101,J$97,D102)</f>
        <v>2653618.0303030303</v>
      </c>
      <c r="F102" s="510">
        <f t="shared" ref="F102:F131" si="20">+D102-E102</f>
        <v>82488095.997474745</v>
      </c>
      <c r="G102" s="510">
        <f t="shared" ref="G102:G131" si="21">+(F102+D102)/2</f>
        <v>83814905.012626261</v>
      </c>
      <c r="H102" s="627">
        <f t="shared" ref="H102:H155" si="22">+J$95*G102+E102</f>
        <v>11706401.041760594</v>
      </c>
      <c r="I102" s="628">
        <f t="shared" ref="I102:I155" si="23">+J$96*G102+E102</f>
        <v>11706401.041760594</v>
      </c>
      <c r="J102" s="504">
        <f t="shared" si="15"/>
        <v>0</v>
      </c>
      <c r="K102" s="504"/>
      <c r="L102" s="512"/>
      <c r="M102" s="504">
        <f t="shared" si="16"/>
        <v>0</v>
      </c>
      <c r="N102" s="512"/>
      <c r="O102" s="504">
        <f t="shared" si="17"/>
        <v>0</v>
      </c>
      <c r="P102" s="504">
        <f t="shared" si="18"/>
        <v>0</v>
      </c>
    </row>
    <row r="103" spans="1:16" ht="12.5">
      <c r="B103" s="145" t="str">
        <f t="shared" si="14"/>
        <v/>
      </c>
      <c r="C103" s="495">
        <f>IF(D94="","-",+C102+1)</f>
        <v>2020</v>
      </c>
      <c r="D103" s="349">
        <f>IF(F102+SUM(E$100:E102)=D$93,F102,D$93-SUM(E$100:E102))</f>
        <v>82488095.997474745</v>
      </c>
      <c r="E103" s="509">
        <f t="shared" si="19"/>
        <v>2653618.0303030303</v>
      </c>
      <c r="F103" s="510">
        <f t="shared" si="20"/>
        <v>79834477.967171714</v>
      </c>
      <c r="G103" s="510">
        <f t="shared" si="21"/>
        <v>81161286.982323229</v>
      </c>
      <c r="H103" s="627">
        <f t="shared" si="22"/>
        <v>11419785.812404837</v>
      </c>
      <c r="I103" s="628">
        <f t="shared" si="23"/>
        <v>11419785.812404837</v>
      </c>
      <c r="J103" s="504">
        <f t="shared" si="15"/>
        <v>0</v>
      </c>
      <c r="K103" s="504"/>
      <c r="L103" s="512"/>
      <c r="M103" s="504">
        <f t="shared" si="16"/>
        <v>0</v>
      </c>
      <c r="N103" s="512"/>
      <c r="O103" s="504">
        <f t="shared" si="17"/>
        <v>0</v>
      </c>
      <c r="P103" s="504">
        <f t="shared" si="18"/>
        <v>0</v>
      </c>
    </row>
    <row r="104" spans="1:16" ht="12.5">
      <c r="B104" s="145" t="str">
        <f t="shared" si="14"/>
        <v/>
      </c>
      <c r="C104" s="495">
        <f>IF(D94="","-",+C103+1)</f>
        <v>2021</v>
      </c>
      <c r="D104" s="349">
        <f>IF(F103+SUM(E$100:E103)=D$93,F103,D$93-SUM(E$100:E103))</f>
        <v>79834477.967171714</v>
      </c>
      <c r="E104" s="509">
        <f t="shared" si="19"/>
        <v>2653618.0303030303</v>
      </c>
      <c r="F104" s="510">
        <f t="shared" si="20"/>
        <v>77180859.936868683</v>
      </c>
      <c r="G104" s="510">
        <f t="shared" si="21"/>
        <v>78507668.952020198</v>
      </c>
      <c r="H104" s="627">
        <f t="shared" si="22"/>
        <v>11133170.583049081</v>
      </c>
      <c r="I104" s="628">
        <f t="shared" si="23"/>
        <v>11133170.583049081</v>
      </c>
      <c r="J104" s="504">
        <f t="shared" si="15"/>
        <v>0</v>
      </c>
      <c r="K104" s="504"/>
      <c r="L104" s="512"/>
      <c r="M104" s="504">
        <f t="shared" si="16"/>
        <v>0</v>
      </c>
      <c r="N104" s="512"/>
      <c r="O104" s="504">
        <f t="shared" si="17"/>
        <v>0</v>
      </c>
      <c r="P104" s="504">
        <f t="shared" si="18"/>
        <v>0</v>
      </c>
    </row>
    <row r="105" spans="1:16" ht="12.5">
      <c r="B105" s="145" t="str">
        <f t="shared" si="14"/>
        <v/>
      </c>
      <c r="C105" s="495">
        <f>IF(D94="","-",+C104+1)</f>
        <v>2022</v>
      </c>
      <c r="D105" s="349">
        <f>IF(F104+SUM(E$100:E104)=D$93,F104,D$93-SUM(E$100:E104))</f>
        <v>77180859.936868683</v>
      </c>
      <c r="E105" s="509">
        <f t="shared" si="19"/>
        <v>2653618.0303030303</v>
      </c>
      <c r="F105" s="510">
        <f t="shared" si="20"/>
        <v>74527241.906565651</v>
      </c>
      <c r="G105" s="510">
        <f t="shared" si="21"/>
        <v>75854050.921717167</v>
      </c>
      <c r="H105" s="627">
        <f t="shared" si="22"/>
        <v>10846555.353693325</v>
      </c>
      <c r="I105" s="628">
        <f t="shared" si="23"/>
        <v>10846555.353693325</v>
      </c>
      <c r="J105" s="504">
        <f t="shared" si="15"/>
        <v>0</v>
      </c>
      <c r="K105" s="504"/>
      <c r="L105" s="512"/>
      <c r="M105" s="504">
        <f t="shared" si="16"/>
        <v>0</v>
      </c>
      <c r="N105" s="512"/>
      <c r="O105" s="504">
        <f t="shared" si="17"/>
        <v>0</v>
      </c>
      <c r="P105" s="504">
        <f t="shared" si="18"/>
        <v>0</v>
      </c>
    </row>
    <row r="106" spans="1:16" ht="12.5">
      <c r="B106" s="145" t="str">
        <f t="shared" si="14"/>
        <v/>
      </c>
      <c r="C106" s="495">
        <f>IF(D94="","-",+C105+1)</f>
        <v>2023</v>
      </c>
      <c r="D106" s="349">
        <f>IF(F105+SUM(E$100:E105)=D$93,F105,D$93-SUM(E$100:E105))</f>
        <v>74527241.906565651</v>
      </c>
      <c r="E106" s="509">
        <f t="shared" si="19"/>
        <v>2653618.0303030303</v>
      </c>
      <c r="F106" s="510">
        <f t="shared" si="20"/>
        <v>71873623.87626262</v>
      </c>
      <c r="G106" s="510">
        <f t="shared" si="21"/>
        <v>73200432.891414136</v>
      </c>
      <c r="H106" s="627">
        <f t="shared" si="22"/>
        <v>10559940.124337571</v>
      </c>
      <c r="I106" s="628">
        <f t="shared" si="23"/>
        <v>10559940.124337571</v>
      </c>
      <c r="J106" s="504">
        <f t="shared" si="15"/>
        <v>0</v>
      </c>
      <c r="K106" s="504"/>
      <c r="L106" s="512"/>
      <c r="M106" s="504">
        <f t="shared" si="16"/>
        <v>0</v>
      </c>
      <c r="N106" s="512"/>
      <c r="O106" s="504">
        <f t="shared" si="17"/>
        <v>0</v>
      </c>
      <c r="P106" s="504">
        <f t="shared" si="18"/>
        <v>0</v>
      </c>
    </row>
    <row r="107" spans="1:16" ht="12.5">
      <c r="B107" s="145" t="str">
        <f t="shared" si="14"/>
        <v/>
      </c>
      <c r="C107" s="495">
        <f>IF(D94="","-",+C106+1)</f>
        <v>2024</v>
      </c>
      <c r="D107" s="349">
        <f>IF(F106+SUM(E$100:E106)=D$93,F106,D$93-SUM(E$100:E106))</f>
        <v>71873623.87626262</v>
      </c>
      <c r="E107" s="509">
        <f t="shared" si="19"/>
        <v>2653618.0303030303</v>
      </c>
      <c r="F107" s="510">
        <f t="shared" si="20"/>
        <v>69220005.845959589</v>
      </c>
      <c r="G107" s="510">
        <f t="shared" si="21"/>
        <v>70546814.861111104</v>
      </c>
      <c r="H107" s="627">
        <f t="shared" si="22"/>
        <v>10273324.894981815</v>
      </c>
      <c r="I107" s="628">
        <f t="shared" si="23"/>
        <v>10273324.894981815</v>
      </c>
      <c r="J107" s="504">
        <f t="shared" si="15"/>
        <v>0</v>
      </c>
      <c r="K107" s="504"/>
      <c r="L107" s="512"/>
      <c r="M107" s="504">
        <f t="shared" si="16"/>
        <v>0</v>
      </c>
      <c r="N107" s="512"/>
      <c r="O107" s="504">
        <f t="shared" si="17"/>
        <v>0</v>
      </c>
      <c r="P107" s="504">
        <f t="shared" si="18"/>
        <v>0</v>
      </c>
    </row>
    <row r="108" spans="1:16" ht="12.5">
      <c r="B108" s="145" t="str">
        <f t="shared" si="14"/>
        <v/>
      </c>
      <c r="C108" s="495">
        <f>IF(D94="","-",+C107+1)</f>
        <v>2025</v>
      </c>
      <c r="D108" s="349">
        <f>IF(F107+SUM(E$100:E107)=D$93,F107,D$93-SUM(E$100:E107))</f>
        <v>69220005.845959589</v>
      </c>
      <c r="E108" s="509">
        <f t="shared" si="19"/>
        <v>2653618.0303030303</v>
      </c>
      <c r="F108" s="510">
        <f t="shared" si="20"/>
        <v>66566387.815656558</v>
      </c>
      <c r="G108" s="510">
        <f t="shared" si="21"/>
        <v>67893196.830808073</v>
      </c>
      <c r="H108" s="627">
        <f t="shared" si="22"/>
        <v>9986709.6656260602</v>
      </c>
      <c r="I108" s="628">
        <f t="shared" si="23"/>
        <v>9986709.6656260602</v>
      </c>
      <c r="J108" s="504">
        <f t="shared" si="15"/>
        <v>0</v>
      </c>
      <c r="K108" s="504"/>
      <c r="L108" s="512"/>
      <c r="M108" s="504">
        <f t="shared" si="16"/>
        <v>0</v>
      </c>
      <c r="N108" s="512"/>
      <c r="O108" s="504">
        <f t="shared" si="17"/>
        <v>0</v>
      </c>
      <c r="P108" s="504">
        <f t="shared" si="18"/>
        <v>0</v>
      </c>
    </row>
    <row r="109" spans="1:16" ht="12.5">
      <c r="B109" s="145" t="str">
        <f t="shared" si="14"/>
        <v/>
      </c>
      <c r="C109" s="495">
        <f>IF(D94="","-",+C108+1)</f>
        <v>2026</v>
      </c>
      <c r="D109" s="349">
        <f>IF(F108+SUM(E$100:E108)=D$93,F108,D$93-SUM(E$100:E108))</f>
        <v>66566387.815656558</v>
      </c>
      <c r="E109" s="509">
        <f t="shared" si="19"/>
        <v>2653618.0303030303</v>
      </c>
      <c r="F109" s="510">
        <f t="shared" si="20"/>
        <v>63912769.785353526</v>
      </c>
      <c r="G109" s="510">
        <f t="shared" si="21"/>
        <v>65239578.800505042</v>
      </c>
      <c r="H109" s="627">
        <f t="shared" si="22"/>
        <v>9700094.436270304</v>
      </c>
      <c r="I109" s="628">
        <f t="shared" si="23"/>
        <v>9700094.436270304</v>
      </c>
      <c r="J109" s="504">
        <f t="shared" si="15"/>
        <v>0</v>
      </c>
      <c r="K109" s="504"/>
      <c r="L109" s="512"/>
      <c r="M109" s="504">
        <f t="shared" si="16"/>
        <v>0</v>
      </c>
      <c r="N109" s="512"/>
      <c r="O109" s="504">
        <f t="shared" si="17"/>
        <v>0</v>
      </c>
      <c r="P109" s="504">
        <f t="shared" si="18"/>
        <v>0</v>
      </c>
    </row>
    <row r="110" spans="1:16" ht="12.5">
      <c r="B110" s="145" t="str">
        <f t="shared" si="14"/>
        <v/>
      </c>
      <c r="C110" s="495">
        <f>IF(D94="","-",+C109+1)</f>
        <v>2027</v>
      </c>
      <c r="D110" s="349">
        <f>IF(F109+SUM(E$100:E109)=D$93,F109,D$93-SUM(E$100:E109))</f>
        <v>63912769.785353526</v>
      </c>
      <c r="E110" s="509">
        <f t="shared" si="19"/>
        <v>2653618.0303030303</v>
      </c>
      <c r="F110" s="510">
        <f t="shared" si="20"/>
        <v>61259151.755050495</v>
      </c>
      <c r="G110" s="510">
        <f t="shared" si="21"/>
        <v>62585960.770202011</v>
      </c>
      <c r="H110" s="627">
        <f t="shared" si="22"/>
        <v>9413479.2069145478</v>
      </c>
      <c r="I110" s="628">
        <f t="shared" si="23"/>
        <v>9413479.2069145478</v>
      </c>
      <c r="J110" s="504">
        <f t="shared" si="15"/>
        <v>0</v>
      </c>
      <c r="K110" s="504"/>
      <c r="L110" s="512"/>
      <c r="M110" s="504">
        <f t="shared" si="16"/>
        <v>0</v>
      </c>
      <c r="N110" s="512"/>
      <c r="O110" s="504">
        <f t="shared" si="17"/>
        <v>0</v>
      </c>
      <c r="P110" s="504">
        <f t="shared" si="18"/>
        <v>0</v>
      </c>
    </row>
    <row r="111" spans="1:16" ht="12.5">
      <c r="B111" s="145" t="str">
        <f t="shared" si="14"/>
        <v/>
      </c>
      <c r="C111" s="495">
        <f>IF(D94="","-",+C110+1)</f>
        <v>2028</v>
      </c>
      <c r="D111" s="349">
        <f>IF(F110+SUM(E$100:E110)=D$93,F110,D$93-SUM(E$100:E110))</f>
        <v>61259151.755050495</v>
      </c>
      <c r="E111" s="509">
        <f t="shared" si="19"/>
        <v>2653618.0303030303</v>
      </c>
      <c r="F111" s="510">
        <f t="shared" si="20"/>
        <v>58605533.724747464</v>
      </c>
      <c r="G111" s="510">
        <f t="shared" si="21"/>
        <v>59932342.73989898</v>
      </c>
      <c r="H111" s="627">
        <f t="shared" si="22"/>
        <v>9126863.9775587916</v>
      </c>
      <c r="I111" s="628">
        <f t="shared" si="23"/>
        <v>9126863.9775587916</v>
      </c>
      <c r="J111" s="504">
        <f t="shared" si="15"/>
        <v>0</v>
      </c>
      <c r="K111" s="504"/>
      <c r="L111" s="512"/>
      <c r="M111" s="504">
        <f t="shared" si="16"/>
        <v>0</v>
      </c>
      <c r="N111" s="512"/>
      <c r="O111" s="504">
        <f t="shared" si="17"/>
        <v>0</v>
      </c>
      <c r="P111" s="504">
        <f t="shared" si="18"/>
        <v>0</v>
      </c>
    </row>
    <row r="112" spans="1:16" ht="12.5">
      <c r="B112" s="145" t="str">
        <f t="shared" si="14"/>
        <v/>
      </c>
      <c r="C112" s="495">
        <f>IF(D94="","-",+C111+1)</f>
        <v>2029</v>
      </c>
      <c r="D112" s="349">
        <f>IF(F111+SUM(E$100:E111)=D$93,F111,D$93-SUM(E$100:E111))</f>
        <v>58605533.724747464</v>
      </c>
      <c r="E112" s="509">
        <f t="shared" si="19"/>
        <v>2653618.0303030303</v>
      </c>
      <c r="F112" s="510">
        <f t="shared" si="20"/>
        <v>55951915.694444433</v>
      </c>
      <c r="G112" s="510">
        <f t="shared" si="21"/>
        <v>57278724.709595948</v>
      </c>
      <c r="H112" s="627">
        <f t="shared" si="22"/>
        <v>8840248.7482030354</v>
      </c>
      <c r="I112" s="628">
        <f t="shared" si="23"/>
        <v>8840248.7482030354</v>
      </c>
      <c r="J112" s="504">
        <f t="shared" si="15"/>
        <v>0</v>
      </c>
      <c r="K112" s="504"/>
      <c r="L112" s="512"/>
      <c r="M112" s="504">
        <f t="shared" si="16"/>
        <v>0</v>
      </c>
      <c r="N112" s="512"/>
      <c r="O112" s="504">
        <f t="shared" si="17"/>
        <v>0</v>
      </c>
      <c r="P112" s="504">
        <f t="shared" si="18"/>
        <v>0</v>
      </c>
    </row>
    <row r="113" spans="2:16" ht="12.5">
      <c r="B113" s="145" t="str">
        <f t="shared" si="14"/>
        <v/>
      </c>
      <c r="C113" s="495">
        <f>IF(D94="","-",+C112+1)</f>
        <v>2030</v>
      </c>
      <c r="D113" s="349">
        <f>IF(F112+SUM(E$100:E112)=D$93,F112,D$93-SUM(E$100:E112))</f>
        <v>55951915.694444433</v>
      </c>
      <c r="E113" s="509">
        <f t="shared" si="19"/>
        <v>2653618.0303030303</v>
      </c>
      <c r="F113" s="510">
        <f t="shared" si="20"/>
        <v>53298297.664141402</v>
      </c>
      <c r="G113" s="510">
        <f t="shared" si="21"/>
        <v>54625106.679292917</v>
      </c>
      <c r="H113" s="627">
        <f t="shared" si="22"/>
        <v>8553633.5188472793</v>
      </c>
      <c r="I113" s="628">
        <f t="shared" si="23"/>
        <v>8553633.5188472793</v>
      </c>
      <c r="J113" s="504">
        <f t="shared" si="15"/>
        <v>0</v>
      </c>
      <c r="K113" s="504"/>
      <c r="L113" s="512"/>
      <c r="M113" s="504">
        <f t="shared" si="16"/>
        <v>0</v>
      </c>
      <c r="N113" s="512"/>
      <c r="O113" s="504">
        <f t="shared" si="17"/>
        <v>0</v>
      </c>
      <c r="P113" s="504">
        <f t="shared" si="18"/>
        <v>0</v>
      </c>
    </row>
    <row r="114" spans="2:16" ht="12.5">
      <c r="B114" s="145" t="str">
        <f t="shared" si="14"/>
        <v/>
      </c>
      <c r="C114" s="495">
        <f>IF(D94="","-",+C113+1)</f>
        <v>2031</v>
      </c>
      <c r="D114" s="349">
        <f>IF(F113+SUM(E$100:E113)=D$93,F113,D$93-SUM(E$100:E113))</f>
        <v>53298297.664141402</v>
      </c>
      <c r="E114" s="509">
        <f t="shared" si="19"/>
        <v>2653618.0303030303</v>
      </c>
      <c r="F114" s="510">
        <f t="shared" si="20"/>
        <v>50644679.63383837</v>
      </c>
      <c r="G114" s="510">
        <f t="shared" si="21"/>
        <v>51971488.648989886</v>
      </c>
      <c r="H114" s="627">
        <f t="shared" si="22"/>
        <v>8267018.289491524</v>
      </c>
      <c r="I114" s="628">
        <f t="shared" si="23"/>
        <v>8267018.289491524</v>
      </c>
      <c r="J114" s="504">
        <f t="shared" si="15"/>
        <v>0</v>
      </c>
      <c r="K114" s="504"/>
      <c r="L114" s="512"/>
      <c r="M114" s="504">
        <f t="shared" si="16"/>
        <v>0</v>
      </c>
      <c r="N114" s="512"/>
      <c r="O114" s="504">
        <f t="shared" si="17"/>
        <v>0</v>
      </c>
      <c r="P114" s="504">
        <f t="shared" si="18"/>
        <v>0</v>
      </c>
    </row>
    <row r="115" spans="2:16" ht="12.5">
      <c r="B115" s="145" t="str">
        <f t="shared" si="14"/>
        <v/>
      </c>
      <c r="C115" s="495">
        <f>IF(D94="","-",+C114+1)</f>
        <v>2032</v>
      </c>
      <c r="D115" s="349">
        <f>IF(F114+SUM(E$100:E114)=D$93,F114,D$93-SUM(E$100:E114))</f>
        <v>50644679.63383837</v>
      </c>
      <c r="E115" s="509">
        <f t="shared" si="19"/>
        <v>2653618.0303030303</v>
      </c>
      <c r="F115" s="510">
        <f t="shared" si="20"/>
        <v>47991061.603535339</v>
      </c>
      <c r="G115" s="510">
        <f t="shared" si="21"/>
        <v>49317870.618686855</v>
      </c>
      <c r="H115" s="627">
        <f t="shared" si="22"/>
        <v>7980403.0601357687</v>
      </c>
      <c r="I115" s="628">
        <f t="shared" si="23"/>
        <v>7980403.0601357687</v>
      </c>
      <c r="J115" s="504">
        <f t="shared" si="15"/>
        <v>0</v>
      </c>
      <c r="K115" s="504"/>
      <c r="L115" s="512"/>
      <c r="M115" s="504">
        <f t="shared" si="16"/>
        <v>0</v>
      </c>
      <c r="N115" s="512"/>
      <c r="O115" s="504">
        <f t="shared" si="17"/>
        <v>0</v>
      </c>
      <c r="P115" s="504">
        <f t="shared" si="18"/>
        <v>0</v>
      </c>
    </row>
    <row r="116" spans="2:16" ht="12.5">
      <c r="B116" s="145" t="str">
        <f t="shared" si="14"/>
        <v/>
      </c>
      <c r="C116" s="495">
        <f>IF(D94="","-",+C115+1)</f>
        <v>2033</v>
      </c>
      <c r="D116" s="349">
        <f>IF(F115+SUM(E$100:E115)=D$93,F115,D$93-SUM(E$100:E115))</f>
        <v>47991061.603535339</v>
      </c>
      <c r="E116" s="509">
        <f t="shared" si="19"/>
        <v>2653618.0303030303</v>
      </c>
      <c r="F116" s="510">
        <f t="shared" si="20"/>
        <v>45337443.573232308</v>
      </c>
      <c r="G116" s="510">
        <f t="shared" si="21"/>
        <v>46664252.588383824</v>
      </c>
      <c r="H116" s="627">
        <f t="shared" si="22"/>
        <v>7693787.8307800125</v>
      </c>
      <c r="I116" s="628">
        <f t="shared" si="23"/>
        <v>7693787.8307800125</v>
      </c>
      <c r="J116" s="504">
        <f t="shared" si="15"/>
        <v>0</v>
      </c>
      <c r="K116" s="504"/>
      <c r="L116" s="512"/>
      <c r="M116" s="504">
        <f t="shared" si="16"/>
        <v>0</v>
      </c>
      <c r="N116" s="512"/>
      <c r="O116" s="504">
        <f t="shared" si="17"/>
        <v>0</v>
      </c>
      <c r="P116" s="504">
        <f t="shared" si="18"/>
        <v>0</v>
      </c>
    </row>
    <row r="117" spans="2:16" ht="12.5">
      <c r="B117" s="145" t="str">
        <f t="shared" si="14"/>
        <v/>
      </c>
      <c r="C117" s="495">
        <f>IF(D94="","-",+C116+1)</f>
        <v>2034</v>
      </c>
      <c r="D117" s="349">
        <f>IF(F116+SUM(E$100:E116)=D$93,F116,D$93-SUM(E$100:E116))</f>
        <v>45337443.573232308</v>
      </c>
      <c r="E117" s="509">
        <f t="shared" si="19"/>
        <v>2653618.0303030303</v>
      </c>
      <c r="F117" s="510">
        <f t="shared" si="20"/>
        <v>42683825.542929277</v>
      </c>
      <c r="G117" s="510">
        <f t="shared" si="21"/>
        <v>44010634.558080792</v>
      </c>
      <c r="H117" s="627">
        <f t="shared" si="22"/>
        <v>7407172.6014242563</v>
      </c>
      <c r="I117" s="628">
        <f t="shared" si="23"/>
        <v>7407172.6014242563</v>
      </c>
      <c r="J117" s="504">
        <f t="shared" si="15"/>
        <v>0</v>
      </c>
      <c r="K117" s="504"/>
      <c r="L117" s="512"/>
      <c r="M117" s="504">
        <f t="shared" si="16"/>
        <v>0</v>
      </c>
      <c r="N117" s="512"/>
      <c r="O117" s="504">
        <f t="shared" si="17"/>
        <v>0</v>
      </c>
      <c r="P117" s="504">
        <f t="shared" si="18"/>
        <v>0</v>
      </c>
    </row>
    <row r="118" spans="2:16" ht="12.5">
      <c r="B118" s="145" t="str">
        <f t="shared" si="14"/>
        <v/>
      </c>
      <c r="C118" s="495">
        <f>IF(D94="","-",+C117+1)</f>
        <v>2035</v>
      </c>
      <c r="D118" s="349">
        <f>IF(F117+SUM(E$100:E117)=D$93,F117,D$93-SUM(E$100:E117))</f>
        <v>42683825.542929277</v>
      </c>
      <c r="E118" s="509">
        <f t="shared" si="19"/>
        <v>2653618.0303030303</v>
      </c>
      <c r="F118" s="510">
        <f t="shared" si="20"/>
        <v>40030207.512626246</v>
      </c>
      <c r="G118" s="510">
        <f t="shared" si="21"/>
        <v>41357016.527777761</v>
      </c>
      <c r="H118" s="627">
        <f t="shared" si="22"/>
        <v>7120557.3720685011</v>
      </c>
      <c r="I118" s="628">
        <f t="shared" si="23"/>
        <v>7120557.3720685011</v>
      </c>
      <c r="J118" s="504">
        <f t="shared" si="15"/>
        <v>0</v>
      </c>
      <c r="K118" s="504"/>
      <c r="L118" s="512"/>
      <c r="M118" s="504">
        <f t="shared" si="16"/>
        <v>0</v>
      </c>
      <c r="N118" s="512"/>
      <c r="O118" s="504">
        <f t="shared" si="17"/>
        <v>0</v>
      </c>
      <c r="P118" s="504">
        <f t="shared" si="18"/>
        <v>0</v>
      </c>
    </row>
    <row r="119" spans="2:16" ht="12.5">
      <c r="B119" s="145" t="str">
        <f t="shared" si="14"/>
        <v/>
      </c>
      <c r="C119" s="495">
        <f>IF(D94="","-",+C118+1)</f>
        <v>2036</v>
      </c>
      <c r="D119" s="349">
        <f>IF(F118+SUM(E$100:E118)=D$93,F118,D$93-SUM(E$100:E118))</f>
        <v>40030207.512626246</v>
      </c>
      <c r="E119" s="509">
        <f t="shared" si="19"/>
        <v>2653618.0303030303</v>
      </c>
      <c r="F119" s="510">
        <f t="shared" si="20"/>
        <v>37376589.482323214</v>
      </c>
      <c r="G119" s="510">
        <f t="shared" si="21"/>
        <v>38703398.49747473</v>
      </c>
      <c r="H119" s="627">
        <f t="shared" si="22"/>
        <v>6833942.1427127449</v>
      </c>
      <c r="I119" s="628">
        <f t="shared" si="23"/>
        <v>6833942.1427127449</v>
      </c>
      <c r="J119" s="504">
        <f t="shared" si="15"/>
        <v>0</v>
      </c>
      <c r="K119" s="504"/>
      <c r="L119" s="512"/>
      <c r="M119" s="504">
        <f t="shared" si="16"/>
        <v>0</v>
      </c>
      <c r="N119" s="512"/>
      <c r="O119" s="504">
        <f t="shared" si="17"/>
        <v>0</v>
      </c>
      <c r="P119" s="504">
        <f t="shared" si="18"/>
        <v>0</v>
      </c>
    </row>
    <row r="120" spans="2:16" ht="12.5">
      <c r="B120" s="145" t="str">
        <f t="shared" si="14"/>
        <v/>
      </c>
      <c r="C120" s="495">
        <f>IF(D94="","-",+C119+1)</f>
        <v>2037</v>
      </c>
      <c r="D120" s="349">
        <f>IF(F119+SUM(E$100:E119)=D$93,F119,D$93-SUM(E$100:E119))</f>
        <v>37376589.482323214</v>
      </c>
      <c r="E120" s="509">
        <f t="shared" si="19"/>
        <v>2653618.0303030303</v>
      </c>
      <c r="F120" s="510">
        <f t="shared" si="20"/>
        <v>34722971.452020183</v>
      </c>
      <c r="G120" s="510">
        <f t="shared" si="21"/>
        <v>36049780.467171699</v>
      </c>
      <c r="H120" s="627">
        <f t="shared" si="22"/>
        <v>6547326.9133569896</v>
      </c>
      <c r="I120" s="628">
        <f t="shared" si="23"/>
        <v>6547326.9133569896</v>
      </c>
      <c r="J120" s="504">
        <f t="shared" si="15"/>
        <v>0</v>
      </c>
      <c r="K120" s="504"/>
      <c r="L120" s="512"/>
      <c r="M120" s="504">
        <f t="shared" si="16"/>
        <v>0</v>
      </c>
      <c r="N120" s="512"/>
      <c r="O120" s="504">
        <f t="shared" si="17"/>
        <v>0</v>
      </c>
      <c r="P120" s="504">
        <f t="shared" si="18"/>
        <v>0</v>
      </c>
    </row>
    <row r="121" spans="2:16" ht="12.5">
      <c r="B121" s="145" t="str">
        <f t="shared" si="14"/>
        <v/>
      </c>
      <c r="C121" s="495">
        <f>IF(D94="","-",+C120+1)</f>
        <v>2038</v>
      </c>
      <c r="D121" s="349">
        <f>IF(F120+SUM(E$100:E120)=D$93,F120,D$93-SUM(E$100:E120))</f>
        <v>34722971.452020183</v>
      </c>
      <c r="E121" s="509">
        <f t="shared" si="19"/>
        <v>2653618.0303030303</v>
      </c>
      <c r="F121" s="510">
        <f t="shared" si="20"/>
        <v>32069353.421717152</v>
      </c>
      <c r="G121" s="510">
        <f t="shared" si="21"/>
        <v>33396162.436868668</v>
      </c>
      <c r="H121" s="627">
        <f t="shared" si="22"/>
        <v>6260711.6840012334</v>
      </c>
      <c r="I121" s="628">
        <f t="shared" si="23"/>
        <v>6260711.6840012334</v>
      </c>
      <c r="J121" s="504">
        <f t="shared" si="15"/>
        <v>0</v>
      </c>
      <c r="K121" s="504"/>
      <c r="L121" s="512"/>
      <c r="M121" s="504">
        <f t="shared" si="16"/>
        <v>0</v>
      </c>
      <c r="N121" s="512"/>
      <c r="O121" s="504">
        <f t="shared" si="17"/>
        <v>0</v>
      </c>
      <c r="P121" s="504">
        <f t="shared" si="18"/>
        <v>0</v>
      </c>
    </row>
    <row r="122" spans="2:16" ht="12.5">
      <c r="B122" s="145" t="str">
        <f t="shared" si="14"/>
        <v/>
      </c>
      <c r="C122" s="495">
        <f>IF(D94="","-",+C121+1)</f>
        <v>2039</v>
      </c>
      <c r="D122" s="349">
        <f>IF(F121+SUM(E$100:E121)=D$93,F121,D$93-SUM(E$100:E121))</f>
        <v>32069353.421717152</v>
      </c>
      <c r="E122" s="509">
        <f t="shared" si="19"/>
        <v>2653618.0303030303</v>
      </c>
      <c r="F122" s="510">
        <f t="shared" si="20"/>
        <v>29415735.391414121</v>
      </c>
      <c r="G122" s="510">
        <f t="shared" si="21"/>
        <v>30742544.406565636</v>
      </c>
      <c r="H122" s="627">
        <f t="shared" si="22"/>
        <v>5974096.4546454772</v>
      </c>
      <c r="I122" s="628">
        <f t="shared" si="23"/>
        <v>5974096.4546454772</v>
      </c>
      <c r="J122" s="504">
        <f t="shared" si="15"/>
        <v>0</v>
      </c>
      <c r="K122" s="504"/>
      <c r="L122" s="512"/>
      <c r="M122" s="504">
        <f t="shared" si="16"/>
        <v>0</v>
      </c>
      <c r="N122" s="512"/>
      <c r="O122" s="504">
        <f t="shared" si="17"/>
        <v>0</v>
      </c>
      <c r="P122" s="504">
        <f t="shared" si="18"/>
        <v>0</v>
      </c>
    </row>
    <row r="123" spans="2:16" ht="12.5">
      <c r="B123" s="145" t="str">
        <f t="shared" si="14"/>
        <v/>
      </c>
      <c r="C123" s="495">
        <f>IF(D94="","-",+C122+1)</f>
        <v>2040</v>
      </c>
      <c r="D123" s="349">
        <f>IF(F122+SUM(E$100:E122)=D$93,F122,D$93-SUM(E$100:E122))</f>
        <v>29415735.391414121</v>
      </c>
      <c r="E123" s="509">
        <f t="shared" si="19"/>
        <v>2653618.0303030303</v>
      </c>
      <c r="F123" s="510">
        <f t="shared" si="20"/>
        <v>26762117.36111109</v>
      </c>
      <c r="G123" s="510">
        <f t="shared" si="21"/>
        <v>28088926.376262605</v>
      </c>
      <c r="H123" s="627">
        <f t="shared" si="22"/>
        <v>5687481.225289722</v>
      </c>
      <c r="I123" s="628">
        <f t="shared" si="23"/>
        <v>5687481.225289722</v>
      </c>
      <c r="J123" s="504">
        <f t="shared" si="15"/>
        <v>0</v>
      </c>
      <c r="K123" s="504"/>
      <c r="L123" s="512"/>
      <c r="M123" s="504">
        <f t="shared" si="16"/>
        <v>0</v>
      </c>
      <c r="N123" s="512"/>
      <c r="O123" s="504">
        <f t="shared" si="17"/>
        <v>0</v>
      </c>
      <c r="P123" s="504">
        <f t="shared" si="18"/>
        <v>0</v>
      </c>
    </row>
    <row r="124" spans="2:16" ht="12.5">
      <c r="B124" s="145" t="str">
        <f t="shared" si="14"/>
        <v/>
      </c>
      <c r="C124" s="495">
        <f>IF(D94="","-",+C123+1)</f>
        <v>2041</v>
      </c>
      <c r="D124" s="349">
        <f>IF(F123+SUM(E$100:E123)=D$93,F123,D$93-SUM(E$100:E123))</f>
        <v>26762117.36111109</v>
      </c>
      <c r="E124" s="509">
        <f t="shared" si="19"/>
        <v>2653618.0303030303</v>
      </c>
      <c r="F124" s="510">
        <f t="shared" si="20"/>
        <v>24108499.330808058</v>
      </c>
      <c r="G124" s="510">
        <f t="shared" si="21"/>
        <v>25435308.345959574</v>
      </c>
      <c r="H124" s="627">
        <f t="shared" si="22"/>
        <v>5400865.9959339658</v>
      </c>
      <c r="I124" s="628">
        <f t="shared" si="23"/>
        <v>5400865.9959339658</v>
      </c>
      <c r="J124" s="504">
        <f t="shared" si="15"/>
        <v>0</v>
      </c>
      <c r="K124" s="504"/>
      <c r="L124" s="512"/>
      <c r="M124" s="504">
        <f t="shared" si="16"/>
        <v>0</v>
      </c>
      <c r="N124" s="512"/>
      <c r="O124" s="504">
        <f t="shared" si="17"/>
        <v>0</v>
      </c>
      <c r="P124" s="504">
        <f t="shared" si="18"/>
        <v>0</v>
      </c>
    </row>
    <row r="125" spans="2:16" ht="12.5">
      <c r="B125" s="145" t="str">
        <f t="shared" si="14"/>
        <v/>
      </c>
      <c r="C125" s="495">
        <f>IF(D94="","-",+C124+1)</f>
        <v>2042</v>
      </c>
      <c r="D125" s="349">
        <f>IF(F124+SUM(E$100:E124)=D$93,F124,D$93-SUM(E$100:E124))</f>
        <v>24108499.330808058</v>
      </c>
      <c r="E125" s="509">
        <f t="shared" si="19"/>
        <v>2653618.0303030303</v>
      </c>
      <c r="F125" s="510">
        <f t="shared" si="20"/>
        <v>21454881.300505027</v>
      </c>
      <c r="G125" s="510">
        <f t="shared" si="21"/>
        <v>22781690.315656543</v>
      </c>
      <c r="H125" s="627">
        <f t="shared" si="22"/>
        <v>5114250.7665782105</v>
      </c>
      <c r="I125" s="628">
        <f t="shared" si="23"/>
        <v>5114250.7665782105</v>
      </c>
      <c r="J125" s="504">
        <f t="shared" si="15"/>
        <v>0</v>
      </c>
      <c r="K125" s="504"/>
      <c r="L125" s="512"/>
      <c r="M125" s="504">
        <f t="shared" si="16"/>
        <v>0</v>
      </c>
      <c r="N125" s="512"/>
      <c r="O125" s="504">
        <f t="shared" si="17"/>
        <v>0</v>
      </c>
      <c r="P125" s="504">
        <f t="shared" si="18"/>
        <v>0</v>
      </c>
    </row>
    <row r="126" spans="2:16" ht="12.5">
      <c r="B126" s="145" t="str">
        <f t="shared" si="14"/>
        <v/>
      </c>
      <c r="C126" s="495">
        <f>IF(D94="","-",+C125+1)</f>
        <v>2043</v>
      </c>
      <c r="D126" s="349">
        <f>IF(F125+SUM(E$100:E125)=D$93,F125,D$93-SUM(E$100:E125))</f>
        <v>21454881.300505027</v>
      </c>
      <c r="E126" s="509">
        <f t="shared" si="19"/>
        <v>2653618.0303030303</v>
      </c>
      <c r="F126" s="510">
        <f t="shared" si="20"/>
        <v>18801263.270201996</v>
      </c>
      <c r="G126" s="510">
        <f t="shared" si="21"/>
        <v>20128072.285353512</v>
      </c>
      <c r="H126" s="627">
        <f t="shared" si="22"/>
        <v>4827635.5372224543</v>
      </c>
      <c r="I126" s="628">
        <f t="shared" si="23"/>
        <v>4827635.5372224543</v>
      </c>
      <c r="J126" s="504">
        <f t="shared" si="15"/>
        <v>0</v>
      </c>
      <c r="K126" s="504"/>
      <c r="L126" s="512"/>
      <c r="M126" s="504">
        <f t="shared" si="16"/>
        <v>0</v>
      </c>
      <c r="N126" s="512"/>
      <c r="O126" s="504">
        <f t="shared" si="17"/>
        <v>0</v>
      </c>
      <c r="P126" s="504">
        <f t="shared" si="18"/>
        <v>0</v>
      </c>
    </row>
    <row r="127" spans="2:16" ht="12.5">
      <c r="B127" s="145" t="str">
        <f t="shared" si="14"/>
        <v/>
      </c>
      <c r="C127" s="495">
        <f>IF(D94="","-",+C126+1)</f>
        <v>2044</v>
      </c>
      <c r="D127" s="349">
        <f>IF(F126+SUM(E$100:E126)=D$93,F126,D$93-SUM(E$100:E126))</f>
        <v>18801263.270201996</v>
      </c>
      <c r="E127" s="509">
        <f t="shared" si="19"/>
        <v>2653618.0303030303</v>
      </c>
      <c r="F127" s="510">
        <f t="shared" si="20"/>
        <v>16147645.239898965</v>
      </c>
      <c r="G127" s="510">
        <f t="shared" si="21"/>
        <v>17474454.25505048</v>
      </c>
      <c r="H127" s="627">
        <f t="shared" si="22"/>
        <v>4541020.3078666981</v>
      </c>
      <c r="I127" s="628">
        <f t="shared" si="23"/>
        <v>4541020.3078666981</v>
      </c>
      <c r="J127" s="504">
        <f t="shared" si="15"/>
        <v>0</v>
      </c>
      <c r="K127" s="504"/>
      <c r="L127" s="512"/>
      <c r="M127" s="504">
        <f t="shared" si="16"/>
        <v>0</v>
      </c>
      <c r="N127" s="512"/>
      <c r="O127" s="504">
        <f t="shared" si="17"/>
        <v>0</v>
      </c>
      <c r="P127" s="504">
        <f t="shared" si="18"/>
        <v>0</v>
      </c>
    </row>
    <row r="128" spans="2:16" ht="12.5">
      <c r="B128" s="145" t="str">
        <f t="shared" si="14"/>
        <v/>
      </c>
      <c r="C128" s="495">
        <f>IF(D94="","-",+C127+1)</f>
        <v>2045</v>
      </c>
      <c r="D128" s="349">
        <f>IF(F127+SUM(E$100:E127)=D$93,F127,D$93-SUM(E$100:E127))</f>
        <v>16147645.239898965</v>
      </c>
      <c r="E128" s="509">
        <f t="shared" si="19"/>
        <v>2653618.0303030303</v>
      </c>
      <c r="F128" s="510">
        <f t="shared" si="20"/>
        <v>13494027.209595934</v>
      </c>
      <c r="G128" s="510">
        <f t="shared" si="21"/>
        <v>14820836.224747449</v>
      </c>
      <c r="H128" s="627">
        <f t="shared" si="22"/>
        <v>4254405.0785109429</v>
      </c>
      <c r="I128" s="628">
        <f t="shared" si="23"/>
        <v>4254405.0785109429</v>
      </c>
      <c r="J128" s="504">
        <f t="shared" si="15"/>
        <v>0</v>
      </c>
      <c r="K128" s="504"/>
      <c r="L128" s="512"/>
      <c r="M128" s="504">
        <f t="shared" si="16"/>
        <v>0</v>
      </c>
      <c r="N128" s="512"/>
      <c r="O128" s="504">
        <f t="shared" si="17"/>
        <v>0</v>
      </c>
      <c r="P128" s="504">
        <f t="shared" si="18"/>
        <v>0</v>
      </c>
    </row>
    <row r="129" spans="2:16" ht="12.5">
      <c r="B129" s="145" t="str">
        <f t="shared" si="14"/>
        <v/>
      </c>
      <c r="C129" s="495">
        <f>IF(D94="","-",+C128+1)</f>
        <v>2046</v>
      </c>
      <c r="D129" s="349">
        <f>IF(F128+SUM(E$100:E128)=D$93,F128,D$93-SUM(E$100:E128))</f>
        <v>13494027.209595934</v>
      </c>
      <c r="E129" s="509">
        <f t="shared" si="19"/>
        <v>2653618.0303030303</v>
      </c>
      <c r="F129" s="510">
        <f t="shared" si="20"/>
        <v>10840409.179292902</v>
      </c>
      <c r="G129" s="510">
        <f t="shared" si="21"/>
        <v>12167218.194444418</v>
      </c>
      <c r="H129" s="627">
        <f t="shared" si="22"/>
        <v>3967789.8491551867</v>
      </c>
      <c r="I129" s="628">
        <f t="shared" si="23"/>
        <v>3967789.8491551867</v>
      </c>
      <c r="J129" s="504">
        <f t="shared" si="15"/>
        <v>0</v>
      </c>
      <c r="K129" s="504"/>
      <c r="L129" s="512"/>
      <c r="M129" s="504">
        <f t="shared" si="16"/>
        <v>0</v>
      </c>
      <c r="N129" s="512"/>
      <c r="O129" s="504">
        <f t="shared" si="17"/>
        <v>0</v>
      </c>
      <c r="P129" s="504">
        <f t="shared" si="18"/>
        <v>0</v>
      </c>
    </row>
    <row r="130" spans="2:16" ht="12.5">
      <c r="B130" s="145" t="str">
        <f t="shared" si="14"/>
        <v/>
      </c>
      <c r="C130" s="495">
        <f>IF(D94="","-",+C129+1)</f>
        <v>2047</v>
      </c>
      <c r="D130" s="349">
        <f>IF(F129+SUM(E$100:E129)=D$93,F129,D$93-SUM(E$100:E129))</f>
        <v>10840409.179292902</v>
      </c>
      <c r="E130" s="509">
        <f t="shared" si="19"/>
        <v>2653618.0303030303</v>
      </c>
      <c r="F130" s="510">
        <f t="shared" si="20"/>
        <v>8186791.1489898721</v>
      </c>
      <c r="G130" s="510">
        <f t="shared" si="21"/>
        <v>9513600.1641413867</v>
      </c>
      <c r="H130" s="627">
        <f t="shared" si="22"/>
        <v>3681174.6197994314</v>
      </c>
      <c r="I130" s="628">
        <f t="shared" si="23"/>
        <v>3681174.6197994314</v>
      </c>
      <c r="J130" s="504">
        <f t="shared" si="15"/>
        <v>0</v>
      </c>
      <c r="K130" s="504"/>
      <c r="L130" s="512"/>
      <c r="M130" s="504">
        <f t="shared" si="16"/>
        <v>0</v>
      </c>
      <c r="N130" s="512"/>
      <c r="O130" s="504">
        <f t="shared" si="17"/>
        <v>0</v>
      </c>
      <c r="P130" s="504">
        <f t="shared" si="18"/>
        <v>0</v>
      </c>
    </row>
    <row r="131" spans="2:16" ht="12.5">
      <c r="B131" s="145" t="str">
        <f t="shared" si="14"/>
        <v/>
      </c>
      <c r="C131" s="495">
        <f>IF(D94="","-",+C130+1)</f>
        <v>2048</v>
      </c>
      <c r="D131" s="349">
        <f>IF(F130+SUM(E$100:E130)=D$93,F130,D$93-SUM(E$100:E130))</f>
        <v>8186791.1489898721</v>
      </c>
      <c r="E131" s="509">
        <f t="shared" si="19"/>
        <v>2653618.0303030303</v>
      </c>
      <c r="F131" s="510">
        <f t="shared" si="20"/>
        <v>5533173.1186868418</v>
      </c>
      <c r="G131" s="510">
        <f t="shared" si="21"/>
        <v>6859982.1338383574</v>
      </c>
      <c r="H131" s="627">
        <f t="shared" si="22"/>
        <v>3394559.3904436757</v>
      </c>
      <c r="I131" s="628">
        <f t="shared" si="23"/>
        <v>3394559.3904436757</v>
      </c>
      <c r="J131" s="504">
        <f t="shared" si="15"/>
        <v>0</v>
      </c>
      <c r="K131" s="504"/>
      <c r="L131" s="512"/>
      <c r="M131" s="504">
        <f t="shared" si="16"/>
        <v>0</v>
      </c>
      <c r="N131" s="512"/>
      <c r="O131" s="504">
        <f t="shared" si="17"/>
        <v>0</v>
      </c>
      <c r="P131" s="504">
        <f t="shared" si="18"/>
        <v>0</v>
      </c>
    </row>
    <row r="132" spans="2:16" ht="12.5">
      <c r="B132" s="145" t="str">
        <f t="shared" si="14"/>
        <v/>
      </c>
      <c r="C132" s="495">
        <f>IF(D94="","-",+C131+1)</f>
        <v>2049</v>
      </c>
      <c r="D132" s="349">
        <f>IF(F131+SUM(E$100:E131)=D$93,F131,D$93-SUM(E$100:E131))</f>
        <v>5533173.1186868418</v>
      </c>
      <c r="E132" s="509">
        <f t="shared" si="19"/>
        <v>2653618.0303030303</v>
      </c>
      <c r="F132" s="510">
        <f t="shared" ref="F132:F155" si="24">+D132-E132</f>
        <v>2879555.0883838115</v>
      </c>
      <c r="G132" s="510">
        <f t="shared" ref="G132:G155" si="25">+(F132+D132)/2</f>
        <v>4206364.1035353262</v>
      </c>
      <c r="H132" s="627">
        <f t="shared" si="22"/>
        <v>3107944.16108792</v>
      </c>
      <c r="I132" s="628">
        <f t="shared" si="23"/>
        <v>3107944.16108792</v>
      </c>
      <c r="J132" s="504">
        <f t="shared" ref="J132:J155" si="26">+I542-H542</f>
        <v>0</v>
      </c>
      <c r="K132" s="504"/>
      <c r="L132" s="512"/>
      <c r="M132" s="504">
        <f t="shared" ref="M132:M155" si="27">IF(L542&lt;&gt;0,+H542-L542,0)</f>
        <v>0</v>
      </c>
      <c r="N132" s="512"/>
      <c r="O132" s="504">
        <f t="shared" ref="O132:O155" si="28">IF(N542&lt;&gt;0,+I542-N542,0)</f>
        <v>0</v>
      </c>
      <c r="P132" s="504">
        <f t="shared" ref="P132:P155" si="29">+O542-M542</f>
        <v>0</v>
      </c>
    </row>
    <row r="133" spans="2:16" ht="12.5">
      <c r="B133" s="145" t="str">
        <f t="shared" si="14"/>
        <v/>
      </c>
      <c r="C133" s="495">
        <f>IF(D94="","-",+C132+1)</f>
        <v>2050</v>
      </c>
      <c r="D133" s="349">
        <f>IF(F132+SUM(E$100:E132)=D$93,F132,D$93-SUM(E$100:E132))</f>
        <v>2879555.0883838115</v>
      </c>
      <c r="E133" s="509">
        <f t="shared" ref="E133:E155" si="30">IF(+J$97&lt;F132,J$97,D133)</f>
        <v>2653618.0303030303</v>
      </c>
      <c r="F133" s="510">
        <f t="shared" si="24"/>
        <v>225937.05808078125</v>
      </c>
      <c r="G133" s="510">
        <f t="shared" si="25"/>
        <v>1552746.0732322964</v>
      </c>
      <c r="H133" s="627">
        <f t="shared" si="22"/>
        <v>2821328.9317321642</v>
      </c>
      <c r="I133" s="628">
        <f t="shared" si="23"/>
        <v>2821328.9317321642</v>
      </c>
      <c r="J133" s="504">
        <f t="shared" si="26"/>
        <v>0</v>
      </c>
      <c r="K133" s="504"/>
      <c r="L133" s="512"/>
      <c r="M133" s="504">
        <f t="shared" si="27"/>
        <v>0</v>
      </c>
      <c r="N133" s="512"/>
      <c r="O133" s="504">
        <f t="shared" si="28"/>
        <v>0</v>
      </c>
      <c r="P133" s="504">
        <f t="shared" si="29"/>
        <v>0</v>
      </c>
    </row>
    <row r="134" spans="2:16" ht="12.5">
      <c r="B134" s="145" t="str">
        <f t="shared" si="14"/>
        <v/>
      </c>
      <c r="C134" s="495">
        <f>IF(D94="","-",+C133+1)</f>
        <v>2051</v>
      </c>
      <c r="D134" s="349">
        <f>IF(F133+SUM(E$100:E133)=D$93,F133,D$93-SUM(E$100:E133))</f>
        <v>225937.05808078125</v>
      </c>
      <c r="E134" s="509">
        <f t="shared" si="30"/>
        <v>225937.05808078125</v>
      </c>
      <c r="F134" s="510">
        <f t="shared" si="24"/>
        <v>0</v>
      </c>
      <c r="G134" s="510">
        <f t="shared" si="25"/>
        <v>112968.52904039063</v>
      </c>
      <c r="H134" s="627">
        <f t="shared" si="22"/>
        <v>238138.70145640921</v>
      </c>
      <c r="I134" s="628">
        <f t="shared" si="23"/>
        <v>238138.70145640921</v>
      </c>
      <c r="J134" s="504">
        <f t="shared" si="26"/>
        <v>0</v>
      </c>
      <c r="K134" s="504"/>
      <c r="L134" s="512"/>
      <c r="M134" s="504">
        <f t="shared" si="27"/>
        <v>0</v>
      </c>
      <c r="N134" s="512"/>
      <c r="O134" s="504">
        <f t="shared" si="28"/>
        <v>0</v>
      </c>
      <c r="P134" s="504">
        <f t="shared" si="29"/>
        <v>0</v>
      </c>
    </row>
    <row r="135" spans="2:16" ht="12.5">
      <c r="B135" s="145" t="str">
        <f t="shared" si="14"/>
        <v/>
      </c>
      <c r="C135" s="495">
        <f>IF(D94="","-",+C134+1)</f>
        <v>2052</v>
      </c>
      <c r="D135" s="349">
        <f>IF(F134+SUM(E$100:E134)=D$93,F134,D$93-SUM(E$100:E134))</f>
        <v>0</v>
      </c>
      <c r="E135" s="509">
        <f t="shared" si="30"/>
        <v>0</v>
      </c>
      <c r="F135" s="510">
        <f t="shared" si="24"/>
        <v>0</v>
      </c>
      <c r="G135" s="510">
        <f t="shared" si="25"/>
        <v>0</v>
      </c>
      <c r="H135" s="627">
        <f t="shared" si="22"/>
        <v>0</v>
      </c>
      <c r="I135" s="628">
        <f t="shared" si="23"/>
        <v>0</v>
      </c>
      <c r="J135" s="504">
        <f t="shared" si="26"/>
        <v>0</v>
      </c>
      <c r="K135" s="504"/>
      <c r="L135" s="512"/>
      <c r="M135" s="504">
        <f t="shared" si="27"/>
        <v>0</v>
      </c>
      <c r="N135" s="512"/>
      <c r="O135" s="504">
        <f t="shared" si="28"/>
        <v>0</v>
      </c>
      <c r="P135" s="504">
        <f t="shared" si="29"/>
        <v>0</v>
      </c>
    </row>
    <row r="136" spans="2:16" ht="12.5">
      <c r="B136" s="145" t="str">
        <f t="shared" si="14"/>
        <v/>
      </c>
      <c r="C136" s="495">
        <f>IF(D94="","-",+C135+1)</f>
        <v>2053</v>
      </c>
      <c r="D136" s="349">
        <f>IF(F135+SUM(E$100:E135)=D$93,F135,D$93-SUM(E$100:E135))</f>
        <v>0</v>
      </c>
      <c r="E136" s="509">
        <f t="shared" si="30"/>
        <v>0</v>
      </c>
      <c r="F136" s="510">
        <f t="shared" si="24"/>
        <v>0</v>
      </c>
      <c r="G136" s="510">
        <f t="shared" si="25"/>
        <v>0</v>
      </c>
      <c r="H136" s="627">
        <f t="shared" si="22"/>
        <v>0</v>
      </c>
      <c r="I136" s="628">
        <f t="shared" si="23"/>
        <v>0</v>
      </c>
      <c r="J136" s="504">
        <f t="shared" si="26"/>
        <v>0</v>
      </c>
      <c r="K136" s="504"/>
      <c r="L136" s="512"/>
      <c r="M136" s="504">
        <f t="shared" si="27"/>
        <v>0</v>
      </c>
      <c r="N136" s="512"/>
      <c r="O136" s="504">
        <f t="shared" si="28"/>
        <v>0</v>
      </c>
      <c r="P136" s="504">
        <f t="shared" si="29"/>
        <v>0</v>
      </c>
    </row>
    <row r="137" spans="2:16" ht="12.5">
      <c r="B137" s="145" t="str">
        <f t="shared" si="14"/>
        <v/>
      </c>
      <c r="C137" s="495">
        <f>IF(D94="","-",+C136+1)</f>
        <v>2054</v>
      </c>
      <c r="D137" s="349">
        <f>IF(F136+SUM(E$100:E136)=D$93,F136,D$93-SUM(E$100:E136))</f>
        <v>0</v>
      </c>
      <c r="E137" s="509">
        <f t="shared" si="30"/>
        <v>0</v>
      </c>
      <c r="F137" s="510">
        <f t="shared" si="24"/>
        <v>0</v>
      </c>
      <c r="G137" s="510">
        <f t="shared" si="25"/>
        <v>0</v>
      </c>
      <c r="H137" s="627">
        <f t="shared" si="22"/>
        <v>0</v>
      </c>
      <c r="I137" s="628">
        <f t="shared" si="23"/>
        <v>0</v>
      </c>
      <c r="J137" s="504">
        <f t="shared" si="26"/>
        <v>0</v>
      </c>
      <c r="K137" s="504"/>
      <c r="L137" s="512"/>
      <c r="M137" s="504">
        <f t="shared" si="27"/>
        <v>0</v>
      </c>
      <c r="N137" s="512"/>
      <c r="O137" s="504">
        <f t="shared" si="28"/>
        <v>0</v>
      </c>
      <c r="P137" s="504">
        <f t="shared" si="29"/>
        <v>0</v>
      </c>
    </row>
    <row r="138" spans="2:16" ht="12.5">
      <c r="B138" s="145" t="str">
        <f t="shared" si="14"/>
        <v/>
      </c>
      <c r="C138" s="495">
        <f>IF(D94="","-",+C137+1)</f>
        <v>2055</v>
      </c>
      <c r="D138" s="349">
        <f>IF(F137+SUM(E$100:E137)=D$93,F137,D$93-SUM(E$100:E137))</f>
        <v>0</v>
      </c>
      <c r="E138" s="509">
        <f t="shared" si="30"/>
        <v>0</v>
      </c>
      <c r="F138" s="510">
        <f t="shared" si="24"/>
        <v>0</v>
      </c>
      <c r="G138" s="510">
        <f t="shared" si="25"/>
        <v>0</v>
      </c>
      <c r="H138" s="627">
        <f t="shared" si="22"/>
        <v>0</v>
      </c>
      <c r="I138" s="628">
        <f t="shared" si="23"/>
        <v>0</v>
      </c>
      <c r="J138" s="504">
        <f t="shared" si="26"/>
        <v>0</v>
      </c>
      <c r="K138" s="504"/>
      <c r="L138" s="512"/>
      <c r="M138" s="504">
        <f t="shared" si="27"/>
        <v>0</v>
      </c>
      <c r="N138" s="512"/>
      <c r="O138" s="504">
        <f t="shared" si="28"/>
        <v>0</v>
      </c>
      <c r="P138" s="504">
        <f t="shared" si="29"/>
        <v>0</v>
      </c>
    </row>
    <row r="139" spans="2:16" ht="12.5">
      <c r="B139" s="145" t="str">
        <f t="shared" si="14"/>
        <v/>
      </c>
      <c r="C139" s="495">
        <f>IF(D94="","-",+C138+1)</f>
        <v>2056</v>
      </c>
      <c r="D139" s="349">
        <f>IF(F138+SUM(E$100:E138)=D$93,F138,D$93-SUM(E$100:E138))</f>
        <v>0</v>
      </c>
      <c r="E139" s="509">
        <f t="shared" si="30"/>
        <v>0</v>
      </c>
      <c r="F139" s="510">
        <f t="shared" si="24"/>
        <v>0</v>
      </c>
      <c r="G139" s="510">
        <f t="shared" si="25"/>
        <v>0</v>
      </c>
      <c r="H139" s="627">
        <f t="shared" si="22"/>
        <v>0</v>
      </c>
      <c r="I139" s="628">
        <f t="shared" si="23"/>
        <v>0</v>
      </c>
      <c r="J139" s="504">
        <f t="shared" si="26"/>
        <v>0</v>
      </c>
      <c r="K139" s="504"/>
      <c r="L139" s="512"/>
      <c r="M139" s="504">
        <f t="shared" si="27"/>
        <v>0</v>
      </c>
      <c r="N139" s="512"/>
      <c r="O139" s="504">
        <f t="shared" si="28"/>
        <v>0</v>
      </c>
      <c r="P139" s="504">
        <f t="shared" si="29"/>
        <v>0</v>
      </c>
    </row>
    <row r="140" spans="2:16" ht="12.5">
      <c r="B140" s="145" t="str">
        <f t="shared" si="14"/>
        <v/>
      </c>
      <c r="C140" s="495">
        <f>IF(D94="","-",+C139+1)</f>
        <v>2057</v>
      </c>
      <c r="D140" s="349">
        <f>IF(F139+SUM(E$100:E139)=D$93,F139,D$93-SUM(E$100:E139))</f>
        <v>0</v>
      </c>
      <c r="E140" s="509">
        <f t="shared" si="30"/>
        <v>0</v>
      </c>
      <c r="F140" s="510">
        <f t="shared" si="24"/>
        <v>0</v>
      </c>
      <c r="G140" s="510">
        <f t="shared" si="25"/>
        <v>0</v>
      </c>
      <c r="H140" s="627">
        <f t="shared" si="22"/>
        <v>0</v>
      </c>
      <c r="I140" s="628">
        <f t="shared" si="23"/>
        <v>0</v>
      </c>
      <c r="J140" s="504">
        <f t="shared" si="26"/>
        <v>0</v>
      </c>
      <c r="K140" s="504"/>
      <c r="L140" s="512"/>
      <c r="M140" s="504">
        <f t="shared" si="27"/>
        <v>0</v>
      </c>
      <c r="N140" s="512"/>
      <c r="O140" s="504">
        <f t="shared" si="28"/>
        <v>0</v>
      </c>
      <c r="P140" s="504">
        <f t="shared" si="29"/>
        <v>0</v>
      </c>
    </row>
    <row r="141" spans="2:16" ht="12.5">
      <c r="B141" s="145" t="str">
        <f t="shared" si="14"/>
        <v/>
      </c>
      <c r="C141" s="495">
        <f>IF(D94="","-",+C140+1)</f>
        <v>2058</v>
      </c>
      <c r="D141" s="349">
        <f>IF(F140+SUM(E$100:E140)=D$93,F140,D$93-SUM(E$100:E140))</f>
        <v>0</v>
      </c>
      <c r="E141" s="509">
        <f t="shared" si="30"/>
        <v>0</v>
      </c>
      <c r="F141" s="510">
        <f t="shared" si="24"/>
        <v>0</v>
      </c>
      <c r="G141" s="510">
        <f t="shared" si="25"/>
        <v>0</v>
      </c>
      <c r="H141" s="627">
        <f t="shared" si="22"/>
        <v>0</v>
      </c>
      <c r="I141" s="628">
        <f t="shared" si="23"/>
        <v>0</v>
      </c>
      <c r="J141" s="504">
        <f t="shared" si="26"/>
        <v>0</v>
      </c>
      <c r="K141" s="504"/>
      <c r="L141" s="512"/>
      <c r="M141" s="504">
        <f t="shared" si="27"/>
        <v>0</v>
      </c>
      <c r="N141" s="512"/>
      <c r="O141" s="504">
        <f t="shared" si="28"/>
        <v>0</v>
      </c>
      <c r="P141" s="504">
        <f t="shared" si="29"/>
        <v>0</v>
      </c>
    </row>
    <row r="142" spans="2:16" ht="12.5">
      <c r="B142" s="145" t="str">
        <f t="shared" si="14"/>
        <v/>
      </c>
      <c r="C142" s="495">
        <f>IF(D94="","-",+C141+1)</f>
        <v>2059</v>
      </c>
      <c r="D142" s="349">
        <f>IF(F141+SUM(E$100:E141)=D$93,F141,D$93-SUM(E$100:E141))</f>
        <v>0</v>
      </c>
      <c r="E142" s="509">
        <f t="shared" si="30"/>
        <v>0</v>
      </c>
      <c r="F142" s="510">
        <f t="shared" si="24"/>
        <v>0</v>
      </c>
      <c r="G142" s="510">
        <f t="shared" si="25"/>
        <v>0</v>
      </c>
      <c r="H142" s="627">
        <f t="shared" si="22"/>
        <v>0</v>
      </c>
      <c r="I142" s="628">
        <f t="shared" si="23"/>
        <v>0</v>
      </c>
      <c r="J142" s="504">
        <f t="shared" si="26"/>
        <v>0</v>
      </c>
      <c r="K142" s="504"/>
      <c r="L142" s="512"/>
      <c r="M142" s="504">
        <f t="shared" si="27"/>
        <v>0</v>
      </c>
      <c r="N142" s="512"/>
      <c r="O142" s="504">
        <f t="shared" si="28"/>
        <v>0</v>
      </c>
      <c r="P142" s="504">
        <f t="shared" si="29"/>
        <v>0</v>
      </c>
    </row>
    <row r="143" spans="2:16" ht="12.5">
      <c r="B143" s="145" t="str">
        <f t="shared" si="14"/>
        <v/>
      </c>
      <c r="C143" s="495">
        <f>IF(D94="","-",+C142+1)</f>
        <v>2060</v>
      </c>
      <c r="D143" s="349">
        <f>IF(F142+SUM(E$100:E142)=D$93,F142,D$93-SUM(E$100:E142))</f>
        <v>0</v>
      </c>
      <c r="E143" s="509">
        <f t="shared" si="30"/>
        <v>0</v>
      </c>
      <c r="F143" s="510">
        <f t="shared" si="24"/>
        <v>0</v>
      </c>
      <c r="G143" s="510">
        <f t="shared" si="25"/>
        <v>0</v>
      </c>
      <c r="H143" s="627">
        <f t="shared" si="22"/>
        <v>0</v>
      </c>
      <c r="I143" s="628">
        <f t="shared" si="23"/>
        <v>0</v>
      </c>
      <c r="J143" s="504">
        <f t="shared" si="26"/>
        <v>0</v>
      </c>
      <c r="K143" s="504"/>
      <c r="L143" s="512"/>
      <c r="M143" s="504">
        <f t="shared" si="27"/>
        <v>0</v>
      </c>
      <c r="N143" s="512"/>
      <c r="O143" s="504">
        <f t="shared" si="28"/>
        <v>0</v>
      </c>
      <c r="P143" s="504">
        <f t="shared" si="29"/>
        <v>0</v>
      </c>
    </row>
    <row r="144" spans="2:16" ht="12.5">
      <c r="B144" s="145" t="str">
        <f t="shared" si="14"/>
        <v/>
      </c>
      <c r="C144" s="495">
        <f>IF(D94="","-",+C143+1)</f>
        <v>2061</v>
      </c>
      <c r="D144" s="349">
        <f>IF(F143+SUM(E$100:E143)=D$93,F143,D$93-SUM(E$100:E143))</f>
        <v>0</v>
      </c>
      <c r="E144" s="509">
        <f t="shared" si="30"/>
        <v>0</v>
      </c>
      <c r="F144" s="510">
        <f t="shared" si="24"/>
        <v>0</v>
      </c>
      <c r="G144" s="510">
        <f t="shared" si="25"/>
        <v>0</v>
      </c>
      <c r="H144" s="627">
        <f t="shared" si="22"/>
        <v>0</v>
      </c>
      <c r="I144" s="628">
        <f t="shared" si="23"/>
        <v>0</v>
      </c>
      <c r="J144" s="504">
        <f t="shared" si="26"/>
        <v>0</v>
      </c>
      <c r="K144" s="504"/>
      <c r="L144" s="512"/>
      <c r="M144" s="504">
        <f t="shared" si="27"/>
        <v>0</v>
      </c>
      <c r="N144" s="512"/>
      <c r="O144" s="504">
        <f t="shared" si="28"/>
        <v>0</v>
      </c>
      <c r="P144" s="504">
        <f t="shared" si="29"/>
        <v>0</v>
      </c>
    </row>
    <row r="145" spans="2:16" ht="12.5">
      <c r="B145" s="145" t="str">
        <f t="shared" si="14"/>
        <v/>
      </c>
      <c r="C145" s="495">
        <f>IF(D94="","-",+C144+1)</f>
        <v>2062</v>
      </c>
      <c r="D145" s="349">
        <f>IF(F144+SUM(E$100:E144)=D$93,F144,D$93-SUM(E$100:E144))</f>
        <v>0</v>
      </c>
      <c r="E145" s="509">
        <f t="shared" si="30"/>
        <v>0</v>
      </c>
      <c r="F145" s="510">
        <f t="shared" si="24"/>
        <v>0</v>
      </c>
      <c r="G145" s="510">
        <f t="shared" si="25"/>
        <v>0</v>
      </c>
      <c r="H145" s="627">
        <f t="shared" si="22"/>
        <v>0</v>
      </c>
      <c r="I145" s="628">
        <f t="shared" si="23"/>
        <v>0</v>
      </c>
      <c r="J145" s="504">
        <f t="shared" si="26"/>
        <v>0</v>
      </c>
      <c r="K145" s="504"/>
      <c r="L145" s="512"/>
      <c r="M145" s="504">
        <f t="shared" si="27"/>
        <v>0</v>
      </c>
      <c r="N145" s="512"/>
      <c r="O145" s="504">
        <f t="shared" si="28"/>
        <v>0</v>
      </c>
      <c r="P145" s="504">
        <f t="shared" si="29"/>
        <v>0</v>
      </c>
    </row>
    <row r="146" spans="2:16" ht="12.5">
      <c r="B146" s="145" t="str">
        <f t="shared" si="14"/>
        <v/>
      </c>
      <c r="C146" s="495">
        <f>IF(D94="","-",+C145+1)</f>
        <v>2063</v>
      </c>
      <c r="D146" s="349">
        <f>IF(F145+SUM(E$100:E145)=D$93,F145,D$93-SUM(E$100:E145))</f>
        <v>0</v>
      </c>
      <c r="E146" s="509">
        <f t="shared" si="30"/>
        <v>0</v>
      </c>
      <c r="F146" s="510">
        <f t="shared" si="24"/>
        <v>0</v>
      </c>
      <c r="G146" s="510">
        <f t="shared" si="25"/>
        <v>0</v>
      </c>
      <c r="H146" s="627">
        <f t="shared" si="22"/>
        <v>0</v>
      </c>
      <c r="I146" s="628">
        <f t="shared" si="23"/>
        <v>0</v>
      </c>
      <c r="J146" s="504">
        <f t="shared" si="26"/>
        <v>0</v>
      </c>
      <c r="K146" s="504"/>
      <c r="L146" s="512"/>
      <c r="M146" s="504">
        <f t="shared" si="27"/>
        <v>0</v>
      </c>
      <c r="N146" s="512"/>
      <c r="O146" s="504">
        <f t="shared" si="28"/>
        <v>0</v>
      </c>
      <c r="P146" s="504">
        <f t="shared" si="29"/>
        <v>0</v>
      </c>
    </row>
    <row r="147" spans="2:16" ht="12.5">
      <c r="B147" s="145" t="str">
        <f t="shared" si="14"/>
        <v/>
      </c>
      <c r="C147" s="495">
        <f>IF(D94="","-",+C146+1)</f>
        <v>2064</v>
      </c>
      <c r="D147" s="349">
        <f>IF(F146+SUM(E$100:E146)=D$93,F146,D$93-SUM(E$100:E146))</f>
        <v>0</v>
      </c>
      <c r="E147" s="509">
        <f t="shared" si="30"/>
        <v>0</v>
      </c>
      <c r="F147" s="510">
        <f t="shared" si="24"/>
        <v>0</v>
      </c>
      <c r="G147" s="510">
        <f t="shared" si="25"/>
        <v>0</v>
      </c>
      <c r="H147" s="627">
        <f t="shared" si="22"/>
        <v>0</v>
      </c>
      <c r="I147" s="628">
        <f t="shared" si="23"/>
        <v>0</v>
      </c>
      <c r="J147" s="504">
        <f t="shared" si="26"/>
        <v>0</v>
      </c>
      <c r="K147" s="504"/>
      <c r="L147" s="512"/>
      <c r="M147" s="504">
        <f t="shared" si="27"/>
        <v>0</v>
      </c>
      <c r="N147" s="512"/>
      <c r="O147" s="504">
        <f t="shared" si="28"/>
        <v>0</v>
      </c>
      <c r="P147" s="504">
        <f t="shared" si="29"/>
        <v>0</v>
      </c>
    </row>
    <row r="148" spans="2:16" ht="12.5">
      <c r="B148" s="145" t="str">
        <f t="shared" si="14"/>
        <v/>
      </c>
      <c r="C148" s="495">
        <f>IF(D94="","-",+C147+1)</f>
        <v>2065</v>
      </c>
      <c r="D148" s="349">
        <f>IF(F147+SUM(E$100:E147)=D$93,F147,D$93-SUM(E$100:E147))</f>
        <v>0</v>
      </c>
      <c r="E148" s="509">
        <f t="shared" si="30"/>
        <v>0</v>
      </c>
      <c r="F148" s="510">
        <f t="shared" si="24"/>
        <v>0</v>
      </c>
      <c r="G148" s="510">
        <f t="shared" si="25"/>
        <v>0</v>
      </c>
      <c r="H148" s="627">
        <f t="shared" si="22"/>
        <v>0</v>
      </c>
      <c r="I148" s="628">
        <f t="shared" si="23"/>
        <v>0</v>
      </c>
      <c r="J148" s="504">
        <f t="shared" si="26"/>
        <v>0</v>
      </c>
      <c r="K148" s="504"/>
      <c r="L148" s="512"/>
      <c r="M148" s="504">
        <f t="shared" si="27"/>
        <v>0</v>
      </c>
      <c r="N148" s="512"/>
      <c r="O148" s="504">
        <f t="shared" si="28"/>
        <v>0</v>
      </c>
      <c r="P148" s="504">
        <f t="shared" si="29"/>
        <v>0</v>
      </c>
    </row>
    <row r="149" spans="2:16" ht="12.5">
      <c r="B149" s="145" t="str">
        <f t="shared" si="14"/>
        <v/>
      </c>
      <c r="C149" s="495">
        <f>IF(D94="","-",+C148+1)</f>
        <v>2066</v>
      </c>
      <c r="D149" s="349">
        <f>IF(F148+SUM(E$100:E148)=D$93,F148,D$93-SUM(E$100:E148))</f>
        <v>0</v>
      </c>
      <c r="E149" s="509">
        <f t="shared" si="30"/>
        <v>0</v>
      </c>
      <c r="F149" s="510">
        <f t="shared" si="24"/>
        <v>0</v>
      </c>
      <c r="G149" s="510">
        <f t="shared" si="25"/>
        <v>0</v>
      </c>
      <c r="H149" s="627">
        <f t="shared" si="22"/>
        <v>0</v>
      </c>
      <c r="I149" s="628">
        <f t="shared" si="23"/>
        <v>0</v>
      </c>
      <c r="J149" s="504">
        <f t="shared" si="26"/>
        <v>0</v>
      </c>
      <c r="K149" s="504"/>
      <c r="L149" s="512"/>
      <c r="M149" s="504">
        <f t="shared" si="27"/>
        <v>0</v>
      </c>
      <c r="N149" s="512"/>
      <c r="O149" s="504">
        <f t="shared" si="28"/>
        <v>0</v>
      </c>
      <c r="P149" s="504">
        <f t="shared" si="29"/>
        <v>0</v>
      </c>
    </row>
    <row r="150" spans="2:16" ht="12.5">
      <c r="B150" s="145" t="str">
        <f t="shared" si="14"/>
        <v/>
      </c>
      <c r="C150" s="495">
        <f>IF(D94="","-",+C149+1)</f>
        <v>2067</v>
      </c>
      <c r="D150" s="349">
        <f>IF(F149+SUM(E$100:E149)=D$93,F149,D$93-SUM(E$100:E149))</f>
        <v>0</v>
      </c>
      <c r="E150" s="509">
        <f t="shared" si="30"/>
        <v>0</v>
      </c>
      <c r="F150" s="510">
        <f t="shared" si="24"/>
        <v>0</v>
      </c>
      <c r="G150" s="510">
        <f t="shared" si="25"/>
        <v>0</v>
      </c>
      <c r="H150" s="627">
        <f t="shared" si="22"/>
        <v>0</v>
      </c>
      <c r="I150" s="628">
        <f t="shared" si="23"/>
        <v>0</v>
      </c>
      <c r="J150" s="504">
        <f t="shared" si="26"/>
        <v>0</v>
      </c>
      <c r="K150" s="504"/>
      <c r="L150" s="512"/>
      <c r="M150" s="504">
        <f t="shared" si="27"/>
        <v>0</v>
      </c>
      <c r="N150" s="512"/>
      <c r="O150" s="504">
        <f t="shared" si="28"/>
        <v>0</v>
      </c>
      <c r="P150" s="504">
        <f t="shared" si="29"/>
        <v>0</v>
      </c>
    </row>
    <row r="151" spans="2:16" ht="12.5">
      <c r="B151" s="145" t="str">
        <f t="shared" si="14"/>
        <v/>
      </c>
      <c r="C151" s="495">
        <f>IF(D94="","-",+C150+1)</f>
        <v>2068</v>
      </c>
      <c r="D151" s="349">
        <f>IF(F150+SUM(E$100:E150)=D$93,F150,D$93-SUM(E$100:E150))</f>
        <v>0</v>
      </c>
      <c r="E151" s="509">
        <f t="shared" si="30"/>
        <v>0</v>
      </c>
      <c r="F151" s="510">
        <f t="shared" si="24"/>
        <v>0</v>
      </c>
      <c r="G151" s="510">
        <f t="shared" si="25"/>
        <v>0</v>
      </c>
      <c r="H151" s="627">
        <f t="shared" si="22"/>
        <v>0</v>
      </c>
      <c r="I151" s="628">
        <f t="shared" si="23"/>
        <v>0</v>
      </c>
      <c r="J151" s="504">
        <f t="shared" si="26"/>
        <v>0</v>
      </c>
      <c r="K151" s="504"/>
      <c r="L151" s="512"/>
      <c r="M151" s="504">
        <f t="shared" si="27"/>
        <v>0</v>
      </c>
      <c r="N151" s="512"/>
      <c r="O151" s="504">
        <f t="shared" si="28"/>
        <v>0</v>
      </c>
      <c r="P151" s="504">
        <f t="shared" si="29"/>
        <v>0</v>
      </c>
    </row>
    <row r="152" spans="2:16" ht="12.5">
      <c r="B152" s="145" t="str">
        <f t="shared" si="14"/>
        <v/>
      </c>
      <c r="C152" s="495">
        <f>IF(D94="","-",+C151+1)</f>
        <v>2069</v>
      </c>
      <c r="D152" s="349">
        <f>IF(F151+SUM(E$100:E151)=D$93,F151,D$93-SUM(E$100:E151))</f>
        <v>0</v>
      </c>
      <c r="E152" s="509">
        <f t="shared" si="30"/>
        <v>0</v>
      </c>
      <c r="F152" s="510">
        <f t="shared" si="24"/>
        <v>0</v>
      </c>
      <c r="G152" s="510">
        <f t="shared" si="25"/>
        <v>0</v>
      </c>
      <c r="H152" s="627">
        <f t="shared" si="22"/>
        <v>0</v>
      </c>
      <c r="I152" s="628">
        <f t="shared" si="23"/>
        <v>0</v>
      </c>
      <c r="J152" s="504">
        <f t="shared" si="26"/>
        <v>0</v>
      </c>
      <c r="K152" s="504"/>
      <c r="L152" s="512"/>
      <c r="M152" s="504">
        <f t="shared" si="27"/>
        <v>0</v>
      </c>
      <c r="N152" s="512"/>
      <c r="O152" s="504">
        <f t="shared" si="28"/>
        <v>0</v>
      </c>
      <c r="P152" s="504">
        <f t="shared" si="29"/>
        <v>0</v>
      </c>
    </row>
    <row r="153" spans="2:16" ht="12.5">
      <c r="B153" s="145" t="str">
        <f t="shared" si="14"/>
        <v/>
      </c>
      <c r="C153" s="495">
        <f>IF(D94="","-",+C152+1)</f>
        <v>2070</v>
      </c>
      <c r="D153" s="349">
        <f>IF(F152+SUM(E$100:E152)=D$93,F152,D$93-SUM(E$100:E152))</f>
        <v>0</v>
      </c>
      <c r="E153" s="509">
        <f t="shared" si="30"/>
        <v>0</v>
      </c>
      <c r="F153" s="510">
        <f t="shared" si="24"/>
        <v>0</v>
      </c>
      <c r="G153" s="510">
        <f t="shared" si="25"/>
        <v>0</v>
      </c>
      <c r="H153" s="627">
        <f t="shared" si="22"/>
        <v>0</v>
      </c>
      <c r="I153" s="628">
        <f t="shared" si="23"/>
        <v>0</v>
      </c>
      <c r="J153" s="504">
        <f t="shared" si="26"/>
        <v>0</v>
      </c>
      <c r="K153" s="504"/>
      <c r="L153" s="512"/>
      <c r="M153" s="504">
        <f t="shared" si="27"/>
        <v>0</v>
      </c>
      <c r="N153" s="512"/>
      <c r="O153" s="504">
        <f t="shared" si="28"/>
        <v>0</v>
      </c>
      <c r="P153" s="504">
        <f t="shared" si="29"/>
        <v>0</v>
      </c>
    </row>
    <row r="154" spans="2:16" ht="12.5">
      <c r="B154" s="145" t="str">
        <f t="shared" si="14"/>
        <v/>
      </c>
      <c r="C154" s="495">
        <f>IF(D94="","-",+C153+1)</f>
        <v>2071</v>
      </c>
      <c r="D154" s="349">
        <f>IF(F153+SUM(E$100:E153)=D$93,F153,D$93-SUM(E$100:E153))</f>
        <v>0</v>
      </c>
      <c r="E154" s="509">
        <f t="shared" si="30"/>
        <v>0</v>
      </c>
      <c r="F154" s="510">
        <f t="shared" si="24"/>
        <v>0</v>
      </c>
      <c r="G154" s="510">
        <f t="shared" si="25"/>
        <v>0</v>
      </c>
      <c r="H154" s="627">
        <f t="shared" si="22"/>
        <v>0</v>
      </c>
      <c r="I154" s="628">
        <f t="shared" si="23"/>
        <v>0</v>
      </c>
      <c r="J154" s="504">
        <f t="shared" si="26"/>
        <v>0</v>
      </c>
      <c r="K154" s="504"/>
      <c r="L154" s="512"/>
      <c r="M154" s="504">
        <f t="shared" si="27"/>
        <v>0</v>
      </c>
      <c r="N154" s="512"/>
      <c r="O154" s="504">
        <f t="shared" si="28"/>
        <v>0</v>
      </c>
      <c r="P154" s="504">
        <f t="shared" si="29"/>
        <v>0</v>
      </c>
    </row>
    <row r="155" spans="2:16" ht="13" thickBot="1">
      <c r="B155" s="145" t="str">
        <f t="shared" si="14"/>
        <v/>
      </c>
      <c r="C155" s="524">
        <f>IF(D94="","-",+C154+1)</f>
        <v>2072</v>
      </c>
      <c r="D155" s="638">
        <f>IF(F154+SUM(E$100:E154)=D$93,F154,D$93-SUM(E$100:E154))</f>
        <v>0</v>
      </c>
      <c r="E155" s="526">
        <f t="shared" si="30"/>
        <v>0</v>
      </c>
      <c r="F155" s="527">
        <f t="shared" si="24"/>
        <v>0</v>
      </c>
      <c r="G155" s="527">
        <f t="shared" si="25"/>
        <v>0</v>
      </c>
      <c r="H155" s="623">
        <f t="shared" si="22"/>
        <v>0</v>
      </c>
      <c r="I155" s="624">
        <f t="shared" si="23"/>
        <v>0</v>
      </c>
      <c r="J155" s="531">
        <f t="shared" si="26"/>
        <v>0</v>
      </c>
      <c r="K155" s="504"/>
      <c r="L155" s="530"/>
      <c r="M155" s="531">
        <f t="shared" si="27"/>
        <v>0</v>
      </c>
      <c r="N155" s="530"/>
      <c r="O155" s="531">
        <f t="shared" si="28"/>
        <v>0</v>
      </c>
      <c r="P155" s="531">
        <f t="shared" si="29"/>
        <v>0</v>
      </c>
    </row>
    <row r="156" spans="2:16" ht="12.5">
      <c r="C156" s="349" t="s">
        <v>75</v>
      </c>
      <c r="D156" s="294"/>
      <c r="E156" s="294">
        <f>SUM(E100:E155)</f>
        <v>87569394.999999985</v>
      </c>
      <c r="F156" s="294"/>
      <c r="G156" s="294"/>
      <c r="H156" s="294">
        <f>SUM(H100:H155)</f>
        <v>249334526.24945873</v>
      </c>
      <c r="I156" s="294">
        <f>SUM(I100:I155)</f>
        <v>249334526.24945873</v>
      </c>
      <c r="J156" s="294">
        <f>SUM(J100:J155)</f>
        <v>0</v>
      </c>
      <c r="K156" s="294"/>
      <c r="L156" s="294"/>
      <c r="M156" s="294"/>
      <c r="N156" s="294"/>
      <c r="O156" s="294"/>
      <c r="P156" s="243"/>
    </row>
    <row r="157" spans="2:16" ht="12.5">
      <c r="C157" s="145" t="s">
        <v>90</v>
      </c>
      <c r="D157" s="292"/>
      <c r="E157" s="243"/>
      <c r="F157" s="243"/>
      <c r="G157" s="243"/>
      <c r="H157" s="243"/>
      <c r="I157" s="325"/>
      <c r="J157" s="325"/>
      <c r="K157" s="294"/>
      <c r="L157" s="325"/>
      <c r="M157" s="325"/>
      <c r="N157" s="325"/>
      <c r="O157" s="325"/>
      <c r="P157" s="243"/>
    </row>
    <row r="158" spans="2:16" ht="12.5">
      <c r="C158" s="574"/>
      <c r="D158" s="292"/>
      <c r="E158" s="243"/>
      <c r="F158" s="243"/>
      <c r="G158" s="243"/>
      <c r="H158" s="243"/>
      <c r="I158" s="325"/>
      <c r="J158" s="325"/>
      <c r="K158" s="294"/>
      <c r="L158" s="325"/>
      <c r="M158" s="325"/>
      <c r="N158" s="325"/>
      <c r="O158" s="325"/>
      <c r="P158" s="243"/>
    </row>
    <row r="159" spans="2:16" ht="13">
      <c r="C159" s="619" t="s">
        <v>130</v>
      </c>
      <c r="D159" s="292"/>
      <c r="E159" s="243"/>
      <c r="F159" s="243"/>
      <c r="G159" s="243"/>
      <c r="H159" s="243"/>
      <c r="I159" s="325"/>
      <c r="J159" s="325"/>
      <c r="K159" s="294"/>
      <c r="L159" s="325"/>
      <c r="M159" s="325"/>
      <c r="N159" s="325"/>
      <c r="O159" s="325"/>
      <c r="P159" s="243"/>
    </row>
    <row r="160" spans="2:16" ht="13">
      <c r="C160" s="454" t="s">
        <v>76</v>
      </c>
      <c r="D160" s="349"/>
      <c r="E160" s="349"/>
      <c r="F160" s="349"/>
      <c r="G160" s="349"/>
      <c r="H160" s="294"/>
      <c r="I160" s="294"/>
      <c r="J160" s="350"/>
      <c r="K160" s="350"/>
      <c r="L160" s="350"/>
      <c r="M160" s="350"/>
      <c r="N160" s="350"/>
      <c r="O160" s="350"/>
      <c r="P160" s="243"/>
    </row>
    <row r="161" spans="3:16" ht="13">
      <c r="C161" s="575" t="s">
        <v>77</v>
      </c>
      <c r="D161" s="349"/>
      <c r="E161" s="349"/>
      <c r="F161" s="349"/>
      <c r="G161" s="349"/>
      <c r="H161" s="294"/>
      <c r="I161" s="294"/>
      <c r="J161" s="350"/>
      <c r="K161" s="350"/>
      <c r="L161" s="350"/>
      <c r="M161" s="350"/>
      <c r="N161" s="350"/>
      <c r="O161" s="350"/>
      <c r="P161" s="243"/>
    </row>
    <row r="162" spans="3:16" ht="13">
      <c r="C162" s="575"/>
      <c r="D162" s="349"/>
      <c r="E162" s="349"/>
      <c r="F162" s="349"/>
      <c r="G162" s="349"/>
      <c r="H162" s="294"/>
      <c r="I162" s="294"/>
      <c r="J162" s="350"/>
      <c r="K162" s="350"/>
      <c r="L162" s="350"/>
      <c r="M162" s="350"/>
      <c r="N162" s="350"/>
      <c r="O162" s="350"/>
      <c r="P162" s="243"/>
    </row>
    <row r="163" spans="3:16" ht="17.5">
      <c r="C163" s="575"/>
      <c r="D163" s="349"/>
      <c r="E163" s="349"/>
      <c r="F163" s="349"/>
      <c r="G163" s="349"/>
      <c r="H163" s="294"/>
      <c r="I163" s="294"/>
      <c r="J163" s="350"/>
      <c r="K163" s="350"/>
      <c r="L163" s="350"/>
      <c r="M163" s="350"/>
      <c r="N163" s="350"/>
      <c r="P163" s="583" t="s">
        <v>129</v>
      </c>
    </row>
  </sheetData>
  <conditionalFormatting sqref="C17:C71 C73">
    <cfRule type="cellIs" dxfId="14" priority="2" stopIfTrue="1" operator="equal">
      <formula>$I$10</formula>
    </cfRule>
  </conditionalFormatting>
  <conditionalFormatting sqref="C100:C155">
    <cfRule type="cellIs" dxfId="13" priority="3" stopIfTrue="1" operator="equal">
      <formula>$J$93</formula>
    </cfRule>
  </conditionalFormatting>
  <conditionalFormatting sqref="C72">
    <cfRule type="cellIs" dxfId="12"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zoomScale="85" zoomScaleNormal="85"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18 of 20</v>
      </c>
    </row>
    <row r="2" spans="1:16" ht="17.5">
      <c r="B2" s="243"/>
      <c r="C2" s="243"/>
      <c r="D2" s="292"/>
      <c r="E2" s="243"/>
      <c r="F2" s="243"/>
      <c r="G2" s="243"/>
      <c r="H2" s="325"/>
      <c r="I2" s="243"/>
      <c r="J2" s="278"/>
      <c r="K2" s="243"/>
      <c r="L2" s="243"/>
      <c r="M2" s="243"/>
      <c r="N2" s="243"/>
      <c r="P2" s="441" t="s">
        <v>131</v>
      </c>
    </row>
    <row r="3" spans="1:16" ht="18">
      <c r="B3" s="233" t="s">
        <v>42</v>
      </c>
      <c r="C3" s="305" t="s">
        <v>43</v>
      </c>
      <c r="D3" s="292"/>
      <c r="E3" s="243"/>
      <c r="F3" s="243"/>
      <c r="G3" s="243"/>
      <c r="H3" s="325"/>
      <c r="I3" s="325"/>
      <c r="J3" s="294"/>
      <c r="K3" s="325"/>
      <c r="L3" s="325"/>
      <c r="M3" s="325"/>
      <c r="N3" s="325"/>
      <c r="O3" s="243"/>
      <c r="P3" s="577">
        <v>1</v>
      </c>
    </row>
    <row r="4" spans="1:16" ht="16" thickBot="1">
      <c r="C4" s="304"/>
      <c r="D4" s="292"/>
      <c r="E4" s="243"/>
      <c r="F4" s="243"/>
      <c r="G4" s="243"/>
      <c r="H4" s="325"/>
      <c r="I4" s="325"/>
      <c r="J4" s="294"/>
      <c r="K4" s="325"/>
      <c r="L4" s="325"/>
      <c r="M4" s="325"/>
      <c r="N4" s="325"/>
      <c r="O4" s="243"/>
      <c r="P4" s="243"/>
    </row>
    <row r="5" spans="1:16" ht="15.5">
      <c r="C5" s="443" t="s">
        <v>44</v>
      </c>
      <c r="D5" s="292"/>
      <c r="E5" s="243"/>
      <c r="F5" s="243"/>
      <c r="G5" s="444"/>
      <c r="H5" s="243" t="s">
        <v>45</v>
      </c>
      <c r="I5" s="243"/>
      <c r="J5" s="278"/>
      <c r="K5" s="445" t="s">
        <v>242</v>
      </c>
      <c r="L5" s="446"/>
      <c r="M5" s="447"/>
      <c r="N5" s="448">
        <f>VLOOKUP(I10,C17:I73,5)</f>
        <v>1183351.4738305765</v>
      </c>
      <c r="P5" s="243"/>
    </row>
    <row r="6" spans="1:16" ht="15.5">
      <c r="C6" s="235"/>
      <c r="D6" s="292"/>
      <c r="E6" s="243"/>
      <c r="F6" s="243"/>
      <c r="G6" s="243"/>
      <c r="H6" s="449"/>
      <c r="I6" s="449"/>
      <c r="J6" s="450"/>
      <c r="K6" s="451" t="s">
        <v>243</v>
      </c>
      <c r="L6" s="452"/>
      <c r="M6" s="278"/>
      <c r="N6" s="453">
        <f>VLOOKUP(I10,C17:I73,6)</f>
        <v>1183351.4738305765</v>
      </c>
      <c r="O6" s="243"/>
      <c r="P6" s="243"/>
    </row>
    <row r="7" spans="1:16" ht="13.5" thickBot="1">
      <c r="C7" s="454" t="s">
        <v>46</v>
      </c>
      <c r="D7" s="637" t="s">
        <v>263</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265</v>
      </c>
      <c r="E9" s="647" t="s">
        <v>295</v>
      </c>
      <c r="F9" s="465"/>
      <c r="G9" s="465"/>
      <c r="H9" s="465"/>
      <c r="I9" s="466"/>
      <c r="J9" s="467"/>
      <c r="O9" s="468"/>
      <c r="P9" s="278"/>
    </row>
    <row r="10" spans="1:16" ht="13">
      <c r="C10" s="469" t="s">
        <v>49</v>
      </c>
      <c r="D10" s="470">
        <v>8934664</v>
      </c>
      <c r="E10" s="299" t="s">
        <v>50</v>
      </c>
      <c r="F10" s="468"/>
      <c r="G10" s="408"/>
      <c r="H10" s="408"/>
      <c r="I10" s="471">
        <f>+OKT.WS.F.BPU.ATRR.Projected!R101</f>
        <v>2021</v>
      </c>
      <c r="J10" s="467"/>
      <c r="K10" s="294" t="s">
        <v>51</v>
      </c>
      <c r="O10" s="278"/>
      <c r="P10" s="278"/>
    </row>
    <row r="11" spans="1:16" ht="12.5">
      <c r="C11" s="472" t="s">
        <v>52</v>
      </c>
      <c r="D11" s="473">
        <v>2018</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ht="12.5">
      <c r="C12" s="472" t="s">
        <v>54</v>
      </c>
      <c r="D12" s="470">
        <v>5</v>
      </c>
      <c r="E12" s="472" t="s">
        <v>55</v>
      </c>
      <c r="F12" s="408"/>
      <c r="G12" s="220"/>
      <c r="H12" s="220"/>
      <c r="I12" s="476">
        <f>OKT.WS.F.BPU.ATRR.Projected!$F$79</f>
        <v>0.10818506718567715</v>
      </c>
      <c r="J12" s="413"/>
      <c r="K12" s="145" t="s">
        <v>56</v>
      </c>
      <c r="O12" s="278"/>
      <c r="P12" s="278"/>
    </row>
    <row r="13" spans="1:16"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row>
    <row r="14" spans="1:16" ht="13" thickBot="1">
      <c r="C14" s="472" t="s">
        <v>60</v>
      </c>
      <c r="D14" s="473" t="s">
        <v>61</v>
      </c>
      <c r="E14" s="278" t="s">
        <v>62</v>
      </c>
      <c r="F14" s="408"/>
      <c r="G14" s="220"/>
      <c r="H14" s="220"/>
      <c r="I14" s="477">
        <f>IF(D10=0,0,D10/D13)</f>
        <v>288214.96774193546</v>
      </c>
      <c r="J14" s="294"/>
      <c r="K14" s="294"/>
      <c r="L14" s="294"/>
      <c r="M14" s="294"/>
      <c r="N14" s="294"/>
      <c r="O14" s="278"/>
      <c r="P14" s="278"/>
    </row>
    <row r="15" spans="1:16"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ht="12.5">
      <c r="B17" s="145" t="str">
        <f t="shared" ref="B17:B71" si="0">IF(D17=F16,"","IU")</f>
        <v>IU</v>
      </c>
      <c r="C17" s="495">
        <f>IF(D11= "","-",D11)</f>
        <v>2018</v>
      </c>
      <c r="D17" s="614">
        <v>0</v>
      </c>
      <c r="E17" s="613">
        <v>0</v>
      </c>
      <c r="F17" s="614">
        <v>8591402</v>
      </c>
      <c r="G17" s="613">
        <v>472269.24918780552</v>
      </c>
      <c r="H17" s="617">
        <v>472269.24918780552</v>
      </c>
      <c r="I17" s="500">
        <f t="shared" ref="I17:I71" si="1">H17-G17</f>
        <v>0</v>
      </c>
      <c r="J17" s="500"/>
      <c r="K17" s="501">
        <f>+G17</f>
        <v>472269.24918780552</v>
      </c>
      <c r="L17" s="503">
        <f t="shared" ref="L17:L71" si="2">IF(K17&lt;&gt;0,+G17-K17,0)</f>
        <v>0</v>
      </c>
      <c r="M17" s="501">
        <f>+H17</f>
        <v>472269.24918780552</v>
      </c>
      <c r="N17" s="503">
        <f t="shared" ref="N17:N71" si="3">IF(M17&lt;&gt;0,+H17-M17,0)</f>
        <v>0</v>
      </c>
      <c r="O17" s="504">
        <f t="shared" ref="O17:O71" si="4">+N17-L17</f>
        <v>0</v>
      </c>
      <c r="P17" s="278"/>
    </row>
    <row r="18" spans="2:16" ht="12.5">
      <c r="B18" s="145" t="str">
        <f t="shared" si="0"/>
        <v/>
      </c>
      <c r="C18" s="495">
        <f>IF(D11="","-",+C17+1)</f>
        <v>2019</v>
      </c>
      <c r="D18" s="614">
        <v>8591402</v>
      </c>
      <c r="E18" s="613">
        <v>254811.07676479843</v>
      </c>
      <c r="F18" s="614">
        <v>8336590.9232352013</v>
      </c>
      <c r="G18" s="613">
        <v>1134524.7126540036</v>
      </c>
      <c r="H18" s="617">
        <v>1134524.7126540036</v>
      </c>
      <c r="I18" s="500">
        <f t="shared" si="1"/>
        <v>0</v>
      </c>
      <c r="J18" s="500"/>
      <c r="K18" s="592">
        <f>+G18</f>
        <v>1134524.7126540036</v>
      </c>
      <c r="L18" s="596">
        <f t="shared" ref="L18" si="5">IF(K18&lt;&gt;0,+G18-K18,0)</f>
        <v>0</v>
      </c>
      <c r="M18" s="592">
        <f>+H18</f>
        <v>1134524.7126540036</v>
      </c>
      <c r="N18" s="504">
        <f t="shared" si="3"/>
        <v>0</v>
      </c>
      <c r="O18" s="504">
        <f t="shared" si="4"/>
        <v>0</v>
      </c>
      <c r="P18" s="278"/>
    </row>
    <row r="19" spans="2:16" ht="12.5">
      <c r="B19" s="145" t="str">
        <f t="shared" si="0"/>
        <v>IU</v>
      </c>
      <c r="C19" s="495">
        <f>IF(D11="","-",+C18+1)</f>
        <v>2020</v>
      </c>
      <c r="D19" s="614">
        <v>8386649.9543424007</v>
      </c>
      <c r="E19" s="613">
        <v>261622.86982027246</v>
      </c>
      <c r="F19" s="614">
        <v>8125027.0845221281</v>
      </c>
      <c r="G19" s="613">
        <v>1127928.3671828741</v>
      </c>
      <c r="H19" s="617">
        <v>1127928.3671828741</v>
      </c>
      <c r="I19" s="500">
        <f t="shared" si="1"/>
        <v>0</v>
      </c>
      <c r="J19" s="500"/>
      <c r="K19" s="592">
        <f>+G19</f>
        <v>1127928.3671828741</v>
      </c>
      <c r="L19" s="596">
        <f t="shared" ref="L19" si="6">IF(K19&lt;&gt;0,+G19-K19,0)</f>
        <v>0</v>
      </c>
      <c r="M19" s="592">
        <f>+H19</f>
        <v>1127928.3671828741</v>
      </c>
      <c r="N19" s="504">
        <f t="shared" si="3"/>
        <v>0</v>
      </c>
      <c r="O19" s="504">
        <f t="shared" si="4"/>
        <v>0</v>
      </c>
      <c r="P19" s="278"/>
    </row>
    <row r="20" spans="2:16" ht="12.5">
      <c r="B20" s="145" t="str">
        <f t="shared" si="0"/>
        <v>IU</v>
      </c>
      <c r="C20" s="495">
        <f>IF(D11="","-",+C19+1)</f>
        <v>2021</v>
      </c>
      <c r="D20" s="508">
        <f>IF(F19+SUM(E$17:E19)=D$10,F19,D$10-SUM(E$17:E19))</f>
        <v>8418230.0534149297</v>
      </c>
      <c r="E20" s="509">
        <f t="shared" ref="E20" si="7">IF(+I$14&lt;F19,I$14,D20)</f>
        <v>288214.96774193546</v>
      </c>
      <c r="F20" s="510">
        <f t="shared" ref="F20" si="8">+D20-E20</f>
        <v>8130015.0856729941</v>
      </c>
      <c r="G20" s="511">
        <f t="shared" ref="G20" si="9">(D20+F20)/2*I$12+E20</f>
        <v>1183351.4738305765</v>
      </c>
      <c r="H20" s="477">
        <f t="shared" ref="H20" si="10">+(D20+F20)/2*I$13+E20</f>
        <v>1183351.4738305765</v>
      </c>
      <c r="I20" s="500">
        <f t="shared" si="1"/>
        <v>0</v>
      </c>
      <c r="J20" s="500"/>
      <c r="K20" s="512"/>
      <c r="L20" s="504">
        <f t="shared" ref="L20" si="11">IF(K20&lt;&gt;0,+G20-K20,0)</f>
        <v>0</v>
      </c>
      <c r="M20" s="512"/>
      <c r="N20" s="504">
        <f t="shared" ref="N20" si="12">IF(M20&lt;&gt;0,+H20-M20,0)</f>
        <v>0</v>
      </c>
      <c r="O20" s="504">
        <f t="shared" ref="O20" si="13">+N20-L20</f>
        <v>0</v>
      </c>
      <c r="P20" s="278"/>
    </row>
    <row r="21" spans="2:16" ht="12.5">
      <c r="B21" s="145" t="str">
        <f t="shared" si="0"/>
        <v/>
      </c>
      <c r="C21" s="495">
        <f>IF(D11="","-",+C20+1)</f>
        <v>2022</v>
      </c>
      <c r="D21" s="508">
        <f>IF(F20+SUM(E$17:E20)=D$10,F20,D$10-SUM(E$17:E20))</f>
        <v>8130015.0856729941</v>
      </c>
      <c r="E21" s="509">
        <f t="shared" ref="E21:E71" si="14">IF(+I$14&lt;F20,I$14,D21)</f>
        <v>288214.96774193546</v>
      </c>
      <c r="F21" s="510">
        <f t="shared" ref="F21:F71" si="15">+D21-E21</f>
        <v>7841800.1179310586</v>
      </c>
      <c r="G21" s="511">
        <f t="shared" ref="G21:G71" si="16">(D21+F21)/2*I$12+E21</f>
        <v>1152170.9181814976</v>
      </c>
      <c r="H21" s="477">
        <f t="shared" ref="H21:H71" si="17">+(D21+F21)/2*I$13+E21</f>
        <v>1152170.9181814976</v>
      </c>
      <c r="I21" s="500">
        <f t="shared" si="1"/>
        <v>0</v>
      </c>
      <c r="J21" s="500"/>
      <c r="K21" s="512"/>
      <c r="L21" s="504">
        <f t="shared" si="2"/>
        <v>0</v>
      </c>
      <c r="M21" s="512"/>
      <c r="N21" s="504">
        <f t="shared" si="3"/>
        <v>0</v>
      </c>
      <c r="O21" s="504">
        <f t="shared" si="4"/>
        <v>0</v>
      </c>
      <c r="P21" s="278"/>
    </row>
    <row r="22" spans="2:16" ht="12.5">
      <c r="B22" s="145" t="str">
        <f t="shared" si="0"/>
        <v/>
      </c>
      <c r="C22" s="495">
        <f>IF(D11="","-",+C21+1)</f>
        <v>2023</v>
      </c>
      <c r="D22" s="508">
        <f>IF(F21+SUM(E$17:E21)=D$10,F21,D$10-SUM(E$17:E21))</f>
        <v>7841800.1179310586</v>
      </c>
      <c r="E22" s="509">
        <f t="shared" si="14"/>
        <v>288214.96774193546</v>
      </c>
      <c r="F22" s="510">
        <f t="shared" si="15"/>
        <v>7553585.1501891231</v>
      </c>
      <c r="G22" s="511">
        <f t="shared" si="16"/>
        <v>1120990.3625324185</v>
      </c>
      <c r="H22" s="477">
        <f t="shared" si="17"/>
        <v>1120990.3625324185</v>
      </c>
      <c r="I22" s="500">
        <f t="shared" si="1"/>
        <v>0</v>
      </c>
      <c r="J22" s="500"/>
      <c r="K22" s="512"/>
      <c r="L22" s="504">
        <f t="shared" si="2"/>
        <v>0</v>
      </c>
      <c r="M22" s="512"/>
      <c r="N22" s="504">
        <f t="shared" si="3"/>
        <v>0</v>
      </c>
      <c r="O22" s="504">
        <f t="shared" si="4"/>
        <v>0</v>
      </c>
      <c r="P22" s="278"/>
    </row>
    <row r="23" spans="2:16" ht="12.5">
      <c r="B23" s="145" t="str">
        <f t="shared" si="0"/>
        <v/>
      </c>
      <c r="C23" s="495">
        <f>IF(D11="","-",+C22+1)</f>
        <v>2024</v>
      </c>
      <c r="D23" s="508">
        <f>IF(F22+SUM(E$17:E22)=D$10,F22,D$10-SUM(E$17:E22))</f>
        <v>7553585.1501891231</v>
      </c>
      <c r="E23" s="509">
        <f t="shared" si="14"/>
        <v>288214.96774193546</v>
      </c>
      <c r="F23" s="510">
        <f t="shared" si="15"/>
        <v>7265370.1824471876</v>
      </c>
      <c r="G23" s="511">
        <f t="shared" si="16"/>
        <v>1089809.8068833395</v>
      </c>
      <c r="H23" s="477">
        <f t="shared" si="17"/>
        <v>1089809.8068833395</v>
      </c>
      <c r="I23" s="500">
        <f t="shared" si="1"/>
        <v>0</v>
      </c>
      <c r="J23" s="500"/>
      <c r="K23" s="512"/>
      <c r="L23" s="504">
        <f t="shared" si="2"/>
        <v>0</v>
      </c>
      <c r="M23" s="512"/>
      <c r="N23" s="504">
        <f t="shared" si="3"/>
        <v>0</v>
      </c>
      <c r="O23" s="504">
        <f t="shared" si="4"/>
        <v>0</v>
      </c>
      <c r="P23" s="278"/>
    </row>
    <row r="24" spans="2:16" ht="12.5">
      <c r="B24" s="145" t="str">
        <f t="shared" si="0"/>
        <v/>
      </c>
      <c r="C24" s="495">
        <f>IF(D11="","-",+C23+1)</f>
        <v>2025</v>
      </c>
      <c r="D24" s="508">
        <f>IF(F23+SUM(E$17:E23)=D$10,F23,D$10-SUM(E$17:E23))</f>
        <v>7265370.1824471876</v>
      </c>
      <c r="E24" s="509">
        <f t="shared" si="14"/>
        <v>288214.96774193546</v>
      </c>
      <c r="F24" s="510">
        <f t="shared" si="15"/>
        <v>6977155.2147052521</v>
      </c>
      <c r="G24" s="511">
        <f t="shared" si="16"/>
        <v>1058629.2512342604</v>
      </c>
      <c r="H24" s="477">
        <f t="shared" si="17"/>
        <v>1058629.2512342604</v>
      </c>
      <c r="I24" s="500">
        <f t="shared" si="1"/>
        <v>0</v>
      </c>
      <c r="J24" s="500"/>
      <c r="K24" s="512"/>
      <c r="L24" s="504">
        <f t="shared" si="2"/>
        <v>0</v>
      </c>
      <c r="M24" s="512"/>
      <c r="N24" s="504">
        <f t="shared" si="3"/>
        <v>0</v>
      </c>
      <c r="O24" s="504">
        <f t="shared" si="4"/>
        <v>0</v>
      </c>
      <c r="P24" s="278"/>
    </row>
    <row r="25" spans="2:16" ht="12.5">
      <c r="B25" s="145" t="str">
        <f t="shared" si="0"/>
        <v/>
      </c>
      <c r="C25" s="495">
        <f>IF(D11="","-",+C24+1)</f>
        <v>2026</v>
      </c>
      <c r="D25" s="508">
        <f>IF(F24+SUM(E$17:E24)=D$10,F24,D$10-SUM(E$17:E24))</f>
        <v>6977155.2147052521</v>
      </c>
      <c r="E25" s="509">
        <f t="shared" si="14"/>
        <v>288214.96774193546</v>
      </c>
      <c r="F25" s="510">
        <f t="shared" si="15"/>
        <v>6688940.2469633166</v>
      </c>
      <c r="G25" s="511">
        <f t="shared" si="16"/>
        <v>1027448.6955851812</v>
      </c>
      <c r="H25" s="477">
        <f t="shared" si="17"/>
        <v>1027448.6955851812</v>
      </c>
      <c r="I25" s="500">
        <f t="shared" si="1"/>
        <v>0</v>
      </c>
      <c r="J25" s="500"/>
      <c r="K25" s="512"/>
      <c r="L25" s="504">
        <f t="shared" si="2"/>
        <v>0</v>
      </c>
      <c r="M25" s="512"/>
      <c r="N25" s="504">
        <f t="shared" si="3"/>
        <v>0</v>
      </c>
      <c r="O25" s="504">
        <f t="shared" si="4"/>
        <v>0</v>
      </c>
      <c r="P25" s="278"/>
    </row>
    <row r="26" spans="2:16" ht="12.5">
      <c r="B26" s="145" t="str">
        <f t="shared" si="0"/>
        <v/>
      </c>
      <c r="C26" s="495">
        <f>IF(D11="","-",+C25+1)</f>
        <v>2027</v>
      </c>
      <c r="D26" s="508">
        <f>IF(F25+SUM(E$17:E25)=D$10,F25,D$10-SUM(E$17:E25))</f>
        <v>6688940.2469633166</v>
      </c>
      <c r="E26" s="509">
        <f t="shared" si="14"/>
        <v>288214.96774193546</v>
      </c>
      <c r="F26" s="510">
        <f t="shared" si="15"/>
        <v>6400725.2792213811</v>
      </c>
      <c r="G26" s="511">
        <f t="shared" si="16"/>
        <v>996268.13993610209</v>
      </c>
      <c r="H26" s="477">
        <f t="shared" si="17"/>
        <v>996268.13993610209</v>
      </c>
      <c r="I26" s="500">
        <f t="shared" si="1"/>
        <v>0</v>
      </c>
      <c r="J26" s="500"/>
      <c r="K26" s="512"/>
      <c r="L26" s="504">
        <f t="shared" si="2"/>
        <v>0</v>
      </c>
      <c r="M26" s="512"/>
      <c r="N26" s="504">
        <f t="shared" si="3"/>
        <v>0</v>
      </c>
      <c r="O26" s="504">
        <f t="shared" si="4"/>
        <v>0</v>
      </c>
      <c r="P26" s="278"/>
    </row>
    <row r="27" spans="2:16" ht="12.5">
      <c r="B27" s="145" t="str">
        <f t="shared" si="0"/>
        <v/>
      </c>
      <c r="C27" s="495">
        <f>IF(D11="","-",+C26+1)</f>
        <v>2028</v>
      </c>
      <c r="D27" s="508">
        <f>IF(F26+SUM(E$17:E26)=D$10,F26,D$10-SUM(E$17:E26))</f>
        <v>6400725.2792213811</v>
      </c>
      <c r="E27" s="509">
        <f t="shared" si="14"/>
        <v>288214.96774193546</v>
      </c>
      <c r="F27" s="510">
        <f t="shared" si="15"/>
        <v>6112510.3114794455</v>
      </c>
      <c r="G27" s="511">
        <f t="shared" si="16"/>
        <v>965087.58428702317</v>
      </c>
      <c r="H27" s="477">
        <f t="shared" si="17"/>
        <v>965087.58428702317</v>
      </c>
      <c r="I27" s="500">
        <f t="shared" si="1"/>
        <v>0</v>
      </c>
      <c r="J27" s="500"/>
      <c r="K27" s="512"/>
      <c r="L27" s="504">
        <f t="shared" si="2"/>
        <v>0</v>
      </c>
      <c r="M27" s="512"/>
      <c r="N27" s="504">
        <f t="shared" si="3"/>
        <v>0</v>
      </c>
      <c r="O27" s="504">
        <f t="shared" si="4"/>
        <v>0</v>
      </c>
      <c r="P27" s="278"/>
    </row>
    <row r="28" spans="2:16" ht="12.5">
      <c r="B28" s="145" t="str">
        <f t="shared" si="0"/>
        <v/>
      </c>
      <c r="C28" s="495">
        <f>IF(D11="","-",+C27+1)</f>
        <v>2029</v>
      </c>
      <c r="D28" s="508">
        <f>IF(F27+SUM(E$17:E27)=D$10,F27,D$10-SUM(E$17:E27))</f>
        <v>6112510.3114794455</v>
      </c>
      <c r="E28" s="509">
        <f t="shared" si="14"/>
        <v>288214.96774193546</v>
      </c>
      <c r="F28" s="510">
        <f t="shared" si="15"/>
        <v>5824295.34373751</v>
      </c>
      <c r="G28" s="511">
        <f t="shared" si="16"/>
        <v>933907.02863794402</v>
      </c>
      <c r="H28" s="477">
        <f t="shared" si="17"/>
        <v>933907.02863794402</v>
      </c>
      <c r="I28" s="500">
        <f t="shared" si="1"/>
        <v>0</v>
      </c>
      <c r="J28" s="500"/>
      <c r="K28" s="512"/>
      <c r="L28" s="504">
        <f t="shared" si="2"/>
        <v>0</v>
      </c>
      <c r="M28" s="512"/>
      <c r="N28" s="504">
        <f t="shared" si="3"/>
        <v>0</v>
      </c>
      <c r="O28" s="504">
        <f t="shared" si="4"/>
        <v>0</v>
      </c>
      <c r="P28" s="278"/>
    </row>
    <row r="29" spans="2:16" ht="12.5">
      <c r="B29" s="145" t="str">
        <f t="shared" si="0"/>
        <v/>
      </c>
      <c r="C29" s="495">
        <f>IF(D11="","-",+C28+1)</f>
        <v>2030</v>
      </c>
      <c r="D29" s="508">
        <f>IF(F28+SUM(E$17:E28)=D$10,F28,D$10-SUM(E$17:E28))</f>
        <v>5824295.34373751</v>
      </c>
      <c r="E29" s="509">
        <f t="shared" si="14"/>
        <v>288214.96774193546</v>
      </c>
      <c r="F29" s="510">
        <f t="shared" si="15"/>
        <v>5536080.3759955745</v>
      </c>
      <c r="G29" s="511">
        <f t="shared" si="16"/>
        <v>902726.47298886511</v>
      </c>
      <c r="H29" s="477">
        <f t="shared" si="17"/>
        <v>902726.47298886511</v>
      </c>
      <c r="I29" s="500">
        <f t="shared" si="1"/>
        <v>0</v>
      </c>
      <c r="J29" s="500"/>
      <c r="K29" s="512"/>
      <c r="L29" s="504">
        <f t="shared" si="2"/>
        <v>0</v>
      </c>
      <c r="M29" s="512"/>
      <c r="N29" s="504">
        <f t="shared" si="3"/>
        <v>0</v>
      </c>
      <c r="O29" s="504">
        <f t="shared" si="4"/>
        <v>0</v>
      </c>
      <c r="P29" s="278"/>
    </row>
    <row r="30" spans="2:16" ht="12.5">
      <c r="B30" s="145" t="str">
        <f t="shared" si="0"/>
        <v/>
      </c>
      <c r="C30" s="495">
        <f>IF(D11="","-",+C29+1)</f>
        <v>2031</v>
      </c>
      <c r="D30" s="508">
        <f>IF(F29+SUM(E$17:E29)=D$10,F29,D$10-SUM(E$17:E29))</f>
        <v>5536080.3759955745</v>
      </c>
      <c r="E30" s="509">
        <f t="shared" si="14"/>
        <v>288214.96774193546</v>
      </c>
      <c r="F30" s="510">
        <f t="shared" si="15"/>
        <v>5247865.408253639</v>
      </c>
      <c r="G30" s="511">
        <f t="shared" si="16"/>
        <v>871545.91733978596</v>
      </c>
      <c r="H30" s="477">
        <f t="shared" si="17"/>
        <v>871545.91733978596</v>
      </c>
      <c r="I30" s="500">
        <f t="shared" si="1"/>
        <v>0</v>
      </c>
      <c r="J30" s="500"/>
      <c r="K30" s="512"/>
      <c r="L30" s="504">
        <f t="shared" si="2"/>
        <v>0</v>
      </c>
      <c r="M30" s="512"/>
      <c r="N30" s="504">
        <f t="shared" si="3"/>
        <v>0</v>
      </c>
      <c r="O30" s="504">
        <f t="shared" si="4"/>
        <v>0</v>
      </c>
      <c r="P30" s="278"/>
    </row>
    <row r="31" spans="2:16" ht="12.5">
      <c r="B31" s="145" t="str">
        <f t="shared" si="0"/>
        <v/>
      </c>
      <c r="C31" s="495">
        <f>IF(D11="","-",+C30+1)</f>
        <v>2032</v>
      </c>
      <c r="D31" s="508">
        <f>IF(F30+SUM(E$17:E30)=D$10,F30,D$10-SUM(E$17:E30))</f>
        <v>5247865.408253639</v>
      </c>
      <c r="E31" s="509">
        <f t="shared" si="14"/>
        <v>288214.96774193546</v>
      </c>
      <c r="F31" s="510">
        <f t="shared" si="15"/>
        <v>4959650.4405117035</v>
      </c>
      <c r="G31" s="511">
        <f t="shared" si="16"/>
        <v>840365.36169070704</v>
      </c>
      <c r="H31" s="477">
        <f t="shared" si="17"/>
        <v>840365.36169070704</v>
      </c>
      <c r="I31" s="500">
        <f t="shared" si="1"/>
        <v>0</v>
      </c>
      <c r="J31" s="500"/>
      <c r="K31" s="512"/>
      <c r="L31" s="504">
        <f t="shared" si="2"/>
        <v>0</v>
      </c>
      <c r="M31" s="512"/>
      <c r="N31" s="504">
        <f t="shared" si="3"/>
        <v>0</v>
      </c>
      <c r="O31" s="504">
        <f t="shared" si="4"/>
        <v>0</v>
      </c>
      <c r="P31" s="278"/>
    </row>
    <row r="32" spans="2:16" ht="12.5">
      <c r="B32" s="145" t="str">
        <f t="shared" si="0"/>
        <v/>
      </c>
      <c r="C32" s="495">
        <f>IF(D11="","-",+C31+1)</f>
        <v>2033</v>
      </c>
      <c r="D32" s="508">
        <f>IF(F31+SUM(E$17:E31)=D$10,F31,D$10-SUM(E$17:E31))</f>
        <v>4959650.4405117035</v>
      </c>
      <c r="E32" s="509">
        <f t="shared" si="14"/>
        <v>288214.96774193546</v>
      </c>
      <c r="F32" s="510">
        <f t="shared" si="15"/>
        <v>4671435.472769768</v>
      </c>
      <c r="G32" s="511">
        <f t="shared" si="16"/>
        <v>809184.80604162777</v>
      </c>
      <c r="H32" s="477">
        <f t="shared" si="17"/>
        <v>809184.80604162777</v>
      </c>
      <c r="I32" s="500">
        <f t="shared" si="1"/>
        <v>0</v>
      </c>
      <c r="J32" s="500"/>
      <c r="K32" s="512"/>
      <c r="L32" s="504">
        <f t="shared" si="2"/>
        <v>0</v>
      </c>
      <c r="M32" s="512"/>
      <c r="N32" s="504">
        <f t="shared" si="3"/>
        <v>0</v>
      </c>
      <c r="O32" s="504">
        <f t="shared" si="4"/>
        <v>0</v>
      </c>
      <c r="P32" s="278"/>
    </row>
    <row r="33" spans="2:16" ht="12.5">
      <c r="B33" s="145" t="str">
        <f t="shared" si="0"/>
        <v/>
      </c>
      <c r="C33" s="495">
        <f>IF(D11="","-",+C32+1)</f>
        <v>2034</v>
      </c>
      <c r="D33" s="508">
        <f>IF(F32+SUM(E$17:E32)=D$10,F32,D$10-SUM(E$17:E32))</f>
        <v>4671435.472769768</v>
      </c>
      <c r="E33" s="509">
        <f t="shared" si="14"/>
        <v>288214.96774193546</v>
      </c>
      <c r="F33" s="510">
        <f t="shared" si="15"/>
        <v>4383220.5050278325</v>
      </c>
      <c r="G33" s="511">
        <f t="shared" si="16"/>
        <v>778004.25039254874</v>
      </c>
      <c r="H33" s="477">
        <f t="shared" si="17"/>
        <v>778004.25039254874</v>
      </c>
      <c r="I33" s="500">
        <f t="shared" si="1"/>
        <v>0</v>
      </c>
      <c r="J33" s="500"/>
      <c r="K33" s="512"/>
      <c r="L33" s="504">
        <f t="shared" si="2"/>
        <v>0</v>
      </c>
      <c r="M33" s="512"/>
      <c r="N33" s="504">
        <f t="shared" si="3"/>
        <v>0</v>
      </c>
      <c r="O33" s="504">
        <f t="shared" si="4"/>
        <v>0</v>
      </c>
      <c r="P33" s="278"/>
    </row>
    <row r="34" spans="2:16" ht="12.5">
      <c r="B34" s="145" t="str">
        <f t="shared" si="0"/>
        <v/>
      </c>
      <c r="C34" s="495">
        <f>IF(D11="","-",+C33+1)</f>
        <v>2035</v>
      </c>
      <c r="D34" s="508">
        <f>IF(F33+SUM(E$17:E33)=D$10,F33,D$10-SUM(E$17:E33))</f>
        <v>4383220.5050278325</v>
      </c>
      <c r="E34" s="509">
        <f t="shared" si="14"/>
        <v>288214.96774193546</v>
      </c>
      <c r="F34" s="510">
        <f t="shared" si="15"/>
        <v>4095005.5372858969</v>
      </c>
      <c r="G34" s="511">
        <f t="shared" si="16"/>
        <v>746823.69474346959</v>
      </c>
      <c r="H34" s="477">
        <f t="shared" si="17"/>
        <v>746823.69474346959</v>
      </c>
      <c r="I34" s="500">
        <f t="shared" si="1"/>
        <v>0</v>
      </c>
      <c r="J34" s="500"/>
      <c r="K34" s="512"/>
      <c r="L34" s="504">
        <f t="shared" si="2"/>
        <v>0</v>
      </c>
      <c r="M34" s="512"/>
      <c r="N34" s="504">
        <f t="shared" si="3"/>
        <v>0</v>
      </c>
      <c r="O34" s="504">
        <f t="shared" si="4"/>
        <v>0</v>
      </c>
      <c r="P34" s="278"/>
    </row>
    <row r="35" spans="2:16" ht="12.5">
      <c r="B35" s="145" t="str">
        <f t="shared" si="0"/>
        <v/>
      </c>
      <c r="C35" s="495">
        <f>IF(D11="","-",+C34+1)</f>
        <v>2036</v>
      </c>
      <c r="D35" s="508">
        <f>IF(F34+SUM(E$17:E34)=D$10,F34,D$10-SUM(E$17:E34))</f>
        <v>4095005.5372858969</v>
      </c>
      <c r="E35" s="509">
        <f t="shared" si="14"/>
        <v>288214.96774193546</v>
      </c>
      <c r="F35" s="510">
        <f t="shared" si="15"/>
        <v>3806790.5695439614</v>
      </c>
      <c r="G35" s="511">
        <f t="shared" si="16"/>
        <v>715643.13909439067</v>
      </c>
      <c r="H35" s="477">
        <f t="shared" si="17"/>
        <v>715643.13909439067</v>
      </c>
      <c r="I35" s="500">
        <f t="shared" si="1"/>
        <v>0</v>
      </c>
      <c r="J35" s="500"/>
      <c r="K35" s="512"/>
      <c r="L35" s="504">
        <f t="shared" si="2"/>
        <v>0</v>
      </c>
      <c r="M35" s="512"/>
      <c r="N35" s="504">
        <f t="shared" si="3"/>
        <v>0</v>
      </c>
      <c r="O35" s="504">
        <f t="shared" si="4"/>
        <v>0</v>
      </c>
      <c r="P35" s="278"/>
    </row>
    <row r="36" spans="2:16" ht="12.5">
      <c r="B36" s="145" t="str">
        <f t="shared" si="0"/>
        <v/>
      </c>
      <c r="C36" s="495">
        <f>IF(D11="","-",+C35+1)</f>
        <v>2037</v>
      </c>
      <c r="D36" s="508">
        <f>IF(F35+SUM(E$17:E35)=D$10,F35,D$10-SUM(E$17:E35))</f>
        <v>3806790.5695439614</v>
      </c>
      <c r="E36" s="509">
        <f t="shared" si="14"/>
        <v>288214.96774193546</v>
      </c>
      <c r="F36" s="510">
        <f t="shared" si="15"/>
        <v>3518575.6018020259</v>
      </c>
      <c r="G36" s="511">
        <f t="shared" si="16"/>
        <v>684462.58344531152</v>
      </c>
      <c r="H36" s="477">
        <f t="shared" si="17"/>
        <v>684462.58344531152</v>
      </c>
      <c r="I36" s="500">
        <f t="shared" si="1"/>
        <v>0</v>
      </c>
      <c r="J36" s="500"/>
      <c r="K36" s="512"/>
      <c r="L36" s="504">
        <f t="shared" si="2"/>
        <v>0</v>
      </c>
      <c r="M36" s="512"/>
      <c r="N36" s="504">
        <f t="shared" si="3"/>
        <v>0</v>
      </c>
      <c r="O36" s="504">
        <f t="shared" si="4"/>
        <v>0</v>
      </c>
      <c r="P36" s="278"/>
    </row>
    <row r="37" spans="2:16" ht="12.5">
      <c r="B37" s="145" t="str">
        <f t="shared" si="0"/>
        <v/>
      </c>
      <c r="C37" s="495">
        <f>IF(D11="","-",+C36+1)</f>
        <v>2038</v>
      </c>
      <c r="D37" s="508">
        <f>IF(F36+SUM(E$17:E36)=D$10,F36,D$10-SUM(E$17:E36))</f>
        <v>3518575.6018020259</v>
      </c>
      <c r="E37" s="509">
        <f t="shared" si="14"/>
        <v>288214.96774193546</v>
      </c>
      <c r="F37" s="510">
        <f t="shared" si="15"/>
        <v>3230360.6340600904</v>
      </c>
      <c r="G37" s="511">
        <f t="shared" si="16"/>
        <v>653282.02779623249</v>
      </c>
      <c r="H37" s="477">
        <f t="shared" si="17"/>
        <v>653282.02779623249</v>
      </c>
      <c r="I37" s="500">
        <f t="shared" si="1"/>
        <v>0</v>
      </c>
      <c r="J37" s="500"/>
      <c r="K37" s="512"/>
      <c r="L37" s="504">
        <f t="shared" si="2"/>
        <v>0</v>
      </c>
      <c r="M37" s="512"/>
      <c r="N37" s="504">
        <f t="shared" si="3"/>
        <v>0</v>
      </c>
      <c r="O37" s="504">
        <f t="shared" si="4"/>
        <v>0</v>
      </c>
      <c r="P37" s="278"/>
    </row>
    <row r="38" spans="2:16" ht="12.5">
      <c r="B38" s="145" t="str">
        <f t="shared" si="0"/>
        <v/>
      </c>
      <c r="C38" s="495">
        <f>IF(D11="","-",+C37+1)</f>
        <v>2039</v>
      </c>
      <c r="D38" s="508">
        <f>IF(F37+SUM(E$17:E37)=D$10,F37,D$10-SUM(E$17:E37))</f>
        <v>3230360.6340600904</v>
      </c>
      <c r="E38" s="509">
        <f t="shared" si="14"/>
        <v>288214.96774193546</v>
      </c>
      <c r="F38" s="510">
        <f t="shared" si="15"/>
        <v>2942145.6663181549</v>
      </c>
      <c r="G38" s="511">
        <f t="shared" si="16"/>
        <v>622101.47214715346</v>
      </c>
      <c r="H38" s="477">
        <f t="shared" si="17"/>
        <v>622101.47214715346</v>
      </c>
      <c r="I38" s="500">
        <f t="shared" si="1"/>
        <v>0</v>
      </c>
      <c r="J38" s="500"/>
      <c r="K38" s="512"/>
      <c r="L38" s="504">
        <f t="shared" si="2"/>
        <v>0</v>
      </c>
      <c r="M38" s="512"/>
      <c r="N38" s="504">
        <f t="shared" si="3"/>
        <v>0</v>
      </c>
      <c r="O38" s="504">
        <f t="shared" si="4"/>
        <v>0</v>
      </c>
      <c r="P38" s="278"/>
    </row>
    <row r="39" spans="2:16" ht="12.5">
      <c r="B39" s="145" t="str">
        <f t="shared" si="0"/>
        <v/>
      </c>
      <c r="C39" s="495">
        <f>IF(D11="","-",+C38+1)</f>
        <v>2040</v>
      </c>
      <c r="D39" s="508">
        <f>IF(F38+SUM(E$17:E38)=D$10,F38,D$10-SUM(E$17:E38))</f>
        <v>2942145.6663181549</v>
      </c>
      <c r="E39" s="509">
        <f t="shared" si="14"/>
        <v>288214.96774193546</v>
      </c>
      <c r="F39" s="510">
        <f t="shared" si="15"/>
        <v>2653930.6985762194</v>
      </c>
      <c r="G39" s="511">
        <f t="shared" si="16"/>
        <v>590920.91649807431</v>
      </c>
      <c r="H39" s="477">
        <f t="shared" si="17"/>
        <v>590920.91649807431</v>
      </c>
      <c r="I39" s="500">
        <f t="shared" si="1"/>
        <v>0</v>
      </c>
      <c r="J39" s="500"/>
      <c r="K39" s="512"/>
      <c r="L39" s="504">
        <f t="shared" si="2"/>
        <v>0</v>
      </c>
      <c r="M39" s="512"/>
      <c r="N39" s="504">
        <f t="shared" si="3"/>
        <v>0</v>
      </c>
      <c r="O39" s="504">
        <f t="shared" si="4"/>
        <v>0</v>
      </c>
      <c r="P39" s="278"/>
    </row>
    <row r="40" spans="2:16" ht="12.5">
      <c r="B40" s="145" t="str">
        <f t="shared" si="0"/>
        <v/>
      </c>
      <c r="C40" s="495">
        <f>IF(D11="","-",+C39+1)</f>
        <v>2041</v>
      </c>
      <c r="D40" s="508">
        <f>IF(F39+SUM(E$17:E39)=D$10,F39,D$10-SUM(E$17:E39))</f>
        <v>2653930.6985762194</v>
      </c>
      <c r="E40" s="509">
        <f t="shared" si="14"/>
        <v>288214.96774193546</v>
      </c>
      <c r="F40" s="510">
        <f t="shared" si="15"/>
        <v>2365715.7308342839</v>
      </c>
      <c r="G40" s="511">
        <f t="shared" si="16"/>
        <v>559740.36084899539</v>
      </c>
      <c r="H40" s="477">
        <f t="shared" si="17"/>
        <v>559740.36084899539</v>
      </c>
      <c r="I40" s="500">
        <f t="shared" si="1"/>
        <v>0</v>
      </c>
      <c r="J40" s="500"/>
      <c r="K40" s="512"/>
      <c r="L40" s="504">
        <f t="shared" si="2"/>
        <v>0</v>
      </c>
      <c r="M40" s="512"/>
      <c r="N40" s="504">
        <f t="shared" si="3"/>
        <v>0</v>
      </c>
      <c r="O40" s="504">
        <f t="shared" si="4"/>
        <v>0</v>
      </c>
      <c r="P40" s="278"/>
    </row>
    <row r="41" spans="2:16" ht="12.5">
      <c r="B41" s="145" t="str">
        <f t="shared" si="0"/>
        <v/>
      </c>
      <c r="C41" s="495">
        <f>IF(D11="","-",+C40+1)</f>
        <v>2042</v>
      </c>
      <c r="D41" s="508">
        <f>IF(F40+SUM(E$17:E40)=D$10,F40,D$10-SUM(E$17:E40))</f>
        <v>2365715.7308342839</v>
      </c>
      <c r="E41" s="509">
        <f t="shared" si="14"/>
        <v>288214.96774193546</v>
      </c>
      <c r="F41" s="510">
        <f t="shared" si="15"/>
        <v>2077500.7630923484</v>
      </c>
      <c r="G41" s="511">
        <f t="shared" si="16"/>
        <v>528559.80519991624</v>
      </c>
      <c r="H41" s="477">
        <f t="shared" si="17"/>
        <v>528559.80519991624</v>
      </c>
      <c r="I41" s="500">
        <f t="shared" si="1"/>
        <v>0</v>
      </c>
      <c r="J41" s="500"/>
      <c r="K41" s="512"/>
      <c r="L41" s="504">
        <f t="shared" si="2"/>
        <v>0</v>
      </c>
      <c r="M41" s="512"/>
      <c r="N41" s="504">
        <f t="shared" si="3"/>
        <v>0</v>
      </c>
      <c r="O41" s="504">
        <f t="shared" si="4"/>
        <v>0</v>
      </c>
      <c r="P41" s="278"/>
    </row>
    <row r="42" spans="2:16" ht="12.5">
      <c r="B42" s="145" t="str">
        <f t="shared" si="0"/>
        <v/>
      </c>
      <c r="C42" s="495">
        <f>IF(D11="","-",+C41+1)</f>
        <v>2043</v>
      </c>
      <c r="D42" s="508">
        <f>IF(F41+SUM(E$17:E41)=D$10,F41,D$10-SUM(E$17:E41))</f>
        <v>2077500.7630923484</v>
      </c>
      <c r="E42" s="509">
        <f t="shared" si="14"/>
        <v>288214.96774193546</v>
      </c>
      <c r="F42" s="510">
        <f t="shared" si="15"/>
        <v>1789285.7953504128</v>
      </c>
      <c r="G42" s="511">
        <f t="shared" si="16"/>
        <v>497379.24955083721</v>
      </c>
      <c r="H42" s="477">
        <f t="shared" si="17"/>
        <v>497379.24955083721</v>
      </c>
      <c r="I42" s="500">
        <f t="shared" si="1"/>
        <v>0</v>
      </c>
      <c r="J42" s="500"/>
      <c r="K42" s="512"/>
      <c r="L42" s="504">
        <f t="shared" si="2"/>
        <v>0</v>
      </c>
      <c r="M42" s="512"/>
      <c r="N42" s="504">
        <f t="shared" si="3"/>
        <v>0</v>
      </c>
      <c r="O42" s="504">
        <f t="shared" si="4"/>
        <v>0</v>
      </c>
      <c r="P42" s="278"/>
    </row>
    <row r="43" spans="2:16" ht="12.5">
      <c r="B43" s="145" t="str">
        <f t="shared" si="0"/>
        <v/>
      </c>
      <c r="C43" s="495">
        <f>IF(D11="","-",+C42+1)</f>
        <v>2044</v>
      </c>
      <c r="D43" s="508">
        <f>IF(F42+SUM(E$17:E42)=D$10,F42,D$10-SUM(E$17:E42))</f>
        <v>1789285.7953504128</v>
      </c>
      <c r="E43" s="509">
        <f t="shared" si="14"/>
        <v>288214.96774193546</v>
      </c>
      <c r="F43" s="510">
        <f t="shared" si="15"/>
        <v>1501070.8276084773</v>
      </c>
      <c r="G43" s="511">
        <f t="shared" si="16"/>
        <v>466198.69390175812</v>
      </c>
      <c r="H43" s="477">
        <f t="shared" si="17"/>
        <v>466198.69390175812</v>
      </c>
      <c r="I43" s="500">
        <f t="shared" si="1"/>
        <v>0</v>
      </c>
      <c r="J43" s="500"/>
      <c r="K43" s="512"/>
      <c r="L43" s="504">
        <f t="shared" si="2"/>
        <v>0</v>
      </c>
      <c r="M43" s="512"/>
      <c r="N43" s="504">
        <f t="shared" si="3"/>
        <v>0</v>
      </c>
      <c r="O43" s="504">
        <f t="shared" si="4"/>
        <v>0</v>
      </c>
      <c r="P43" s="278"/>
    </row>
    <row r="44" spans="2:16" ht="12.5">
      <c r="B44" s="145" t="str">
        <f t="shared" si="0"/>
        <v/>
      </c>
      <c r="C44" s="495">
        <f>IF(D11="","-",+C43+1)</f>
        <v>2045</v>
      </c>
      <c r="D44" s="508">
        <f>IF(F43+SUM(E$17:E43)=D$10,F43,D$10-SUM(E$17:E43))</f>
        <v>1501070.8276084773</v>
      </c>
      <c r="E44" s="509">
        <f t="shared" si="14"/>
        <v>288214.96774193546</v>
      </c>
      <c r="F44" s="510">
        <f t="shared" si="15"/>
        <v>1212855.8598665418</v>
      </c>
      <c r="G44" s="511">
        <f t="shared" si="16"/>
        <v>435018.13825267903</v>
      </c>
      <c r="H44" s="477">
        <f t="shared" si="17"/>
        <v>435018.13825267903</v>
      </c>
      <c r="I44" s="500">
        <f t="shared" si="1"/>
        <v>0</v>
      </c>
      <c r="J44" s="500"/>
      <c r="K44" s="512"/>
      <c r="L44" s="504">
        <f t="shared" si="2"/>
        <v>0</v>
      </c>
      <c r="M44" s="512"/>
      <c r="N44" s="504">
        <f t="shared" si="3"/>
        <v>0</v>
      </c>
      <c r="O44" s="504">
        <f t="shared" si="4"/>
        <v>0</v>
      </c>
      <c r="P44" s="278"/>
    </row>
    <row r="45" spans="2:16" ht="12.5">
      <c r="B45" s="145" t="str">
        <f t="shared" si="0"/>
        <v/>
      </c>
      <c r="C45" s="495">
        <f>IF(D11="","-",+C44+1)</f>
        <v>2046</v>
      </c>
      <c r="D45" s="508">
        <f>IF(F44+SUM(E$17:E44)=D$10,F44,D$10-SUM(E$17:E44))</f>
        <v>1212855.8598665418</v>
      </c>
      <c r="E45" s="509">
        <f t="shared" si="14"/>
        <v>288214.96774193546</v>
      </c>
      <c r="F45" s="510">
        <f t="shared" si="15"/>
        <v>924640.8921246063</v>
      </c>
      <c r="G45" s="511">
        <f t="shared" si="16"/>
        <v>403837.58260359999</v>
      </c>
      <c r="H45" s="477">
        <f t="shared" si="17"/>
        <v>403837.58260359999</v>
      </c>
      <c r="I45" s="500">
        <f t="shared" si="1"/>
        <v>0</v>
      </c>
      <c r="J45" s="500"/>
      <c r="K45" s="512"/>
      <c r="L45" s="504">
        <f t="shared" si="2"/>
        <v>0</v>
      </c>
      <c r="M45" s="512"/>
      <c r="N45" s="504">
        <f t="shared" si="3"/>
        <v>0</v>
      </c>
      <c r="O45" s="504">
        <f t="shared" si="4"/>
        <v>0</v>
      </c>
      <c r="P45" s="278"/>
    </row>
    <row r="46" spans="2:16" ht="12.5">
      <c r="B46" s="145" t="str">
        <f t="shared" si="0"/>
        <v/>
      </c>
      <c r="C46" s="495">
        <f>IF(D11="","-",+C45+1)</f>
        <v>2047</v>
      </c>
      <c r="D46" s="508">
        <f>IF(F45+SUM(E$17:E45)=D$10,F45,D$10-SUM(E$17:E45))</f>
        <v>924640.8921246063</v>
      </c>
      <c r="E46" s="509">
        <f t="shared" si="14"/>
        <v>288214.96774193546</v>
      </c>
      <c r="F46" s="510">
        <f t="shared" si="15"/>
        <v>636425.92438267078</v>
      </c>
      <c r="G46" s="511">
        <f t="shared" si="16"/>
        <v>372657.0269545209</v>
      </c>
      <c r="H46" s="477">
        <f t="shared" si="17"/>
        <v>372657.0269545209</v>
      </c>
      <c r="I46" s="500">
        <f t="shared" si="1"/>
        <v>0</v>
      </c>
      <c r="J46" s="500"/>
      <c r="K46" s="512"/>
      <c r="L46" s="504">
        <f t="shared" si="2"/>
        <v>0</v>
      </c>
      <c r="M46" s="512"/>
      <c r="N46" s="504">
        <f t="shared" si="3"/>
        <v>0</v>
      </c>
      <c r="O46" s="504">
        <f t="shared" si="4"/>
        <v>0</v>
      </c>
      <c r="P46" s="278"/>
    </row>
    <row r="47" spans="2:16" ht="12.5">
      <c r="B47" s="145" t="str">
        <f t="shared" si="0"/>
        <v/>
      </c>
      <c r="C47" s="495">
        <f>IF(D11="","-",+C46+1)</f>
        <v>2048</v>
      </c>
      <c r="D47" s="508">
        <f>IF(F46+SUM(E$17:E46)=D$10,F46,D$10-SUM(E$17:E46))</f>
        <v>636425.92438267078</v>
      </c>
      <c r="E47" s="509">
        <f t="shared" si="14"/>
        <v>288214.96774193546</v>
      </c>
      <c r="F47" s="510">
        <f t="shared" si="15"/>
        <v>348210.95664073533</v>
      </c>
      <c r="G47" s="511">
        <f t="shared" si="16"/>
        <v>341476.47130544187</v>
      </c>
      <c r="H47" s="477">
        <f t="shared" si="17"/>
        <v>341476.47130544187</v>
      </c>
      <c r="I47" s="500">
        <f t="shared" si="1"/>
        <v>0</v>
      </c>
      <c r="J47" s="500"/>
      <c r="K47" s="512"/>
      <c r="L47" s="504">
        <f t="shared" si="2"/>
        <v>0</v>
      </c>
      <c r="M47" s="512"/>
      <c r="N47" s="504">
        <f t="shared" si="3"/>
        <v>0</v>
      </c>
      <c r="O47" s="504">
        <f t="shared" si="4"/>
        <v>0</v>
      </c>
      <c r="P47" s="278"/>
    </row>
    <row r="48" spans="2:16" ht="12.5">
      <c r="B48" s="145" t="str">
        <f t="shared" si="0"/>
        <v/>
      </c>
      <c r="C48" s="495">
        <f>IF(D11="","-",+C47+1)</f>
        <v>2049</v>
      </c>
      <c r="D48" s="508">
        <f>IF(F47+SUM(E$17:E47)=D$10,F47,D$10-SUM(E$17:E47))</f>
        <v>348210.95664073533</v>
      </c>
      <c r="E48" s="509">
        <f t="shared" si="14"/>
        <v>288214.96774193546</v>
      </c>
      <c r="F48" s="510">
        <f t="shared" si="15"/>
        <v>59995.988898799871</v>
      </c>
      <c r="G48" s="511">
        <f t="shared" si="16"/>
        <v>310295.91565636278</v>
      </c>
      <c r="H48" s="477">
        <f t="shared" si="17"/>
        <v>310295.91565636278</v>
      </c>
      <c r="I48" s="500">
        <f t="shared" si="1"/>
        <v>0</v>
      </c>
      <c r="J48" s="500"/>
      <c r="K48" s="512"/>
      <c r="L48" s="504">
        <f t="shared" si="2"/>
        <v>0</v>
      </c>
      <c r="M48" s="512"/>
      <c r="N48" s="504">
        <f t="shared" si="3"/>
        <v>0</v>
      </c>
      <c r="O48" s="504">
        <f t="shared" si="4"/>
        <v>0</v>
      </c>
      <c r="P48" s="278"/>
    </row>
    <row r="49" spans="2:16" ht="12.5">
      <c r="B49" s="145" t="str">
        <f t="shared" si="0"/>
        <v/>
      </c>
      <c r="C49" s="495">
        <f>IF(D11="","-",+C48+1)</f>
        <v>2050</v>
      </c>
      <c r="D49" s="508">
        <f>IF(F48+SUM(E$17:E48)=D$10,F48,D$10-SUM(E$17:E48))</f>
        <v>59995.988898799871</v>
      </c>
      <c r="E49" s="509">
        <f t="shared" si="14"/>
        <v>59995.988898799871</v>
      </c>
      <c r="F49" s="510">
        <f t="shared" si="15"/>
        <v>0</v>
      </c>
      <c r="G49" s="511">
        <f t="shared" si="16"/>
        <v>63241.323943743773</v>
      </c>
      <c r="H49" s="477">
        <f t="shared" si="17"/>
        <v>63241.323943743773</v>
      </c>
      <c r="I49" s="500">
        <f t="shared" si="1"/>
        <v>0</v>
      </c>
      <c r="J49" s="500"/>
      <c r="K49" s="512"/>
      <c r="L49" s="504">
        <f t="shared" si="2"/>
        <v>0</v>
      </c>
      <c r="M49" s="512"/>
      <c r="N49" s="504">
        <f t="shared" si="3"/>
        <v>0</v>
      </c>
      <c r="O49" s="504">
        <f t="shared" si="4"/>
        <v>0</v>
      </c>
      <c r="P49" s="278"/>
    </row>
    <row r="50" spans="2:16" ht="12.5">
      <c r="B50" s="145" t="str">
        <f t="shared" si="0"/>
        <v/>
      </c>
      <c r="C50" s="495">
        <f>IF(D11="","-",+C49+1)</f>
        <v>2051</v>
      </c>
      <c r="D50" s="508">
        <f>IF(F49+SUM(E$17:E49)=D$10,F49,D$10-SUM(E$17:E49))</f>
        <v>0</v>
      </c>
      <c r="E50" s="509">
        <f t="shared" si="14"/>
        <v>0</v>
      </c>
      <c r="F50" s="510">
        <f t="shared" si="15"/>
        <v>0</v>
      </c>
      <c r="G50" s="511">
        <f t="shared" si="16"/>
        <v>0</v>
      </c>
      <c r="H50" s="477">
        <f t="shared" si="17"/>
        <v>0</v>
      </c>
      <c r="I50" s="500">
        <f t="shared" si="1"/>
        <v>0</v>
      </c>
      <c r="J50" s="500"/>
      <c r="K50" s="512"/>
      <c r="L50" s="504">
        <f t="shared" si="2"/>
        <v>0</v>
      </c>
      <c r="M50" s="512"/>
      <c r="N50" s="504">
        <f t="shared" si="3"/>
        <v>0</v>
      </c>
      <c r="O50" s="504">
        <f t="shared" si="4"/>
        <v>0</v>
      </c>
      <c r="P50" s="278"/>
    </row>
    <row r="51" spans="2:16" ht="12.5">
      <c r="B51" s="145" t="str">
        <f t="shared" si="0"/>
        <v/>
      </c>
      <c r="C51" s="495">
        <f>IF(D11="","-",+C50+1)</f>
        <v>2052</v>
      </c>
      <c r="D51" s="508">
        <f>IF(F50+SUM(E$17:E50)=D$10,F50,D$10-SUM(E$17:E50))</f>
        <v>0</v>
      </c>
      <c r="E51" s="509">
        <f t="shared" si="14"/>
        <v>0</v>
      </c>
      <c r="F51" s="510">
        <f t="shared" si="15"/>
        <v>0</v>
      </c>
      <c r="G51" s="511">
        <f t="shared" si="16"/>
        <v>0</v>
      </c>
      <c r="H51" s="477">
        <f t="shared" si="17"/>
        <v>0</v>
      </c>
      <c r="I51" s="500">
        <f t="shared" si="1"/>
        <v>0</v>
      </c>
      <c r="J51" s="500"/>
      <c r="K51" s="512"/>
      <c r="L51" s="504">
        <f t="shared" si="2"/>
        <v>0</v>
      </c>
      <c r="M51" s="512"/>
      <c r="N51" s="504">
        <f t="shared" si="3"/>
        <v>0</v>
      </c>
      <c r="O51" s="504">
        <f t="shared" si="4"/>
        <v>0</v>
      </c>
      <c r="P51" s="278"/>
    </row>
    <row r="52" spans="2:16" ht="12.5">
      <c r="B52" s="145" t="str">
        <f t="shared" si="0"/>
        <v/>
      </c>
      <c r="C52" s="495">
        <f>IF(D11="","-",+C51+1)</f>
        <v>2053</v>
      </c>
      <c r="D52" s="508">
        <f>IF(F51+SUM(E$17:E51)=D$10,F51,D$10-SUM(E$17:E51))</f>
        <v>0</v>
      </c>
      <c r="E52" s="509">
        <f t="shared" si="14"/>
        <v>0</v>
      </c>
      <c r="F52" s="510">
        <f t="shared" si="15"/>
        <v>0</v>
      </c>
      <c r="G52" s="511">
        <f t="shared" si="16"/>
        <v>0</v>
      </c>
      <c r="H52" s="477">
        <f t="shared" si="17"/>
        <v>0</v>
      </c>
      <c r="I52" s="500">
        <f t="shared" si="1"/>
        <v>0</v>
      </c>
      <c r="J52" s="500"/>
      <c r="K52" s="512"/>
      <c r="L52" s="504">
        <f t="shared" si="2"/>
        <v>0</v>
      </c>
      <c r="M52" s="512"/>
      <c r="N52" s="504">
        <f t="shared" si="3"/>
        <v>0</v>
      </c>
      <c r="O52" s="504">
        <f t="shared" si="4"/>
        <v>0</v>
      </c>
      <c r="P52" s="278"/>
    </row>
    <row r="53" spans="2:16" ht="12.5">
      <c r="B53" s="145" t="str">
        <f t="shared" si="0"/>
        <v/>
      </c>
      <c r="C53" s="495">
        <f>IF(D11="","-",+C52+1)</f>
        <v>2054</v>
      </c>
      <c r="D53" s="508">
        <f>IF(F52+SUM(E$17:E52)=D$10,F52,D$10-SUM(E$17:E52))</f>
        <v>0</v>
      </c>
      <c r="E53" s="509">
        <f t="shared" si="14"/>
        <v>0</v>
      </c>
      <c r="F53" s="510">
        <f t="shared" si="15"/>
        <v>0</v>
      </c>
      <c r="G53" s="511">
        <f t="shared" si="16"/>
        <v>0</v>
      </c>
      <c r="H53" s="477">
        <f t="shared" si="17"/>
        <v>0</v>
      </c>
      <c r="I53" s="500">
        <f t="shared" si="1"/>
        <v>0</v>
      </c>
      <c r="J53" s="500"/>
      <c r="K53" s="512"/>
      <c r="L53" s="504">
        <f t="shared" si="2"/>
        <v>0</v>
      </c>
      <c r="M53" s="512"/>
      <c r="N53" s="504">
        <f t="shared" si="3"/>
        <v>0</v>
      </c>
      <c r="O53" s="504">
        <f t="shared" si="4"/>
        <v>0</v>
      </c>
      <c r="P53" s="278"/>
    </row>
    <row r="54" spans="2:16" ht="12.5">
      <c r="B54" s="145" t="str">
        <f t="shared" si="0"/>
        <v/>
      </c>
      <c r="C54" s="495">
        <f>IF(D11="","-",+C53+1)</f>
        <v>2055</v>
      </c>
      <c r="D54" s="508">
        <f>IF(F53+SUM(E$17:E53)=D$10,F53,D$10-SUM(E$17:E53))</f>
        <v>0</v>
      </c>
      <c r="E54" s="509">
        <f t="shared" si="14"/>
        <v>0</v>
      </c>
      <c r="F54" s="510">
        <f t="shared" si="15"/>
        <v>0</v>
      </c>
      <c r="G54" s="511">
        <f t="shared" si="16"/>
        <v>0</v>
      </c>
      <c r="H54" s="477">
        <f t="shared" si="17"/>
        <v>0</v>
      </c>
      <c r="I54" s="500">
        <f t="shared" si="1"/>
        <v>0</v>
      </c>
      <c r="J54" s="500"/>
      <c r="K54" s="512"/>
      <c r="L54" s="504">
        <f t="shared" si="2"/>
        <v>0</v>
      </c>
      <c r="M54" s="512"/>
      <c r="N54" s="504">
        <f t="shared" si="3"/>
        <v>0</v>
      </c>
      <c r="O54" s="504">
        <f t="shared" si="4"/>
        <v>0</v>
      </c>
      <c r="P54" s="278"/>
    </row>
    <row r="55" spans="2:16" ht="12.5">
      <c r="B55" s="145" t="str">
        <f t="shared" si="0"/>
        <v/>
      </c>
      <c r="C55" s="495">
        <f>IF(D11="","-",+C54+1)</f>
        <v>2056</v>
      </c>
      <c r="D55" s="508">
        <f>IF(F54+SUM(E$17:E54)=D$10,F54,D$10-SUM(E$17:E54))</f>
        <v>0</v>
      </c>
      <c r="E55" s="509">
        <f t="shared" si="14"/>
        <v>0</v>
      </c>
      <c r="F55" s="510">
        <f t="shared" si="15"/>
        <v>0</v>
      </c>
      <c r="G55" s="511">
        <f t="shared" si="16"/>
        <v>0</v>
      </c>
      <c r="H55" s="477">
        <f t="shared" si="17"/>
        <v>0</v>
      </c>
      <c r="I55" s="500">
        <f t="shared" si="1"/>
        <v>0</v>
      </c>
      <c r="J55" s="500"/>
      <c r="K55" s="512"/>
      <c r="L55" s="504">
        <f t="shared" si="2"/>
        <v>0</v>
      </c>
      <c r="M55" s="512"/>
      <c r="N55" s="504">
        <f t="shared" si="3"/>
        <v>0</v>
      </c>
      <c r="O55" s="504">
        <f t="shared" si="4"/>
        <v>0</v>
      </c>
      <c r="P55" s="278"/>
    </row>
    <row r="56" spans="2:16" ht="12.5">
      <c r="B56" s="145" t="str">
        <f t="shared" si="0"/>
        <v/>
      </c>
      <c r="C56" s="495">
        <f>IF(D11="","-",+C55+1)</f>
        <v>2057</v>
      </c>
      <c r="D56" s="508">
        <f>IF(F55+SUM(E$17:E55)=D$10,F55,D$10-SUM(E$17:E55))</f>
        <v>0</v>
      </c>
      <c r="E56" s="509">
        <f t="shared" si="14"/>
        <v>0</v>
      </c>
      <c r="F56" s="510">
        <f t="shared" si="15"/>
        <v>0</v>
      </c>
      <c r="G56" s="511">
        <f t="shared" si="16"/>
        <v>0</v>
      </c>
      <c r="H56" s="477">
        <f t="shared" si="17"/>
        <v>0</v>
      </c>
      <c r="I56" s="500">
        <f t="shared" si="1"/>
        <v>0</v>
      </c>
      <c r="J56" s="500"/>
      <c r="K56" s="512"/>
      <c r="L56" s="504">
        <f t="shared" si="2"/>
        <v>0</v>
      </c>
      <c r="M56" s="512"/>
      <c r="N56" s="504">
        <f t="shared" si="3"/>
        <v>0</v>
      </c>
      <c r="O56" s="504">
        <f t="shared" si="4"/>
        <v>0</v>
      </c>
      <c r="P56" s="278"/>
    </row>
    <row r="57" spans="2:16" ht="12.5">
      <c r="B57" s="145" t="str">
        <f t="shared" si="0"/>
        <v/>
      </c>
      <c r="C57" s="495">
        <f>IF(D11="","-",+C56+1)</f>
        <v>2058</v>
      </c>
      <c r="D57" s="508">
        <f>IF(F56+SUM(E$17:E56)=D$10,F56,D$10-SUM(E$17:E56))</f>
        <v>0</v>
      </c>
      <c r="E57" s="509">
        <f t="shared" si="14"/>
        <v>0</v>
      </c>
      <c r="F57" s="510">
        <f t="shared" si="15"/>
        <v>0</v>
      </c>
      <c r="G57" s="511">
        <f t="shared" si="16"/>
        <v>0</v>
      </c>
      <c r="H57" s="477">
        <f t="shared" si="17"/>
        <v>0</v>
      </c>
      <c r="I57" s="500">
        <f t="shared" si="1"/>
        <v>0</v>
      </c>
      <c r="J57" s="500"/>
      <c r="K57" s="512"/>
      <c r="L57" s="504">
        <f t="shared" si="2"/>
        <v>0</v>
      </c>
      <c r="M57" s="512"/>
      <c r="N57" s="504">
        <f t="shared" si="3"/>
        <v>0</v>
      </c>
      <c r="O57" s="504">
        <f t="shared" si="4"/>
        <v>0</v>
      </c>
      <c r="P57" s="278"/>
    </row>
    <row r="58" spans="2:16" ht="12.5">
      <c r="B58" s="145" t="str">
        <f t="shared" si="0"/>
        <v/>
      </c>
      <c r="C58" s="495">
        <f>IF(D11="","-",+C57+1)</f>
        <v>2059</v>
      </c>
      <c r="D58" s="508">
        <f>IF(F57+SUM(E$17:E57)=D$10,F57,D$10-SUM(E$17:E57))</f>
        <v>0</v>
      </c>
      <c r="E58" s="509">
        <f t="shared" si="14"/>
        <v>0</v>
      </c>
      <c r="F58" s="510">
        <f t="shared" si="15"/>
        <v>0</v>
      </c>
      <c r="G58" s="511">
        <f t="shared" si="16"/>
        <v>0</v>
      </c>
      <c r="H58" s="477">
        <f t="shared" si="17"/>
        <v>0</v>
      </c>
      <c r="I58" s="500">
        <f t="shared" si="1"/>
        <v>0</v>
      </c>
      <c r="J58" s="500"/>
      <c r="K58" s="512"/>
      <c r="L58" s="504">
        <f t="shared" si="2"/>
        <v>0</v>
      </c>
      <c r="M58" s="512"/>
      <c r="N58" s="504">
        <f t="shared" si="3"/>
        <v>0</v>
      </c>
      <c r="O58" s="504">
        <f t="shared" si="4"/>
        <v>0</v>
      </c>
      <c r="P58" s="278"/>
    </row>
    <row r="59" spans="2:16" ht="12.5">
      <c r="B59" s="145" t="str">
        <f t="shared" si="0"/>
        <v/>
      </c>
      <c r="C59" s="495">
        <f>IF(D11="","-",+C58+1)</f>
        <v>2060</v>
      </c>
      <c r="D59" s="508">
        <f>IF(F58+SUM(E$17:E58)=D$10,F58,D$10-SUM(E$17:E58))</f>
        <v>0</v>
      </c>
      <c r="E59" s="509">
        <f t="shared" si="14"/>
        <v>0</v>
      </c>
      <c r="F59" s="510">
        <f t="shared" si="15"/>
        <v>0</v>
      </c>
      <c r="G59" s="511">
        <f t="shared" si="16"/>
        <v>0</v>
      </c>
      <c r="H59" s="477">
        <f t="shared" si="17"/>
        <v>0</v>
      </c>
      <c r="I59" s="500">
        <f t="shared" si="1"/>
        <v>0</v>
      </c>
      <c r="J59" s="500"/>
      <c r="K59" s="512"/>
      <c r="L59" s="504">
        <f t="shared" si="2"/>
        <v>0</v>
      </c>
      <c r="M59" s="512"/>
      <c r="N59" s="504">
        <f t="shared" si="3"/>
        <v>0</v>
      </c>
      <c r="O59" s="504">
        <f t="shared" si="4"/>
        <v>0</v>
      </c>
      <c r="P59" s="278"/>
    </row>
    <row r="60" spans="2:16" ht="12.5">
      <c r="B60" s="145" t="str">
        <f t="shared" si="0"/>
        <v/>
      </c>
      <c r="C60" s="495">
        <f>IF(D11="","-",+C59+1)</f>
        <v>2061</v>
      </c>
      <c r="D60" s="508">
        <f>IF(F59+SUM(E$17:E59)=D$10,F59,D$10-SUM(E$17:E59))</f>
        <v>0</v>
      </c>
      <c r="E60" s="509">
        <f t="shared" si="14"/>
        <v>0</v>
      </c>
      <c r="F60" s="510">
        <f t="shared" si="15"/>
        <v>0</v>
      </c>
      <c r="G60" s="511">
        <f t="shared" si="16"/>
        <v>0</v>
      </c>
      <c r="H60" s="477">
        <f t="shared" si="17"/>
        <v>0</v>
      </c>
      <c r="I60" s="500">
        <f t="shared" si="1"/>
        <v>0</v>
      </c>
      <c r="J60" s="500"/>
      <c r="K60" s="512"/>
      <c r="L60" s="504">
        <f t="shared" si="2"/>
        <v>0</v>
      </c>
      <c r="M60" s="512"/>
      <c r="N60" s="504">
        <f t="shared" si="3"/>
        <v>0</v>
      </c>
      <c r="O60" s="504">
        <f t="shared" si="4"/>
        <v>0</v>
      </c>
      <c r="P60" s="278"/>
    </row>
    <row r="61" spans="2:16" ht="12.5">
      <c r="B61" s="145" t="str">
        <f t="shared" si="0"/>
        <v/>
      </c>
      <c r="C61" s="495">
        <f>IF(D11="","-",+C60+1)</f>
        <v>2062</v>
      </c>
      <c r="D61" s="508">
        <f>IF(F60+SUM(E$17:E60)=D$10,F60,D$10-SUM(E$17:E60))</f>
        <v>0</v>
      </c>
      <c r="E61" s="509">
        <f t="shared" si="14"/>
        <v>0</v>
      </c>
      <c r="F61" s="510">
        <f t="shared" si="15"/>
        <v>0</v>
      </c>
      <c r="G61" s="523">
        <f t="shared" si="16"/>
        <v>0</v>
      </c>
      <c r="H61" s="477">
        <f t="shared" si="17"/>
        <v>0</v>
      </c>
      <c r="I61" s="500">
        <f t="shared" si="1"/>
        <v>0</v>
      </c>
      <c r="J61" s="500"/>
      <c r="K61" s="512"/>
      <c r="L61" s="504">
        <f t="shared" si="2"/>
        <v>0</v>
      </c>
      <c r="M61" s="512"/>
      <c r="N61" s="504">
        <f t="shared" si="3"/>
        <v>0</v>
      </c>
      <c r="O61" s="504">
        <f t="shared" si="4"/>
        <v>0</v>
      </c>
      <c r="P61" s="278"/>
    </row>
    <row r="62" spans="2:16" ht="12.5">
      <c r="B62" s="145" t="str">
        <f t="shared" si="0"/>
        <v/>
      </c>
      <c r="C62" s="495">
        <f>IF(D11="","-",+C61+1)</f>
        <v>2063</v>
      </c>
      <c r="D62" s="508">
        <f>IF(F61+SUM(E$17:E61)=D$10,F61,D$10-SUM(E$17:E61))</f>
        <v>0</v>
      </c>
      <c r="E62" s="509">
        <f t="shared" si="14"/>
        <v>0</v>
      </c>
      <c r="F62" s="510">
        <f t="shared" si="15"/>
        <v>0</v>
      </c>
      <c r="G62" s="523">
        <f t="shared" si="16"/>
        <v>0</v>
      </c>
      <c r="H62" s="477">
        <f t="shared" si="17"/>
        <v>0</v>
      </c>
      <c r="I62" s="500">
        <f t="shared" si="1"/>
        <v>0</v>
      </c>
      <c r="J62" s="500"/>
      <c r="K62" s="512"/>
      <c r="L62" s="504">
        <f t="shared" si="2"/>
        <v>0</v>
      </c>
      <c r="M62" s="512"/>
      <c r="N62" s="504">
        <f t="shared" si="3"/>
        <v>0</v>
      </c>
      <c r="O62" s="504">
        <f t="shared" si="4"/>
        <v>0</v>
      </c>
      <c r="P62" s="278"/>
    </row>
    <row r="63" spans="2:16" ht="12.5">
      <c r="B63" s="145" t="str">
        <f t="shared" si="0"/>
        <v/>
      </c>
      <c r="C63" s="495">
        <f>IF(D11="","-",+C62+1)</f>
        <v>2064</v>
      </c>
      <c r="D63" s="508">
        <f>IF(F62+SUM(E$17:E62)=D$10,F62,D$10-SUM(E$17:E62))</f>
        <v>0</v>
      </c>
      <c r="E63" s="509">
        <f t="shared" si="14"/>
        <v>0</v>
      </c>
      <c r="F63" s="510">
        <f t="shared" si="15"/>
        <v>0</v>
      </c>
      <c r="G63" s="523">
        <f t="shared" si="16"/>
        <v>0</v>
      </c>
      <c r="H63" s="477">
        <f t="shared" si="17"/>
        <v>0</v>
      </c>
      <c r="I63" s="500">
        <f t="shared" si="1"/>
        <v>0</v>
      </c>
      <c r="J63" s="500"/>
      <c r="K63" s="512"/>
      <c r="L63" s="504">
        <f t="shared" si="2"/>
        <v>0</v>
      </c>
      <c r="M63" s="512"/>
      <c r="N63" s="504">
        <f t="shared" si="3"/>
        <v>0</v>
      </c>
      <c r="O63" s="504">
        <f t="shared" si="4"/>
        <v>0</v>
      </c>
      <c r="P63" s="278"/>
    </row>
    <row r="64" spans="2:16" ht="12.5">
      <c r="B64" s="145" t="str">
        <f t="shared" si="0"/>
        <v/>
      </c>
      <c r="C64" s="495">
        <f>IF(D11="","-",+C63+1)</f>
        <v>2065</v>
      </c>
      <c r="D64" s="508">
        <f>IF(F63+SUM(E$17:E63)=D$10,F63,D$10-SUM(E$17:E63))</f>
        <v>0</v>
      </c>
      <c r="E64" s="509">
        <f t="shared" si="14"/>
        <v>0</v>
      </c>
      <c r="F64" s="510">
        <f t="shared" si="15"/>
        <v>0</v>
      </c>
      <c r="G64" s="523">
        <f t="shared" si="16"/>
        <v>0</v>
      </c>
      <c r="H64" s="477">
        <f t="shared" si="17"/>
        <v>0</v>
      </c>
      <c r="I64" s="500">
        <f t="shared" si="1"/>
        <v>0</v>
      </c>
      <c r="J64" s="500"/>
      <c r="K64" s="512"/>
      <c r="L64" s="504">
        <f t="shared" si="2"/>
        <v>0</v>
      </c>
      <c r="M64" s="512"/>
      <c r="N64" s="504">
        <f t="shared" si="3"/>
        <v>0</v>
      </c>
      <c r="O64" s="504">
        <f t="shared" si="4"/>
        <v>0</v>
      </c>
      <c r="P64" s="278"/>
    </row>
    <row r="65" spans="2:16" ht="12.5">
      <c r="B65" s="145" t="str">
        <f t="shared" si="0"/>
        <v/>
      </c>
      <c r="C65" s="495">
        <f>IF(D11="","-",+C64+1)</f>
        <v>2066</v>
      </c>
      <c r="D65" s="508">
        <f>IF(F64+SUM(E$17:E64)=D$10,F64,D$10-SUM(E$17:E64))</f>
        <v>0</v>
      </c>
      <c r="E65" s="509">
        <f t="shared" si="14"/>
        <v>0</v>
      </c>
      <c r="F65" s="510">
        <f t="shared" si="15"/>
        <v>0</v>
      </c>
      <c r="G65" s="523">
        <f t="shared" si="16"/>
        <v>0</v>
      </c>
      <c r="H65" s="477">
        <f t="shared" si="17"/>
        <v>0</v>
      </c>
      <c r="I65" s="500">
        <f t="shared" si="1"/>
        <v>0</v>
      </c>
      <c r="J65" s="500"/>
      <c r="K65" s="512"/>
      <c r="L65" s="504">
        <f t="shared" si="2"/>
        <v>0</v>
      </c>
      <c r="M65" s="512"/>
      <c r="N65" s="504">
        <f t="shared" si="3"/>
        <v>0</v>
      </c>
      <c r="O65" s="504">
        <f t="shared" si="4"/>
        <v>0</v>
      </c>
      <c r="P65" s="278"/>
    </row>
    <row r="66" spans="2:16" ht="12.5">
      <c r="B66" s="145" t="str">
        <f t="shared" si="0"/>
        <v/>
      </c>
      <c r="C66" s="495">
        <f>IF(D11="","-",+C65+1)</f>
        <v>2067</v>
      </c>
      <c r="D66" s="508">
        <f>IF(F65+SUM(E$17:E65)=D$10,F65,D$10-SUM(E$17:E65))</f>
        <v>0</v>
      </c>
      <c r="E66" s="509">
        <f t="shared" si="14"/>
        <v>0</v>
      </c>
      <c r="F66" s="510">
        <f t="shared" si="15"/>
        <v>0</v>
      </c>
      <c r="G66" s="523">
        <f t="shared" si="16"/>
        <v>0</v>
      </c>
      <c r="H66" s="477">
        <f t="shared" si="17"/>
        <v>0</v>
      </c>
      <c r="I66" s="500">
        <f t="shared" si="1"/>
        <v>0</v>
      </c>
      <c r="J66" s="500"/>
      <c r="K66" s="512"/>
      <c r="L66" s="504">
        <f t="shared" si="2"/>
        <v>0</v>
      </c>
      <c r="M66" s="512"/>
      <c r="N66" s="504">
        <f t="shared" si="3"/>
        <v>0</v>
      </c>
      <c r="O66" s="504">
        <f t="shared" si="4"/>
        <v>0</v>
      </c>
      <c r="P66" s="278"/>
    </row>
    <row r="67" spans="2:16" ht="12.5">
      <c r="B67" s="145" t="str">
        <f t="shared" si="0"/>
        <v/>
      </c>
      <c r="C67" s="495">
        <f>IF(D11="","-",+C66+1)</f>
        <v>2068</v>
      </c>
      <c r="D67" s="508">
        <f>IF(F66+SUM(E$17:E66)=D$10,F66,D$10-SUM(E$17:E66))</f>
        <v>0</v>
      </c>
      <c r="E67" s="509">
        <f t="shared" si="14"/>
        <v>0</v>
      </c>
      <c r="F67" s="510">
        <f t="shared" si="15"/>
        <v>0</v>
      </c>
      <c r="G67" s="523">
        <f t="shared" si="16"/>
        <v>0</v>
      </c>
      <c r="H67" s="477">
        <f t="shared" si="17"/>
        <v>0</v>
      </c>
      <c r="I67" s="500">
        <f t="shared" si="1"/>
        <v>0</v>
      </c>
      <c r="J67" s="500"/>
      <c r="K67" s="512"/>
      <c r="L67" s="504">
        <f t="shared" si="2"/>
        <v>0</v>
      </c>
      <c r="M67" s="512"/>
      <c r="N67" s="504">
        <f t="shared" si="3"/>
        <v>0</v>
      </c>
      <c r="O67" s="504">
        <f t="shared" si="4"/>
        <v>0</v>
      </c>
      <c r="P67" s="278"/>
    </row>
    <row r="68" spans="2:16" ht="12.5">
      <c r="B68" s="145" t="str">
        <f t="shared" si="0"/>
        <v/>
      </c>
      <c r="C68" s="495">
        <f>IF(D11="","-",+C67+1)</f>
        <v>2069</v>
      </c>
      <c r="D68" s="508">
        <f>IF(F67+SUM(E$17:E67)=D$10,F67,D$10-SUM(E$17:E67))</f>
        <v>0</v>
      </c>
      <c r="E68" s="509">
        <f t="shared" si="14"/>
        <v>0</v>
      </c>
      <c r="F68" s="510">
        <f t="shared" si="15"/>
        <v>0</v>
      </c>
      <c r="G68" s="523">
        <f t="shared" si="16"/>
        <v>0</v>
      </c>
      <c r="H68" s="477">
        <f t="shared" si="17"/>
        <v>0</v>
      </c>
      <c r="I68" s="500">
        <f t="shared" si="1"/>
        <v>0</v>
      </c>
      <c r="J68" s="500"/>
      <c r="K68" s="512"/>
      <c r="L68" s="504">
        <f t="shared" si="2"/>
        <v>0</v>
      </c>
      <c r="M68" s="512"/>
      <c r="N68" s="504">
        <f t="shared" si="3"/>
        <v>0</v>
      </c>
      <c r="O68" s="504">
        <f t="shared" si="4"/>
        <v>0</v>
      </c>
      <c r="P68" s="278"/>
    </row>
    <row r="69" spans="2:16" ht="12.5">
      <c r="B69" s="145" t="str">
        <f t="shared" si="0"/>
        <v/>
      </c>
      <c r="C69" s="495">
        <f>IF(D11="","-",+C68+1)</f>
        <v>2070</v>
      </c>
      <c r="D69" s="508">
        <f>IF(F68+SUM(E$17:E68)=D$10,F68,D$10-SUM(E$17:E68))</f>
        <v>0</v>
      </c>
      <c r="E69" s="509">
        <f t="shared" si="14"/>
        <v>0</v>
      </c>
      <c r="F69" s="510">
        <f t="shared" si="15"/>
        <v>0</v>
      </c>
      <c r="G69" s="523">
        <f t="shared" si="16"/>
        <v>0</v>
      </c>
      <c r="H69" s="477">
        <f t="shared" si="17"/>
        <v>0</v>
      </c>
      <c r="I69" s="500">
        <f t="shared" si="1"/>
        <v>0</v>
      </c>
      <c r="J69" s="500"/>
      <c r="K69" s="512"/>
      <c r="L69" s="504">
        <f t="shared" si="2"/>
        <v>0</v>
      </c>
      <c r="M69" s="512"/>
      <c r="N69" s="504">
        <f t="shared" si="3"/>
        <v>0</v>
      </c>
      <c r="O69" s="504">
        <f t="shared" si="4"/>
        <v>0</v>
      </c>
      <c r="P69" s="278"/>
    </row>
    <row r="70" spans="2:16" ht="12.5">
      <c r="B70" s="145" t="str">
        <f t="shared" si="0"/>
        <v/>
      </c>
      <c r="C70" s="495">
        <f>IF(D11="","-",+C69+1)</f>
        <v>2071</v>
      </c>
      <c r="D70" s="508">
        <f>IF(F69+SUM(E$17:E69)=D$10,F69,D$10-SUM(E$17:E69))</f>
        <v>0</v>
      </c>
      <c r="E70" s="509">
        <f t="shared" si="14"/>
        <v>0</v>
      </c>
      <c r="F70" s="510">
        <f t="shared" si="15"/>
        <v>0</v>
      </c>
      <c r="G70" s="523">
        <f t="shared" si="16"/>
        <v>0</v>
      </c>
      <c r="H70" s="477">
        <f t="shared" si="17"/>
        <v>0</v>
      </c>
      <c r="I70" s="500">
        <f t="shared" si="1"/>
        <v>0</v>
      </c>
      <c r="J70" s="500"/>
      <c r="K70" s="512"/>
      <c r="L70" s="504">
        <f t="shared" si="2"/>
        <v>0</v>
      </c>
      <c r="M70" s="512"/>
      <c r="N70" s="504">
        <f t="shared" si="3"/>
        <v>0</v>
      </c>
      <c r="O70" s="504">
        <f t="shared" si="4"/>
        <v>0</v>
      </c>
      <c r="P70" s="278"/>
    </row>
    <row r="71" spans="2:16" ht="12.5">
      <c r="B71" s="145" t="str">
        <f t="shared" si="0"/>
        <v/>
      </c>
      <c r="C71" s="495">
        <f>IF(D11="","-",+C70+1)</f>
        <v>2072</v>
      </c>
      <c r="D71" s="508">
        <f>IF(F70+SUM(E$17:E70)=D$10,F70,D$10-SUM(E$17:E70))</f>
        <v>0</v>
      </c>
      <c r="E71" s="509">
        <f t="shared" si="14"/>
        <v>0</v>
      </c>
      <c r="F71" s="510">
        <f t="shared" si="15"/>
        <v>0</v>
      </c>
      <c r="G71" s="523">
        <f t="shared" si="16"/>
        <v>0</v>
      </c>
      <c r="H71" s="477">
        <f t="shared" si="17"/>
        <v>0</v>
      </c>
      <c r="I71" s="500">
        <f t="shared" si="1"/>
        <v>0</v>
      </c>
      <c r="J71" s="500"/>
      <c r="K71" s="512"/>
      <c r="L71" s="504">
        <f t="shared" si="2"/>
        <v>0</v>
      </c>
      <c r="M71" s="512"/>
      <c r="N71" s="504">
        <f t="shared" si="3"/>
        <v>0</v>
      </c>
      <c r="O71" s="504">
        <f t="shared" si="4"/>
        <v>0</v>
      </c>
      <c r="P71" s="278"/>
    </row>
    <row r="72" spans="2:16" ht="12.5">
      <c r="C72" s="495">
        <f>IF(D12="","-",+C71+1)</f>
        <v>2073</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 thickBot="1">
      <c r="B73" s="145" t="str">
        <f>IF(D73=F71,"","IU")</f>
        <v/>
      </c>
      <c r="C73" s="524">
        <f>IF(D13="","-",+C72+1)</f>
        <v>2074</v>
      </c>
      <c r="D73" s="526">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ht="12.5">
      <c r="C74" s="349" t="s">
        <v>75</v>
      </c>
      <c r="D74" s="294"/>
      <c r="E74" s="294">
        <f>SUM(E17:E73)</f>
        <v>8934664</v>
      </c>
      <c r="F74" s="294"/>
      <c r="G74" s="294">
        <f>SUM(G17:G73)</f>
        <v>24455850.800529048</v>
      </c>
      <c r="H74" s="294">
        <f>SUM(H17:H73)</f>
        <v>24455850.800529048</v>
      </c>
      <c r="I74" s="294">
        <f>SUM(I17:I73)</f>
        <v>0</v>
      </c>
      <c r="J74" s="294"/>
      <c r="K74" s="294"/>
      <c r="L74" s="294"/>
      <c r="M74" s="294"/>
      <c r="N74" s="294"/>
      <c r="O74" s="278"/>
      <c r="P74" s="278"/>
    </row>
    <row r="75" spans="2:16" ht="12.5">
      <c r="D75" s="292"/>
      <c r="E75" s="243"/>
      <c r="F75" s="243"/>
      <c r="G75" s="243"/>
      <c r="H75" s="325"/>
      <c r="I75" s="325"/>
      <c r="J75" s="294"/>
      <c r="K75" s="325"/>
      <c r="L75" s="325"/>
      <c r="M75" s="325"/>
      <c r="N75" s="325"/>
      <c r="O75" s="243"/>
      <c r="P75" s="243"/>
    </row>
    <row r="76" spans="2:16" ht="13">
      <c r="C76" s="532" t="s">
        <v>95</v>
      </c>
      <c r="D76" s="292"/>
      <c r="E76" s="243"/>
      <c r="F76" s="243"/>
      <c r="G76" s="243"/>
      <c r="H76" s="325"/>
      <c r="I76" s="325"/>
      <c r="J76" s="294"/>
      <c r="K76" s="325"/>
      <c r="L76" s="325"/>
      <c r="M76" s="325"/>
      <c r="N76" s="325"/>
      <c r="O76" s="243"/>
      <c r="P76" s="243"/>
    </row>
    <row r="77" spans="2:16" ht="13">
      <c r="C77" s="454" t="s">
        <v>76</v>
      </c>
      <c r="D77" s="292"/>
      <c r="E77" s="243"/>
      <c r="F77" s="243"/>
      <c r="G77" s="243"/>
      <c r="H77" s="325"/>
      <c r="I77" s="325"/>
      <c r="J77" s="294"/>
      <c r="K77" s="325"/>
      <c r="L77" s="325"/>
      <c r="M77" s="325"/>
      <c r="N77" s="325"/>
      <c r="O77" s="278"/>
      <c r="P77" s="278"/>
    </row>
    <row r="78" spans="2:16" ht="13">
      <c r="C78" s="454" t="s">
        <v>77</v>
      </c>
      <c r="D78" s="349"/>
      <c r="E78" s="349"/>
      <c r="F78" s="349"/>
      <c r="G78" s="294"/>
      <c r="H78" s="294"/>
      <c r="I78" s="350"/>
      <c r="J78" s="350"/>
      <c r="K78" s="350"/>
      <c r="L78" s="350"/>
      <c r="M78" s="350"/>
      <c r="N78" s="350"/>
      <c r="O78" s="278"/>
      <c r="P78" s="278"/>
    </row>
    <row r="79" spans="2:16" ht="13">
      <c r="C79" s="454"/>
      <c r="D79" s="349"/>
      <c r="E79" s="349"/>
      <c r="F79" s="349"/>
      <c r="G79" s="294"/>
      <c r="H79" s="294"/>
      <c r="I79" s="350"/>
      <c r="J79" s="350"/>
      <c r="K79" s="350"/>
      <c r="L79" s="350"/>
      <c r="M79" s="350"/>
      <c r="N79" s="350"/>
      <c r="O79" s="278"/>
      <c r="P79" s="243"/>
    </row>
    <row r="80" spans="2:16" ht="12.5">
      <c r="B80" s="243"/>
      <c r="C80" s="248"/>
      <c r="D80" s="292"/>
      <c r="E80" s="243"/>
      <c r="F80" s="347"/>
      <c r="G80" s="243"/>
      <c r="H80" s="325"/>
      <c r="I80" s="243"/>
      <c r="J80" s="278"/>
      <c r="K80" s="243"/>
      <c r="L80" s="243"/>
      <c r="M80" s="243"/>
      <c r="N80" s="243"/>
      <c r="O80" s="243"/>
      <c r="P80" s="243"/>
    </row>
    <row r="81" spans="1:16" ht="17.5">
      <c r="B81" s="243"/>
      <c r="C81" s="535"/>
      <c r="D81" s="292"/>
      <c r="E81" s="243"/>
      <c r="F81" s="347"/>
      <c r="G81" s="243"/>
      <c r="H81" s="325"/>
      <c r="I81" s="243"/>
      <c r="J81" s="278"/>
      <c r="K81" s="243"/>
      <c r="L81" s="243"/>
      <c r="M81" s="243"/>
      <c r="N81" s="243"/>
      <c r="P81" s="536" t="s">
        <v>128</v>
      </c>
    </row>
    <row r="82" spans="1:16" ht="12.5">
      <c r="B82" s="243"/>
      <c r="C82" s="248"/>
      <c r="D82" s="292"/>
      <c r="E82" s="243"/>
      <c r="F82" s="347"/>
      <c r="G82" s="243"/>
      <c r="H82" s="325"/>
      <c r="I82" s="243"/>
      <c r="J82" s="278"/>
      <c r="K82" s="243"/>
      <c r="L82" s="243"/>
      <c r="M82" s="243"/>
      <c r="N82" s="243"/>
      <c r="O82" s="243"/>
      <c r="P82" s="243"/>
    </row>
    <row r="83" spans="1:16" ht="12.5">
      <c r="B83" s="243"/>
      <c r="C83" s="248"/>
      <c r="D83" s="292"/>
      <c r="E83" s="243"/>
      <c r="F83" s="347"/>
      <c r="G83" s="243"/>
      <c r="H83" s="325"/>
      <c r="I83" s="243"/>
      <c r="J83" s="278"/>
      <c r="K83" s="243"/>
      <c r="L83" s="243"/>
      <c r="M83" s="243"/>
      <c r="N83" s="243"/>
      <c r="O83" s="243"/>
      <c r="P83" s="243"/>
    </row>
    <row r="84" spans="1:16" ht="20">
      <c r="A84" s="437" t="s">
        <v>190</v>
      </c>
      <c r="B84" s="243"/>
      <c r="C84" s="248"/>
      <c r="D84" s="292"/>
      <c r="E84" s="243"/>
      <c r="F84" s="339"/>
      <c r="G84" s="339"/>
      <c r="H84" s="243"/>
      <c r="I84" s="325"/>
      <c r="K84" s="220"/>
      <c r="L84" s="438"/>
      <c r="M84" s="438"/>
      <c r="P84" s="438" t="str">
        <f ca="1">P1</f>
        <v>OKT Project 18 of 20</v>
      </c>
    </row>
    <row r="85" spans="1:16" ht="17.5">
      <c r="B85" s="243"/>
      <c r="C85" s="243"/>
      <c r="D85" s="292"/>
      <c r="E85" s="243"/>
      <c r="F85" s="243"/>
      <c r="G85" s="243"/>
      <c r="H85" s="243"/>
      <c r="I85" s="325"/>
      <c r="J85" s="243"/>
      <c r="K85" s="278"/>
      <c r="L85" s="243"/>
      <c r="M85" s="243"/>
      <c r="P85" s="441" t="s">
        <v>132</v>
      </c>
    </row>
    <row r="86" spans="1:16" ht="17.5" thickBot="1">
      <c r="B86" s="233" t="s">
        <v>42</v>
      </c>
      <c r="C86" s="537" t="s">
        <v>81</v>
      </c>
      <c r="D86" s="292"/>
      <c r="E86" s="243"/>
      <c r="F86" s="243"/>
      <c r="G86" s="243"/>
      <c r="H86" s="243"/>
      <c r="I86" s="325"/>
      <c r="J86" s="325"/>
      <c r="K86" s="294"/>
      <c r="L86" s="325"/>
      <c r="M86" s="325"/>
      <c r="N86" s="325"/>
      <c r="O86" s="294"/>
      <c r="P86" s="243"/>
    </row>
    <row r="87" spans="1:16" ht="16" thickBot="1">
      <c r="C87" s="304"/>
      <c r="D87" s="292"/>
      <c r="E87" s="243"/>
      <c r="F87" s="243"/>
      <c r="G87" s="243"/>
      <c r="H87" s="243"/>
      <c r="I87" s="325"/>
      <c r="J87" s="325"/>
      <c r="K87" s="294"/>
      <c r="L87" s="538">
        <f>+J93</f>
        <v>2019</v>
      </c>
      <c r="M87" s="539" t="s">
        <v>9</v>
      </c>
      <c r="N87" s="540" t="s">
        <v>134</v>
      </c>
      <c r="O87" s="541" t="s">
        <v>11</v>
      </c>
      <c r="P87" s="243"/>
    </row>
    <row r="88" spans="1:16" ht="15.5">
      <c r="C88" s="232" t="s">
        <v>44</v>
      </c>
      <c r="D88" s="292"/>
      <c r="E88" s="243"/>
      <c r="F88" s="243"/>
      <c r="G88" s="243"/>
      <c r="H88" s="444"/>
      <c r="I88" s="243" t="s">
        <v>45</v>
      </c>
      <c r="J88" s="243"/>
      <c r="K88" s="542"/>
      <c r="L88" s="543" t="s">
        <v>253</v>
      </c>
      <c r="M88" s="544">
        <f>IF(J93&lt;D11,0,VLOOKUP(J93,C17:O73,9))</f>
        <v>1134524.7126540036</v>
      </c>
      <c r="N88" s="544">
        <f>IF(J93&lt;D11,0,VLOOKUP(J93,C17:O73,11))</f>
        <v>1134524.7126540036</v>
      </c>
      <c r="O88" s="545">
        <f>+N88-M88</f>
        <v>0</v>
      </c>
      <c r="P88" s="243"/>
    </row>
    <row r="89" spans="1:16" ht="15.5">
      <c r="C89" s="235"/>
      <c r="D89" s="292"/>
      <c r="E89" s="243"/>
      <c r="F89" s="243"/>
      <c r="G89" s="243"/>
      <c r="H89" s="243"/>
      <c r="I89" s="449"/>
      <c r="J89" s="449"/>
      <c r="K89" s="546"/>
      <c r="L89" s="547" t="s">
        <v>254</v>
      </c>
      <c r="M89" s="548">
        <f>IF(J93&lt;D11,0,VLOOKUP(J93,C100:P155,6))</f>
        <v>1204093.3853422152</v>
      </c>
      <c r="N89" s="548">
        <f>IF(J93&lt;D11,0,VLOOKUP(J93,C100:P155,7))</f>
        <v>1204093.3853422152</v>
      </c>
      <c r="O89" s="549">
        <f>+N89-M89</f>
        <v>0</v>
      </c>
      <c r="P89" s="243"/>
    </row>
    <row r="90" spans="1:16" ht="13.5" thickBot="1">
      <c r="C90" s="454" t="s">
        <v>82</v>
      </c>
      <c r="D90" s="550" t="str">
        <f>+D7</f>
        <v>Duncan-Comanche Tap 69 KV Rebuild</v>
      </c>
      <c r="E90" s="243"/>
      <c r="F90" s="243"/>
      <c r="G90" s="243"/>
      <c r="H90" s="243"/>
      <c r="I90" s="325"/>
      <c r="J90" s="325"/>
      <c r="K90" s="551"/>
      <c r="L90" s="552" t="s">
        <v>135</v>
      </c>
      <c r="M90" s="553">
        <f>+M89-M88</f>
        <v>69568.672688211547</v>
      </c>
      <c r="N90" s="553">
        <f>+N89-N88</f>
        <v>69568.672688211547</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2015191</v>
      </c>
      <c r="E92" s="558"/>
      <c r="F92" s="558"/>
      <c r="G92" s="558"/>
      <c r="H92" s="558"/>
      <c r="I92" s="558"/>
      <c r="J92" s="558"/>
      <c r="K92" s="560"/>
      <c r="P92" s="468"/>
    </row>
    <row r="93" spans="1:16" ht="13">
      <c r="C93" s="472" t="s">
        <v>49</v>
      </c>
      <c r="D93" s="474">
        <v>8934664</v>
      </c>
      <c r="E93" s="248" t="s">
        <v>84</v>
      </c>
      <c r="H93" s="408"/>
      <c r="I93" s="408"/>
      <c r="J93" s="471">
        <f>+'OKT.WS.G.BPU.ATRR.True-up'!M16</f>
        <v>2019</v>
      </c>
      <c r="K93" s="467"/>
      <c r="L93" s="294" t="s">
        <v>85</v>
      </c>
      <c r="P93" s="278"/>
    </row>
    <row r="94" spans="1:16" ht="12.5">
      <c r="C94" s="472" t="s">
        <v>52</v>
      </c>
      <c r="D94" s="561">
        <f>IF(D11="","",D11)</f>
        <v>2018</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ht="12.5">
      <c r="C95" s="472" t="s">
        <v>54</v>
      </c>
      <c r="D95" s="561">
        <f>IF(D12="","",D12)</f>
        <v>5</v>
      </c>
      <c r="E95" s="472" t="s">
        <v>55</v>
      </c>
      <c r="F95" s="408"/>
      <c r="G95" s="408"/>
      <c r="J95" s="476">
        <f>'OKT.WS.G.BPU.ATRR.True-up'!$F$81</f>
        <v>0.10800922592579221</v>
      </c>
      <c r="K95" s="413"/>
      <c r="L95" s="145" t="s">
        <v>86</v>
      </c>
      <c r="P95" s="278"/>
    </row>
    <row r="96" spans="1:16" ht="12.5">
      <c r="C96" s="472" t="s">
        <v>57</v>
      </c>
      <c r="D96" s="474">
        <f>'OKT.WS.G.BPU.ATRR.True-up'!F$93</f>
        <v>33</v>
      </c>
      <c r="E96" s="472" t="s">
        <v>58</v>
      </c>
      <c r="F96" s="408"/>
      <c r="G96" s="408"/>
      <c r="J96" s="476">
        <f>IF(H88="",J95,'OKT.WS.G.BPU.ATRR.True-up'!$F$80)</f>
        <v>0.10800922592579221</v>
      </c>
      <c r="K96" s="291"/>
      <c r="L96" s="294" t="s">
        <v>59</v>
      </c>
      <c r="M96" s="291"/>
      <c r="N96" s="291"/>
      <c r="O96" s="291"/>
      <c r="P96" s="278"/>
    </row>
    <row r="97" spans="1:16" ht="13" thickBot="1">
      <c r="C97" s="472" t="s">
        <v>60</v>
      </c>
      <c r="D97" s="562" t="str">
        <f>+D14</f>
        <v>No</v>
      </c>
      <c r="E97" s="563" t="s">
        <v>62</v>
      </c>
      <c r="F97" s="564"/>
      <c r="G97" s="564"/>
      <c r="H97" s="565"/>
      <c r="I97" s="565"/>
      <c r="J97" s="458">
        <f>IF(D93=0,0,D93/D96)</f>
        <v>270747.39393939392</v>
      </c>
      <c r="K97" s="294"/>
      <c r="L97" s="294"/>
      <c r="M97" s="294"/>
      <c r="N97" s="294"/>
      <c r="O97" s="294"/>
      <c r="P97" s="278"/>
    </row>
    <row r="98" spans="1:16"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ht="12.5">
      <c r="B100" s="145" t="str">
        <f t="shared" ref="B100:B155" si="18">IF(D100=F99,"","IU")</f>
        <v>IU</v>
      </c>
      <c r="C100" s="495">
        <f>IF(D94= "","-",D94)</f>
        <v>2018</v>
      </c>
      <c r="D100" s="496">
        <f>IF(D94=C100,0,IF(D93&lt;100000,0,D93))</f>
        <v>0</v>
      </c>
      <c r="E100" s="498">
        <f>IF(D93&lt;100000,0,J$97/12*(12-D95))</f>
        <v>157935.97979797979</v>
      </c>
      <c r="F100" s="505">
        <f>IF(D94=C100,+D93-E100,+D100-E100)</f>
        <v>8776728.0202020202</v>
      </c>
      <c r="G100" s="505">
        <f>+(F100+D100)/2</f>
        <v>4388364.0101010101</v>
      </c>
      <c r="H100" s="498">
        <f t="shared" ref="H100:H155" si="19">+J$95*G100+E100</f>
        <v>631919.77960959531</v>
      </c>
      <c r="I100" s="499">
        <f>+J$96*G100+E100</f>
        <v>631919.77960959531</v>
      </c>
      <c r="J100" s="504">
        <f t="shared" ref="J100:J131" si="20">+I100-H100</f>
        <v>0</v>
      </c>
      <c r="K100" s="504"/>
      <c r="L100" s="506">
        <f>+H100</f>
        <v>631919.77960959531</v>
      </c>
      <c r="M100" s="504">
        <f t="shared" ref="M100:M101" si="21">IF(L100&lt;&gt;0,+H100-L100,0)</f>
        <v>0</v>
      </c>
      <c r="N100" s="506">
        <f>+I100</f>
        <v>631919.77960959531</v>
      </c>
      <c r="O100" s="586">
        <f t="shared" ref="O100:O101" si="22">IF(N100&lt;&gt;0,+I100-N100,0)</f>
        <v>0</v>
      </c>
      <c r="P100" s="504">
        <f t="shared" ref="P100" si="23">+O100-M100</f>
        <v>0</v>
      </c>
    </row>
    <row r="101" spans="1:16" ht="12.5">
      <c r="B101" s="145" t="str">
        <f t="shared" si="18"/>
        <v/>
      </c>
      <c r="C101" s="495">
        <f>IF(D94="","-",+C100+1)</f>
        <v>2019</v>
      </c>
      <c r="D101" s="349">
        <f>IF(F100+SUM(E$100:E100)=D$93,F100,D$93-SUM(E$100:E100))</f>
        <v>8776728.0202020202</v>
      </c>
      <c r="E101" s="509">
        <f t="shared" ref="E101" si="24">IF(+J$97&lt;F100,J$97,D101)</f>
        <v>270747.39393939392</v>
      </c>
      <c r="F101" s="510">
        <f t="shared" ref="F101" si="25">+D101-E101</f>
        <v>8505980.6262626257</v>
      </c>
      <c r="G101" s="510">
        <f t="shared" ref="G101" si="26">+(F101+D101)/2</f>
        <v>8641354.3232323229</v>
      </c>
      <c r="H101" s="627">
        <f t="shared" si="19"/>
        <v>1204093.3853422152</v>
      </c>
      <c r="I101" s="628">
        <f t="shared" ref="I101" si="27">+J$96*G101+E101</f>
        <v>1204093.3853422152</v>
      </c>
      <c r="J101" s="504">
        <f t="shared" si="20"/>
        <v>0</v>
      </c>
      <c r="K101" s="504"/>
      <c r="L101" s="512"/>
      <c r="M101" s="504">
        <f t="shared" si="21"/>
        <v>0</v>
      </c>
      <c r="N101" s="512"/>
      <c r="O101" s="504">
        <f t="shared" si="22"/>
        <v>0</v>
      </c>
      <c r="P101" s="504">
        <f>+O101-M101</f>
        <v>0</v>
      </c>
    </row>
    <row r="102" spans="1:16" ht="12.5">
      <c r="B102" s="145" t="str">
        <f t="shared" si="18"/>
        <v/>
      </c>
      <c r="C102" s="495">
        <f>IF(D94="","-",+C101+1)</f>
        <v>2020</v>
      </c>
      <c r="D102" s="349">
        <f>IF(F101+SUM(E$100:E101)=D$93,F101,D$93-SUM(E$100:E101))</f>
        <v>8505980.6262626257</v>
      </c>
      <c r="E102" s="509">
        <f t="shared" ref="E102" si="28">IF(+J$97&lt;F101,J$97,D102)</f>
        <v>270747.39393939392</v>
      </c>
      <c r="F102" s="510">
        <f t="shared" ref="F102" si="29">+D102-E102</f>
        <v>8235233.2323232321</v>
      </c>
      <c r="G102" s="510">
        <f t="shared" ref="G102" si="30">+(F102+D102)/2</f>
        <v>8370606.9292929284</v>
      </c>
      <c r="H102" s="627">
        <f t="shared" ref="H102" si="31">+J$95*G102+E102</f>
        <v>1174850.1689013955</v>
      </c>
      <c r="I102" s="628">
        <f t="shared" ref="I102" si="32">+J$96*G102+E102</f>
        <v>1174850.1689013955</v>
      </c>
      <c r="J102" s="504">
        <f t="shared" si="20"/>
        <v>0</v>
      </c>
      <c r="K102" s="504"/>
      <c r="L102" s="512"/>
      <c r="M102" s="504">
        <f t="shared" ref="M102" si="33">IF(L102&lt;&gt;0,+H102-L102,0)</f>
        <v>0</v>
      </c>
      <c r="N102" s="512"/>
      <c r="O102" s="504">
        <f t="shared" ref="O102" si="34">IF(N102&lt;&gt;0,+I102-N102,0)</f>
        <v>0</v>
      </c>
      <c r="P102" s="504">
        <f>+O102-M102</f>
        <v>0</v>
      </c>
    </row>
    <row r="103" spans="1:16" ht="12.5">
      <c r="B103" s="145" t="str">
        <f t="shared" si="18"/>
        <v/>
      </c>
      <c r="C103" s="495">
        <f>IF(D94="","-",+C102+1)</f>
        <v>2021</v>
      </c>
      <c r="D103" s="349">
        <f>IF(F102+SUM(E$100:E102)=D$93,F102,D$93-SUM(E$100:E102))</f>
        <v>8235233.2323232321</v>
      </c>
      <c r="E103" s="509">
        <f t="shared" ref="E103:E155" si="35">IF(+J$97&lt;F102,J$97,D103)</f>
        <v>270747.39393939392</v>
      </c>
      <c r="F103" s="510">
        <f t="shared" ref="F103:F155" si="36">+D103-E103</f>
        <v>7964485.8383838385</v>
      </c>
      <c r="G103" s="510">
        <f t="shared" ref="G103:G155" si="37">+(F103+D103)/2</f>
        <v>8099859.5353535358</v>
      </c>
      <c r="H103" s="627">
        <f t="shared" si="19"/>
        <v>1145606.9524605763</v>
      </c>
      <c r="I103" s="628">
        <f t="shared" ref="I103:I155" si="38">+J$96*G103+E103</f>
        <v>1145606.9524605763</v>
      </c>
      <c r="J103" s="504">
        <f t="shared" si="20"/>
        <v>0</v>
      </c>
      <c r="K103" s="504"/>
      <c r="L103" s="512"/>
      <c r="M103" s="504">
        <f t="shared" ref="M103:M131" si="39">IF(L103&lt;&gt;0,+H103-L103,0)</f>
        <v>0</v>
      </c>
      <c r="N103" s="512"/>
      <c r="O103" s="504">
        <f t="shared" ref="O103:O131" si="40">IF(N103&lt;&gt;0,+I103-N103,0)</f>
        <v>0</v>
      </c>
      <c r="P103" s="504">
        <f t="shared" ref="P103:P131" si="41">+O103-M103</f>
        <v>0</v>
      </c>
    </row>
    <row r="104" spans="1:16" ht="12.5">
      <c r="B104" s="145" t="str">
        <f t="shared" si="18"/>
        <v/>
      </c>
      <c r="C104" s="495">
        <f>IF(D94="","-",+C103+1)</f>
        <v>2022</v>
      </c>
      <c r="D104" s="349">
        <f>IF(F103+SUM(E$100:E103)=D$93,F103,D$93-SUM(E$100:E103))</f>
        <v>7964485.8383838385</v>
      </c>
      <c r="E104" s="509">
        <f t="shared" si="35"/>
        <v>270747.39393939392</v>
      </c>
      <c r="F104" s="510">
        <f t="shared" si="36"/>
        <v>7693738.444444445</v>
      </c>
      <c r="G104" s="510">
        <f t="shared" si="37"/>
        <v>7829112.1414141413</v>
      </c>
      <c r="H104" s="627">
        <f t="shared" si="19"/>
        <v>1116363.7360197566</v>
      </c>
      <c r="I104" s="628">
        <f t="shared" si="38"/>
        <v>1116363.7360197566</v>
      </c>
      <c r="J104" s="504">
        <f t="shared" si="20"/>
        <v>0</v>
      </c>
      <c r="K104" s="504"/>
      <c r="L104" s="512"/>
      <c r="M104" s="504">
        <f t="shared" si="39"/>
        <v>0</v>
      </c>
      <c r="N104" s="512"/>
      <c r="O104" s="504">
        <f t="shared" si="40"/>
        <v>0</v>
      </c>
      <c r="P104" s="504">
        <f t="shared" si="41"/>
        <v>0</v>
      </c>
    </row>
    <row r="105" spans="1:16" ht="12.5">
      <c r="B105" s="145" t="str">
        <f t="shared" si="18"/>
        <v/>
      </c>
      <c r="C105" s="495">
        <f>IF(D94="","-",+C104+1)</f>
        <v>2023</v>
      </c>
      <c r="D105" s="349">
        <f>IF(F104+SUM(E$100:E104)=D$93,F104,D$93-SUM(E$100:E104))</f>
        <v>7693738.444444445</v>
      </c>
      <c r="E105" s="509">
        <f t="shared" si="35"/>
        <v>270747.39393939392</v>
      </c>
      <c r="F105" s="510">
        <f t="shared" si="36"/>
        <v>7422991.0505050514</v>
      </c>
      <c r="G105" s="510">
        <f t="shared" si="37"/>
        <v>7558364.7474747486</v>
      </c>
      <c r="H105" s="627">
        <f t="shared" si="19"/>
        <v>1087120.5195789374</v>
      </c>
      <c r="I105" s="628">
        <f t="shared" si="38"/>
        <v>1087120.5195789374</v>
      </c>
      <c r="J105" s="504">
        <f t="shared" si="20"/>
        <v>0</v>
      </c>
      <c r="K105" s="504"/>
      <c r="L105" s="512"/>
      <c r="M105" s="504">
        <f t="shared" si="39"/>
        <v>0</v>
      </c>
      <c r="N105" s="512"/>
      <c r="O105" s="504">
        <f t="shared" si="40"/>
        <v>0</v>
      </c>
      <c r="P105" s="504">
        <f t="shared" si="41"/>
        <v>0</v>
      </c>
    </row>
    <row r="106" spans="1:16" ht="12.5">
      <c r="B106" s="145" t="str">
        <f t="shared" si="18"/>
        <v/>
      </c>
      <c r="C106" s="495">
        <f>IF(D94="","-",+C105+1)</f>
        <v>2024</v>
      </c>
      <c r="D106" s="349">
        <f>IF(F105+SUM(E$100:E105)=D$93,F105,D$93-SUM(E$100:E105))</f>
        <v>7422991.0505050514</v>
      </c>
      <c r="E106" s="509">
        <f t="shared" si="35"/>
        <v>270747.39393939392</v>
      </c>
      <c r="F106" s="510">
        <f t="shared" si="36"/>
        <v>7152243.6565656578</v>
      </c>
      <c r="G106" s="510">
        <f t="shared" si="37"/>
        <v>7287617.3535353541</v>
      </c>
      <c r="H106" s="627">
        <f t="shared" si="19"/>
        <v>1057877.3031381178</v>
      </c>
      <c r="I106" s="628">
        <f t="shared" si="38"/>
        <v>1057877.3031381178</v>
      </c>
      <c r="J106" s="504">
        <f t="shared" si="20"/>
        <v>0</v>
      </c>
      <c r="K106" s="504"/>
      <c r="L106" s="512"/>
      <c r="M106" s="504">
        <f t="shared" si="39"/>
        <v>0</v>
      </c>
      <c r="N106" s="512"/>
      <c r="O106" s="504">
        <f t="shared" si="40"/>
        <v>0</v>
      </c>
      <c r="P106" s="504">
        <f t="shared" si="41"/>
        <v>0</v>
      </c>
    </row>
    <row r="107" spans="1:16" ht="12.5">
      <c r="B107" s="145" t="str">
        <f t="shared" si="18"/>
        <v/>
      </c>
      <c r="C107" s="495">
        <f>IF(D94="","-",+C106+1)</f>
        <v>2025</v>
      </c>
      <c r="D107" s="349">
        <f>IF(F106+SUM(E$100:E106)=D$93,F106,D$93-SUM(E$100:E106))</f>
        <v>7152243.6565656578</v>
      </c>
      <c r="E107" s="509">
        <f t="shared" si="35"/>
        <v>270747.39393939392</v>
      </c>
      <c r="F107" s="510">
        <f t="shared" si="36"/>
        <v>6881496.2626262642</v>
      </c>
      <c r="G107" s="510">
        <f t="shared" si="37"/>
        <v>7016869.9595959615</v>
      </c>
      <c r="H107" s="627">
        <f t="shared" si="19"/>
        <v>1028634.0866972986</v>
      </c>
      <c r="I107" s="628">
        <f t="shared" si="38"/>
        <v>1028634.0866972986</v>
      </c>
      <c r="J107" s="504">
        <f t="shared" si="20"/>
        <v>0</v>
      </c>
      <c r="K107" s="504"/>
      <c r="L107" s="512"/>
      <c r="M107" s="504">
        <f t="shared" si="39"/>
        <v>0</v>
      </c>
      <c r="N107" s="512"/>
      <c r="O107" s="504">
        <f t="shared" si="40"/>
        <v>0</v>
      </c>
      <c r="P107" s="504">
        <f t="shared" si="41"/>
        <v>0</v>
      </c>
    </row>
    <row r="108" spans="1:16" ht="12.5">
      <c r="B108" s="145" t="str">
        <f t="shared" si="18"/>
        <v/>
      </c>
      <c r="C108" s="495">
        <f>IF(D94="","-",+C107+1)</f>
        <v>2026</v>
      </c>
      <c r="D108" s="349">
        <f>IF(F107+SUM(E$100:E107)=D$93,F107,D$93-SUM(E$100:E107))</f>
        <v>6881496.2626262642</v>
      </c>
      <c r="E108" s="509">
        <f t="shared" si="35"/>
        <v>270747.39393939392</v>
      </c>
      <c r="F108" s="510">
        <f t="shared" si="36"/>
        <v>6610748.8686868707</v>
      </c>
      <c r="G108" s="510">
        <f t="shared" si="37"/>
        <v>6746122.565656567</v>
      </c>
      <c r="H108" s="627">
        <f t="shared" si="19"/>
        <v>999390.87025647901</v>
      </c>
      <c r="I108" s="628">
        <f t="shared" si="38"/>
        <v>999390.87025647901</v>
      </c>
      <c r="J108" s="504">
        <f t="shared" si="20"/>
        <v>0</v>
      </c>
      <c r="K108" s="504"/>
      <c r="L108" s="512"/>
      <c r="M108" s="504">
        <f t="shared" si="39"/>
        <v>0</v>
      </c>
      <c r="N108" s="512"/>
      <c r="O108" s="504">
        <f t="shared" si="40"/>
        <v>0</v>
      </c>
      <c r="P108" s="504">
        <f t="shared" si="41"/>
        <v>0</v>
      </c>
    </row>
    <row r="109" spans="1:16" ht="12.5">
      <c r="B109" s="145" t="str">
        <f t="shared" si="18"/>
        <v/>
      </c>
      <c r="C109" s="495">
        <f>IF(D94="","-",+C108+1)</f>
        <v>2027</v>
      </c>
      <c r="D109" s="349">
        <f>IF(F108+SUM(E$100:E108)=D$93,F108,D$93-SUM(E$100:E108))</f>
        <v>6610748.8686868707</v>
      </c>
      <c r="E109" s="509">
        <f t="shared" si="35"/>
        <v>270747.39393939392</v>
      </c>
      <c r="F109" s="510">
        <f t="shared" si="36"/>
        <v>6340001.4747474771</v>
      </c>
      <c r="G109" s="510">
        <f t="shared" si="37"/>
        <v>6475375.1717171744</v>
      </c>
      <c r="H109" s="627">
        <f t="shared" si="19"/>
        <v>970147.65381565969</v>
      </c>
      <c r="I109" s="628">
        <f t="shared" si="38"/>
        <v>970147.65381565969</v>
      </c>
      <c r="J109" s="504">
        <f t="shared" si="20"/>
        <v>0</v>
      </c>
      <c r="K109" s="504"/>
      <c r="L109" s="512"/>
      <c r="M109" s="504">
        <f t="shared" si="39"/>
        <v>0</v>
      </c>
      <c r="N109" s="512"/>
      <c r="O109" s="504">
        <f t="shared" si="40"/>
        <v>0</v>
      </c>
      <c r="P109" s="504">
        <f t="shared" si="41"/>
        <v>0</v>
      </c>
    </row>
    <row r="110" spans="1:16" ht="12.5">
      <c r="B110" s="145" t="str">
        <f t="shared" si="18"/>
        <v/>
      </c>
      <c r="C110" s="495">
        <f>IF(D94="","-",+C109+1)</f>
        <v>2028</v>
      </c>
      <c r="D110" s="349">
        <f>IF(F109+SUM(E$100:E109)=D$93,F109,D$93-SUM(E$100:E109))</f>
        <v>6340001.4747474771</v>
      </c>
      <c r="E110" s="509">
        <f t="shared" si="35"/>
        <v>270747.39393939392</v>
      </c>
      <c r="F110" s="510">
        <f t="shared" si="36"/>
        <v>6069254.0808080835</v>
      </c>
      <c r="G110" s="510">
        <f t="shared" si="37"/>
        <v>6204627.7777777798</v>
      </c>
      <c r="H110" s="627">
        <f t="shared" si="19"/>
        <v>940904.43737484014</v>
      </c>
      <c r="I110" s="628">
        <f t="shared" si="38"/>
        <v>940904.43737484014</v>
      </c>
      <c r="J110" s="504">
        <f t="shared" si="20"/>
        <v>0</v>
      </c>
      <c r="K110" s="504"/>
      <c r="L110" s="512"/>
      <c r="M110" s="504">
        <f t="shared" si="39"/>
        <v>0</v>
      </c>
      <c r="N110" s="512"/>
      <c r="O110" s="504">
        <f t="shared" si="40"/>
        <v>0</v>
      </c>
      <c r="P110" s="504">
        <f t="shared" si="41"/>
        <v>0</v>
      </c>
    </row>
    <row r="111" spans="1:16" ht="12.5">
      <c r="B111" s="145" t="str">
        <f t="shared" si="18"/>
        <v/>
      </c>
      <c r="C111" s="495">
        <f>IF(D94="","-",+C110+1)</f>
        <v>2029</v>
      </c>
      <c r="D111" s="349">
        <f>IF(F110+SUM(E$100:E110)=D$93,F110,D$93-SUM(E$100:E110))</f>
        <v>6069254.0808080835</v>
      </c>
      <c r="E111" s="509">
        <f t="shared" si="35"/>
        <v>270747.39393939392</v>
      </c>
      <c r="F111" s="510">
        <f t="shared" si="36"/>
        <v>5798506.68686869</v>
      </c>
      <c r="G111" s="510">
        <f t="shared" si="37"/>
        <v>5933880.3838383872</v>
      </c>
      <c r="H111" s="627">
        <f t="shared" si="19"/>
        <v>911661.22093402082</v>
      </c>
      <c r="I111" s="628">
        <f t="shared" si="38"/>
        <v>911661.22093402082</v>
      </c>
      <c r="J111" s="504">
        <f t="shared" si="20"/>
        <v>0</v>
      </c>
      <c r="K111" s="504"/>
      <c r="L111" s="512"/>
      <c r="M111" s="504">
        <f t="shared" si="39"/>
        <v>0</v>
      </c>
      <c r="N111" s="512"/>
      <c r="O111" s="504">
        <f t="shared" si="40"/>
        <v>0</v>
      </c>
      <c r="P111" s="504">
        <f t="shared" si="41"/>
        <v>0</v>
      </c>
    </row>
    <row r="112" spans="1:16" ht="12.5">
      <c r="B112" s="145" t="str">
        <f t="shared" si="18"/>
        <v/>
      </c>
      <c r="C112" s="495">
        <f>IF(D94="","-",+C111+1)</f>
        <v>2030</v>
      </c>
      <c r="D112" s="349">
        <f>IF(F111+SUM(E$100:E111)=D$93,F111,D$93-SUM(E$100:E111))</f>
        <v>5798506.68686869</v>
      </c>
      <c r="E112" s="509">
        <f t="shared" si="35"/>
        <v>270747.39393939392</v>
      </c>
      <c r="F112" s="510">
        <f t="shared" si="36"/>
        <v>5527759.2929292964</v>
      </c>
      <c r="G112" s="510">
        <f t="shared" si="37"/>
        <v>5663132.9898989927</v>
      </c>
      <c r="H112" s="627">
        <f t="shared" si="19"/>
        <v>882418.00449320138</v>
      </c>
      <c r="I112" s="628">
        <f t="shared" si="38"/>
        <v>882418.00449320138</v>
      </c>
      <c r="J112" s="504">
        <f t="shared" si="20"/>
        <v>0</v>
      </c>
      <c r="K112" s="504"/>
      <c r="L112" s="512"/>
      <c r="M112" s="504">
        <f t="shared" si="39"/>
        <v>0</v>
      </c>
      <c r="N112" s="512"/>
      <c r="O112" s="504">
        <f t="shared" si="40"/>
        <v>0</v>
      </c>
      <c r="P112" s="504">
        <f t="shared" si="41"/>
        <v>0</v>
      </c>
    </row>
    <row r="113" spans="2:16" ht="12.5">
      <c r="B113" s="145" t="str">
        <f t="shared" si="18"/>
        <v/>
      </c>
      <c r="C113" s="495">
        <f>IF(D94="","-",+C112+1)</f>
        <v>2031</v>
      </c>
      <c r="D113" s="349">
        <f>IF(F112+SUM(E$100:E112)=D$93,F112,D$93-SUM(E$100:E112))</f>
        <v>5527759.2929292964</v>
      </c>
      <c r="E113" s="509">
        <f t="shared" si="35"/>
        <v>270747.39393939392</v>
      </c>
      <c r="F113" s="510">
        <f t="shared" si="36"/>
        <v>5257011.8989899028</v>
      </c>
      <c r="G113" s="510">
        <f t="shared" si="37"/>
        <v>5392385.5959596001</v>
      </c>
      <c r="H113" s="627">
        <f t="shared" si="19"/>
        <v>853174.78805238206</v>
      </c>
      <c r="I113" s="628">
        <f t="shared" si="38"/>
        <v>853174.78805238206</v>
      </c>
      <c r="J113" s="504">
        <f t="shared" si="20"/>
        <v>0</v>
      </c>
      <c r="K113" s="504"/>
      <c r="L113" s="512"/>
      <c r="M113" s="504">
        <f t="shared" si="39"/>
        <v>0</v>
      </c>
      <c r="N113" s="512"/>
      <c r="O113" s="504">
        <f t="shared" si="40"/>
        <v>0</v>
      </c>
      <c r="P113" s="504">
        <f t="shared" si="41"/>
        <v>0</v>
      </c>
    </row>
    <row r="114" spans="2:16" ht="12.5">
      <c r="B114" s="145" t="str">
        <f t="shared" si="18"/>
        <v/>
      </c>
      <c r="C114" s="495">
        <f>IF(D94="","-",+C113+1)</f>
        <v>2032</v>
      </c>
      <c r="D114" s="349">
        <f>IF(F113+SUM(E$100:E113)=D$93,F113,D$93-SUM(E$100:E113))</f>
        <v>5257011.8989899028</v>
      </c>
      <c r="E114" s="509">
        <f t="shared" si="35"/>
        <v>270747.39393939392</v>
      </c>
      <c r="F114" s="510">
        <f t="shared" si="36"/>
        <v>4986264.5050505092</v>
      </c>
      <c r="G114" s="510">
        <f t="shared" si="37"/>
        <v>5121638.2020202056</v>
      </c>
      <c r="H114" s="627">
        <f t="shared" si="19"/>
        <v>823931.57161156251</v>
      </c>
      <c r="I114" s="628">
        <f t="shared" si="38"/>
        <v>823931.57161156251</v>
      </c>
      <c r="J114" s="504">
        <f t="shared" si="20"/>
        <v>0</v>
      </c>
      <c r="K114" s="504"/>
      <c r="L114" s="512"/>
      <c r="M114" s="504">
        <f t="shared" si="39"/>
        <v>0</v>
      </c>
      <c r="N114" s="512"/>
      <c r="O114" s="504">
        <f t="shared" si="40"/>
        <v>0</v>
      </c>
      <c r="P114" s="504">
        <f t="shared" si="41"/>
        <v>0</v>
      </c>
    </row>
    <row r="115" spans="2:16" ht="12.5">
      <c r="B115" s="145" t="str">
        <f t="shared" si="18"/>
        <v>IU</v>
      </c>
      <c r="C115" s="495">
        <f>IF(D94="","-",+C114+1)</f>
        <v>2033</v>
      </c>
      <c r="D115" s="349">
        <f>IF(F114+SUM(E$100:E114)=D$93,F114,D$93-SUM(E$100:E114))</f>
        <v>4986264.5050505046</v>
      </c>
      <c r="E115" s="509">
        <f t="shared" si="35"/>
        <v>270747.39393939392</v>
      </c>
      <c r="F115" s="510">
        <f t="shared" si="36"/>
        <v>4715517.111111111</v>
      </c>
      <c r="G115" s="510">
        <f t="shared" si="37"/>
        <v>4850890.8080808073</v>
      </c>
      <c r="H115" s="627">
        <f t="shared" si="19"/>
        <v>794688.35517074261</v>
      </c>
      <c r="I115" s="628">
        <f t="shared" si="38"/>
        <v>794688.35517074261</v>
      </c>
      <c r="J115" s="504">
        <f t="shared" si="20"/>
        <v>0</v>
      </c>
      <c r="K115" s="504"/>
      <c r="L115" s="512"/>
      <c r="M115" s="504">
        <f t="shared" si="39"/>
        <v>0</v>
      </c>
      <c r="N115" s="512"/>
      <c r="O115" s="504">
        <f t="shared" si="40"/>
        <v>0</v>
      </c>
      <c r="P115" s="504">
        <f t="shared" si="41"/>
        <v>0</v>
      </c>
    </row>
    <row r="116" spans="2:16" ht="12.5">
      <c r="B116" s="145" t="str">
        <f t="shared" si="18"/>
        <v/>
      </c>
      <c r="C116" s="495">
        <f>IF(D94="","-",+C115+1)</f>
        <v>2034</v>
      </c>
      <c r="D116" s="349">
        <f>IF(F115+SUM(E$100:E115)=D$93,F115,D$93-SUM(E$100:E115))</f>
        <v>4715517.111111111</v>
      </c>
      <c r="E116" s="509">
        <f t="shared" si="35"/>
        <v>270747.39393939392</v>
      </c>
      <c r="F116" s="510">
        <f t="shared" si="36"/>
        <v>4444769.7171717174</v>
      </c>
      <c r="G116" s="510">
        <f t="shared" si="37"/>
        <v>4580143.4141414147</v>
      </c>
      <c r="H116" s="627">
        <f t="shared" si="19"/>
        <v>765445.13872992317</v>
      </c>
      <c r="I116" s="628">
        <f t="shared" si="38"/>
        <v>765445.13872992317</v>
      </c>
      <c r="J116" s="504">
        <f t="shared" si="20"/>
        <v>0</v>
      </c>
      <c r="K116" s="504"/>
      <c r="L116" s="512"/>
      <c r="M116" s="504">
        <f t="shared" si="39"/>
        <v>0</v>
      </c>
      <c r="N116" s="512"/>
      <c r="O116" s="504">
        <f t="shared" si="40"/>
        <v>0</v>
      </c>
      <c r="P116" s="504">
        <f t="shared" si="41"/>
        <v>0</v>
      </c>
    </row>
    <row r="117" spans="2:16" ht="12.5">
      <c r="B117" s="145" t="str">
        <f t="shared" si="18"/>
        <v/>
      </c>
      <c r="C117" s="495">
        <f>IF(D94="","-",+C116+1)</f>
        <v>2035</v>
      </c>
      <c r="D117" s="349">
        <f>IF(F116+SUM(E$100:E116)=D$93,F116,D$93-SUM(E$100:E116))</f>
        <v>4444769.7171717174</v>
      </c>
      <c r="E117" s="509">
        <f t="shared" si="35"/>
        <v>270747.39393939392</v>
      </c>
      <c r="F117" s="510">
        <f t="shared" si="36"/>
        <v>4174022.3232323234</v>
      </c>
      <c r="G117" s="510">
        <f t="shared" si="37"/>
        <v>4309396.0202020202</v>
      </c>
      <c r="H117" s="627">
        <f t="shared" si="19"/>
        <v>736201.92228910374</v>
      </c>
      <c r="I117" s="628">
        <f t="shared" si="38"/>
        <v>736201.92228910374</v>
      </c>
      <c r="J117" s="504">
        <f t="shared" si="20"/>
        <v>0</v>
      </c>
      <c r="K117" s="504"/>
      <c r="L117" s="512"/>
      <c r="M117" s="504">
        <f t="shared" si="39"/>
        <v>0</v>
      </c>
      <c r="N117" s="512"/>
      <c r="O117" s="504">
        <f t="shared" si="40"/>
        <v>0</v>
      </c>
      <c r="P117" s="504">
        <f t="shared" si="41"/>
        <v>0</v>
      </c>
    </row>
    <row r="118" spans="2:16" ht="12.5">
      <c r="B118" s="145" t="str">
        <f t="shared" si="18"/>
        <v/>
      </c>
      <c r="C118" s="495">
        <f>IF(D94="","-",+C117+1)</f>
        <v>2036</v>
      </c>
      <c r="D118" s="349">
        <f>IF(F117+SUM(E$100:E117)=D$93,F117,D$93-SUM(E$100:E117))</f>
        <v>4174022.3232323234</v>
      </c>
      <c r="E118" s="509">
        <f t="shared" si="35"/>
        <v>270747.39393939392</v>
      </c>
      <c r="F118" s="510">
        <f t="shared" si="36"/>
        <v>3903274.9292929294</v>
      </c>
      <c r="G118" s="510">
        <f t="shared" si="37"/>
        <v>4038648.6262626266</v>
      </c>
      <c r="H118" s="627">
        <f t="shared" si="19"/>
        <v>706958.7058482843</v>
      </c>
      <c r="I118" s="628">
        <f t="shared" si="38"/>
        <v>706958.7058482843</v>
      </c>
      <c r="J118" s="504">
        <f t="shared" si="20"/>
        <v>0</v>
      </c>
      <c r="K118" s="504"/>
      <c r="L118" s="512"/>
      <c r="M118" s="504">
        <f t="shared" si="39"/>
        <v>0</v>
      </c>
      <c r="N118" s="512"/>
      <c r="O118" s="504">
        <f t="shared" si="40"/>
        <v>0</v>
      </c>
      <c r="P118" s="504">
        <f t="shared" si="41"/>
        <v>0</v>
      </c>
    </row>
    <row r="119" spans="2:16" ht="12.5">
      <c r="B119" s="145" t="str">
        <f t="shared" si="18"/>
        <v/>
      </c>
      <c r="C119" s="495">
        <f>IF(D94="","-",+C118+1)</f>
        <v>2037</v>
      </c>
      <c r="D119" s="349">
        <f>IF(F118+SUM(E$100:E118)=D$93,F118,D$93-SUM(E$100:E118))</f>
        <v>3903274.9292929294</v>
      </c>
      <c r="E119" s="509">
        <f t="shared" si="35"/>
        <v>270747.39393939392</v>
      </c>
      <c r="F119" s="510">
        <f t="shared" si="36"/>
        <v>3632527.5353535353</v>
      </c>
      <c r="G119" s="510">
        <f t="shared" si="37"/>
        <v>3767901.2323232321</v>
      </c>
      <c r="H119" s="627">
        <f t="shared" si="19"/>
        <v>677715.48940746475</v>
      </c>
      <c r="I119" s="628">
        <f t="shared" si="38"/>
        <v>677715.48940746475</v>
      </c>
      <c r="J119" s="504">
        <f t="shared" si="20"/>
        <v>0</v>
      </c>
      <c r="K119" s="504"/>
      <c r="L119" s="512"/>
      <c r="M119" s="504">
        <f t="shared" si="39"/>
        <v>0</v>
      </c>
      <c r="N119" s="512"/>
      <c r="O119" s="504">
        <f t="shared" si="40"/>
        <v>0</v>
      </c>
      <c r="P119" s="504">
        <f t="shared" si="41"/>
        <v>0</v>
      </c>
    </row>
    <row r="120" spans="2:16" ht="12.5">
      <c r="B120" s="145" t="str">
        <f t="shared" si="18"/>
        <v/>
      </c>
      <c r="C120" s="495">
        <f>IF(D94="","-",+C119+1)</f>
        <v>2038</v>
      </c>
      <c r="D120" s="349">
        <f>IF(F119+SUM(E$100:E119)=D$93,F119,D$93-SUM(E$100:E119))</f>
        <v>3632527.5353535353</v>
      </c>
      <c r="E120" s="509">
        <f t="shared" si="35"/>
        <v>270747.39393939392</v>
      </c>
      <c r="F120" s="510">
        <f t="shared" si="36"/>
        <v>3361780.1414141413</v>
      </c>
      <c r="G120" s="510">
        <f t="shared" si="37"/>
        <v>3497153.8383838385</v>
      </c>
      <c r="H120" s="627">
        <f t="shared" si="19"/>
        <v>648472.27296664543</v>
      </c>
      <c r="I120" s="628">
        <f t="shared" si="38"/>
        <v>648472.27296664543</v>
      </c>
      <c r="J120" s="504">
        <f t="shared" si="20"/>
        <v>0</v>
      </c>
      <c r="K120" s="504"/>
      <c r="L120" s="512"/>
      <c r="M120" s="504">
        <f t="shared" si="39"/>
        <v>0</v>
      </c>
      <c r="N120" s="512"/>
      <c r="O120" s="504">
        <f t="shared" si="40"/>
        <v>0</v>
      </c>
      <c r="P120" s="504">
        <f t="shared" si="41"/>
        <v>0</v>
      </c>
    </row>
    <row r="121" spans="2:16" ht="12.5">
      <c r="B121" s="145" t="str">
        <f t="shared" si="18"/>
        <v/>
      </c>
      <c r="C121" s="495">
        <f>IF(D94="","-",+C120+1)</f>
        <v>2039</v>
      </c>
      <c r="D121" s="349">
        <f>IF(F120+SUM(E$100:E120)=D$93,F120,D$93-SUM(E$100:E120))</f>
        <v>3361780.1414141413</v>
      </c>
      <c r="E121" s="509">
        <f t="shared" si="35"/>
        <v>270747.39393939392</v>
      </c>
      <c r="F121" s="510">
        <f t="shared" si="36"/>
        <v>3091032.7474747472</v>
      </c>
      <c r="G121" s="510">
        <f t="shared" si="37"/>
        <v>3226406.444444444</v>
      </c>
      <c r="H121" s="627">
        <f t="shared" si="19"/>
        <v>619229.05652582576</v>
      </c>
      <c r="I121" s="628">
        <f t="shared" si="38"/>
        <v>619229.05652582576</v>
      </c>
      <c r="J121" s="504">
        <f t="shared" si="20"/>
        <v>0</v>
      </c>
      <c r="K121" s="504"/>
      <c r="L121" s="512"/>
      <c r="M121" s="504">
        <f t="shared" si="39"/>
        <v>0</v>
      </c>
      <c r="N121" s="512"/>
      <c r="O121" s="504">
        <f t="shared" si="40"/>
        <v>0</v>
      </c>
      <c r="P121" s="504">
        <f t="shared" si="41"/>
        <v>0</v>
      </c>
    </row>
    <row r="122" spans="2:16" ht="12.5">
      <c r="B122" s="145" t="str">
        <f t="shared" si="18"/>
        <v/>
      </c>
      <c r="C122" s="495">
        <f>IF(D94="","-",+C121+1)</f>
        <v>2040</v>
      </c>
      <c r="D122" s="349">
        <f>IF(F121+SUM(E$100:E121)=D$93,F121,D$93-SUM(E$100:E121))</f>
        <v>3091032.7474747472</v>
      </c>
      <c r="E122" s="509">
        <f t="shared" si="35"/>
        <v>270747.39393939392</v>
      </c>
      <c r="F122" s="510">
        <f t="shared" si="36"/>
        <v>2820285.3535353532</v>
      </c>
      <c r="G122" s="510">
        <f t="shared" si="37"/>
        <v>2955659.0505050505</v>
      </c>
      <c r="H122" s="627">
        <f t="shared" si="19"/>
        <v>589985.84008500632</v>
      </c>
      <c r="I122" s="628">
        <f t="shared" si="38"/>
        <v>589985.84008500632</v>
      </c>
      <c r="J122" s="504">
        <f t="shared" si="20"/>
        <v>0</v>
      </c>
      <c r="K122" s="504"/>
      <c r="L122" s="512"/>
      <c r="M122" s="504">
        <f t="shared" si="39"/>
        <v>0</v>
      </c>
      <c r="N122" s="512"/>
      <c r="O122" s="504">
        <f t="shared" si="40"/>
        <v>0</v>
      </c>
      <c r="P122" s="504">
        <f t="shared" si="41"/>
        <v>0</v>
      </c>
    </row>
    <row r="123" spans="2:16" ht="12.5">
      <c r="B123" s="145" t="str">
        <f t="shared" si="18"/>
        <v/>
      </c>
      <c r="C123" s="495">
        <f>IF(D94="","-",+C122+1)</f>
        <v>2041</v>
      </c>
      <c r="D123" s="349">
        <f>IF(F122+SUM(E$100:E122)=D$93,F122,D$93-SUM(E$100:E122))</f>
        <v>2820285.3535353532</v>
      </c>
      <c r="E123" s="509">
        <f t="shared" si="35"/>
        <v>270747.39393939392</v>
      </c>
      <c r="F123" s="510">
        <f t="shared" si="36"/>
        <v>2549537.9595959592</v>
      </c>
      <c r="G123" s="510">
        <f t="shared" si="37"/>
        <v>2684911.656565656</v>
      </c>
      <c r="H123" s="627">
        <f t="shared" si="19"/>
        <v>560742.62364418688</v>
      </c>
      <c r="I123" s="628">
        <f t="shared" si="38"/>
        <v>560742.62364418688</v>
      </c>
      <c r="J123" s="504">
        <f t="shared" si="20"/>
        <v>0</v>
      </c>
      <c r="K123" s="504"/>
      <c r="L123" s="512"/>
      <c r="M123" s="504">
        <f t="shared" si="39"/>
        <v>0</v>
      </c>
      <c r="N123" s="512"/>
      <c r="O123" s="504">
        <f t="shared" si="40"/>
        <v>0</v>
      </c>
      <c r="P123" s="504">
        <f t="shared" si="41"/>
        <v>0</v>
      </c>
    </row>
    <row r="124" spans="2:16" ht="12.5">
      <c r="B124" s="145" t="str">
        <f t="shared" si="18"/>
        <v/>
      </c>
      <c r="C124" s="495">
        <f>IF(D94="","-",+C123+1)</f>
        <v>2042</v>
      </c>
      <c r="D124" s="349">
        <f>IF(F123+SUM(E$100:E123)=D$93,F123,D$93-SUM(E$100:E123))</f>
        <v>2549537.9595959592</v>
      </c>
      <c r="E124" s="509">
        <f t="shared" si="35"/>
        <v>270747.39393939392</v>
      </c>
      <c r="F124" s="510">
        <f t="shared" si="36"/>
        <v>2278790.5656565651</v>
      </c>
      <c r="G124" s="510">
        <f t="shared" si="37"/>
        <v>2414164.2626262624</v>
      </c>
      <c r="H124" s="627">
        <f t="shared" si="19"/>
        <v>531499.40720336745</v>
      </c>
      <c r="I124" s="628">
        <f t="shared" si="38"/>
        <v>531499.40720336745</v>
      </c>
      <c r="J124" s="504">
        <f t="shared" si="20"/>
        <v>0</v>
      </c>
      <c r="K124" s="504"/>
      <c r="L124" s="512"/>
      <c r="M124" s="504">
        <f t="shared" si="39"/>
        <v>0</v>
      </c>
      <c r="N124" s="512"/>
      <c r="O124" s="504">
        <f t="shared" si="40"/>
        <v>0</v>
      </c>
      <c r="P124" s="504">
        <f t="shared" si="41"/>
        <v>0</v>
      </c>
    </row>
    <row r="125" spans="2:16" ht="12.5">
      <c r="B125" s="145" t="str">
        <f t="shared" si="18"/>
        <v/>
      </c>
      <c r="C125" s="495">
        <f>IF(D94="","-",+C124+1)</f>
        <v>2043</v>
      </c>
      <c r="D125" s="349">
        <f>IF(F124+SUM(E$100:E124)=D$93,F124,D$93-SUM(E$100:E124))</f>
        <v>2278790.5656565651</v>
      </c>
      <c r="E125" s="509">
        <f t="shared" si="35"/>
        <v>270747.39393939392</v>
      </c>
      <c r="F125" s="510">
        <f t="shared" si="36"/>
        <v>2008043.1717171711</v>
      </c>
      <c r="G125" s="510">
        <f t="shared" si="37"/>
        <v>2143416.8686868679</v>
      </c>
      <c r="H125" s="627">
        <f t="shared" si="19"/>
        <v>502256.19076254789</v>
      </c>
      <c r="I125" s="628">
        <f t="shared" si="38"/>
        <v>502256.19076254789</v>
      </c>
      <c r="J125" s="504">
        <f t="shared" si="20"/>
        <v>0</v>
      </c>
      <c r="K125" s="504"/>
      <c r="L125" s="512"/>
      <c r="M125" s="504">
        <f t="shared" si="39"/>
        <v>0</v>
      </c>
      <c r="N125" s="512"/>
      <c r="O125" s="504">
        <f t="shared" si="40"/>
        <v>0</v>
      </c>
      <c r="P125" s="504">
        <f t="shared" si="41"/>
        <v>0</v>
      </c>
    </row>
    <row r="126" spans="2:16" ht="12.5">
      <c r="B126" s="145" t="str">
        <f t="shared" si="18"/>
        <v/>
      </c>
      <c r="C126" s="495">
        <f>IF(D94="","-",+C125+1)</f>
        <v>2044</v>
      </c>
      <c r="D126" s="349">
        <f>IF(F125+SUM(E$100:E125)=D$93,F125,D$93-SUM(E$100:E125))</f>
        <v>2008043.1717171711</v>
      </c>
      <c r="E126" s="509">
        <f t="shared" si="35"/>
        <v>270747.39393939392</v>
      </c>
      <c r="F126" s="510">
        <f t="shared" si="36"/>
        <v>1737295.7777777771</v>
      </c>
      <c r="G126" s="510">
        <f t="shared" si="37"/>
        <v>1872669.4747474741</v>
      </c>
      <c r="H126" s="627">
        <f t="shared" si="19"/>
        <v>473012.97432172846</v>
      </c>
      <c r="I126" s="628">
        <f t="shared" si="38"/>
        <v>473012.97432172846</v>
      </c>
      <c r="J126" s="504">
        <f t="shared" si="20"/>
        <v>0</v>
      </c>
      <c r="K126" s="504"/>
      <c r="L126" s="512"/>
      <c r="M126" s="504">
        <f t="shared" si="39"/>
        <v>0</v>
      </c>
      <c r="N126" s="512"/>
      <c r="O126" s="504">
        <f t="shared" si="40"/>
        <v>0</v>
      </c>
      <c r="P126" s="504">
        <f t="shared" si="41"/>
        <v>0</v>
      </c>
    </row>
    <row r="127" spans="2:16" ht="12.5">
      <c r="B127" s="145" t="str">
        <f t="shared" si="18"/>
        <v/>
      </c>
      <c r="C127" s="495">
        <f>IF(D94="","-",+C126+1)</f>
        <v>2045</v>
      </c>
      <c r="D127" s="349">
        <f>IF(F126+SUM(E$100:E126)=D$93,F126,D$93-SUM(E$100:E126))</f>
        <v>1737295.7777777771</v>
      </c>
      <c r="E127" s="509">
        <f t="shared" si="35"/>
        <v>270747.39393939392</v>
      </c>
      <c r="F127" s="510">
        <f t="shared" si="36"/>
        <v>1466548.383838383</v>
      </c>
      <c r="G127" s="510">
        <f t="shared" si="37"/>
        <v>1601922.08080808</v>
      </c>
      <c r="H127" s="627">
        <f t="shared" si="19"/>
        <v>443769.75788090902</v>
      </c>
      <c r="I127" s="628">
        <f t="shared" si="38"/>
        <v>443769.75788090902</v>
      </c>
      <c r="J127" s="504">
        <f t="shared" si="20"/>
        <v>0</v>
      </c>
      <c r="K127" s="504"/>
      <c r="L127" s="512"/>
      <c r="M127" s="504">
        <f t="shared" si="39"/>
        <v>0</v>
      </c>
      <c r="N127" s="512"/>
      <c r="O127" s="504">
        <f t="shared" si="40"/>
        <v>0</v>
      </c>
      <c r="P127" s="504">
        <f t="shared" si="41"/>
        <v>0</v>
      </c>
    </row>
    <row r="128" spans="2:16" ht="12.5">
      <c r="B128" s="145" t="str">
        <f t="shared" si="18"/>
        <v/>
      </c>
      <c r="C128" s="495">
        <f>IF(D94="","-",+C127+1)</f>
        <v>2046</v>
      </c>
      <c r="D128" s="349">
        <f>IF(F127+SUM(E$100:E127)=D$93,F127,D$93-SUM(E$100:E127))</f>
        <v>1466548.383838383</v>
      </c>
      <c r="E128" s="509">
        <f t="shared" si="35"/>
        <v>270747.39393939392</v>
      </c>
      <c r="F128" s="510">
        <f t="shared" si="36"/>
        <v>1195800.989898989</v>
      </c>
      <c r="G128" s="510">
        <f t="shared" si="37"/>
        <v>1331174.686868686</v>
      </c>
      <c r="H128" s="627">
        <f t="shared" si="19"/>
        <v>414526.54144008952</v>
      </c>
      <c r="I128" s="628">
        <f t="shared" si="38"/>
        <v>414526.54144008952</v>
      </c>
      <c r="J128" s="504">
        <f t="shared" si="20"/>
        <v>0</v>
      </c>
      <c r="K128" s="504"/>
      <c r="L128" s="512"/>
      <c r="M128" s="504">
        <f t="shared" si="39"/>
        <v>0</v>
      </c>
      <c r="N128" s="512"/>
      <c r="O128" s="504">
        <f t="shared" si="40"/>
        <v>0</v>
      </c>
      <c r="P128" s="504">
        <f t="shared" si="41"/>
        <v>0</v>
      </c>
    </row>
    <row r="129" spans="2:16" ht="12.5">
      <c r="B129" s="145" t="str">
        <f t="shared" si="18"/>
        <v/>
      </c>
      <c r="C129" s="495">
        <f>IF(D94="","-",+C128+1)</f>
        <v>2047</v>
      </c>
      <c r="D129" s="349">
        <f>IF(F128+SUM(E$100:E128)=D$93,F128,D$93-SUM(E$100:E128))</f>
        <v>1195800.989898989</v>
      </c>
      <c r="E129" s="509">
        <f t="shared" si="35"/>
        <v>270747.39393939392</v>
      </c>
      <c r="F129" s="510">
        <f t="shared" si="36"/>
        <v>925053.59595959506</v>
      </c>
      <c r="G129" s="510">
        <f t="shared" si="37"/>
        <v>1060427.292929292</v>
      </c>
      <c r="H129" s="627">
        <f t="shared" si="19"/>
        <v>385283.32499927003</v>
      </c>
      <c r="I129" s="628">
        <f t="shared" si="38"/>
        <v>385283.32499927003</v>
      </c>
      <c r="J129" s="504">
        <f t="shared" si="20"/>
        <v>0</v>
      </c>
      <c r="K129" s="504"/>
      <c r="L129" s="512"/>
      <c r="M129" s="504">
        <f t="shared" si="39"/>
        <v>0</v>
      </c>
      <c r="N129" s="512"/>
      <c r="O129" s="504">
        <f t="shared" si="40"/>
        <v>0</v>
      </c>
      <c r="P129" s="504">
        <f t="shared" si="41"/>
        <v>0</v>
      </c>
    </row>
    <row r="130" spans="2:16" ht="12.5">
      <c r="B130" s="145" t="str">
        <f t="shared" si="18"/>
        <v>IU</v>
      </c>
      <c r="C130" s="495">
        <f>IF(D94="","-",+C129+1)</f>
        <v>2048</v>
      </c>
      <c r="D130" s="349">
        <f>IF(F129+SUM(E$100:E129)=D$93,F129,D$93-SUM(E$100:E129))</f>
        <v>925053.59595960006</v>
      </c>
      <c r="E130" s="509">
        <f t="shared" si="35"/>
        <v>270747.39393939392</v>
      </c>
      <c r="F130" s="510">
        <f t="shared" si="36"/>
        <v>654306.20202020614</v>
      </c>
      <c r="G130" s="510">
        <f t="shared" si="37"/>
        <v>789679.89898990304</v>
      </c>
      <c r="H130" s="627">
        <f t="shared" si="19"/>
        <v>356040.10855845112</v>
      </c>
      <c r="I130" s="628">
        <f t="shared" si="38"/>
        <v>356040.10855845112</v>
      </c>
      <c r="J130" s="504">
        <f t="shared" si="20"/>
        <v>0</v>
      </c>
      <c r="K130" s="504"/>
      <c r="L130" s="512"/>
      <c r="M130" s="504">
        <f t="shared" si="39"/>
        <v>0</v>
      </c>
      <c r="N130" s="512"/>
      <c r="O130" s="504">
        <f t="shared" si="40"/>
        <v>0</v>
      </c>
      <c r="P130" s="504">
        <f t="shared" si="41"/>
        <v>0</v>
      </c>
    </row>
    <row r="131" spans="2:16" ht="12.5">
      <c r="B131" s="145" t="str">
        <f t="shared" si="18"/>
        <v/>
      </c>
      <c r="C131" s="495">
        <f>IF(D94="","-",+C130+1)</f>
        <v>2049</v>
      </c>
      <c r="D131" s="349">
        <f>IF(F130+SUM(E$100:E130)=D$93,F130,D$93-SUM(E$100:E130))</f>
        <v>654306.20202020614</v>
      </c>
      <c r="E131" s="509">
        <f t="shared" si="35"/>
        <v>270747.39393939392</v>
      </c>
      <c r="F131" s="510">
        <f t="shared" si="36"/>
        <v>383558.80808081222</v>
      </c>
      <c r="G131" s="510">
        <f t="shared" si="37"/>
        <v>518932.50505050918</v>
      </c>
      <c r="H131" s="627">
        <f t="shared" si="19"/>
        <v>326796.89211763168</v>
      </c>
      <c r="I131" s="628">
        <f t="shared" si="38"/>
        <v>326796.89211763168</v>
      </c>
      <c r="J131" s="504">
        <f t="shared" si="20"/>
        <v>0</v>
      </c>
      <c r="K131" s="504"/>
      <c r="L131" s="512"/>
      <c r="M131" s="504">
        <f t="shared" si="39"/>
        <v>0</v>
      </c>
      <c r="N131" s="512"/>
      <c r="O131" s="504">
        <f t="shared" si="40"/>
        <v>0</v>
      </c>
      <c r="P131" s="504">
        <f t="shared" si="41"/>
        <v>0</v>
      </c>
    </row>
    <row r="132" spans="2:16" ht="12.5">
      <c r="B132" s="145" t="str">
        <f t="shared" si="18"/>
        <v/>
      </c>
      <c r="C132" s="495">
        <f>IF(D94="","-",+C131+1)</f>
        <v>2050</v>
      </c>
      <c r="D132" s="349">
        <f>IF(F131+SUM(E$100:E131)=D$93,F131,D$93-SUM(E$100:E131))</f>
        <v>383558.80808081222</v>
      </c>
      <c r="E132" s="509">
        <f t="shared" si="35"/>
        <v>270747.39393939392</v>
      </c>
      <c r="F132" s="510">
        <f t="shared" si="36"/>
        <v>112811.4141414183</v>
      </c>
      <c r="G132" s="510">
        <f t="shared" si="37"/>
        <v>248185.11111111526</v>
      </c>
      <c r="H132" s="627">
        <f t="shared" si="19"/>
        <v>297553.67567681218</v>
      </c>
      <c r="I132" s="628">
        <f t="shared" si="38"/>
        <v>297553.67567681218</v>
      </c>
      <c r="J132" s="504">
        <f t="shared" ref="J132:J155" si="42">+I542-H542</f>
        <v>0</v>
      </c>
      <c r="K132" s="504"/>
      <c r="L132" s="512"/>
      <c r="M132" s="504">
        <f t="shared" ref="M132:M155" si="43">IF(L542&lt;&gt;0,+H542-L542,0)</f>
        <v>0</v>
      </c>
      <c r="N132" s="512"/>
      <c r="O132" s="504">
        <f t="shared" ref="O132:O155" si="44">IF(N542&lt;&gt;0,+I542-N542,0)</f>
        <v>0</v>
      </c>
      <c r="P132" s="504">
        <f t="shared" ref="P132:P155" si="45">+O542-M542</f>
        <v>0</v>
      </c>
    </row>
    <row r="133" spans="2:16" ht="12.5">
      <c r="B133" s="145" t="str">
        <f t="shared" si="18"/>
        <v/>
      </c>
      <c r="C133" s="495">
        <f>IF(D94="","-",+C132+1)</f>
        <v>2051</v>
      </c>
      <c r="D133" s="349">
        <f>IF(F132+SUM(E$100:E132)=D$93,F132,D$93-SUM(E$100:E132))</f>
        <v>112811.4141414183</v>
      </c>
      <c r="E133" s="509">
        <f t="shared" si="35"/>
        <v>112811.4141414183</v>
      </c>
      <c r="F133" s="510">
        <f t="shared" si="36"/>
        <v>0</v>
      </c>
      <c r="G133" s="510">
        <f t="shared" si="37"/>
        <v>56405.707070709148</v>
      </c>
      <c r="H133" s="627">
        <f t="shared" si="19"/>
        <v>118903.75089992257</v>
      </c>
      <c r="I133" s="628">
        <f t="shared" si="38"/>
        <v>118903.75089992257</v>
      </c>
      <c r="J133" s="504">
        <f t="shared" si="42"/>
        <v>0</v>
      </c>
      <c r="K133" s="504"/>
      <c r="L133" s="512"/>
      <c r="M133" s="504">
        <f t="shared" si="43"/>
        <v>0</v>
      </c>
      <c r="N133" s="512"/>
      <c r="O133" s="504">
        <f t="shared" si="44"/>
        <v>0</v>
      </c>
      <c r="P133" s="504">
        <f t="shared" si="45"/>
        <v>0</v>
      </c>
    </row>
    <row r="134" spans="2:16" ht="12.5">
      <c r="B134" s="145" t="str">
        <f t="shared" si="18"/>
        <v/>
      </c>
      <c r="C134" s="495">
        <f>IF(D94="","-",+C133+1)</f>
        <v>2052</v>
      </c>
      <c r="D134" s="349">
        <f>IF(F133+SUM(E$100:E133)=D$93,F133,D$93-SUM(E$100:E133))</f>
        <v>0</v>
      </c>
      <c r="E134" s="509">
        <f t="shared" si="35"/>
        <v>0</v>
      </c>
      <c r="F134" s="510">
        <f t="shared" si="36"/>
        <v>0</v>
      </c>
      <c r="G134" s="510">
        <f t="shared" si="37"/>
        <v>0</v>
      </c>
      <c r="H134" s="627">
        <f t="shared" si="19"/>
        <v>0</v>
      </c>
      <c r="I134" s="628">
        <f t="shared" si="38"/>
        <v>0</v>
      </c>
      <c r="J134" s="504">
        <f t="shared" si="42"/>
        <v>0</v>
      </c>
      <c r="K134" s="504"/>
      <c r="L134" s="512"/>
      <c r="M134" s="504">
        <f t="shared" si="43"/>
        <v>0</v>
      </c>
      <c r="N134" s="512"/>
      <c r="O134" s="504">
        <f t="shared" si="44"/>
        <v>0</v>
      </c>
      <c r="P134" s="504">
        <f t="shared" si="45"/>
        <v>0</v>
      </c>
    </row>
    <row r="135" spans="2:16" ht="12.5">
      <c r="B135" s="145" t="str">
        <f t="shared" si="18"/>
        <v/>
      </c>
      <c r="C135" s="495">
        <f>IF(D94="","-",+C134+1)</f>
        <v>2053</v>
      </c>
      <c r="D135" s="349">
        <f>IF(F134+SUM(E$100:E134)=D$93,F134,D$93-SUM(E$100:E134))</f>
        <v>0</v>
      </c>
      <c r="E135" s="509">
        <f t="shared" si="35"/>
        <v>0</v>
      </c>
      <c r="F135" s="510">
        <f t="shared" si="36"/>
        <v>0</v>
      </c>
      <c r="G135" s="510">
        <f t="shared" si="37"/>
        <v>0</v>
      </c>
      <c r="H135" s="627">
        <f t="shared" si="19"/>
        <v>0</v>
      </c>
      <c r="I135" s="628">
        <f t="shared" si="38"/>
        <v>0</v>
      </c>
      <c r="J135" s="504">
        <f t="shared" si="42"/>
        <v>0</v>
      </c>
      <c r="K135" s="504"/>
      <c r="L135" s="512"/>
      <c r="M135" s="504">
        <f t="shared" si="43"/>
        <v>0</v>
      </c>
      <c r="N135" s="512"/>
      <c r="O135" s="504">
        <f t="shared" si="44"/>
        <v>0</v>
      </c>
      <c r="P135" s="504">
        <f t="shared" si="45"/>
        <v>0</v>
      </c>
    </row>
    <row r="136" spans="2:16" ht="12.5">
      <c r="B136" s="145" t="str">
        <f t="shared" si="18"/>
        <v/>
      </c>
      <c r="C136" s="495">
        <f>IF(D94="","-",+C135+1)</f>
        <v>2054</v>
      </c>
      <c r="D136" s="349">
        <f>IF(F135+SUM(E$100:E135)=D$93,F135,D$93-SUM(E$100:E135))</f>
        <v>0</v>
      </c>
      <c r="E136" s="509">
        <f t="shared" si="35"/>
        <v>0</v>
      </c>
      <c r="F136" s="510">
        <f t="shared" si="36"/>
        <v>0</v>
      </c>
      <c r="G136" s="510">
        <f t="shared" si="37"/>
        <v>0</v>
      </c>
      <c r="H136" s="627">
        <f t="shared" si="19"/>
        <v>0</v>
      </c>
      <c r="I136" s="628">
        <f t="shared" si="38"/>
        <v>0</v>
      </c>
      <c r="J136" s="504">
        <f t="shared" si="42"/>
        <v>0</v>
      </c>
      <c r="K136" s="504"/>
      <c r="L136" s="512"/>
      <c r="M136" s="504">
        <f t="shared" si="43"/>
        <v>0</v>
      </c>
      <c r="N136" s="512"/>
      <c r="O136" s="504">
        <f t="shared" si="44"/>
        <v>0</v>
      </c>
      <c r="P136" s="504">
        <f t="shared" si="45"/>
        <v>0</v>
      </c>
    </row>
    <row r="137" spans="2:16" ht="12.5">
      <c r="B137" s="145" t="str">
        <f t="shared" si="18"/>
        <v/>
      </c>
      <c r="C137" s="495">
        <f>IF(D94="","-",+C136+1)</f>
        <v>2055</v>
      </c>
      <c r="D137" s="349">
        <f>IF(F136+SUM(E$100:E136)=D$93,F136,D$93-SUM(E$100:E136))</f>
        <v>0</v>
      </c>
      <c r="E137" s="509">
        <f t="shared" si="35"/>
        <v>0</v>
      </c>
      <c r="F137" s="510">
        <f t="shared" si="36"/>
        <v>0</v>
      </c>
      <c r="G137" s="510">
        <f t="shared" si="37"/>
        <v>0</v>
      </c>
      <c r="H137" s="627">
        <f t="shared" si="19"/>
        <v>0</v>
      </c>
      <c r="I137" s="628">
        <f t="shared" si="38"/>
        <v>0</v>
      </c>
      <c r="J137" s="504">
        <f t="shared" si="42"/>
        <v>0</v>
      </c>
      <c r="K137" s="504"/>
      <c r="L137" s="512"/>
      <c r="M137" s="504">
        <f t="shared" si="43"/>
        <v>0</v>
      </c>
      <c r="N137" s="512"/>
      <c r="O137" s="504">
        <f t="shared" si="44"/>
        <v>0</v>
      </c>
      <c r="P137" s="504">
        <f t="shared" si="45"/>
        <v>0</v>
      </c>
    </row>
    <row r="138" spans="2:16" ht="12.5">
      <c r="B138" s="145" t="str">
        <f t="shared" si="18"/>
        <v/>
      </c>
      <c r="C138" s="495">
        <f>IF(D94="","-",+C137+1)</f>
        <v>2056</v>
      </c>
      <c r="D138" s="349">
        <f>IF(F137+SUM(E$100:E137)=D$93,F137,D$93-SUM(E$100:E137))</f>
        <v>0</v>
      </c>
      <c r="E138" s="509">
        <f t="shared" si="35"/>
        <v>0</v>
      </c>
      <c r="F138" s="510">
        <f t="shared" si="36"/>
        <v>0</v>
      </c>
      <c r="G138" s="510">
        <f t="shared" si="37"/>
        <v>0</v>
      </c>
      <c r="H138" s="627">
        <f t="shared" si="19"/>
        <v>0</v>
      </c>
      <c r="I138" s="628">
        <f t="shared" si="38"/>
        <v>0</v>
      </c>
      <c r="J138" s="504">
        <f t="shared" si="42"/>
        <v>0</v>
      </c>
      <c r="K138" s="504"/>
      <c r="L138" s="512"/>
      <c r="M138" s="504">
        <f t="shared" si="43"/>
        <v>0</v>
      </c>
      <c r="N138" s="512"/>
      <c r="O138" s="504">
        <f t="shared" si="44"/>
        <v>0</v>
      </c>
      <c r="P138" s="504">
        <f t="shared" si="45"/>
        <v>0</v>
      </c>
    </row>
    <row r="139" spans="2:16" ht="12.5">
      <c r="B139" s="145" t="str">
        <f t="shared" si="18"/>
        <v/>
      </c>
      <c r="C139" s="495">
        <f>IF(D94="","-",+C138+1)</f>
        <v>2057</v>
      </c>
      <c r="D139" s="349">
        <f>IF(F138+SUM(E$100:E138)=D$93,F138,D$93-SUM(E$100:E138))</f>
        <v>0</v>
      </c>
      <c r="E139" s="509">
        <f t="shared" si="35"/>
        <v>0</v>
      </c>
      <c r="F139" s="510">
        <f t="shared" si="36"/>
        <v>0</v>
      </c>
      <c r="G139" s="510">
        <f t="shared" si="37"/>
        <v>0</v>
      </c>
      <c r="H139" s="627">
        <f t="shared" si="19"/>
        <v>0</v>
      </c>
      <c r="I139" s="628">
        <f t="shared" si="38"/>
        <v>0</v>
      </c>
      <c r="J139" s="504">
        <f t="shared" si="42"/>
        <v>0</v>
      </c>
      <c r="K139" s="504"/>
      <c r="L139" s="512"/>
      <c r="M139" s="504">
        <f t="shared" si="43"/>
        <v>0</v>
      </c>
      <c r="N139" s="512"/>
      <c r="O139" s="504">
        <f t="shared" si="44"/>
        <v>0</v>
      </c>
      <c r="P139" s="504">
        <f t="shared" si="45"/>
        <v>0</v>
      </c>
    </row>
    <row r="140" spans="2:16" ht="12.5">
      <c r="B140" s="145" t="str">
        <f t="shared" si="18"/>
        <v/>
      </c>
      <c r="C140" s="495">
        <f>IF(D94="","-",+C139+1)</f>
        <v>2058</v>
      </c>
      <c r="D140" s="349">
        <f>IF(F139+SUM(E$100:E139)=D$93,F139,D$93-SUM(E$100:E139))</f>
        <v>0</v>
      </c>
      <c r="E140" s="509">
        <f t="shared" si="35"/>
        <v>0</v>
      </c>
      <c r="F140" s="510">
        <f t="shared" si="36"/>
        <v>0</v>
      </c>
      <c r="G140" s="510">
        <f t="shared" si="37"/>
        <v>0</v>
      </c>
      <c r="H140" s="627">
        <f t="shared" si="19"/>
        <v>0</v>
      </c>
      <c r="I140" s="628">
        <f t="shared" si="38"/>
        <v>0</v>
      </c>
      <c r="J140" s="504">
        <f t="shared" si="42"/>
        <v>0</v>
      </c>
      <c r="K140" s="504"/>
      <c r="L140" s="512"/>
      <c r="M140" s="504">
        <f t="shared" si="43"/>
        <v>0</v>
      </c>
      <c r="N140" s="512"/>
      <c r="O140" s="504">
        <f t="shared" si="44"/>
        <v>0</v>
      </c>
      <c r="P140" s="504">
        <f t="shared" si="45"/>
        <v>0</v>
      </c>
    </row>
    <row r="141" spans="2:16" ht="12.5">
      <c r="B141" s="145" t="str">
        <f t="shared" si="18"/>
        <v/>
      </c>
      <c r="C141" s="495">
        <f>IF(D94="","-",+C140+1)</f>
        <v>2059</v>
      </c>
      <c r="D141" s="349">
        <f>IF(F140+SUM(E$100:E140)=D$93,F140,D$93-SUM(E$100:E140))</f>
        <v>0</v>
      </c>
      <c r="E141" s="509">
        <f t="shared" si="35"/>
        <v>0</v>
      </c>
      <c r="F141" s="510">
        <f t="shared" si="36"/>
        <v>0</v>
      </c>
      <c r="G141" s="510">
        <f t="shared" si="37"/>
        <v>0</v>
      </c>
      <c r="H141" s="627">
        <f t="shared" si="19"/>
        <v>0</v>
      </c>
      <c r="I141" s="628">
        <f t="shared" si="38"/>
        <v>0</v>
      </c>
      <c r="J141" s="504">
        <f t="shared" si="42"/>
        <v>0</v>
      </c>
      <c r="K141" s="504"/>
      <c r="L141" s="512"/>
      <c r="M141" s="504">
        <f t="shared" si="43"/>
        <v>0</v>
      </c>
      <c r="N141" s="512"/>
      <c r="O141" s="504">
        <f t="shared" si="44"/>
        <v>0</v>
      </c>
      <c r="P141" s="504">
        <f t="shared" si="45"/>
        <v>0</v>
      </c>
    </row>
    <row r="142" spans="2:16" ht="12.5">
      <c r="B142" s="145" t="str">
        <f t="shared" si="18"/>
        <v/>
      </c>
      <c r="C142" s="495">
        <f>IF(D94="","-",+C141+1)</f>
        <v>2060</v>
      </c>
      <c r="D142" s="349">
        <f>IF(F141+SUM(E$100:E141)=D$93,F141,D$93-SUM(E$100:E141))</f>
        <v>0</v>
      </c>
      <c r="E142" s="509">
        <f t="shared" si="35"/>
        <v>0</v>
      </c>
      <c r="F142" s="510">
        <f t="shared" si="36"/>
        <v>0</v>
      </c>
      <c r="G142" s="510">
        <f t="shared" si="37"/>
        <v>0</v>
      </c>
      <c r="H142" s="627">
        <f t="shared" si="19"/>
        <v>0</v>
      </c>
      <c r="I142" s="628">
        <f t="shared" si="38"/>
        <v>0</v>
      </c>
      <c r="J142" s="504">
        <f t="shared" si="42"/>
        <v>0</v>
      </c>
      <c r="K142" s="504"/>
      <c r="L142" s="512"/>
      <c r="M142" s="504">
        <f t="shared" si="43"/>
        <v>0</v>
      </c>
      <c r="N142" s="512"/>
      <c r="O142" s="504">
        <f t="shared" si="44"/>
        <v>0</v>
      </c>
      <c r="P142" s="504">
        <f t="shared" si="45"/>
        <v>0</v>
      </c>
    </row>
    <row r="143" spans="2:16" ht="12.5">
      <c r="B143" s="145" t="str">
        <f t="shared" si="18"/>
        <v/>
      </c>
      <c r="C143" s="495">
        <f>IF(D94="","-",+C142+1)</f>
        <v>2061</v>
      </c>
      <c r="D143" s="349">
        <f>IF(F142+SUM(E$100:E142)=D$93,F142,D$93-SUM(E$100:E142))</f>
        <v>0</v>
      </c>
      <c r="E143" s="509">
        <f t="shared" si="35"/>
        <v>0</v>
      </c>
      <c r="F143" s="510">
        <f t="shared" si="36"/>
        <v>0</v>
      </c>
      <c r="G143" s="510">
        <f t="shared" si="37"/>
        <v>0</v>
      </c>
      <c r="H143" s="627">
        <f t="shared" si="19"/>
        <v>0</v>
      </c>
      <c r="I143" s="628">
        <f t="shared" si="38"/>
        <v>0</v>
      </c>
      <c r="J143" s="504">
        <f t="shared" si="42"/>
        <v>0</v>
      </c>
      <c r="K143" s="504"/>
      <c r="L143" s="512"/>
      <c r="M143" s="504">
        <f t="shared" si="43"/>
        <v>0</v>
      </c>
      <c r="N143" s="512"/>
      <c r="O143" s="504">
        <f t="shared" si="44"/>
        <v>0</v>
      </c>
      <c r="P143" s="504">
        <f t="shared" si="45"/>
        <v>0</v>
      </c>
    </row>
    <row r="144" spans="2:16" ht="12.5">
      <c r="B144" s="145" t="str">
        <f t="shared" si="18"/>
        <v/>
      </c>
      <c r="C144" s="495">
        <f>IF(D94="","-",+C143+1)</f>
        <v>2062</v>
      </c>
      <c r="D144" s="349">
        <f>IF(F143+SUM(E$100:E143)=D$93,F143,D$93-SUM(E$100:E143))</f>
        <v>0</v>
      </c>
      <c r="E144" s="509">
        <f t="shared" si="35"/>
        <v>0</v>
      </c>
      <c r="F144" s="510">
        <f t="shared" si="36"/>
        <v>0</v>
      </c>
      <c r="G144" s="510">
        <f t="shared" si="37"/>
        <v>0</v>
      </c>
      <c r="H144" s="627">
        <f t="shared" si="19"/>
        <v>0</v>
      </c>
      <c r="I144" s="628">
        <f t="shared" si="38"/>
        <v>0</v>
      </c>
      <c r="J144" s="504">
        <f t="shared" si="42"/>
        <v>0</v>
      </c>
      <c r="K144" s="504"/>
      <c r="L144" s="512"/>
      <c r="M144" s="504">
        <f t="shared" si="43"/>
        <v>0</v>
      </c>
      <c r="N144" s="512"/>
      <c r="O144" s="504">
        <f t="shared" si="44"/>
        <v>0</v>
      </c>
      <c r="P144" s="504">
        <f t="shared" si="45"/>
        <v>0</v>
      </c>
    </row>
    <row r="145" spans="2:16" ht="12.5">
      <c r="B145" s="145" t="str">
        <f t="shared" si="18"/>
        <v/>
      </c>
      <c r="C145" s="495">
        <f>IF(D94="","-",+C144+1)</f>
        <v>2063</v>
      </c>
      <c r="D145" s="349">
        <f>IF(F144+SUM(E$100:E144)=D$93,F144,D$93-SUM(E$100:E144))</f>
        <v>0</v>
      </c>
      <c r="E145" s="509">
        <f t="shared" si="35"/>
        <v>0</v>
      </c>
      <c r="F145" s="510">
        <f t="shared" si="36"/>
        <v>0</v>
      </c>
      <c r="G145" s="510">
        <f t="shared" si="37"/>
        <v>0</v>
      </c>
      <c r="H145" s="627">
        <f t="shared" si="19"/>
        <v>0</v>
      </c>
      <c r="I145" s="628">
        <f t="shared" si="38"/>
        <v>0</v>
      </c>
      <c r="J145" s="504">
        <f t="shared" si="42"/>
        <v>0</v>
      </c>
      <c r="K145" s="504"/>
      <c r="L145" s="512"/>
      <c r="M145" s="504">
        <f t="shared" si="43"/>
        <v>0</v>
      </c>
      <c r="N145" s="512"/>
      <c r="O145" s="504">
        <f t="shared" si="44"/>
        <v>0</v>
      </c>
      <c r="P145" s="504">
        <f t="shared" si="45"/>
        <v>0</v>
      </c>
    </row>
    <row r="146" spans="2:16" ht="12.5">
      <c r="B146" s="145" t="str">
        <f t="shared" si="18"/>
        <v/>
      </c>
      <c r="C146" s="495">
        <f>IF(D94="","-",+C145+1)</f>
        <v>2064</v>
      </c>
      <c r="D146" s="349">
        <f>IF(F145+SUM(E$100:E145)=D$93,F145,D$93-SUM(E$100:E145))</f>
        <v>0</v>
      </c>
      <c r="E146" s="509">
        <f t="shared" si="35"/>
        <v>0</v>
      </c>
      <c r="F146" s="510">
        <f t="shared" si="36"/>
        <v>0</v>
      </c>
      <c r="G146" s="510">
        <f t="shared" si="37"/>
        <v>0</v>
      </c>
      <c r="H146" s="627">
        <f t="shared" si="19"/>
        <v>0</v>
      </c>
      <c r="I146" s="628">
        <f t="shared" si="38"/>
        <v>0</v>
      </c>
      <c r="J146" s="504">
        <f t="shared" si="42"/>
        <v>0</v>
      </c>
      <c r="K146" s="504"/>
      <c r="L146" s="512"/>
      <c r="M146" s="504">
        <f t="shared" si="43"/>
        <v>0</v>
      </c>
      <c r="N146" s="512"/>
      <c r="O146" s="504">
        <f t="shared" si="44"/>
        <v>0</v>
      </c>
      <c r="P146" s="504">
        <f t="shared" si="45"/>
        <v>0</v>
      </c>
    </row>
    <row r="147" spans="2:16" ht="12.5">
      <c r="B147" s="145" t="str">
        <f t="shared" si="18"/>
        <v/>
      </c>
      <c r="C147" s="495">
        <f>IF(D94="","-",+C146+1)</f>
        <v>2065</v>
      </c>
      <c r="D147" s="349">
        <f>IF(F146+SUM(E$100:E146)=D$93,F146,D$93-SUM(E$100:E146))</f>
        <v>0</v>
      </c>
      <c r="E147" s="509">
        <f t="shared" si="35"/>
        <v>0</v>
      </c>
      <c r="F147" s="510">
        <f t="shared" si="36"/>
        <v>0</v>
      </c>
      <c r="G147" s="510">
        <f t="shared" si="37"/>
        <v>0</v>
      </c>
      <c r="H147" s="627">
        <f t="shared" si="19"/>
        <v>0</v>
      </c>
      <c r="I147" s="628">
        <f t="shared" si="38"/>
        <v>0</v>
      </c>
      <c r="J147" s="504">
        <f t="shared" si="42"/>
        <v>0</v>
      </c>
      <c r="K147" s="504"/>
      <c r="L147" s="512"/>
      <c r="M147" s="504">
        <f t="shared" si="43"/>
        <v>0</v>
      </c>
      <c r="N147" s="512"/>
      <c r="O147" s="504">
        <f t="shared" si="44"/>
        <v>0</v>
      </c>
      <c r="P147" s="504">
        <f t="shared" si="45"/>
        <v>0</v>
      </c>
    </row>
    <row r="148" spans="2:16" ht="12.5">
      <c r="B148" s="145" t="str">
        <f t="shared" si="18"/>
        <v/>
      </c>
      <c r="C148" s="495">
        <f>IF(D94="","-",+C147+1)</f>
        <v>2066</v>
      </c>
      <c r="D148" s="349">
        <f>IF(F147+SUM(E$100:E147)=D$93,F147,D$93-SUM(E$100:E147))</f>
        <v>0</v>
      </c>
      <c r="E148" s="509">
        <f t="shared" si="35"/>
        <v>0</v>
      </c>
      <c r="F148" s="510">
        <f t="shared" si="36"/>
        <v>0</v>
      </c>
      <c r="G148" s="510">
        <f t="shared" si="37"/>
        <v>0</v>
      </c>
      <c r="H148" s="627">
        <f t="shared" si="19"/>
        <v>0</v>
      </c>
      <c r="I148" s="628">
        <f t="shared" si="38"/>
        <v>0</v>
      </c>
      <c r="J148" s="504">
        <f t="shared" si="42"/>
        <v>0</v>
      </c>
      <c r="K148" s="504"/>
      <c r="L148" s="512"/>
      <c r="M148" s="504">
        <f t="shared" si="43"/>
        <v>0</v>
      </c>
      <c r="N148" s="512"/>
      <c r="O148" s="504">
        <f t="shared" si="44"/>
        <v>0</v>
      </c>
      <c r="P148" s="504">
        <f t="shared" si="45"/>
        <v>0</v>
      </c>
    </row>
    <row r="149" spans="2:16" ht="12.5">
      <c r="B149" s="145" t="str">
        <f t="shared" si="18"/>
        <v/>
      </c>
      <c r="C149" s="495">
        <f>IF(D94="","-",+C148+1)</f>
        <v>2067</v>
      </c>
      <c r="D149" s="349">
        <f>IF(F148+SUM(E$100:E148)=D$93,F148,D$93-SUM(E$100:E148))</f>
        <v>0</v>
      </c>
      <c r="E149" s="509">
        <f t="shared" si="35"/>
        <v>0</v>
      </c>
      <c r="F149" s="510">
        <f t="shared" si="36"/>
        <v>0</v>
      </c>
      <c r="G149" s="510">
        <f t="shared" si="37"/>
        <v>0</v>
      </c>
      <c r="H149" s="627">
        <f t="shared" si="19"/>
        <v>0</v>
      </c>
      <c r="I149" s="628">
        <f t="shared" si="38"/>
        <v>0</v>
      </c>
      <c r="J149" s="504">
        <f t="shared" si="42"/>
        <v>0</v>
      </c>
      <c r="K149" s="504"/>
      <c r="L149" s="512"/>
      <c r="M149" s="504">
        <f t="shared" si="43"/>
        <v>0</v>
      </c>
      <c r="N149" s="512"/>
      <c r="O149" s="504">
        <f t="shared" si="44"/>
        <v>0</v>
      </c>
      <c r="P149" s="504">
        <f t="shared" si="45"/>
        <v>0</v>
      </c>
    </row>
    <row r="150" spans="2:16" ht="12.5">
      <c r="B150" s="145" t="str">
        <f t="shared" si="18"/>
        <v/>
      </c>
      <c r="C150" s="495">
        <f>IF(D94="","-",+C149+1)</f>
        <v>2068</v>
      </c>
      <c r="D150" s="349">
        <f>IF(F149+SUM(E$100:E149)=D$93,F149,D$93-SUM(E$100:E149))</f>
        <v>0</v>
      </c>
      <c r="E150" s="509">
        <f t="shared" si="35"/>
        <v>0</v>
      </c>
      <c r="F150" s="510">
        <f t="shared" si="36"/>
        <v>0</v>
      </c>
      <c r="G150" s="510">
        <f t="shared" si="37"/>
        <v>0</v>
      </c>
      <c r="H150" s="627">
        <f t="shared" si="19"/>
        <v>0</v>
      </c>
      <c r="I150" s="628">
        <f t="shared" si="38"/>
        <v>0</v>
      </c>
      <c r="J150" s="504">
        <f t="shared" si="42"/>
        <v>0</v>
      </c>
      <c r="K150" s="504"/>
      <c r="L150" s="512"/>
      <c r="M150" s="504">
        <f t="shared" si="43"/>
        <v>0</v>
      </c>
      <c r="N150" s="512"/>
      <c r="O150" s="504">
        <f t="shared" si="44"/>
        <v>0</v>
      </c>
      <c r="P150" s="504">
        <f t="shared" si="45"/>
        <v>0</v>
      </c>
    </row>
    <row r="151" spans="2:16" ht="12.5">
      <c r="B151" s="145" t="str">
        <f t="shared" si="18"/>
        <v/>
      </c>
      <c r="C151" s="495">
        <f>IF(D94="","-",+C150+1)</f>
        <v>2069</v>
      </c>
      <c r="D151" s="349">
        <f>IF(F150+SUM(E$100:E150)=D$93,F150,D$93-SUM(E$100:E150))</f>
        <v>0</v>
      </c>
      <c r="E151" s="509">
        <f t="shared" si="35"/>
        <v>0</v>
      </c>
      <c r="F151" s="510">
        <f t="shared" si="36"/>
        <v>0</v>
      </c>
      <c r="G151" s="510">
        <f t="shared" si="37"/>
        <v>0</v>
      </c>
      <c r="H151" s="627">
        <f t="shared" si="19"/>
        <v>0</v>
      </c>
      <c r="I151" s="628">
        <f t="shared" si="38"/>
        <v>0</v>
      </c>
      <c r="J151" s="504">
        <f t="shared" si="42"/>
        <v>0</v>
      </c>
      <c r="K151" s="504"/>
      <c r="L151" s="512"/>
      <c r="M151" s="504">
        <f t="shared" si="43"/>
        <v>0</v>
      </c>
      <c r="N151" s="512"/>
      <c r="O151" s="504">
        <f t="shared" si="44"/>
        <v>0</v>
      </c>
      <c r="P151" s="504">
        <f t="shared" si="45"/>
        <v>0</v>
      </c>
    </row>
    <row r="152" spans="2:16" ht="12.5">
      <c r="B152" s="145" t="str">
        <f t="shared" si="18"/>
        <v/>
      </c>
      <c r="C152" s="495">
        <f>IF(D94="","-",+C151+1)</f>
        <v>2070</v>
      </c>
      <c r="D152" s="349">
        <f>IF(F151+SUM(E$100:E151)=D$93,F151,D$93-SUM(E$100:E151))</f>
        <v>0</v>
      </c>
      <c r="E152" s="509">
        <f t="shared" si="35"/>
        <v>0</v>
      </c>
      <c r="F152" s="510">
        <f t="shared" si="36"/>
        <v>0</v>
      </c>
      <c r="G152" s="510">
        <f t="shared" si="37"/>
        <v>0</v>
      </c>
      <c r="H152" s="627">
        <f t="shared" si="19"/>
        <v>0</v>
      </c>
      <c r="I152" s="628">
        <f t="shared" si="38"/>
        <v>0</v>
      </c>
      <c r="J152" s="504">
        <f t="shared" si="42"/>
        <v>0</v>
      </c>
      <c r="K152" s="504"/>
      <c r="L152" s="512"/>
      <c r="M152" s="504">
        <f t="shared" si="43"/>
        <v>0</v>
      </c>
      <c r="N152" s="512"/>
      <c r="O152" s="504">
        <f t="shared" si="44"/>
        <v>0</v>
      </c>
      <c r="P152" s="504">
        <f t="shared" si="45"/>
        <v>0</v>
      </c>
    </row>
    <row r="153" spans="2:16" ht="12.5">
      <c r="B153" s="145" t="str">
        <f t="shared" si="18"/>
        <v/>
      </c>
      <c r="C153" s="495">
        <f>IF(D94="","-",+C152+1)</f>
        <v>2071</v>
      </c>
      <c r="D153" s="349">
        <f>IF(F152+SUM(E$100:E152)=D$93,F152,D$93-SUM(E$100:E152))</f>
        <v>0</v>
      </c>
      <c r="E153" s="509">
        <f t="shared" si="35"/>
        <v>0</v>
      </c>
      <c r="F153" s="510">
        <f t="shared" si="36"/>
        <v>0</v>
      </c>
      <c r="G153" s="510">
        <f t="shared" si="37"/>
        <v>0</v>
      </c>
      <c r="H153" s="627">
        <f t="shared" si="19"/>
        <v>0</v>
      </c>
      <c r="I153" s="628">
        <f t="shared" si="38"/>
        <v>0</v>
      </c>
      <c r="J153" s="504">
        <f t="shared" si="42"/>
        <v>0</v>
      </c>
      <c r="K153" s="504"/>
      <c r="L153" s="512"/>
      <c r="M153" s="504">
        <f t="shared" si="43"/>
        <v>0</v>
      </c>
      <c r="N153" s="512"/>
      <c r="O153" s="504">
        <f t="shared" si="44"/>
        <v>0</v>
      </c>
      <c r="P153" s="504">
        <f t="shared" si="45"/>
        <v>0</v>
      </c>
    </row>
    <row r="154" spans="2:16" ht="12.5">
      <c r="B154" s="145" t="str">
        <f t="shared" si="18"/>
        <v/>
      </c>
      <c r="C154" s="495">
        <f>IF(D94="","-",+C153+1)</f>
        <v>2072</v>
      </c>
      <c r="D154" s="349">
        <f>IF(F153+SUM(E$100:E153)=D$93,F153,D$93-SUM(E$100:E153))</f>
        <v>0</v>
      </c>
      <c r="E154" s="509">
        <f t="shared" si="35"/>
        <v>0</v>
      </c>
      <c r="F154" s="510">
        <f t="shared" si="36"/>
        <v>0</v>
      </c>
      <c r="G154" s="510">
        <f t="shared" si="37"/>
        <v>0</v>
      </c>
      <c r="H154" s="627">
        <f t="shared" si="19"/>
        <v>0</v>
      </c>
      <c r="I154" s="628">
        <f t="shared" si="38"/>
        <v>0</v>
      </c>
      <c r="J154" s="504">
        <f t="shared" si="42"/>
        <v>0</v>
      </c>
      <c r="K154" s="504"/>
      <c r="L154" s="512"/>
      <c r="M154" s="504">
        <f t="shared" si="43"/>
        <v>0</v>
      </c>
      <c r="N154" s="512"/>
      <c r="O154" s="504">
        <f t="shared" si="44"/>
        <v>0</v>
      </c>
      <c r="P154" s="504">
        <f t="shared" si="45"/>
        <v>0</v>
      </c>
    </row>
    <row r="155" spans="2:16" ht="13" thickBot="1">
      <c r="B155" s="145" t="str">
        <f t="shared" si="18"/>
        <v/>
      </c>
      <c r="C155" s="524">
        <f>IF(D94="","-",+C154+1)</f>
        <v>2073</v>
      </c>
      <c r="D155" s="638">
        <f>IF(F154+SUM(E$100:E154)=D$93,F154,D$93-SUM(E$100:E154))</f>
        <v>0</v>
      </c>
      <c r="E155" s="526">
        <f t="shared" si="35"/>
        <v>0</v>
      </c>
      <c r="F155" s="527">
        <f t="shared" si="36"/>
        <v>0</v>
      </c>
      <c r="G155" s="527">
        <f t="shared" si="37"/>
        <v>0</v>
      </c>
      <c r="H155" s="623">
        <f t="shared" si="19"/>
        <v>0</v>
      </c>
      <c r="I155" s="624">
        <f t="shared" si="38"/>
        <v>0</v>
      </c>
      <c r="J155" s="531">
        <f t="shared" si="42"/>
        <v>0</v>
      </c>
      <c r="K155" s="504"/>
      <c r="L155" s="530"/>
      <c r="M155" s="531">
        <f t="shared" si="43"/>
        <v>0</v>
      </c>
      <c r="N155" s="530"/>
      <c r="O155" s="531">
        <f t="shared" si="44"/>
        <v>0</v>
      </c>
      <c r="P155" s="531">
        <f t="shared" si="45"/>
        <v>0</v>
      </c>
    </row>
    <row r="156" spans="2:16" ht="12.5">
      <c r="C156" s="349" t="s">
        <v>75</v>
      </c>
      <c r="D156" s="294"/>
      <c r="E156" s="294">
        <f>SUM(E100:E155)</f>
        <v>8934664</v>
      </c>
      <c r="F156" s="294"/>
      <c r="G156" s="294"/>
      <c r="H156" s="294">
        <f>SUM(H100:H155)</f>
        <v>24777176.506813947</v>
      </c>
      <c r="I156" s="294">
        <f>SUM(I100:I155)</f>
        <v>24777176.506813947</v>
      </c>
      <c r="J156" s="294">
        <f>SUM(J100:J155)</f>
        <v>0</v>
      </c>
      <c r="K156" s="294"/>
      <c r="L156" s="294"/>
      <c r="M156" s="294"/>
      <c r="N156" s="294"/>
      <c r="O156" s="294"/>
      <c r="P156" s="243"/>
    </row>
    <row r="157" spans="2:16" ht="12.5">
      <c r="C157" s="145" t="s">
        <v>90</v>
      </c>
      <c r="D157" s="292"/>
      <c r="E157" s="243"/>
      <c r="F157" s="243"/>
      <c r="G157" s="243"/>
      <c r="H157" s="243"/>
      <c r="I157" s="325"/>
      <c r="J157" s="325"/>
      <c r="K157" s="294"/>
      <c r="L157" s="325"/>
      <c r="M157" s="325"/>
      <c r="N157" s="325"/>
      <c r="O157" s="325"/>
      <c r="P157" s="243"/>
    </row>
    <row r="158" spans="2:16" ht="12.5">
      <c r="C158" s="574"/>
      <c r="D158" s="292"/>
      <c r="E158" s="243"/>
      <c r="F158" s="243"/>
      <c r="G158" s="243"/>
      <c r="H158" s="243"/>
      <c r="I158" s="325"/>
      <c r="J158" s="325"/>
      <c r="K158" s="294"/>
      <c r="L158" s="325"/>
      <c r="M158" s="325"/>
      <c r="N158" s="325"/>
      <c r="O158" s="325"/>
      <c r="P158" s="243"/>
    </row>
    <row r="159" spans="2:16" ht="13">
      <c r="C159" s="619" t="s">
        <v>130</v>
      </c>
      <c r="D159" s="292"/>
      <c r="E159" s="243"/>
      <c r="F159" s="243"/>
      <c r="G159" s="243"/>
      <c r="H159" s="243"/>
      <c r="I159" s="325"/>
      <c r="J159" s="325"/>
      <c r="K159" s="294"/>
      <c r="L159" s="325"/>
      <c r="M159" s="325"/>
      <c r="N159" s="325"/>
      <c r="O159" s="325"/>
      <c r="P159" s="243"/>
    </row>
    <row r="160" spans="2:16" ht="13">
      <c r="C160" s="454" t="s">
        <v>76</v>
      </c>
      <c r="D160" s="349"/>
      <c r="E160" s="349"/>
      <c r="F160" s="349"/>
      <c r="G160" s="349"/>
      <c r="H160" s="294"/>
      <c r="I160" s="294"/>
      <c r="J160" s="350"/>
      <c r="K160" s="350"/>
      <c r="L160" s="350"/>
      <c r="M160" s="350"/>
      <c r="N160" s="350"/>
      <c r="O160" s="350"/>
      <c r="P160" s="243"/>
    </row>
    <row r="161" spans="3:16" ht="13">
      <c r="C161" s="575" t="s">
        <v>77</v>
      </c>
      <c r="D161" s="349"/>
      <c r="E161" s="349"/>
      <c r="F161" s="349"/>
      <c r="G161" s="349"/>
      <c r="H161" s="294"/>
      <c r="I161" s="294"/>
      <c r="J161" s="350"/>
      <c r="K161" s="350"/>
      <c r="L161" s="350"/>
      <c r="M161" s="350"/>
      <c r="N161" s="350"/>
      <c r="O161" s="350"/>
      <c r="P161" s="243"/>
    </row>
    <row r="162" spans="3:16" ht="13">
      <c r="C162" s="575"/>
      <c r="D162" s="349"/>
      <c r="E162" s="349"/>
      <c r="F162" s="349"/>
      <c r="G162" s="349"/>
      <c r="H162" s="294"/>
      <c r="I162" s="294"/>
      <c r="J162" s="350"/>
      <c r="K162" s="350"/>
      <c r="L162" s="350"/>
      <c r="M162" s="350"/>
      <c r="N162" s="350"/>
      <c r="O162" s="350"/>
      <c r="P162" s="243"/>
    </row>
    <row r="163" spans="3:16" ht="17.5">
      <c r="C163" s="575"/>
      <c r="D163" s="349"/>
      <c r="E163" s="349"/>
      <c r="F163" s="349"/>
      <c r="G163" s="349"/>
      <c r="H163" s="294"/>
      <c r="I163" s="294"/>
      <c r="J163" s="350"/>
      <c r="K163" s="350"/>
      <c r="L163" s="350"/>
      <c r="M163" s="350"/>
      <c r="N163" s="350"/>
      <c r="P163" s="583" t="s">
        <v>129</v>
      </c>
    </row>
  </sheetData>
  <conditionalFormatting sqref="C17:C71 C73">
    <cfRule type="cellIs" dxfId="11" priority="2" stopIfTrue="1" operator="equal">
      <formula>$I$10</formula>
    </cfRule>
  </conditionalFormatting>
  <conditionalFormatting sqref="C100:C155">
    <cfRule type="cellIs" dxfId="10" priority="3" stopIfTrue="1" operator="equal">
      <formula>$J$93</formula>
    </cfRule>
  </conditionalFormatting>
  <conditionalFormatting sqref="C72">
    <cfRule type="cellIs" dxfId="9"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opLeftCell="A64" zoomScale="85" zoomScaleNormal="85" workbookViewId="0">
      <selection activeCell="D100" sqref="D100:I100"/>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7" t="s">
        <v>189</v>
      </c>
      <c r="B1" s="243"/>
      <c r="C1" s="248"/>
      <c r="D1" s="292"/>
      <c r="E1" s="243"/>
      <c r="F1" s="339"/>
      <c r="G1" s="243"/>
      <c r="H1" s="325"/>
      <c r="J1" s="220"/>
      <c r="K1" s="438"/>
      <c r="L1" s="438"/>
      <c r="M1" s="438"/>
      <c r="P1" s="439" t="str">
        <f ca="1">"OKT Project "&amp;RIGHT(MID(CELL("filename",$A$1),FIND("]",CELL("filename",$A$1))+1,256),2)&amp;" of "&amp;COUNT('OKT.001:OKT.xyz - blank'!$P$3)-1</f>
        <v>OKT Project 19 of 20</v>
      </c>
    </row>
    <row r="2" spans="1:16" ht="17.5">
      <c r="B2" s="243"/>
      <c r="C2" s="243"/>
      <c r="D2" s="292"/>
      <c r="E2" s="243"/>
      <c r="F2" s="243"/>
      <c r="G2" s="243"/>
      <c r="H2" s="325"/>
      <c r="I2" s="243"/>
      <c r="J2" s="278"/>
      <c r="K2" s="243"/>
      <c r="L2" s="243"/>
      <c r="M2" s="243"/>
      <c r="N2" s="243"/>
      <c r="P2" s="441" t="s">
        <v>131</v>
      </c>
    </row>
    <row r="3" spans="1:16" ht="18">
      <c r="B3" s="233" t="s">
        <v>42</v>
      </c>
      <c r="C3" s="305" t="s">
        <v>43</v>
      </c>
      <c r="D3" s="292"/>
      <c r="E3" s="243"/>
      <c r="F3" s="243"/>
      <c r="G3" s="243"/>
      <c r="H3" s="325"/>
      <c r="I3" s="325"/>
      <c r="J3" s="294"/>
      <c r="K3" s="325"/>
      <c r="L3" s="325"/>
      <c r="M3" s="325"/>
      <c r="N3" s="325"/>
      <c r="O3" s="243"/>
      <c r="P3" s="577">
        <v>1</v>
      </c>
    </row>
    <row r="4" spans="1:16" ht="16" thickBot="1">
      <c r="C4" s="304"/>
      <c r="D4" s="292"/>
      <c r="E4" s="243"/>
      <c r="F4" s="243"/>
      <c r="G4" s="243"/>
      <c r="H4" s="325"/>
      <c r="I4" s="325"/>
      <c r="J4" s="294"/>
      <c r="K4" s="325"/>
      <c r="L4" s="325"/>
      <c r="M4" s="325"/>
      <c r="N4" s="325"/>
      <c r="O4" s="243"/>
      <c r="P4" s="243"/>
    </row>
    <row r="5" spans="1:16" ht="15.5">
      <c r="C5" s="443" t="s">
        <v>44</v>
      </c>
      <c r="D5" s="292"/>
      <c r="E5" s="243"/>
      <c r="F5" s="243"/>
      <c r="G5" s="444"/>
      <c r="H5" s="243" t="s">
        <v>45</v>
      </c>
      <c r="I5" s="243"/>
      <c r="J5" s="278"/>
      <c r="K5" s="445" t="s">
        <v>242</v>
      </c>
      <c r="L5" s="446"/>
      <c r="M5" s="447"/>
      <c r="N5" s="448">
        <f>VLOOKUP(I10,C17:I73,5)</f>
        <v>2147888.2260048082</v>
      </c>
      <c r="P5" s="243"/>
    </row>
    <row r="6" spans="1:16" ht="15.5">
      <c r="C6" s="235"/>
      <c r="D6" s="292"/>
      <c r="E6" s="243"/>
      <c r="F6" s="243"/>
      <c r="G6" s="243"/>
      <c r="H6" s="449"/>
      <c r="I6" s="449"/>
      <c r="J6" s="450"/>
      <c r="K6" s="451" t="s">
        <v>243</v>
      </c>
      <c r="L6" s="452"/>
      <c r="M6" s="278"/>
      <c r="N6" s="453">
        <f>VLOOKUP(I10,C17:I73,6)</f>
        <v>2147888.2260048082</v>
      </c>
      <c r="O6" s="243"/>
      <c r="P6" s="243"/>
    </row>
    <row r="7" spans="1:16" ht="13.5" thickBot="1">
      <c r="C7" s="454" t="s">
        <v>46</v>
      </c>
      <c r="D7" s="637" t="s">
        <v>269</v>
      </c>
      <c r="E7" s="243"/>
      <c r="F7" s="243"/>
      <c r="G7" s="243"/>
      <c r="H7" s="325"/>
      <c r="I7" s="325"/>
      <c r="J7" s="294"/>
      <c r="K7" s="456" t="s">
        <v>47</v>
      </c>
      <c r="L7" s="457"/>
      <c r="M7" s="457"/>
      <c r="N7" s="458">
        <f>+N6-N5</f>
        <v>0</v>
      </c>
      <c r="O7" s="243"/>
      <c r="P7" s="243"/>
    </row>
    <row r="8" spans="1:16" ht="13.5" thickBot="1">
      <c r="C8" s="459"/>
      <c r="D8" s="460"/>
      <c r="E8" s="461"/>
      <c r="F8" s="461"/>
      <c r="G8" s="461"/>
      <c r="H8" s="461"/>
      <c r="I8" s="461"/>
      <c r="J8" s="462"/>
      <c r="K8" s="461"/>
      <c r="L8" s="461"/>
      <c r="M8" s="461"/>
      <c r="N8" s="461"/>
      <c r="O8" s="462"/>
      <c r="P8" s="248"/>
    </row>
    <row r="9" spans="1:16" ht="13.5" thickBot="1">
      <c r="C9" s="463" t="s">
        <v>48</v>
      </c>
      <c r="D9" s="464" t="s">
        <v>268</v>
      </c>
      <c r="E9" s="647" t="s">
        <v>294</v>
      </c>
      <c r="F9" s="465"/>
      <c r="G9" s="465"/>
      <c r="H9" s="465"/>
      <c r="I9" s="466"/>
      <c r="J9" s="467"/>
      <c r="O9" s="468"/>
      <c r="P9" s="278"/>
    </row>
    <row r="10" spans="1:16" ht="13">
      <c r="C10" s="469" t="s">
        <v>49</v>
      </c>
      <c r="D10" s="470">
        <v>17092177</v>
      </c>
      <c r="E10" s="299" t="s">
        <v>50</v>
      </c>
      <c r="F10" s="468"/>
      <c r="G10" s="408"/>
      <c r="H10" s="408"/>
      <c r="I10" s="471">
        <f>+OKT.WS.F.BPU.ATRR.Projected!R101</f>
        <v>2021</v>
      </c>
      <c r="J10" s="467"/>
      <c r="K10" s="294" t="s">
        <v>51</v>
      </c>
      <c r="O10" s="278"/>
      <c r="P10" s="278"/>
    </row>
    <row r="11" spans="1:16" ht="12.5">
      <c r="C11" s="472" t="s">
        <v>52</v>
      </c>
      <c r="D11" s="473">
        <v>2019</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ht="12.5">
      <c r="C12" s="472" t="s">
        <v>54</v>
      </c>
      <c r="D12" s="470">
        <v>12</v>
      </c>
      <c r="E12" s="472" t="s">
        <v>55</v>
      </c>
      <c r="F12" s="408"/>
      <c r="G12" s="220"/>
      <c r="H12" s="220"/>
      <c r="I12" s="476">
        <f>OKT.WS.F.BPU.ATRR.Projected!$F$79</f>
        <v>0.10818506718567715</v>
      </c>
      <c r="J12" s="413"/>
      <c r="K12" s="145" t="s">
        <v>56</v>
      </c>
      <c r="O12" s="278"/>
      <c r="P12" s="278"/>
    </row>
    <row r="13" spans="1:16"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row>
    <row r="14" spans="1:16" ht="13" thickBot="1">
      <c r="C14" s="472" t="s">
        <v>60</v>
      </c>
      <c r="D14" s="473" t="s">
        <v>61</v>
      </c>
      <c r="E14" s="278" t="s">
        <v>62</v>
      </c>
      <c r="F14" s="408"/>
      <c r="G14" s="220"/>
      <c r="H14" s="220"/>
      <c r="I14" s="477">
        <f>IF(D10=0,0,D10/D13)</f>
        <v>551360.54838709673</v>
      </c>
      <c r="J14" s="294"/>
      <c r="K14" s="294"/>
      <c r="L14" s="294"/>
      <c r="M14" s="294"/>
      <c r="N14" s="294"/>
      <c r="O14" s="278"/>
      <c r="P14" s="278"/>
    </row>
    <row r="15" spans="1:16"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ht="12.5">
      <c r="B17" s="145" t="str">
        <f t="shared" ref="B17:B71" si="0">IF(D17=F16,"","IU")</f>
        <v>IU</v>
      </c>
      <c r="C17" s="495">
        <f>IF(D11= "","-",D11)</f>
        <v>2019</v>
      </c>
      <c r="D17" s="641">
        <v>0</v>
      </c>
      <c r="E17" s="642">
        <v>182671.34855253328</v>
      </c>
      <c r="F17" s="643">
        <v>14714328.651447468</v>
      </c>
      <c r="G17" s="642">
        <v>930333.23821495997</v>
      </c>
      <c r="H17" s="644">
        <v>930333.23821495997</v>
      </c>
      <c r="I17" s="500">
        <f t="shared" ref="I17:I71" si="1">H17-G17</f>
        <v>0</v>
      </c>
      <c r="J17" s="500"/>
      <c r="K17" s="501">
        <f>+G17</f>
        <v>930333.23821495997</v>
      </c>
      <c r="L17" s="503">
        <f t="shared" ref="L17:L71" si="2">IF(K17&lt;&gt;0,+G17-K17,0)</f>
        <v>0</v>
      </c>
      <c r="M17" s="501">
        <f>+H17</f>
        <v>930333.23821495997</v>
      </c>
      <c r="N17" s="503">
        <f t="shared" ref="N17:N71" si="3">IF(M17&lt;&gt;0,+H17-M17,0)</f>
        <v>0</v>
      </c>
      <c r="O17" s="504">
        <f t="shared" ref="O17:O71" si="4">+N17-L17</f>
        <v>0</v>
      </c>
      <c r="P17" s="278"/>
    </row>
    <row r="18" spans="2:16" ht="12.5">
      <c r="B18" s="145" t="str">
        <f t="shared" si="0"/>
        <v>IU</v>
      </c>
      <c r="C18" s="495">
        <f>IF(D11="","-",+C17+1)</f>
        <v>2020</v>
      </c>
      <c r="D18" s="614">
        <v>15412336.915406611</v>
      </c>
      <c r="E18" s="613">
        <v>463640.04013383167</v>
      </c>
      <c r="F18" s="614">
        <v>14948696.875272779</v>
      </c>
      <c r="G18" s="613">
        <v>2056569.1179354885</v>
      </c>
      <c r="H18" s="617">
        <v>2056569.1179354885</v>
      </c>
      <c r="I18" s="500">
        <f t="shared" si="1"/>
        <v>0</v>
      </c>
      <c r="J18" s="500"/>
      <c r="K18" s="592">
        <f>+G18</f>
        <v>2056569.1179354885</v>
      </c>
      <c r="L18" s="596">
        <f t="shared" si="2"/>
        <v>0</v>
      </c>
      <c r="M18" s="592">
        <f>+H18</f>
        <v>2056569.1179354885</v>
      </c>
      <c r="N18" s="504">
        <f t="shared" si="3"/>
        <v>0</v>
      </c>
      <c r="O18" s="504">
        <f t="shared" si="4"/>
        <v>0</v>
      </c>
      <c r="P18" s="278"/>
    </row>
    <row r="19" spans="2:16" ht="12.5">
      <c r="B19" s="145" t="str">
        <f t="shared" si="0"/>
        <v>IU</v>
      </c>
      <c r="C19" s="495">
        <f>IF(D11="","-",+C18+1)</f>
        <v>2021</v>
      </c>
      <c r="D19" s="614">
        <v>15187426.611313635</v>
      </c>
      <c r="E19" s="613">
        <v>386188.73170731706</v>
      </c>
      <c r="F19" s="614">
        <v>14801237.879606318</v>
      </c>
      <c r="G19" s="613">
        <v>2147888.2260048082</v>
      </c>
      <c r="H19" s="617">
        <v>2147888.2260048082</v>
      </c>
      <c r="I19" s="500">
        <f t="shared" si="1"/>
        <v>0</v>
      </c>
      <c r="J19" s="500"/>
      <c r="K19" s="592">
        <f>+G19</f>
        <v>2147888.2260048082</v>
      </c>
      <c r="L19" s="596">
        <f t="shared" ref="L19" si="5">IF(K19&lt;&gt;0,+G19-K19,0)</f>
        <v>0</v>
      </c>
      <c r="M19" s="592">
        <f>+H19</f>
        <v>2147888.2260048082</v>
      </c>
      <c r="N19" s="504">
        <f t="shared" si="3"/>
        <v>0</v>
      </c>
      <c r="O19" s="504">
        <f t="shared" si="4"/>
        <v>0</v>
      </c>
      <c r="P19" s="278"/>
    </row>
    <row r="20" spans="2:16" ht="12.5">
      <c r="B20" s="145" t="str">
        <f t="shared" si="0"/>
        <v>IU</v>
      </c>
      <c r="C20" s="495">
        <f>IF(D11="","-",+C19+1)</f>
        <v>2022</v>
      </c>
      <c r="D20" s="508">
        <f>IF(F19+SUM(E$17:E19)=D$10,F19,D$10-SUM(E$17:E19))</f>
        <v>16059676.879606318</v>
      </c>
      <c r="E20" s="509">
        <f t="shared" ref="E20:E71" si="6">IF(+I$14&lt;F19,I$14,D20)</f>
        <v>551360.54838709673</v>
      </c>
      <c r="F20" s="510">
        <f t="shared" ref="F20:F71" si="7">+D20-E20</f>
        <v>15508316.331219221</v>
      </c>
      <c r="G20" s="511">
        <f t="shared" ref="G20:G71" si="8">(D20+F20)/2*I$12+E20</f>
        <v>2258953.2816021773</v>
      </c>
      <c r="H20" s="477">
        <f t="shared" ref="H20:H71" si="9">+(D20+F20)/2*I$13+E20</f>
        <v>2258953.2816021773</v>
      </c>
      <c r="I20" s="500">
        <f t="shared" si="1"/>
        <v>0</v>
      </c>
      <c r="J20" s="500"/>
      <c r="K20" s="512"/>
      <c r="L20" s="504">
        <f t="shared" si="2"/>
        <v>0</v>
      </c>
      <c r="M20" s="512"/>
      <c r="N20" s="504">
        <f t="shared" si="3"/>
        <v>0</v>
      </c>
      <c r="O20" s="504">
        <f t="shared" si="4"/>
        <v>0</v>
      </c>
      <c r="P20" s="278"/>
    </row>
    <row r="21" spans="2:16" ht="12.5">
      <c r="B21" s="145" t="str">
        <f t="shared" si="0"/>
        <v/>
      </c>
      <c r="C21" s="495">
        <f>IF(D11="","-",+C20+1)</f>
        <v>2023</v>
      </c>
      <c r="D21" s="508">
        <f>IF(F20+SUM(E$17:E20)=D$10,F20,D$10-SUM(E$17:E20))</f>
        <v>15508316.331219221</v>
      </c>
      <c r="E21" s="509">
        <f t="shared" si="6"/>
        <v>551360.54838709673</v>
      </c>
      <c r="F21" s="510">
        <f t="shared" si="7"/>
        <v>14956955.782832123</v>
      </c>
      <c r="G21" s="511">
        <f t="shared" si="8"/>
        <v>2199304.3036313872</v>
      </c>
      <c r="H21" s="477">
        <f t="shared" si="9"/>
        <v>2199304.3036313872</v>
      </c>
      <c r="I21" s="500">
        <f t="shared" si="1"/>
        <v>0</v>
      </c>
      <c r="J21" s="500"/>
      <c r="K21" s="512"/>
      <c r="L21" s="504">
        <f t="shared" si="2"/>
        <v>0</v>
      </c>
      <c r="M21" s="512"/>
      <c r="N21" s="504">
        <f t="shared" si="3"/>
        <v>0</v>
      </c>
      <c r="O21" s="504">
        <f t="shared" si="4"/>
        <v>0</v>
      </c>
      <c r="P21" s="278"/>
    </row>
    <row r="22" spans="2:16" ht="12.5">
      <c r="B22" s="145" t="str">
        <f t="shared" si="0"/>
        <v/>
      </c>
      <c r="C22" s="495">
        <f>IF(D11="","-",+C21+1)</f>
        <v>2024</v>
      </c>
      <c r="D22" s="508">
        <f>IF(F21+SUM(E$17:E21)=D$10,F21,D$10-SUM(E$17:E21))</f>
        <v>14956955.782832123</v>
      </c>
      <c r="E22" s="509">
        <f t="shared" si="6"/>
        <v>551360.54838709673</v>
      </c>
      <c r="F22" s="510">
        <f t="shared" si="7"/>
        <v>14405595.234445026</v>
      </c>
      <c r="G22" s="511">
        <f t="shared" si="8"/>
        <v>2139655.3256605975</v>
      </c>
      <c r="H22" s="477">
        <f t="shared" si="9"/>
        <v>2139655.3256605975</v>
      </c>
      <c r="I22" s="500">
        <f t="shared" si="1"/>
        <v>0</v>
      </c>
      <c r="J22" s="500"/>
      <c r="K22" s="512"/>
      <c r="L22" s="504">
        <f t="shared" si="2"/>
        <v>0</v>
      </c>
      <c r="M22" s="512"/>
      <c r="N22" s="504">
        <f t="shared" si="3"/>
        <v>0</v>
      </c>
      <c r="O22" s="504">
        <f t="shared" si="4"/>
        <v>0</v>
      </c>
      <c r="P22" s="278"/>
    </row>
    <row r="23" spans="2:16" ht="12.5">
      <c r="B23" s="145" t="str">
        <f t="shared" si="0"/>
        <v/>
      </c>
      <c r="C23" s="495">
        <f>IF(D11="","-",+C22+1)</f>
        <v>2025</v>
      </c>
      <c r="D23" s="508">
        <f>IF(F22+SUM(E$17:E22)=D$10,F22,D$10-SUM(E$17:E22))</f>
        <v>14405595.234445026</v>
      </c>
      <c r="E23" s="509">
        <f t="shared" si="6"/>
        <v>551360.54838709673</v>
      </c>
      <c r="F23" s="510">
        <f t="shared" si="7"/>
        <v>13854234.686057929</v>
      </c>
      <c r="G23" s="511">
        <f t="shared" si="8"/>
        <v>2080006.3476898074</v>
      </c>
      <c r="H23" s="477">
        <f t="shared" si="9"/>
        <v>2080006.3476898074</v>
      </c>
      <c r="I23" s="500">
        <f t="shared" si="1"/>
        <v>0</v>
      </c>
      <c r="J23" s="500"/>
      <c r="K23" s="512"/>
      <c r="L23" s="504">
        <f t="shared" si="2"/>
        <v>0</v>
      </c>
      <c r="M23" s="512"/>
      <c r="N23" s="504">
        <f t="shared" si="3"/>
        <v>0</v>
      </c>
      <c r="O23" s="504">
        <f t="shared" si="4"/>
        <v>0</v>
      </c>
      <c r="P23" s="278"/>
    </row>
    <row r="24" spans="2:16" ht="12.5">
      <c r="B24" s="145" t="str">
        <f t="shared" si="0"/>
        <v/>
      </c>
      <c r="C24" s="495">
        <f>IF(D11="","-",+C23+1)</f>
        <v>2026</v>
      </c>
      <c r="D24" s="508">
        <f>IF(F23+SUM(E$17:E23)=D$10,F23,D$10-SUM(E$17:E23))</f>
        <v>13854234.686057929</v>
      </c>
      <c r="E24" s="509">
        <f t="shared" si="6"/>
        <v>551360.54838709673</v>
      </c>
      <c r="F24" s="510">
        <f t="shared" si="7"/>
        <v>13302874.137670832</v>
      </c>
      <c r="G24" s="511">
        <f t="shared" si="8"/>
        <v>2020357.3697190178</v>
      </c>
      <c r="H24" s="477">
        <f t="shared" si="9"/>
        <v>2020357.3697190178</v>
      </c>
      <c r="I24" s="500">
        <f t="shared" si="1"/>
        <v>0</v>
      </c>
      <c r="J24" s="500"/>
      <c r="K24" s="512"/>
      <c r="L24" s="504">
        <f t="shared" si="2"/>
        <v>0</v>
      </c>
      <c r="M24" s="512"/>
      <c r="N24" s="504">
        <f t="shared" si="3"/>
        <v>0</v>
      </c>
      <c r="O24" s="504">
        <f t="shared" si="4"/>
        <v>0</v>
      </c>
      <c r="P24" s="278"/>
    </row>
    <row r="25" spans="2:16" ht="12.5">
      <c r="B25" s="145" t="str">
        <f t="shared" si="0"/>
        <v/>
      </c>
      <c r="C25" s="495">
        <f>IF(D11="","-",+C24+1)</f>
        <v>2027</v>
      </c>
      <c r="D25" s="508">
        <f>IF(F24+SUM(E$17:E24)=D$10,F24,D$10-SUM(E$17:E24))</f>
        <v>13302874.137670832</v>
      </c>
      <c r="E25" s="509">
        <f t="shared" si="6"/>
        <v>551360.54838709673</v>
      </c>
      <c r="F25" s="510">
        <f t="shared" si="7"/>
        <v>12751513.589283735</v>
      </c>
      <c r="G25" s="511">
        <f t="shared" si="8"/>
        <v>1960708.3917482276</v>
      </c>
      <c r="H25" s="477">
        <f t="shared" si="9"/>
        <v>1960708.3917482276</v>
      </c>
      <c r="I25" s="500">
        <f t="shared" si="1"/>
        <v>0</v>
      </c>
      <c r="J25" s="500"/>
      <c r="K25" s="512"/>
      <c r="L25" s="504">
        <f t="shared" si="2"/>
        <v>0</v>
      </c>
      <c r="M25" s="512"/>
      <c r="N25" s="504">
        <f t="shared" si="3"/>
        <v>0</v>
      </c>
      <c r="O25" s="504">
        <f t="shared" si="4"/>
        <v>0</v>
      </c>
      <c r="P25" s="278"/>
    </row>
    <row r="26" spans="2:16" ht="12.5">
      <c r="B26" s="145" t="str">
        <f t="shared" si="0"/>
        <v/>
      </c>
      <c r="C26" s="495">
        <f>IF(D11="","-",+C25+1)</f>
        <v>2028</v>
      </c>
      <c r="D26" s="508">
        <f>IF(F25+SUM(E$17:E25)=D$10,F25,D$10-SUM(E$17:E25))</f>
        <v>12751513.589283735</v>
      </c>
      <c r="E26" s="509">
        <f t="shared" si="6"/>
        <v>551360.54838709673</v>
      </c>
      <c r="F26" s="510">
        <f t="shared" si="7"/>
        <v>12200153.040896637</v>
      </c>
      <c r="G26" s="511">
        <f t="shared" si="8"/>
        <v>1901059.413777438</v>
      </c>
      <c r="H26" s="477">
        <f t="shared" si="9"/>
        <v>1901059.413777438</v>
      </c>
      <c r="I26" s="500">
        <f t="shared" si="1"/>
        <v>0</v>
      </c>
      <c r="J26" s="500"/>
      <c r="K26" s="512"/>
      <c r="L26" s="504">
        <f t="shared" si="2"/>
        <v>0</v>
      </c>
      <c r="M26" s="512"/>
      <c r="N26" s="504">
        <f t="shared" si="3"/>
        <v>0</v>
      </c>
      <c r="O26" s="504">
        <f t="shared" si="4"/>
        <v>0</v>
      </c>
      <c r="P26" s="278"/>
    </row>
    <row r="27" spans="2:16" ht="12.5">
      <c r="B27" s="145" t="str">
        <f t="shared" si="0"/>
        <v/>
      </c>
      <c r="C27" s="495">
        <f>IF(D11="","-",+C26+1)</f>
        <v>2029</v>
      </c>
      <c r="D27" s="508">
        <f>IF(F26+SUM(E$17:E26)=D$10,F26,D$10-SUM(E$17:E26))</f>
        <v>12200153.040896637</v>
      </c>
      <c r="E27" s="509">
        <f t="shared" si="6"/>
        <v>551360.54838709673</v>
      </c>
      <c r="F27" s="510">
        <f t="shared" si="7"/>
        <v>11648792.49250954</v>
      </c>
      <c r="G27" s="511">
        <f t="shared" si="8"/>
        <v>1841410.4358066479</v>
      </c>
      <c r="H27" s="477">
        <f t="shared" si="9"/>
        <v>1841410.4358066479</v>
      </c>
      <c r="I27" s="500">
        <f t="shared" si="1"/>
        <v>0</v>
      </c>
      <c r="J27" s="500"/>
      <c r="K27" s="512"/>
      <c r="L27" s="504">
        <f t="shared" si="2"/>
        <v>0</v>
      </c>
      <c r="M27" s="512"/>
      <c r="N27" s="504">
        <f t="shared" si="3"/>
        <v>0</v>
      </c>
      <c r="O27" s="504">
        <f t="shared" si="4"/>
        <v>0</v>
      </c>
      <c r="P27" s="278"/>
    </row>
    <row r="28" spans="2:16" ht="12.5">
      <c r="B28" s="145" t="str">
        <f t="shared" si="0"/>
        <v/>
      </c>
      <c r="C28" s="495">
        <f>IF(D11="","-",+C27+1)</f>
        <v>2030</v>
      </c>
      <c r="D28" s="508">
        <f>IF(F27+SUM(E$17:E27)=D$10,F27,D$10-SUM(E$17:E27))</f>
        <v>11648792.49250954</v>
      </c>
      <c r="E28" s="509">
        <f t="shared" si="6"/>
        <v>551360.54838709673</v>
      </c>
      <c r="F28" s="510">
        <f t="shared" si="7"/>
        <v>11097431.944122443</v>
      </c>
      <c r="G28" s="511">
        <f t="shared" si="8"/>
        <v>1781761.457835858</v>
      </c>
      <c r="H28" s="477">
        <f t="shared" si="9"/>
        <v>1781761.457835858</v>
      </c>
      <c r="I28" s="500">
        <f t="shared" si="1"/>
        <v>0</v>
      </c>
      <c r="J28" s="500"/>
      <c r="K28" s="512"/>
      <c r="L28" s="504">
        <f t="shared" si="2"/>
        <v>0</v>
      </c>
      <c r="M28" s="512"/>
      <c r="N28" s="504">
        <f t="shared" si="3"/>
        <v>0</v>
      </c>
      <c r="O28" s="504">
        <f t="shared" si="4"/>
        <v>0</v>
      </c>
      <c r="P28" s="278"/>
    </row>
    <row r="29" spans="2:16" ht="12.5">
      <c r="B29" s="145" t="str">
        <f t="shared" si="0"/>
        <v/>
      </c>
      <c r="C29" s="495">
        <f>IF(D11="","-",+C28+1)</f>
        <v>2031</v>
      </c>
      <c r="D29" s="508">
        <f>IF(F28+SUM(E$17:E28)=D$10,F28,D$10-SUM(E$17:E28))</f>
        <v>11097431.944122443</v>
      </c>
      <c r="E29" s="509">
        <f t="shared" si="6"/>
        <v>551360.54838709673</v>
      </c>
      <c r="F29" s="510">
        <f t="shared" si="7"/>
        <v>10546071.395735346</v>
      </c>
      <c r="G29" s="511">
        <f t="shared" si="8"/>
        <v>1722112.4798650679</v>
      </c>
      <c r="H29" s="477">
        <f t="shared" si="9"/>
        <v>1722112.4798650679</v>
      </c>
      <c r="I29" s="500">
        <f t="shared" si="1"/>
        <v>0</v>
      </c>
      <c r="J29" s="500"/>
      <c r="K29" s="512"/>
      <c r="L29" s="504">
        <f t="shared" si="2"/>
        <v>0</v>
      </c>
      <c r="M29" s="512"/>
      <c r="N29" s="504">
        <f t="shared" si="3"/>
        <v>0</v>
      </c>
      <c r="O29" s="504">
        <f t="shared" si="4"/>
        <v>0</v>
      </c>
      <c r="P29" s="278"/>
    </row>
    <row r="30" spans="2:16" ht="12.5">
      <c r="B30" s="145" t="str">
        <f t="shared" si="0"/>
        <v/>
      </c>
      <c r="C30" s="495">
        <f>IF(D11="","-",+C29+1)</f>
        <v>2032</v>
      </c>
      <c r="D30" s="508">
        <f>IF(F29+SUM(E$17:E29)=D$10,F29,D$10-SUM(E$17:E29))</f>
        <v>10546071.395735346</v>
      </c>
      <c r="E30" s="509">
        <f t="shared" si="6"/>
        <v>551360.54838709673</v>
      </c>
      <c r="F30" s="510">
        <f t="shared" si="7"/>
        <v>9994710.8473482486</v>
      </c>
      <c r="G30" s="511">
        <f t="shared" si="8"/>
        <v>1662463.5018942782</v>
      </c>
      <c r="H30" s="477">
        <f t="shared" si="9"/>
        <v>1662463.5018942782</v>
      </c>
      <c r="I30" s="500">
        <f t="shared" si="1"/>
        <v>0</v>
      </c>
      <c r="J30" s="500"/>
      <c r="K30" s="512"/>
      <c r="L30" s="504">
        <f t="shared" si="2"/>
        <v>0</v>
      </c>
      <c r="M30" s="512"/>
      <c r="N30" s="504">
        <f t="shared" si="3"/>
        <v>0</v>
      </c>
      <c r="O30" s="504">
        <f t="shared" si="4"/>
        <v>0</v>
      </c>
      <c r="P30" s="278"/>
    </row>
    <row r="31" spans="2:16" ht="12.5">
      <c r="B31" s="145" t="str">
        <f t="shared" si="0"/>
        <v/>
      </c>
      <c r="C31" s="495">
        <f>IF(D11="","-",+C30+1)</f>
        <v>2033</v>
      </c>
      <c r="D31" s="508">
        <f>IF(F30+SUM(E$17:E30)=D$10,F30,D$10-SUM(E$17:E30))</f>
        <v>9994710.8473482486</v>
      </c>
      <c r="E31" s="509">
        <f t="shared" si="6"/>
        <v>551360.54838709673</v>
      </c>
      <c r="F31" s="510">
        <f t="shared" si="7"/>
        <v>9443350.2989611514</v>
      </c>
      <c r="G31" s="511">
        <f t="shared" si="8"/>
        <v>1602814.5239234881</v>
      </c>
      <c r="H31" s="477">
        <f t="shared" si="9"/>
        <v>1602814.5239234881</v>
      </c>
      <c r="I31" s="500">
        <f t="shared" si="1"/>
        <v>0</v>
      </c>
      <c r="J31" s="500"/>
      <c r="K31" s="512"/>
      <c r="L31" s="504">
        <f t="shared" si="2"/>
        <v>0</v>
      </c>
      <c r="M31" s="512"/>
      <c r="N31" s="504">
        <f t="shared" si="3"/>
        <v>0</v>
      </c>
      <c r="O31" s="504">
        <f t="shared" si="4"/>
        <v>0</v>
      </c>
      <c r="P31" s="278"/>
    </row>
    <row r="32" spans="2:16" ht="12.5">
      <c r="B32" s="145" t="str">
        <f t="shared" si="0"/>
        <v/>
      </c>
      <c r="C32" s="495">
        <f>IF(D11="","-",+C31+1)</f>
        <v>2034</v>
      </c>
      <c r="D32" s="508">
        <f>IF(F31+SUM(E$17:E31)=D$10,F31,D$10-SUM(E$17:E31))</f>
        <v>9443350.2989611514</v>
      </c>
      <c r="E32" s="509">
        <f t="shared" si="6"/>
        <v>551360.54838709673</v>
      </c>
      <c r="F32" s="510">
        <f t="shared" si="7"/>
        <v>8891989.7505740542</v>
      </c>
      <c r="G32" s="511">
        <f t="shared" si="8"/>
        <v>1543165.5459526984</v>
      </c>
      <c r="H32" s="477">
        <f t="shared" si="9"/>
        <v>1543165.5459526984</v>
      </c>
      <c r="I32" s="500">
        <f t="shared" si="1"/>
        <v>0</v>
      </c>
      <c r="J32" s="500"/>
      <c r="K32" s="512"/>
      <c r="L32" s="504">
        <f t="shared" si="2"/>
        <v>0</v>
      </c>
      <c r="M32" s="512"/>
      <c r="N32" s="504">
        <f t="shared" si="3"/>
        <v>0</v>
      </c>
      <c r="O32" s="504">
        <f t="shared" si="4"/>
        <v>0</v>
      </c>
      <c r="P32" s="278"/>
    </row>
    <row r="33" spans="2:16" ht="12.5">
      <c r="B33" s="145" t="str">
        <f t="shared" si="0"/>
        <v/>
      </c>
      <c r="C33" s="495">
        <f>IF(D11="","-",+C32+1)</f>
        <v>2035</v>
      </c>
      <c r="D33" s="508">
        <f>IF(F32+SUM(E$17:E32)=D$10,F32,D$10-SUM(E$17:E32))</f>
        <v>8891989.7505740542</v>
      </c>
      <c r="E33" s="509">
        <f t="shared" si="6"/>
        <v>551360.54838709673</v>
      </c>
      <c r="F33" s="510">
        <f t="shared" si="7"/>
        <v>8340629.202186957</v>
      </c>
      <c r="G33" s="511">
        <f t="shared" si="8"/>
        <v>1483516.5679819083</v>
      </c>
      <c r="H33" s="477">
        <f t="shared" si="9"/>
        <v>1483516.5679819083</v>
      </c>
      <c r="I33" s="500">
        <f t="shared" si="1"/>
        <v>0</v>
      </c>
      <c r="J33" s="500"/>
      <c r="K33" s="512"/>
      <c r="L33" s="504">
        <f t="shared" si="2"/>
        <v>0</v>
      </c>
      <c r="M33" s="512"/>
      <c r="N33" s="504">
        <f t="shared" si="3"/>
        <v>0</v>
      </c>
      <c r="O33" s="504">
        <f t="shared" si="4"/>
        <v>0</v>
      </c>
      <c r="P33" s="278"/>
    </row>
    <row r="34" spans="2:16" ht="12.5">
      <c r="B34" s="145" t="str">
        <f t="shared" si="0"/>
        <v/>
      </c>
      <c r="C34" s="495">
        <f>IF(D11="","-",+C33+1)</f>
        <v>2036</v>
      </c>
      <c r="D34" s="508">
        <f>IF(F33+SUM(E$17:E33)=D$10,F33,D$10-SUM(E$17:E33))</f>
        <v>8340629.202186957</v>
      </c>
      <c r="E34" s="509">
        <f t="shared" si="6"/>
        <v>551360.54838709673</v>
      </c>
      <c r="F34" s="510">
        <f t="shared" si="7"/>
        <v>7789268.6537998598</v>
      </c>
      <c r="G34" s="511">
        <f t="shared" si="8"/>
        <v>1423867.5900111184</v>
      </c>
      <c r="H34" s="477">
        <f t="shared" si="9"/>
        <v>1423867.5900111184</v>
      </c>
      <c r="I34" s="500">
        <f t="shared" si="1"/>
        <v>0</v>
      </c>
      <c r="J34" s="500"/>
      <c r="K34" s="512"/>
      <c r="L34" s="504">
        <f t="shared" si="2"/>
        <v>0</v>
      </c>
      <c r="M34" s="512"/>
      <c r="N34" s="504">
        <f t="shared" si="3"/>
        <v>0</v>
      </c>
      <c r="O34" s="504">
        <f t="shared" si="4"/>
        <v>0</v>
      </c>
      <c r="P34" s="278"/>
    </row>
    <row r="35" spans="2:16" ht="12.5">
      <c r="B35" s="145" t="str">
        <f t="shared" si="0"/>
        <v/>
      </c>
      <c r="C35" s="495">
        <f>IF(D11="","-",+C34+1)</f>
        <v>2037</v>
      </c>
      <c r="D35" s="508">
        <f>IF(F34+SUM(E$17:E34)=D$10,F34,D$10-SUM(E$17:E34))</f>
        <v>7789268.6537998598</v>
      </c>
      <c r="E35" s="509">
        <f t="shared" si="6"/>
        <v>551360.54838709673</v>
      </c>
      <c r="F35" s="510">
        <f t="shared" si="7"/>
        <v>7237908.1054127626</v>
      </c>
      <c r="G35" s="511">
        <f t="shared" si="8"/>
        <v>1364218.6120403286</v>
      </c>
      <c r="H35" s="477">
        <f t="shared" si="9"/>
        <v>1364218.6120403286</v>
      </c>
      <c r="I35" s="500">
        <f t="shared" si="1"/>
        <v>0</v>
      </c>
      <c r="J35" s="500"/>
      <c r="K35" s="512"/>
      <c r="L35" s="504">
        <f t="shared" si="2"/>
        <v>0</v>
      </c>
      <c r="M35" s="512"/>
      <c r="N35" s="504">
        <f t="shared" si="3"/>
        <v>0</v>
      </c>
      <c r="O35" s="504">
        <f t="shared" si="4"/>
        <v>0</v>
      </c>
      <c r="P35" s="278"/>
    </row>
    <row r="36" spans="2:16" ht="12.5">
      <c r="B36" s="145" t="str">
        <f t="shared" si="0"/>
        <v/>
      </c>
      <c r="C36" s="495">
        <f>IF(D11="","-",+C35+1)</f>
        <v>2038</v>
      </c>
      <c r="D36" s="508">
        <f>IF(F35+SUM(E$17:E35)=D$10,F35,D$10-SUM(E$17:E35))</f>
        <v>7237908.1054127626</v>
      </c>
      <c r="E36" s="509">
        <f t="shared" si="6"/>
        <v>551360.54838709673</v>
      </c>
      <c r="F36" s="510">
        <f t="shared" si="7"/>
        <v>6686547.5570256654</v>
      </c>
      <c r="G36" s="511">
        <f t="shared" si="8"/>
        <v>1304569.6340695387</v>
      </c>
      <c r="H36" s="477">
        <f t="shared" si="9"/>
        <v>1304569.6340695387</v>
      </c>
      <c r="I36" s="500">
        <f t="shared" si="1"/>
        <v>0</v>
      </c>
      <c r="J36" s="500"/>
      <c r="K36" s="512"/>
      <c r="L36" s="504">
        <f t="shared" si="2"/>
        <v>0</v>
      </c>
      <c r="M36" s="512"/>
      <c r="N36" s="504">
        <f t="shared" si="3"/>
        <v>0</v>
      </c>
      <c r="O36" s="504">
        <f t="shared" si="4"/>
        <v>0</v>
      </c>
      <c r="P36" s="278"/>
    </row>
    <row r="37" spans="2:16" ht="12.5">
      <c r="B37" s="145" t="str">
        <f t="shared" si="0"/>
        <v/>
      </c>
      <c r="C37" s="495">
        <f>IF(D11="","-",+C36+1)</f>
        <v>2039</v>
      </c>
      <c r="D37" s="508">
        <f>IF(F36+SUM(E$17:E36)=D$10,F36,D$10-SUM(E$17:E36))</f>
        <v>6686547.5570256654</v>
      </c>
      <c r="E37" s="509">
        <f t="shared" si="6"/>
        <v>551360.54838709673</v>
      </c>
      <c r="F37" s="510">
        <f t="shared" si="7"/>
        <v>6135187.0086385682</v>
      </c>
      <c r="G37" s="511">
        <f t="shared" si="8"/>
        <v>1244920.6560987488</v>
      </c>
      <c r="H37" s="477">
        <f t="shared" si="9"/>
        <v>1244920.6560987488</v>
      </c>
      <c r="I37" s="500">
        <f t="shared" si="1"/>
        <v>0</v>
      </c>
      <c r="J37" s="500"/>
      <c r="K37" s="512"/>
      <c r="L37" s="504">
        <f t="shared" si="2"/>
        <v>0</v>
      </c>
      <c r="M37" s="512"/>
      <c r="N37" s="504">
        <f t="shared" si="3"/>
        <v>0</v>
      </c>
      <c r="O37" s="504">
        <f t="shared" si="4"/>
        <v>0</v>
      </c>
      <c r="P37" s="278"/>
    </row>
    <row r="38" spans="2:16" ht="12.5">
      <c r="B38" s="145" t="str">
        <f t="shared" si="0"/>
        <v/>
      </c>
      <c r="C38" s="495">
        <f>IF(D11="","-",+C37+1)</f>
        <v>2040</v>
      </c>
      <c r="D38" s="508">
        <f>IF(F37+SUM(E$17:E37)=D$10,F37,D$10-SUM(E$17:E37))</f>
        <v>6135187.0086385682</v>
      </c>
      <c r="E38" s="509">
        <f t="shared" si="6"/>
        <v>551360.54838709673</v>
      </c>
      <c r="F38" s="510">
        <f t="shared" si="7"/>
        <v>5583826.460251471</v>
      </c>
      <c r="G38" s="511">
        <f t="shared" si="8"/>
        <v>1185271.6781279589</v>
      </c>
      <c r="H38" s="477">
        <f t="shared" si="9"/>
        <v>1185271.6781279589</v>
      </c>
      <c r="I38" s="500">
        <f t="shared" si="1"/>
        <v>0</v>
      </c>
      <c r="J38" s="500"/>
      <c r="K38" s="512"/>
      <c r="L38" s="504">
        <f t="shared" si="2"/>
        <v>0</v>
      </c>
      <c r="M38" s="512"/>
      <c r="N38" s="504">
        <f t="shared" si="3"/>
        <v>0</v>
      </c>
      <c r="O38" s="504">
        <f t="shared" si="4"/>
        <v>0</v>
      </c>
      <c r="P38" s="278"/>
    </row>
    <row r="39" spans="2:16" ht="12.5">
      <c r="B39" s="145" t="str">
        <f t="shared" si="0"/>
        <v/>
      </c>
      <c r="C39" s="495">
        <f>IF(D11="","-",+C38+1)</f>
        <v>2041</v>
      </c>
      <c r="D39" s="508">
        <f>IF(F38+SUM(E$17:E38)=D$10,F38,D$10-SUM(E$17:E38))</f>
        <v>5583826.460251471</v>
      </c>
      <c r="E39" s="509">
        <f t="shared" si="6"/>
        <v>551360.54838709673</v>
      </c>
      <c r="F39" s="510">
        <f t="shared" si="7"/>
        <v>5032465.9118643738</v>
      </c>
      <c r="G39" s="511">
        <f t="shared" si="8"/>
        <v>1125622.700157169</v>
      </c>
      <c r="H39" s="477">
        <f t="shared" si="9"/>
        <v>1125622.700157169</v>
      </c>
      <c r="I39" s="500">
        <f t="shared" si="1"/>
        <v>0</v>
      </c>
      <c r="J39" s="500"/>
      <c r="K39" s="512"/>
      <c r="L39" s="504">
        <f t="shared" si="2"/>
        <v>0</v>
      </c>
      <c r="M39" s="512"/>
      <c r="N39" s="504">
        <f t="shared" si="3"/>
        <v>0</v>
      </c>
      <c r="O39" s="504">
        <f t="shared" si="4"/>
        <v>0</v>
      </c>
      <c r="P39" s="278"/>
    </row>
    <row r="40" spans="2:16" ht="12.5">
      <c r="B40" s="145" t="str">
        <f t="shared" si="0"/>
        <v/>
      </c>
      <c r="C40" s="495">
        <f>IF(D11="","-",+C39+1)</f>
        <v>2042</v>
      </c>
      <c r="D40" s="508">
        <f>IF(F39+SUM(E$17:E39)=D$10,F39,D$10-SUM(E$17:E39))</f>
        <v>5032465.9118643738</v>
      </c>
      <c r="E40" s="509">
        <f t="shared" si="6"/>
        <v>551360.54838709673</v>
      </c>
      <c r="F40" s="510">
        <f t="shared" si="7"/>
        <v>4481105.3634772766</v>
      </c>
      <c r="G40" s="511">
        <f t="shared" si="8"/>
        <v>1065973.7221863791</v>
      </c>
      <c r="H40" s="477">
        <f t="shared" si="9"/>
        <v>1065973.7221863791</v>
      </c>
      <c r="I40" s="500">
        <f t="shared" si="1"/>
        <v>0</v>
      </c>
      <c r="J40" s="500"/>
      <c r="K40" s="512"/>
      <c r="L40" s="504">
        <f t="shared" si="2"/>
        <v>0</v>
      </c>
      <c r="M40" s="512"/>
      <c r="N40" s="504">
        <f t="shared" si="3"/>
        <v>0</v>
      </c>
      <c r="O40" s="504">
        <f t="shared" si="4"/>
        <v>0</v>
      </c>
      <c r="P40" s="278"/>
    </row>
    <row r="41" spans="2:16" ht="12.5">
      <c r="B41" s="145" t="str">
        <f t="shared" si="0"/>
        <v/>
      </c>
      <c r="C41" s="495">
        <f>IF(D11="","-",+C40+1)</f>
        <v>2043</v>
      </c>
      <c r="D41" s="508">
        <f>IF(F40+SUM(E$17:E40)=D$10,F40,D$10-SUM(E$17:E40))</f>
        <v>4481105.3634772766</v>
      </c>
      <c r="E41" s="509">
        <f t="shared" si="6"/>
        <v>551360.54838709673</v>
      </c>
      <c r="F41" s="510">
        <f t="shared" si="7"/>
        <v>3929744.8150901799</v>
      </c>
      <c r="G41" s="511">
        <f t="shared" si="8"/>
        <v>1006324.7442155892</v>
      </c>
      <c r="H41" s="477">
        <f t="shared" si="9"/>
        <v>1006324.7442155892</v>
      </c>
      <c r="I41" s="500">
        <f t="shared" si="1"/>
        <v>0</v>
      </c>
      <c r="J41" s="500"/>
      <c r="K41" s="512"/>
      <c r="L41" s="504">
        <f t="shared" si="2"/>
        <v>0</v>
      </c>
      <c r="M41" s="512"/>
      <c r="N41" s="504">
        <f t="shared" si="3"/>
        <v>0</v>
      </c>
      <c r="O41" s="504">
        <f t="shared" si="4"/>
        <v>0</v>
      </c>
      <c r="P41" s="278"/>
    </row>
    <row r="42" spans="2:16" ht="12.5">
      <c r="B42" s="145" t="str">
        <f t="shared" si="0"/>
        <v/>
      </c>
      <c r="C42" s="495">
        <f>IF(D11="","-",+C41+1)</f>
        <v>2044</v>
      </c>
      <c r="D42" s="508">
        <f>IF(F41+SUM(E$17:E41)=D$10,F41,D$10-SUM(E$17:E41))</f>
        <v>3929744.8150901799</v>
      </c>
      <c r="E42" s="509">
        <f t="shared" si="6"/>
        <v>551360.54838709673</v>
      </c>
      <c r="F42" s="510">
        <f t="shared" si="7"/>
        <v>3378384.2667030832</v>
      </c>
      <c r="G42" s="511">
        <f t="shared" si="8"/>
        <v>946675.76624479936</v>
      </c>
      <c r="H42" s="477">
        <f t="shared" si="9"/>
        <v>946675.76624479936</v>
      </c>
      <c r="I42" s="500">
        <f t="shared" si="1"/>
        <v>0</v>
      </c>
      <c r="J42" s="500"/>
      <c r="K42" s="512"/>
      <c r="L42" s="504">
        <f t="shared" si="2"/>
        <v>0</v>
      </c>
      <c r="M42" s="512"/>
      <c r="N42" s="504">
        <f t="shared" si="3"/>
        <v>0</v>
      </c>
      <c r="O42" s="504">
        <f t="shared" si="4"/>
        <v>0</v>
      </c>
      <c r="P42" s="278"/>
    </row>
    <row r="43" spans="2:16" ht="12.5">
      <c r="B43" s="145" t="str">
        <f t="shared" si="0"/>
        <v/>
      </c>
      <c r="C43" s="495">
        <f>IF(D11="","-",+C42+1)</f>
        <v>2045</v>
      </c>
      <c r="D43" s="508">
        <f>IF(F42+SUM(E$17:E42)=D$10,F42,D$10-SUM(E$17:E42))</f>
        <v>3378384.2667030832</v>
      </c>
      <c r="E43" s="509">
        <f t="shared" si="6"/>
        <v>551360.54838709673</v>
      </c>
      <c r="F43" s="510">
        <f t="shared" si="7"/>
        <v>2827023.7183159865</v>
      </c>
      <c r="G43" s="511">
        <f t="shared" si="8"/>
        <v>887026.78827400948</v>
      </c>
      <c r="H43" s="477">
        <f t="shared" si="9"/>
        <v>887026.78827400948</v>
      </c>
      <c r="I43" s="500">
        <f t="shared" si="1"/>
        <v>0</v>
      </c>
      <c r="J43" s="500"/>
      <c r="K43" s="512"/>
      <c r="L43" s="504">
        <f t="shared" si="2"/>
        <v>0</v>
      </c>
      <c r="M43" s="512"/>
      <c r="N43" s="504">
        <f t="shared" si="3"/>
        <v>0</v>
      </c>
      <c r="O43" s="504">
        <f t="shared" si="4"/>
        <v>0</v>
      </c>
      <c r="P43" s="278"/>
    </row>
    <row r="44" spans="2:16" ht="12.5">
      <c r="B44" s="145" t="str">
        <f t="shared" si="0"/>
        <v/>
      </c>
      <c r="C44" s="495">
        <f>IF(D11="","-",+C43+1)</f>
        <v>2046</v>
      </c>
      <c r="D44" s="508">
        <f>IF(F43+SUM(E$17:E43)=D$10,F43,D$10-SUM(E$17:E43))</f>
        <v>2827023.7183159865</v>
      </c>
      <c r="E44" s="509">
        <f t="shared" si="6"/>
        <v>551360.54838709673</v>
      </c>
      <c r="F44" s="510">
        <f t="shared" si="7"/>
        <v>2275663.1699288897</v>
      </c>
      <c r="G44" s="511">
        <f t="shared" si="8"/>
        <v>827377.81030321959</v>
      </c>
      <c r="H44" s="477">
        <f t="shared" si="9"/>
        <v>827377.81030321959</v>
      </c>
      <c r="I44" s="500">
        <f t="shared" si="1"/>
        <v>0</v>
      </c>
      <c r="J44" s="500"/>
      <c r="K44" s="512"/>
      <c r="L44" s="504">
        <f t="shared" si="2"/>
        <v>0</v>
      </c>
      <c r="M44" s="512"/>
      <c r="N44" s="504">
        <f t="shared" si="3"/>
        <v>0</v>
      </c>
      <c r="O44" s="504">
        <f t="shared" si="4"/>
        <v>0</v>
      </c>
      <c r="P44" s="278"/>
    </row>
    <row r="45" spans="2:16" ht="12.5">
      <c r="B45" s="145" t="str">
        <f t="shared" si="0"/>
        <v/>
      </c>
      <c r="C45" s="495">
        <f>IF(D11="","-",+C44+1)</f>
        <v>2047</v>
      </c>
      <c r="D45" s="508">
        <f>IF(F44+SUM(E$17:E44)=D$10,F44,D$10-SUM(E$17:E44))</f>
        <v>2275663.1699288897</v>
      </c>
      <c r="E45" s="509">
        <f t="shared" si="6"/>
        <v>551360.54838709673</v>
      </c>
      <c r="F45" s="510">
        <f t="shared" si="7"/>
        <v>1724302.621541793</v>
      </c>
      <c r="G45" s="511">
        <f t="shared" si="8"/>
        <v>767728.83233242971</v>
      </c>
      <c r="H45" s="477">
        <f t="shared" si="9"/>
        <v>767728.83233242971</v>
      </c>
      <c r="I45" s="500">
        <f t="shared" si="1"/>
        <v>0</v>
      </c>
      <c r="J45" s="500"/>
      <c r="K45" s="512"/>
      <c r="L45" s="504">
        <f t="shared" si="2"/>
        <v>0</v>
      </c>
      <c r="M45" s="512"/>
      <c r="N45" s="504">
        <f t="shared" si="3"/>
        <v>0</v>
      </c>
      <c r="O45" s="504">
        <f t="shared" si="4"/>
        <v>0</v>
      </c>
      <c r="P45" s="278"/>
    </row>
    <row r="46" spans="2:16" ht="12.5">
      <c r="B46" s="145" t="str">
        <f t="shared" si="0"/>
        <v/>
      </c>
      <c r="C46" s="495">
        <f>IF(D11="","-",+C45+1)</f>
        <v>2048</v>
      </c>
      <c r="D46" s="508">
        <f>IF(F45+SUM(E$17:E45)=D$10,F45,D$10-SUM(E$17:E45))</f>
        <v>1724302.621541793</v>
      </c>
      <c r="E46" s="509">
        <f t="shared" si="6"/>
        <v>551360.54838709673</v>
      </c>
      <c r="F46" s="510">
        <f t="shared" si="7"/>
        <v>1172942.0731546963</v>
      </c>
      <c r="G46" s="511">
        <f t="shared" si="8"/>
        <v>708079.85436163994</v>
      </c>
      <c r="H46" s="477">
        <f t="shared" si="9"/>
        <v>708079.85436163994</v>
      </c>
      <c r="I46" s="500">
        <f t="shared" si="1"/>
        <v>0</v>
      </c>
      <c r="J46" s="500"/>
      <c r="K46" s="512"/>
      <c r="L46" s="504">
        <f t="shared" si="2"/>
        <v>0</v>
      </c>
      <c r="M46" s="512"/>
      <c r="N46" s="504">
        <f t="shared" si="3"/>
        <v>0</v>
      </c>
      <c r="O46" s="504">
        <f t="shared" si="4"/>
        <v>0</v>
      </c>
      <c r="P46" s="278"/>
    </row>
    <row r="47" spans="2:16" ht="12.5">
      <c r="B47" s="145" t="str">
        <f t="shared" si="0"/>
        <v/>
      </c>
      <c r="C47" s="495">
        <f>IF(D11="","-",+C46+1)</f>
        <v>2049</v>
      </c>
      <c r="D47" s="508">
        <f>IF(F46+SUM(E$17:E46)=D$10,F46,D$10-SUM(E$17:E46))</f>
        <v>1172942.0731546963</v>
      </c>
      <c r="E47" s="509">
        <f t="shared" si="6"/>
        <v>551360.54838709673</v>
      </c>
      <c r="F47" s="510">
        <f t="shared" si="7"/>
        <v>621581.52476759953</v>
      </c>
      <c r="G47" s="511">
        <f t="shared" si="8"/>
        <v>648430.87639085006</v>
      </c>
      <c r="H47" s="477">
        <f t="shared" si="9"/>
        <v>648430.87639085006</v>
      </c>
      <c r="I47" s="500">
        <f t="shared" si="1"/>
        <v>0</v>
      </c>
      <c r="J47" s="500"/>
      <c r="K47" s="512"/>
      <c r="L47" s="504">
        <f t="shared" si="2"/>
        <v>0</v>
      </c>
      <c r="M47" s="512"/>
      <c r="N47" s="504">
        <f t="shared" si="3"/>
        <v>0</v>
      </c>
      <c r="O47" s="504">
        <f t="shared" si="4"/>
        <v>0</v>
      </c>
      <c r="P47" s="278"/>
    </row>
    <row r="48" spans="2:16" ht="12.5">
      <c r="B48" s="145" t="str">
        <f t="shared" si="0"/>
        <v/>
      </c>
      <c r="C48" s="495">
        <f>IF(D11="","-",+C47+1)</f>
        <v>2050</v>
      </c>
      <c r="D48" s="508">
        <f>IF(F47+SUM(E$17:E47)=D$10,F47,D$10-SUM(E$17:E47))</f>
        <v>621581.52476759953</v>
      </c>
      <c r="E48" s="509">
        <f t="shared" si="6"/>
        <v>551360.54838709673</v>
      </c>
      <c r="F48" s="510">
        <f t="shared" si="7"/>
        <v>70220.976380502805</v>
      </c>
      <c r="G48" s="511">
        <f t="shared" si="8"/>
        <v>588781.89842006017</v>
      </c>
      <c r="H48" s="477">
        <f t="shared" si="9"/>
        <v>588781.89842006017</v>
      </c>
      <c r="I48" s="500">
        <f t="shared" si="1"/>
        <v>0</v>
      </c>
      <c r="J48" s="500"/>
      <c r="K48" s="512"/>
      <c r="L48" s="504">
        <f t="shared" si="2"/>
        <v>0</v>
      </c>
      <c r="M48" s="512"/>
      <c r="N48" s="504">
        <f t="shared" si="3"/>
        <v>0</v>
      </c>
      <c r="O48" s="504">
        <f t="shared" si="4"/>
        <v>0</v>
      </c>
      <c r="P48" s="278"/>
    </row>
    <row r="49" spans="2:16" ht="12.5">
      <c r="B49" s="145" t="str">
        <f t="shared" si="0"/>
        <v/>
      </c>
      <c r="C49" s="495">
        <f>IF(D11="","-",+C48+1)</f>
        <v>2051</v>
      </c>
      <c r="D49" s="508">
        <f>IF(F48+SUM(E$17:E48)=D$10,F48,D$10-SUM(E$17:E48))</f>
        <v>70220.976380502805</v>
      </c>
      <c r="E49" s="509">
        <f t="shared" si="6"/>
        <v>70220.976380502805</v>
      </c>
      <c r="F49" s="510">
        <f t="shared" si="7"/>
        <v>0</v>
      </c>
      <c r="G49" s="511">
        <f t="shared" si="8"/>
        <v>74019.406904287083</v>
      </c>
      <c r="H49" s="477">
        <f t="shared" si="9"/>
        <v>74019.406904287083</v>
      </c>
      <c r="I49" s="500">
        <f t="shared" si="1"/>
        <v>0</v>
      </c>
      <c r="J49" s="500"/>
      <c r="K49" s="512"/>
      <c r="L49" s="504">
        <f t="shared" si="2"/>
        <v>0</v>
      </c>
      <c r="M49" s="512"/>
      <c r="N49" s="504">
        <f t="shared" si="3"/>
        <v>0</v>
      </c>
      <c r="O49" s="504">
        <f t="shared" si="4"/>
        <v>0</v>
      </c>
      <c r="P49" s="278"/>
    </row>
    <row r="50" spans="2:16" ht="12.5">
      <c r="B50" s="145" t="str">
        <f t="shared" si="0"/>
        <v/>
      </c>
      <c r="C50" s="495">
        <f>IF(D11="","-",+C49+1)</f>
        <v>2052</v>
      </c>
      <c r="D50" s="508">
        <f>IF(F49+SUM(E$17:E49)=D$10,F49,D$10-SUM(E$17:E49))</f>
        <v>0</v>
      </c>
      <c r="E50" s="509">
        <f t="shared" si="6"/>
        <v>0</v>
      </c>
      <c r="F50" s="510">
        <f t="shared" si="7"/>
        <v>0</v>
      </c>
      <c r="G50" s="511">
        <f t="shared" si="8"/>
        <v>0</v>
      </c>
      <c r="H50" s="477">
        <f t="shared" si="9"/>
        <v>0</v>
      </c>
      <c r="I50" s="500">
        <f t="shared" si="1"/>
        <v>0</v>
      </c>
      <c r="J50" s="500"/>
      <c r="K50" s="512"/>
      <c r="L50" s="504">
        <f t="shared" si="2"/>
        <v>0</v>
      </c>
      <c r="M50" s="512"/>
      <c r="N50" s="504">
        <f t="shared" si="3"/>
        <v>0</v>
      </c>
      <c r="O50" s="504">
        <f t="shared" si="4"/>
        <v>0</v>
      </c>
      <c r="P50" s="278"/>
    </row>
    <row r="51" spans="2:16" ht="12.5">
      <c r="B51" s="145" t="str">
        <f t="shared" si="0"/>
        <v/>
      </c>
      <c r="C51" s="495">
        <f>IF(D11="","-",+C50+1)</f>
        <v>2053</v>
      </c>
      <c r="D51" s="508">
        <f>IF(F50+SUM(E$17:E50)=D$10,F50,D$10-SUM(E$17:E50))</f>
        <v>0</v>
      </c>
      <c r="E51" s="509">
        <f t="shared" si="6"/>
        <v>0</v>
      </c>
      <c r="F51" s="510">
        <f t="shared" si="7"/>
        <v>0</v>
      </c>
      <c r="G51" s="511">
        <f t="shared" si="8"/>
        <v>0</v>
      </c>
      <c r="H51" s="477">
        <f t="shared" si="9"/>
        <v>0</v>
      </c>
      <c r="I51" s="500">
        <f t="shared" si="1"/>
        <v>0</v>
      </c>
      <c r="J51" s="500"/>
      <c r="K51" s="512"/>
      <c r="L51" s="504">
        <f t="shared" si="2"/>
        <v>0</v>
      </c>
      <c r="M51" s="512"/>
      <c r="N51" s="504">
        <f t="shared" si="3"/>
        <v>0</v>
      </c>
      <c r="O51" s="504">
        <f t="shared" si="4"/>
        <v>0</v>
      </c>
      <c r="P51" s="278"/>
    </row>
    <row r="52" spans="2:16" ht="12.5">
      <c r="B52" s="145" t="str">
        <f t="shared" si="0"/>
        <v/>
      </c>
      <c r="C52" s="495">
        <f>IF(D11="","-",+C51+1)</f>
        <v>2054</v>
      </c>
      <c r="D52" s="508">
        <f>IF(F51+SUM(E$17:E51)=D$10,F51,D$10-SUM(E$17:E51))</f>
        <v>0</v>
      </c>
      <c r="E52" s="509">
        <f t="shared" si="6"/>
        <v>0</v>
      </c>
      <c r="F52" s="510">
        <f t="shared" si="7"/>
        <v>0</v>
      </c>
      <c r="G52" s="511">
        <f t="shared" si="8"/>
        <v>0</v>
      </c>
      <c r="H52" s="477">
        <f t="shared" si="9"/>
        <v>0</v>
      </c>
      <c r="I52" s="500">
        <f t="shared" si="1"/>
        <v>0</v>
      </c>
      <c r="J52" s="500"/>
      <c r="K52" s="512"/>
      <c r="L52" s="504">
        <f t="shared" si="2"/>
        <v>0</v>
      </c>
      <c r="M52" s="512"/>
      <c r="N52" s="504">
        <f t="shared" si="3"/>
        <v>0</v>
      </c>
      <c r="O52" s="504">
        <f t="shared" si="4"/>
        <v>0</v>
      </c>
      <c r="P52" s="278"/>
    </row>
    <row r="53" spans="2:16" ht="12.5">
      <c r="B53" s="145" t="str">
        <f t="shared" si="0"/>
        <v/>
      </c>
      <c r="C53" s="495">
        <f>IF(D11="","-",+C52+1)</f>
        <v>2055</v>
      </c>
      <c r="D53" s="508">
        <f>IF(F52+SUM(E$17:E52)=D$10,F52,D$10-SUM(E$17:E52))</f>
        <v>0</v>
      </c>
      <c r="E53" s="509">
        <f t="shared" si="6"/>
        <v>0</v>
      </c>
      <c r="F53" s="510">
        <f t="shared" si="7"/>
        <v>0</v>
      </c>
      <c r="G53" s="511">
        <f t="shared" si="8"/>
        <v>0</v>
      </c>
      <c r="H53" s="477">
        <f t="shared" si="9"/>
        <v>0</v>
      </c>
      <c r="I53" s="500">
        <f t="shared" si="1"/>
        <v>0</v>
      </c>
      <c r="J53" s="500"/>
      <c r="K53" s="512"/>
      <c r="L53" s="504">
        <f t="shared" si="2"/>
        <v>0</v>
      </c>
      <c r="M53" s="512"/>
      <c r="N53" s="504">
        <f t="shared" si="3"/>
        <v>0</v>
      </c>
      <c r="O53" s="504">
        <f t="shared" si="4"/>
        <v>0</v>
      </c>
      <c r="P53" s="278"/>
    </row>
    <row r="54" spans="2:16" ht="12.5">
      <c r="B54" s="145" t="str">
        <f t="shared" si="0"/>
        <v/>
      </c>
      <c r="C54" s="495">
        <f>IF(D11="","-",+C53+1)</f>
        <v>2056</v>
      </c>
      <c r="D54" s="508">
        <f>IF(F53+SUM(E$17:E53)=D$10,F53,D$10-SUM(E$17:E53))</f>
        <v>0</v>
      </c>
      <c r="E54" s="509">
        <f t="shared" si="6"/>
        <v>0</v>
      </c>
      <c r="F54" s="510">
        <f t="shared" si="7"/>
        <v>0</v>
      </c>
      <c r="G54" s="511">
        <f t="shared" si="8"/>
        <v>0</v>
      </c>
      <c r="H54" s="477">
        <f t="shared" si="9"/>
        <v>0</v>
      </c>
      <c r="I54" s="500">
        <f t="shared" si="1"/>
        <v>0</v>
      </c>
      <c r="J54" s="500"/>
      <c r="K54" s="512"/>
      <c r="L54" s="504">
        <f t="shared" si="2"/>
        <v>0</v>
      </c>
      <c r="M54" s="512"/>
      <c r="N54" s="504">
        <f t="shared" si="3"/>
        <v>0</v>
      </c>
      <c r="O54" s="504">
        <f t="shared" si="4"/>
        <v>0</v>
      </c>
      <c r="P54" s="278"/>
    </row>
    <row r="55" spans="2:16" ht="12.5">
      <c r="B55" s="145" t="str">
        <f t="shared" si="0"/>
        <v/>
      </c>
      <c r="C55" s="495">
        <f>IF(D11="","-",+C54+1)</f>
        <v>2057</v>
      </c>
      <c r="D55" s="508">
        <f>IF(F54+SUM(E$17:E54)=D$10,F54,D$10-SUM(E$17:E54))</f>
        <v>0</v>
      </c>
      <c r="E55" s="509">
        <f t="shared" si="6"/>
        <v>0</v>
      </c>
      <c r="F55" s="510">
        <f t="shared" si="7"/>
        <v>0</v>
      </c>
      <c r="G55" s="511">
        <f t="shared" si="8"/>
        <v>0</v>
      </c>
      <c r="H55" s="477">
        <f t="shared" si="9"/>
        <v>0</v>
      </c>
      <c r="I55" s="500">
        <f t="shared" si="1"/>
        <v>0</v>
      </c>
      <c r="J55" s="500"/>
      <c r="K55" s="512"/>
      <c r="L55" s="504">
        <f t="shared" si="2"/>
        <v>0</v>
      </c>
      <c r="M55" s="512"/>
      <c r="N55" s="504">
        <f t="shared" si="3"/>
        <v>0</v>
      </c>
      <c r="O55" s="504">
        <f t="shared" si="4"/>
        <v>0</v>
      </c>
      <c r="P55" s="278"/>
    </row>
    <row r="56" spans="2:16" ht="12.5">
      <c r="B56" s="145" t="str">
        <f t="shared" si="0"/>
        <v/>
      </c>
      <c r="C56" s="495">
        <f>IF(D11="","-",+C55+1)</f>
        <v>2058</v>
      </c>
      <c r="D56" s="508">
        <f>IF(F55+SUM(E$17:E55)=D$10,F55,D$10-SUM(E$17:E55))</f>
        <v>0</v>
      </c>
      <c r="E56" s="509">
        <f t="shared" si="6"/>
        <v>0</v>
      </c>
      <c r="F56" s="510">
        <f t="shared" si="7"/>
        <v>0</v>
      </c>
      <c r="G56" s="511">
        <f t="shared" si="8"/>
        <v>0</v>
      </c>
      <c r="H56" s="477">
        <f t="shared" si="9"/>
        <v>0</v>
      </c>
      <c r="I56" s="500">
        <f t="shared" si="1"/>
        <v>0</v>
      </c>
      <c r="J56" s="500"/>
      <c r="K56" s="512"/>
      <c r="L56" s="504">
        <f t="shared" si="2"/>
        <v>0</v>
      </c>
      <c r="M56" s="512"/>
      <c r="N56" s="504">
        <f t="shared" si="3"/>
        <v>0</v>
      </c>
      <c r="O56" s="504">
        <f t="shared" si="4"/>
        <v>0</v>
      </c>
      <c r="P56" s="278"/>
    </row>
    <row r="57" spans="2:16" ht="12.5">
      <c r="B57" s="145" t="str">
        <f t="shared" si="0"/>
        <v/>
      </c>
      <c r="C57" s="495">
        <f>IF(D11="","-",+C56+1)</f>
        <v>2059</v>
      </c>
      <c r="D57" s="508">
        <f>IF(F56+SUM(E$17:E56)=D$10,F56,D$10-SUM(E$17:E56))</f>
        <v>0</v>
      </c>
      <c r="E57" s="509">
        <f t="shared" si="6"/>
        <v>0</v>
      </c>
      <c r="F57" s="510">
        <f t="shared" si="7"/>
        <v>0</v>
      </c>
      <c r="G57" s="511">
        <f t="shared" si="8"/>
        <v>0</v>
      </c>
      <c r="H57" s="477">
        <f t="shared" si="9"/>
        <v>0</v>
      </c>
      <c r="I57" s="500">
        <f t="shared" si="1"/>
        <v>0</v>
      </c>
      <c r="J57" s="500"/>
      <c r="K57" s="512"/>
      <c r="L57" s="504">
        <f t="shared" si="2"/>
        <v>0</v>
      </c>
      <c r="M57" s="512"/>
      <c r="N57" s="504">
        <f t="shared" si="3"/>
        <v>0</v>
      </c>
      <c r="O57" s="504">
        <f t="shared" si="4"/>
        <v>0</v>
      </c>
      <c r="P57" s="278"/>
    </row>
    <row r="58" spans="2:16" ht="12.5">
      <c r="B58" s="145" t="str">
        <f t="shared" si="0"/>
        <v/>
      </c>
      <c r="C58" s="495">
        <f>IF(D11="","-",+C57+1)</f>
        <v>2060</v>
      </c>
      <c r="D58" s="508">
        <f>IF(F57+SUM(E$17:E57)=D$10,F57,D$10-SUM(E$17:E57))</f>
        <v>0</v>
      </c>
      <c r="E58" s="509">
        <f t="shared" si="6"/>
        <v>0</v>
      </c>
      <c r="F58" s="510">
        <f t="shared" si="7"/>
        <v>0</v>
      </c>
      <c r="G58" s="511">
        <f t="shared" si="8"/>
        <v>0</v>
      </c>
      <c r="H58" s="477">
        <f t="shared" si="9"/>
        <v>0</v>
      </c>
      <c r="I58" s="500">
        <f t="shared" si="1"/>
        <v>0</v>
      </c>
      <c r="J58" s="500"/>
      <c r="K58" s="512"/>
      <c r="L58" s="504">
        <f t="shared" si="2"/>
        <v>0</v>
      </c>
      <c r="M58" s="512"/>
      <c r="N58" s="504">
        <f t="shared" si="3"/>
        <v>0</v>
      </c>
      <c r="O58" s="504">
        <f t="shared" si="4"/>
        <v>0</v>
      </c>
      <c r="P58" s="278"/>
    </row>
    <row r="59" spans="2:16" ht="12.5">
      <c r="B59" s="145" t="str">
        <f t="shared" si="0"/>
        <v/>
      </c>
      <c r="C59" s="495">
        <f>IF(D11="","-",+C58+1)</f>
        <v>2061</v>
      </c>
      <c r="D59" s="508">
        <f>IF(F58+SUM(E$17:E58)=D$10,F58,D$10-SUM(E$17:E58))</f>
        <v>0</v>
      </c>
      <c r="E59" s="509">
        <f t="shared" si="6"/>
        <v>0</v>
      </c>
      <c r="F59" s="510">
        <f t="shared" si="7"/>
        <v>0</v>
      </c>
      <c r="G59" s="511">
        <f t="shared" si="8"/>
        <v>0</v>
      </c>
      <c r="H59" s="477">
        <f t="shared" si="9"/>
        <v>0</v>
      </c>
      <c r="I59" s="500">
        <f t="shared" si="1"/>
        <v>0</v>
      </c>
      <c r="J59" s="500"/>
      <c r="K59" s="512"/>
      <c r="L59" s="504">
        <f t="shared" si="2"/>
        <v>0</v>
      </c>
      <c r="M59" s="512"/>
      <c r="N59" s="504">
        <f t="shared" si="3"/>
        <v>0</v>
      </c>
      <c r="O59" s="504">
        <f t="shared" si="4"/>
        <v>0</v>
      </c>
      <c r="P59" s="278"/>
    </row>
    <row r="60" spans="2:16" ht="12.5">
      <c r="B60" s="145" t="str">
        <f t="shared" si="0"/>
        <v/>
      </c>
      <c r="C60" s="495">
        <f>IF(D11="","-",+C59+1)</f>
        <v>2062</v>
      </c>
      <c r="D60" s="508">
        <f>IF(F59+SUM(E$17:E59)=D$10,F59,D$10-SUM(E$17:E59))</f>
        <v>0</v>
      </c>
      <c r="E60" s="509">
        <f t="shared" si="6"/>
        <v>0</v>
      </c>
      <c r="F60" s="510">
        <f t="shared" si="7"/>
        <v>0</v>
      </c>
      <c r="G60" s="511">
        <f t="shared" si="8"/>
        <v>0</v>
      </c>
      <c r="H60" s="477">
        <f t="shared" si="9"/>
        <v>0</v>
      </c>
      <c r="I60" s="500">
        <f t="shared" si="1"/>
        <v>0</v>
      </c>
      <c r="J60" s="500"/>
      <c r="K60" s="512"/>
      <c r="L60" s="504">
        <f t="shared" si="2"/>
        <v>0</v>
      </c>
      <c r="M60" s="512"/>
      <c r="N60" s="504">
        <f t="shared" si="3"/>
        <v>0</v>
      </c>
      <c r="O60" s="504">
        <f t="shared" si="4"/>
        <v>0</v>
      </c>
      <c r="P60" s="278"/>
    </row>
    <row r="61" spans="2:16" ht="12.5">
      <c r="B61" s="145" t="str">
        <f t="shared" si="0"/>
        <v/>
      </c>
      <c r="C61" s="495">
        <f>IF(D11="","-",+C60+1)</f>
        <v>2063</v>
      </c>
      <c r="D61" s="508">
        <f>IF(F60+SUM(E$17:E60)=D$10,F60,D$10-SUM(E$17:E60))</f>
        <v>0</v>
      </c>
      <c r="E61" s="509">
        <f t="shared" si="6"/>
        <v>0</v>
      </c>
      <c r="F61" s="510">
        <f t="shared" si="7"/>
        <v>0</v>
      </c>
      <c r="G61" s="523">
        <f t="shared" si="8"/>
        <v>0</v>
      </c>
      <c r="H61" s="477">
        <f t="shared" si="9"/>
        <v>0</v>
      </c>
      <c r="I61" s="500">
        <f t="shared" si="1"/>
        <v>0</v>
      </c>
      <c r="J61" s="500"/>
      <c r="K61" s="512"/>
      <c r="L61" s="504">
        <f t="shared" si="2"/>
        <v>0</v>
      </c>
      <c r="M61" s="512"/>
      <c r="N61" s="504">
        <f t="shared" si="3"/>
        <v>0</v>
      </c>
      <c r="O61" s="504">
        <f t="shared" si="4"/>
        <v>0</v>
      </c>
      <c r="P61" s="278"/>
    </row>
    <row r="62" spans="2:16" ht="12.5">
      <c r="B62" s="145" t="str">
        <f t="shared" si="0"/>
        <v/>
      </c>
      <c r="C62" s="495">
        <f>IF(D11="","-",+C61+1)</f>
        <v>2064</v>
      </c>
      <c r="D62" s="508">
        <f>IF(F61+SUM(E$17:E61)=D$10,F61,D$10-SUM(E$17:E61))</f>
        <v>0</v>
      </c>
      <c r="E62" s="509">
        <f t="shared" si="6"/>
        <v>0</v>
      </c>
      <c r="F62" s="510">
        <f t="shared" si="7"/>
        <v>0</v>
      </c>
      <c r="G62" s="523">
        <f t="shared" si="8"/>
        <v>0</v>
      </c>
      <c r="H62" s="477">
        <f t="shared" si="9"/>
        <v>0</v>
      </c>
      <c r="I62" s="500">
        <f t="shared" si="1"/>
        <v>0</v>
      </c>
      <c r="J62" s="500"/>
      <c r="K62" s="512"/>
      <c r="L62" s="504">
        <f t="shared" si="2"/>
        <v>0</v>
      </c>
      <c r="M62" s="512"/>
      <c r="N62" s="504">
        <f t="shared" si="3"/>
        <v>0</v>
      </c>
      <c r="O62" s="504">
        <f t="shared" si="4"/>
        <v>0</v>
      </c>
      <c r="P62" s="278"/>
    </row>
    <row r="63" spans="2:16" ht="12.5">
      <c r="B63" s="145" t="str">
        <f t="shared" si="0"/>
        <v/>
      </c>
      <c r="C63" s="495">
        <f>IF(D11="","-",+C62+1)</f>
        <v>2065</v>
      </c>
      <c r="D63" s="508">
        <f>IF(F62+SUM(E$17:E62)=D$10,F62,D$10-SUM(E$17:E62))</f>
        <v>0</v>
      </c>
      <c r="E63" s="509">
        <f t="shared" si="6"/>
        <v>0</v>
      </c>
      <c r="F63" s="510">
        <f t="shared" si="7"/>
        <v>0</v>
      </c>
      <c r="G63" s="523">
        <f t="shared" si="8"/>
        <v>0</v>
      </c>
      <c r="H63" s="477">
        <f t="shared" si="9"/>
        <v>0</v>
      </c>
      <c r="I63" s="500">
        <f t="shared" si="1"/>
        <v>0</v>
      </c>
      <c r="J63" s="500"/>
      <c r="K63" s="512"/>
      <c r="L63" s="504">
        <f t="shared" si="2"/>
        <v>0</v>
      </c>
      <c r="M63" s="512"/>
      <c r="N63" s="504">
        <f t="shared" si="3"/>
        <v>0</v>
      </c>
      <c r="O63" s="504">
        <f t="shared" si="4"/>
        <v>0</v>
      </c>
      <c r="P63" s="278"/>
    </row>
    <row r="64" spans="2:16" ht="12.5">
      <c r="B64" s="145" t="str">
        <f t="shared" si="0"/>
        <v/>
      </c>
      <c r="C64" s="495">
        <f>IF(D11="","-",+C63+1)</f>
        <v>2066</v>
      </c>
      <c r="D64" s="508">
        <f>IF(F63+SUM(E$17:E63)=D$10,F63,D$10-SUM(E$17:E63))</f>
        <v>0</v>
      </c>
      <c r="E64" s="509">
        <f t="shared" si="6"/>
        <v>0</v>
      </c>
      <c r="F64" s="510">
        <f t="shared" si="7"/>
        <v>0</v>
      </c>
      <c r="G64" s="523">
        <f t="shared" si="8"/>
        <v>0</v>
      </c>
      <c r="H64" s="477">
        <f t="shared" si="9"/>
        <v>0</v>
      </c>
      <c r="I64" s="500">
        <f t="shared" si="1"/>
        <v>0</v>
      </c>
      <c r="J64" s="500"/>
      <c r="K64" s="512"/>
      <c r="L64" s="504">
        <f t="shared" si="2"/>
        <v>0</v>
      </c>
      <c r="M64" s="512"/>
      <c r="N64" s="504">
        <f t="shared" si="3"/>
        <v>0</v>
      </c>
      <c r="O64" s="504">
        <f t="shared" si="4"/>
        <v>0</v>
      </c>
      <c r="P64" s="278"/>
    </row>
    <row r="65" spans="2:16" ht="12.5">
      <c r="B65" s="145" t="str">
        <f t="shared" si="0"/>
        <v/>
      </c>
      <c r="C65" s="495">
        <f>IF(D11="","-",+C64+1)</f>
        <v>2067</v>
      </c>
      <c r="D65" s="508">
        <f>IF(F64+SUM(E$17:E64)=D$10,F64,D$10-SUM(E$17:E64))</f>
        <v>0</v>
      </c>
      <c r="E65" s="509">
        <f t="shared" si="6"/>
        <v>0</v>
      </c>
      <c r="F65" s="510">
        <f t="shared" si="7"/>
        <v>0</v>
      </c>
      <c r="G65" s="523">
        <f t="shared" si="8"/>
        <v>0</v>
      </c>
      <c r="H65" s="477">
        <f t="shared" si="9"/>
        <v>0</v>
      </c>
      <c r="I65" s="500">
        <f t="shared" si="1"/>
        <v>0</v>
      </c>
      <c r="J65" s="500"/>
      <c r="K65" s="512"/>
      <c r="L65" s="504">
        <f t="shared" si="2"/>
        <v>0</v>
      </c>
      <c r="M65" s="512"/>
      <c r="N65" s="504">
        <f t="shared" si="3"/>
        <v>0</v>
      </c>
      <c r="O65" s="504">
        <f t="shared" si="4"/>
        <v>0</v>
      </c>
      <c r="P65" s="278"/>
    </row>
    <row r="66" spans="2:16" ht="12.5">
      <c r="B66" s="145" t="str">
        <f t="shared" si="0"/>
        <v/>
      </c>
      <c r="C66" s="495">
        <f>IF(D11="","-",+C65+1)</f>
        <v>2068</v>
      </c>
      <c r="D66" s="508">
        <f>IF(F65+SUM(E$17:E65)=D$10,F65,D$10-SUM(E$17:E65))</f>
        <v>0</v>
      </c>
      <c r="E66" s="509">
        <f t="shared" si="6"/>
        <v>0</v>
      </c>
      <c r="F66" s="510">
        <f t="shared" si="7"/>
        <v>0</v>
      </c>
      <c r="G66" s="523">
        <f t="shared" si="8"/>
        <v>0</v>
      </c>
      <c r="H66" s="477">
        <f t="shared" si="9"/>
        <v>0</v>
      </c>
      <c r="I66" s="500">
        <f t="shared" si="1"/>
        <v>0</v>
      </c>
      <c r="J66" s="500"/>
      <c r="K66" s="512"/>
      <c r="L66" s="504">
        <f t="shared" si="2"/>
        <v>0</v>
      </c>
      <c r="M66" s="512"/>
      <c r="N66" s="504">
        <f t="shared" si="3"/>
        <v>0</v>
      </c>
      <c r="O66" s="504">
        <f t="shared" si="4"/>
        <v>0</v>
      </c>
      <c r="P66" s="278"/>
    </row>
    <row r="67" spans="2:16" ht="12.5">
      <c r="B67" s="145" t="str">
        <f t="shared" si="0"/>
        <v/>
      </c>
      <c r="C67" s="495">
        <f>IF(D11="","-",+C66+1)</f>
        <v>2069</v>
      </c>
      <c r="D67" s="508">
        <f>IF(F66+SUM(E$17:E66)=D$10,F66,D$10-SUM(E$17:E66))</f>
        <v>0</v>
      </c>
      <c r="E67" s="509">
        <f t="shared" si="6"/>
        <v>0</v>
      </c>
      <c r="F67" s="510">
        <f t="shared" si="7"/>
        <v>0</v>
      </c>
      <c r="G67" s="523">
        <f t="shared" si="8"/>
        <v>0</v>
      </c>
      <c r="H67" s="477">
        <f t="shared" si="9"/>
        <v>0</v>
      </c>
      <c r="I67" s="500">
        <f t="shared" si="1"/>
        <v>0</v>
      </c>
      <c r="J67" s="500"/>
      <c r="K67" s="512"/>
      <c r="L67" s="504">
        <f t="shared" si="2"/>
        <v>0</v>
      </c>
      <c r="M67" s="512"/>
      <c r="N67" s="504">
        <f t="shared" si="3"/>
        <v>0</v>
      </c>
      <c r="O67" s="504">
        <f t="shared" si="4"/>
        <v>0</v>
      </c>
      <c r="P67" s="278"/>
    </row>
    <row r="68" spans="2:16" ht="12.5">
      <c r="B68" s="145" t="str">
        <f t="shared" si="0"/>
        <v/>
      </c>
      <c r="C68" s="495">
        <f>IF(D11="","-",+C67+1)</f>
        <v>2070</v>
      </c>
      <c r="D68" s="508">
        <f>IF(F67+SUM(E$17:E67)=D$10,F67,D$10-SUM(E$17:E67))</f>
        <v>0</v>
      </c>
      <c r="E68" s="509">
        <f t="shared" si="6"/>
        <v>0</v>
      </c>
      <c r="F68" s="510">
        <f t="shared" si="7"/>
        <v>0</v>
      </c>
      <c r="G68" s="523">
        <f t="shared" si="8"/>
        <v>0</v>
      </c>
      <c r="H68" s="477">
        <f t="shared" si="9"/>
        <v>0</v>
      </c>
      <c r="I68" s="500">
        <f t="shared" si="1"/>
        <v>0</v>
      </c>
      <c r="J68" s="500"/>
      <c r="K68" s="512"/>
      <c r="L68" s="504">
        <f t="shared" si="2"/>
        <v>0</v>
      </c>
      <c r="M68" s="512"/>
      <c r="N68" s="504">
        <f t="shared" si="3"/>
        <v>0</v>
      </c>
      <c r="O68" s="504">
        <f t="shared" si="4"/>
        <v>0</v>
      </c>
      <c r="P68" s="278"/>
    </row>
    <row r="69" spans="2:16" ht="12.5">
      <c r="B69" s="145" t="str">
        <f t="shared" si="0"/>
        <v/>
      </c>
      <c r="C69" s="495">
        <f>IF(D11="","-",+C68+1)</f>
        <v>2071</v>
      </c>
      <c r="D69" s="508">
        <f>IF(F68+SUM(E$17:E68)=D$10,F68,D$10-SUM(E$17:E68))</f>
        <v>0</v>
      </c>
      <c r="E69" s="509">
        <f t="shared" si="6"/>
        <v>0</v>
      </c>
      <c r="F69" s="510">
        <f t="shared" si="7"/>
        <v>0</v>
      </c>
      <c r="G69" s="523">
        <f t="shared" si="8"/>
        <v>0</v>
      </c>
      <c r="H69" s="477">
        <f t="shared" si="9"/>
        <v>0</v>
      </c>
      <c r="I69" s="500">
        <f t="shared" si="1"/>
        <v>0</v>
      </c>
      <c r="J69" s="500"/>
      <c r="K69" s="512"/>
      <c r="L69" s="504">
        <f t="shared" si="2"/>
        <v>0</v>
      </c>
      <c r="M69" s="512"/>
      <c r="N69" s="504">
        <f t="shared" si="3"/>
        <v>0</v>
      </c>
      <c r="O69" s="504">
        <f t="shared" si="4"/>
        <v>0</v>
      </c>
      <c r="P69" s="278"/>
    </row>
    <row r="70" spans="2:16" ht="12.5">
      <c r="B70" s="145" t="str">
        <f t="shared" si="0"/>
        <v/>
      </c>
      <c r="C70" s="495">
        <f>IF(D11="","-",+C69+1)</f>
        <v>2072</v>
      </c>
      <c r="D70" s="508">
        <f>IF(F69+SUM(E$17:E69)=D$10,F69,D$10-SUM(E$17:E69))</f>
        <v>0</v>
      </c>
      <c r="E70" s="509">
        <f t="shared" si="6"/>
        <v>0</v>
      </c>
      <c r="F70" s="510">
        <f t="shared" si="7"/>
        <v>0</v>
      </c>
      <c r="G70" s="523">
        <f t="shared" si="8"/>
        <v>0</v>
      </c>
      <c r="H70" s="477">
        <f t="shared" si="9"/>
        <v>0</v>
      </c>
      <c r="I70" s="500">
        <f t="shared" si="1"/>
        <v>0</v>
      </c>
      <c r="J70" s="500"/>
      <c r="K70" s="512"/>
      <c r="L70" s="504">
        <f t="shared" si="2"/>
        <v>0</v>
      </c>
      <c r="M70" s="512"/>
      <c r="N70" s="504">
        <f t="shared" si="3"/>
        <v>0</v>
      </c>
      <c r="O70" s="504">
        <f t="shared" si="4"/>
        <v>0</v>
      </c>
      <c r="P70" s="278"/>
    </row>
    <row r="71" spans="2:16" ht="12.5">
      <c r="B71" s="145" t="str">
        <f t="shared" si="0"/>
        <v/>
      </c>
      <c r="C71" s="495">
        <f>IF(D11="","-",+C70+1)</f>
        <v>2073</v>
      </c>
      <c r="D71" s="508">
        <f>IF(F70+SUM(E$17:E70)=D$10,F70,D$10-SUM(E$17:E70))</f>
        <v>0</v>
      </c>
      <c r="E71" s="509">
        <f t="shared" si="6"/>
        <v>0</v>
      </c>
      <c r="F71" s="510">
        <f t="shared" si="7"/>
        <v>0</v>
      </c>
      <c r="G71" s="523">
        <f t="shared" si="8"/>
        <v>0</v>
      </c>
      <c r="H71" s="477">
        <f t="shared" si="9"/>
        <v>0</v>
      </c>
      <c r="I71" s="500">
        <f t="shared" si="1"/>
        <v>0</v>
      </c>
      <c r="J71" s="500"/>
      <c r="K71" s="512"/>
      <c r="L71" s="504">
        <f t="shared" si="2"/>
        <v>0</v>
      </c>
      <c r="M71" s="512"/>
      <c r="N71" s="504">
        <f t="shared" si="3"/>
        <v>0</v>
      </c>
      <c r="O71" s="504">
        <f t="shared" si="4"/>
        <v>0</v>
      </c>
      <c r="P71" s="278"/>
    </row>
    <row r="72" spans="2:16" ht="12.5">
      <c r="C72" s="495">
        <f>IF(D12="","-",+C71+1)</f>
        <v>2074</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 thickBot="1">
      <c r="B73" s="145" t="str">
        <f>IF(D73=F71,"","IU")</f>
        <v/>
      </c>
      <c r="C73" s="524">
        <f>IF(D13="","-",+C72+1)</f>
        <v>2075</v>
      </c>
      <c r="D73" s="526">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ht="12.5">
      <c r="C74" s="349" t="s">
        <v>75</v>
      </c>
      <c r="D74" s="294"/>
      <c r="E74" s="294">
        <f>SUM(E17:E73)</f>
        <v>17092177</v>
      </c>
      <c r="F74" s="294"/>
      <c r="G74" s="294">
        <f>SUM(G17:G73)</f>
        <v>46500970.099381983</v>
      </c>
      <c r="H74" s="294">
        <f>SUM(H17:H73)</f>
        <v>46500970.099381983</v>
      </c>
      <c r="I74" s="294">
        <f>SUM(I17:I73)</f>
        <v>0</v>
      </c>
      <c r="J74" s="294"/>
      <c r="K74" s="294"/>
      <c r="L74" s="294"/>
      <c r="M74" s="294"/>
      <c r="N74" s="294"/>
      <c r="O74" s="278"/>
      <c r="P74" s="278"/>
    </row>
    <row r="75" spans="2:16" ht="12.5">
      <c r="D75" s="292"/>
      <c r="E75" s="243"/>
      <c r="F75" s="243"/>
      <c r="G75" s="243"/>
      <c r="H75" s="325"/>
      <c r="I75" s="325"/>
      <c r="J75" s="294"/>
      <c r="K75" s="325"/>
      <c r="L75" s="325"/>
      <c r="M75" s="325"/>
      <c r="N75" s="325"/>
      <c r="O75" s="243"/>
      <c r="P75" s="243"/>
    </row>
    <row r="76" spans="2:16" ht="13">
      <c r="C76" s="532" t="s">
        <v>95</v>
      </c>
      <c r="D76" s="292"/>
      <c r="E76" s="243"/>
      <c r="F76" s="243"/>
      <c r="G76" s="243"/>
      <c r="H76" s="325"/>
      <c r="I76" s="325"/>
      <c r="J76" s="294"/>
      <c r="K76" s="325"/>
      <c r="L76" s="325"/>
      <c r="M76" s="325"/>
      <c r="N76" s="325"/>
      <c r="O76" s="243"/>
      <c r="P76" s="243"/>
    </row>
    <row r="77" spans="2:16" ht="13">
      <c r="C77" s="454" t="s">
        <v>76</v>
      </c>
      <c r="D77" s="292"/>
      <c r="E77" s="243"/>
      <c r="F77" s="243"/>
      <c r="G77" s="243"/>
      <c r="H77" s="325"/>
      <c r="I77" s="325"/>
      <c r="J77" s="294"/>
      <c r="K77" s="325"/>
      <c r="L77" s="325"/>
      <c r="M77" s="325"/>
      <c r="N77" s="325"/>
      <c r="O77" s="278"/>
      <c r="P77" s="278"/>
    </row>
    <row r="78" spans="2:16" ht="13">
      <c r="C78" s="454" t="s">
        <v>77</v>
      </c>
      <c r="D78" s="349"/>
      <c r="E78" s="349"/>
      <c r="F78" s="349"/>
      <c r="G78" s="294"/>
      <c r="H78" s="294"/>
      <c r="I78" s="350"/>
      <c r="J78" s="350"/>
      <c r="K78" s="350"/>
      <c r="L78" s="350"/>
      <c r="M78" s="350"/>
      <c r="N78" s="350"/>
      <c r="O78" s="278"/>
      <c r="P78" s="278"/>
    </row>
    <row r="79" spans="2:16" ht="13">
      <c r="C79" s="454"/>
      <c r="D79" s="349"/>
      <c r="E79" s="349"/>
      <c r="F79" s="349"/>
      <c r="G79" s="294"/>
      <c r="H79" s="294"/>
      <c r="I79" s="350"/>
      <c r="J79" s="350"/>
      <c r="K79" s="350"/>
      <c r="L79" s="350"/>
      <c r="M79" s="350"/>
      <c r="N79" s="350"/>
      <c r="O79" s="278"/>
      <c r="P79" s="243"/>
    </row>
    <row r="80" spans="2:16" ht="12.5">
      <c r="B80" s="243"/>
      <c r="C80" s="248"/>
      <c r="D80" s="292"/>
      <c r="E80" s="243"/>
      <c r="F80" s="347"/>
      <c r="G80" s="243"/>
      <c r="H80" s="325"/>
      <c r="I80" s="243"/>
      <c r="J80" s="278"/>
      <c r="K80" s="243"/>
      <c r="L80" s="243"/>
      <c r="M80" s="243"/>
      <c r="N80" s="243"/>
      <c r="O80" s="243"/>
      <c r="P80" s="243"/>
    </row>
    <row r="81" spans="1:16" ht="17.5">
      <c r="B81" s="243"/>
      <c r="C81" s="535"/>
      <c r="D81" s="292"/>
      <c r="E81" s="243"/>
      <c r="F81" s="347"/>
      <c r="G81" s="243"/>
      <c r="H81" s="325"/>
      <c r="I81" s="243"/>
      <c r="J81" s="278"/>
      <c r="K81" s="243"/>
      <c r="L81" s="243"/>
      <c r="M81" s="243"/>
      <c r="N81" s="243"/>
      <c r="P81" s="536" t="s">
        <v>128</v>
      </c>
    </row>
    <row r="82" spans="1:16" ht="12.5">
      <c r="B82" s="243"/>
      <c r="C82" s="248"/>
      <c r="D82" s="292"/>
      <c r="E82" s="243"/>
      <c r="F82" s="347"/>
      <c r="G82" s="243"/>
      <c r="H82" s="325"/>
      <c r="I82" s="243"/>
      <c r="J82" s="278"/>
      <c r="K82" s="243"/>
      <c r="L82" s="243"/>
      <c r="M82" s="243"/>
      <c r="N82" s="243"/>
      <c r="O82" s="243"/>
      <c r="P82" s="243"/>
    </row>
    <row r="83" spans="1:16" ht="12.5">
      <c r="B83" s="243"/>
      <c r="C83" s="248"/>
      <c r="D83" s="292"/>
      <c r="E83" s="243"/>
      <c r="F83" s="347"/>
      <c r="G83" s="243"/>
      <c r="H83" s="325"/>
      <c r="I83" s="243"/>
      <c r="J83" s="278"/>
      <c r="K83" s="243"/>
      <c r="L83" s="243"/>
      <c r="M83" s="243"/>
      <c r="N83" s="243"/>
      <c r="O83" s="243"/>
      <c r="P83" s="243"/>
    </row>
    <row r="84" spans="1:16" ht="20">
      <c r="A84" s="437" t="s">
        <v>190</v>
      </c>
      <c r="B84" s="243"/>
      <c r="C84" s="248"/>
      <c r="D84" s="292"/>
      <c r="E84" s="243"/>
      <c r="F84" s="339"/>
      <c r="G84" s="339"/>
      <c r="H84" s="243"/>
      <c r="I84" s="325"/>
      <c r="K84" s="220"/>
      <c r="L84" s="438"/>
      <c r="M84" s="438"/>
      <c r="P84" s="438" t="str">
        <f ca="1">P1</f>
        <v>OKT Project 19 of 20</v>
      </c>
    </row>
    <row r="85" spans="1:16" ht="17.5">
      <c r="B85" s="243"/>
      <c r="C85" s="243"/>
      <c r="D85" s="292"/>
      <c r="E85" s="243"/>
      <c r="F85" s="243"/>
      <c r="G85" s="243"/>
      <c r="H85" s="243"/>
      <c r="I85" s="325"/>
      <c r="J85" s="243"/>
      <c r="K85" s="278"/>
      <c r="L85" s="243"/>
      <c r="M85" s="243"/>
      <c r="P85" s="441" t="s">
        <v>132</v>
      </c>
    </row>
    <row r="86" spans="1:16" ht="17.5" thickBot="1">
      <c r="B86" s="233" t="s">
        <v>42</v>
      </c>
      <c r="C86" s="537" t="s">
        <v>81</v>
      </c>
      <c r="D86" s="292"/>
      <c r="E86" s="243"/>
      <c r="F86" s="243"/>
      <c r="G86" s="243"/>
      <c r="H86" s="243"/>
      <c r="I86" s="325"/>
      <c r="J86" s="325"/>
      <c r="K86" s="294"/>
      <c r="L86" s="325"/>
      <c r="M86" s="325"/>
      <c r="N86" s="325"/>
      <c r="O86" s="294"/>
      <c r="P86" s="243"/>
    </row>
    <row r="87" spans="1:16" ht="16" thickBot="1">
      <c r="C87" s="304"/>
      <c r="D87" s="292"/>
      <c r="E87" s="243"/>
      <c r="F87" s="243"/>
      <c r="G87" s="243"/>
      <c r="H87" s="243"/>
      <c r="I87" s="325"/>
      <c r="J87" s="325"/>
      <c r="K87" s="294"/>
      <c r="L87" s="538">
        <f>+J93</f>
        <v>2019</v>
      </c>
      <c r="M87" s="539" t="s">
        <v>9</v>
      </c>
      <c r="N87" s="540" t="s">
        <v>134</v>
      </c>
      <c r="O87" s="541" t="s">
        <v>11</v>
      </c>
      <c r="P87" s="243"/>
    </row>
    <row r="88" spans="1:16" ht="15.5">
      <c r="C88" s="232" t="s">
        <v>44</v>
      </c>
      <c r="D88" s="292"/>
      <c r="E88" s="243"/>
      <c r="F88" s="243"/>
      <c r="G88" s="243"/>
      <c r="H88" s="444"/>
      <c r="I88" s="243" t="s">
        <v>45</v>
      </c>
      <c r="J88" s="243"/>
      <c r="K88" s="542"/>
      <c r="L88" s="543" t="s">
        <v>253</v>
      </c>
      <c r="M88" s="544">
        <f>IF(J93&lt;D11,0,VLOOKUP(J93,C17:O73,9))</f>
        <v>930333.23821495997</v>
      </c>
      <c r="N88" s="544">
        <f>IF(J93&lt;D11,0,VLOOKUP(J93,C17:O73,11))</f>
        <v>930333.23821495997</v>
      </c>
      <c r="O88" s="545">
        <f>+N88-M88</f>
        <v>0</v>
      </c>
      <c r="P88" s="243"/>
    </row>
    <row r="89" spans="1:16" ht="15.5">
      <c r="C89" s="235"/>
      <c r="D89" s="292"/>
      <c r="E89" s="243"/>
      <c r="F89" s="243"/>
      <c r="G89" s="243"/>
      <c r="H89" s="243"/>
      <c r="I89" s="449"/>
      <c r="J89" s="449"/>
      <c r="K89" s="546"/>
      <c r="L89" s="547" t="s">
        <v>254</v>
      </c>
      <c r="M89" s="548">
        <f>IF(J93&lt;D11,0,VLOOKUP(J93,C100:P155,6))</f>
        <v>1170228.5245690367</v>
      </c>
      <c r="N89" s="548">
        <f>IF(J93&lt;D11,0,VLOOKUP(J93,C100:P155,7))</f>
        <v>1170228.5245690367</v>
      </c>
      <c r="O89" s="549">
        <f>+N89-M89</f>
        <v>0</v>
      </c>
      <c r="P89" s="243"/>
    </row>
    <row r="90" spans="1:16" ht="13.5" thickBot="1">
      <c r="C90" s="454" t="s">
        <v>82</v>
      </c>
      <c r="D90" s="550" t="str">
        <f>+D7</f>
        <v>Fort Towson-Valliant 69 KV Line Rebuild</v>
      </c>
      <c r="E90" s="243"/>
      <c r="F90" s="243"/>
      <c r="G90" s="243"/>
      <c r="H90" s="243"/>
      <c r="I90" s="325"/>
      <c r="J90" s="325"/>
      <c r="K90" s="551"/>
      <c r="L90" s="552" t="s">
        <v>135</v>
      </c>
      <c r="M90" s="553">
        <f>+M89-M88</f>
        <v>239895.2863540767</v>
      </c>
      <c r="N90" s="553">
        <f>+N89-N88</f>
        <v>239895.2863540767</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TP2015204</v>
      </c>
      <c r="E92" s="558"/>
      <c r="F92" s="558"/>
      <c r="G92" s="558"/>
      <c r="H92" s="558"/>
      <c r="I92" s="558"/>
      <c r="J92" s="558"/>
      <c r="K92" s="560"/>
      <c r="P92" s="468"/>
    </row>
    <row r="93" spans="1:16" ht="13">
      <c r="C93" s="472" t="s">
        <v>49</v>
      </c>
      <c r="D93" s="474">
        <v>17124157</v>
      </c>
      <c r="E93" s="248" t="s">
        <v>84</v>
      </c>
      <c r="H93" s="408"/>
      <c r="I93" s="408"/>
      <c r="J93" s="471">
        <f>+'OKT.WS.G.BPU.ATRR.True-up'!M16</f>
        <v>2019</v>
      </c>
      <c r="K93" s="467"/>
      <c r="L93" s="294" t="s">
        <v>85</v>
      </c>
      <c r="P93" s="278"/>
    </row>
    <row r="94" spans="1:16" ht="12.5">
      <c r="C94" s="472" t="s">
        <v>52</v>
      </c>
      <c r="D94" s="561">
        <f>IF(D11="","",D11)</f>
        <v>2019</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ht="12.5">
      <c r="C95" s="472" t="s">
        <v>54</v>
      </c>
      <c r="D95" s="561">
        <f>IF(D12="","",D12)</f>
        <v>12</v>
      </c>
      <c r="E95" s="472" t="s">
        <v>55</v>
      </c>
      <c r="F95" s="408"/>
      <c r="G95" s="408"/>
      <c r="J95" s="476">
        <f>'OKT.WS.G.BPU.ATRR.True-up'!$F$81</f>
        <v>0.10800922592579221</v>
      </c>
      <c r="K95" s="413"/>
      <c r="L95" s="145" t="s">
        <v>86</v>
      </c>
      <c r="P95" s="278"/>
    </row>
    <row r="96" spans="1:16" ht="12.5">
      <c r="C96" s="472" t="s">
        <v>57</v>
      </c>
      <c r="D96" s="474">
        <f>'OKT.WS.G.BPU.ATRR.True-up'!F$93</f>
        <v>33</v>
      </c>
      <c r="E96" s="472" t="s">
        <v>58</v>
      </c>
      <c r="F96" s="408"/>
      <c r="G96" s="408"/>
      <c r="J96" s="476">
        <f>IF(H88="",J95,'OKT.WS.G.BPU.ATRR.True-up'!$F$80)</f>
        <v>0.10800922592579221</v>
      </c>
      <c r="K96" s="291"/>
      <c r="L96" s="294" t="s">
        <v>59</v>
      </c>
      <c r="M96" s="291"/>
      <c r="N96" s="291"/>
      <c r="O96" s="291"/>
      <c r="P96" s="278"/>
    </row>
    <row r="97" spans="1:16" ht="13" thickBot="1">
      <c r="C97" s="472" t="s">
        <v>60</v>
      </c>
      <c r="D97" s="562" t="str">
        <f>+D14</f>
        <v>No</v>
      </c>
      <c r="E97" s="563" t="s">
        <v>62</v>
      </c>
      <c r="F97" s="564"/>
      <c r="G97" s="564"/>
      <c r="H97" s="565"/>
      <c r="I97" s="565"/>
      <c r="J97" s="458">
        <f>IF(D93=0,0,D93/D96)</f>
        <v>518913.84848484851</v>
      </c>
      <c r="K97" s="294"/>
      <c r="L97" s="294"/>
      <c r="M97" s="294"/>
      <c r="N97" s="294"/>
      <c r="O97" s="294"/>
      <c r="P97" s="278"/>
    </row>
    <row r="98" spans="1:16" ht="39">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ht="12.5">
      <c r="B100" s="145" t="str">
        <f t="shared" ref="B100:B155" si="10">IF(D100=F99,"","IU")</f>
        <v>IU</v>
      </c>
      <c r="C100" s="495">
        <f>IF(D94= "","-",D94)</f>
        <v>2019</v>
      </c>
      <c r="D100" s="496">
        <v>0</v>
      </c>
      <c r="E100" s="498">
        <v>259456.92424242425</v>
      </c>
      <c r="F100" s="505">
        <v>16864700.075757574</v>
      </c>
      <c r="G100" s="505">
        <v>8432350.0378787871</v>
      </c>
      <c r="H100" s="498">
        <v>1170228.5245690367</v>
      </c>
      <c r="I100" s="499">
        <v>1170228.5245690367</v>
      </c>
      <c r="J100" s="504">
        <f t="shared" ref="J100:J131" si="11">+I100-H100</f>
        <v>0</v>
      </c>
      <c r="K100" s="504"/>
      <c r="L100" s="506">
        <f>+H100</f>
        <v>1170228.5245690367</v>
      </c>
      <c r="M100" s="504">
        <f t="shared" ref="M100" si="12">IF(L100&lt;&gt;0,+H100-L100,0)</f>
        <v>0</v>
      </c>
      <c r="N100" s="506">
        <f>+I100</f>
        <v>1170228.5245690367</v>
      </c>
      <c r="O100" s="586">
        <f t="shared" ref="O100" si="13">IF(N100&lt;&gt;0,+I100-N100,0)</f>
        <v>0</v>
      </c>
      <c r="P100" s="504">
        <f t="shared" ref="P100" si="14">+O100-M100</f>
        <v>0</v>
      </c>
    </row>
    <row r="101" spans="1:16" ht="12.5">
      <c r="B101" s="145" t="str">
        <f t="shared" si="10"/>
        <v/>
      </c>
      <c r="C101" s="495">
        <f>IF(D94="","-",+C100+1)</f>
        <v>2020</v>
      </c>
      <c r="D101" s="349">
        <f>IF(F100+SUM(E$100:E100)=D$93,F100,D$93-SUM(E$100:E100))</f>
        <v>16864700.075757574</v>
      </c>
      <c r="E101" s="509">
        <f t="shared" ref="E101:E155" si="15">IF(+J$97&lt;F100,J$97,D101)</f>
        <v>518913.84848484851</v>
      </c>
      <c r="F101" s="510">
        <f t="shared" ref="F101:F155" si="16">+D101-E101</f>
        <v>16345786.227272727</v>
      </c>
      <c r="G101" s="510">
        <f t="shared" ref="G101:G155" si="17">+(F101+D101)/2</f>
        <v>16605243.15151515</v>
      </c>
      <c r="H101" s="627">
        <f t="shared" ref="H101:H155" si="18">+J$95*G101+E101</f>
        <v>2312433.3075895621</v>
      </c>
      <c r="I101" s="628">
        <f t="shared" ref="I101:I155" si="19">+J$96*G101+E101</f>
        <v>2312433.3075895621</v>
      </c>
      <c r="J101" s="504">
        <f t="shared" si="11"/>
        <v>0</v>
      </c>
      <c r="K101" s="504"/>
      <c r="L101" s="512"/>
      <c r="M101" s="504">
        <f t="shared" ref="M101:M131" si="20">IF(L101&lt;&gt;0,+H101-L101,0)</f>
        <v>0</v>
      </c>
      <c r="N101" s="512"/>
      <c r="O101" s="504">
        <f t="shared" ref="O101:O131" si="21">IF(N101&lt;&gt;0,+I101-N101,0)</f>
        <v>0</v>
      </c>
      <c r="P101" s="504">
        <f t="shared" ref="P101:P131" si="22">+O101-M101</f>
        <v>0</v>
      </c>
    </row>
    <row r="102" spans="1:16" ht="12.5">
      <c r="B102" s="145" t="str">
        <f t="shared" si="10"/>
        <v/>
      </c>
      <c r="C102" s="495">
        <f>IF(D94="","-",+C101+1)</f>
        <v>2021</v>
      </c>
      <c r="D102" s="349">
        <f>IF(F101+SUM(E$100:E101)=D$93,F101,D$93-SUM(E$100:E101))</f>
        <v>16345786.227272727</v>
      </c>
      <c r="E102" s="509">
        <f t="shared" si="15"/>
        <v>518913.84848484851</v>
      </c>
      <c r="F102" s="510">
        <f t="shared" si="16"/>
        <v>15826872.378787879</v>
      </c>
      <c r="G102" s="510">
        <f t="shared" si="17"/>
        <v>16086329.303030303</v>
      </c>
      <c r="H102" s="627">
        <f t="shared" si="18"/>
        <v>2256385.8244925397</v>
      </c>
      <c r="I102" s="628">
        <f t="shared" si="19"/>
        <v>2256385.8244925397</v>
      </c>
      <c r="J102" s="504">
        <f t="shared" si="11"/>
        <v>0</v>
      </c>
      <c r="K102" s="504"/>
      <c r="L102" s="512"/>
      <c r="M102" s="504">
        <f t="shared" si="20"/>
        <v>0</v>
      </c>
      <c r="N102" s="512"/>
      <c r="O102" s="504">
        <f t="shared" si="21"/>
        <v>0</v>
      </c>
      <c r="P102" s="504">
        <f t="shared" si="22"/>
        <v>0</v>
      </c>
    </row>
    <row r="103" spans="1:16" ht="12.5">
      <c r="B103" s="145" t="str">
        <f t="shared" si="10"/>
        <v/>
      </c>
      <c r="C103" s="495">
        <f>IF(D94="","-",+C102+1)</f>
        <v>2022</v>
      </c>
      <c r="D103" s="349">
        <f>IF(F102+SUM(E$100:E102)=D$93,F102,D$93-SUM(E$100:E102))</f>
        <v>15826872.378787879</v>
      </c>
      <c r="E103" s="509">
        <f t="shared" si="15"/>
        <v>518913.84848484851</v>
      </c>
      <c r="F103" s="510">
        <f t="shared" si="16"/>
        <v>15307958.530303031</v>
      </c>
      <c r="G103" s="510">
        <f t="shared" si="17"/>
        <v>15567415.454545455</v>
      </c>
      <c r="H103" s="627">
        <f t="shared" si="18"/>
        <v>2200338.3413955178</v>
      </c>
      <c r="I103" s="628">
        <f t="shared" si="19"/>
        <v>2200338.3413955178</v>
      </c>
      <c r="J103" s="504">
        <f t="shared" si="11"/>
        <v>0</v>
      </c>
      <c r="K103" s="504"/>
      <c r="L103" s="512"/>
      <c r="M103" s="504">
        <f t="shared" si="20"/>
        <v>0</v>
      </c>
      <c r="N103" s="512"/>
      <c r="O103" s="504">
        <f t="shared" si="21"/>
        <v>0</v>
      </c>
      <c r="P103" s="504">
        <f t="shared" si="22"/>
        <v>0</v>
      </c>
    </row>
    <row r="104" spans="1:16" ht="12.5">
      <c r="B104" s="145" t="str">
        <f t="shared" si="10"/>
        <v/>
      </c>
      <c r="C104" s="495">
        <f>IF(D94="","-",+C103+1)</f>
        <v>2023</v>
      </c>
      <c r="D104" s="349">
        <f>IF(F103+SUM(E$100:E103)=D$93,F103,D$93-SUM(E$100:E103))</f>
        <v>15307958.530303031</v>
      </c>
      <c r="E104" s="509">
        <f t="shared" si="15"/>
        <v>518913.84848484851</v>
      </c>
      <c r="F104" s="510">
        <f t="shared" si="16"/>
        <v>14789044.681818184</v>
      </c>
      <c r="G104" s="510">
        <f t="shared" si="17"/>
        <v>15048501.606060607</v>
      </c>
      <c r="H104" s="627">
        <f t="shared" si="18"/>
        <v>2144290.8582984954</v>
      </c>
      <c r="I104" s="628">
        <f t="shared" si="19"/>
        <v>2144290.8582984954</v>
      </c>
      <c r="J104" s="504">
        <f t="shared" si="11"/>
        <v>0</v>
      </c>
      <c r="K104" s="504"/>
      <c r="L104" s="512"/>
      <c r="M104" s="504">
        <f t="shared" si="20"/>
        <v>0</v>
      </c>
      <c r="N104" s="512"/>
      <c r="O104" s="504">
        <f t="shared" si="21"/>
        <v>0</v>
      </c>
      <c r="P104" s="504">
        <f t="shared" si="22"/>
        <v>0</v>
      </c>
    </row>
    <row r="105" spans="1:16" ht="12.5">
      <c r="B105" s="145" t="str">
        <f t="shared" si="10"/>
        <v/>
      </c>
      <c r="C105" s="495">
        <f>IF(D94="","-",+C104+1)</f>
        <v>2024</v>
      </c>
      <c r="D105" s="349">
        <f>IF(F104+SUM(E$100:E104)=D$93,F104,D$93-SUM(E$100:E104))</f>
        <v>14789044.681818184</v>
      </c>
      <c r="E105" s="509">
        <f t="shared" si="15"/>
        <v>518913.84848484851</v>
      </c>
      <c r="F105" s="510">
        <f t="shared" si="16"/>
        <v>14270130.833333336</v>
      </c>
      <c r="G105" s="510">
        <f t="shared" si="17"/>
        <v>14529587.75757576</v>
      </c>
      <c r="H105" s="627">
        <f t="shared" si="18"/>
        <v>2088243.3752014735</v>
      </c>
      <c r="I105" s="628">
        <f t="shared" si="19"/>
        <v>2088243.3752014735</v>
      </c>
      <c r="J105" s="504">
        <f t="shared" si="11"/>
        <v>0</v>
      </c>
      <c r="K105" s="504"/>
      <c r="L105" s="512"/>
      <c r="M105" s="504">
        <f t="shared" si="20"/>
        <v>0</v>
      </c>
      <c r="N105" s="512"/>
      <c r="O105" s="504">
        <f t="shared" si="21"/>
        <v>0</v>
      </c>
      <c r="P105" s="504">
        <f t="shared" si="22"/>
        <v>0</v>
      </c>
    </row>
    <row r="106" spans="1:16" ht="12.5">
      <c r="B106" s="145" t="str">
        <f t="shared" si="10"/>
        <v/>
      </c>
      <c r="C106" s="495">
        <f>IF(D94="","-",+C105+1)</f>
        <v>2025</v>
      </c>
      <c r="D106" s="349">
        <f>IF(F105+SUM(E$100:E105)=D$93,F105,D$93-SUM(E$100:E105))</f>
        <v>14270130.833333336</v>
      </c>
      <c r="E106" s="509">
        <f t="shared" si="15"/>
        <v>518913.84848484851</v>
      </c>
      <c r="F106" s="510">
        <f t="shared" si="16"/>
        <v>13751216.984848488</v>
      </c>
      <c r="G106" s="510">
        <f t="shared" si="17"/>
        <v>14010673.909090912</v>
      </c>
      <c r="H106" s="627">
        <f t="shared" si="18"/>
        <v>2032195.8921044511</v>
      </c>
      <c r="I106" s="628">
        <f t="shared" si="19"/>
        <v>2032195.8921044511</v>
      </c>
      <c r="J106" s="504">
        <f t="shared" si="11"/>
        <v>0</v>
      </c>
      <c r="K106" s="504"/>
      <c r="L106" s="512"/>
      <c r="M106" s="504">
        <f t="shared" si="20"/>
        <v>0</v>
      </c>
      <c r="N106" s="512"/>
      <c r="O106" s="504">
        <f t="shared" si="21"/>
        <v>0</v>
      </c>
      <c r="P106" s="504">
        <f t="shared" si="22"/>
        <v>0</v>
      </c>
    </row>
    <row r="107" spans="1:16" ht="12.5">
      <c r="B107" s="145" t="str">
        <f t="shared" si="10"/>
        <v/>
      </c>
      <c r="C107" s="495">
        <f>IF(D94="","-",+C106+1)</f>
        <v>2026</v>
      </c>
      <c r="D107" s="349">
        <f>IF(F106+SUM(E$100:E106)=D$93,F106,D$93-SUM(E$100:E106))</f>
        <v>13751216.984848488</v>
      </c>
      <c r="E107" s="509">
        <f t="shared" si="15"/>
        <v>518913.84848484851</v>
      </c>
      <c r="F107" s="510">
        <f t="shared" si="16"/>
        <v>13232303.13636364</v>
      </c>
      <c r="G107" s="510">
        <f t="shared" si="17"/>
        <v>13491760.060606064</v>
      </c>
      <c r="H107" s="627">
        <f t="shared" si="18"/>
        <v>1976148.4090074287</v>
      </c>
      <c r="I107" s="628">
        <f t="shared" si="19"/>
        <v>1976148.4090074287</v>
      </c>
      <c r="J107" s="504">
        <f t="shared" si="11"/>
        <v>0</v>
      </c>
      <c r="K107" s="504"/>
      <c r="L107" s="512"/>
      <c r="M107" s="504">
        <f t="shared" si="20"/>
        <v>0</v>
      </c>
      <c r="N107" s="512"/>
      <c r="O107" s="504">
        <f t="shared" si="21"/>
        <v>0</v>
      </c>
      <c r="P107" s="504">
        <f t="shared" si="22"/>
        <v>0</v>
      </c>
    </row>
    <row r="108" spans="1:16" ht="12.5">
      <c r="B108" s="145" t="str">
        <f t="shared" si="10"/>
        <v/>
      </c>
      <c r="C108" s="495">
        <f>IF(D94="","-",+C107+1)</f>
        <v>2027</v>
      </c>
      <c r="D108" s="349">
        <f>IF(F107+SUM(E$100:E107)=D$93,F107,D$93-SUM(E$100:E107))</f>
        <v>13232303.13636364</v>
      </c>
      <c r="E108" s="509">
        <f t="shared" si="15"/>
        <v>518913.84848484851</v>
      </c>
      <c r="F108" s="510">
        <f t="shared" si="16"/>
        <v>12713389.287878793</v>
      </c>
      <c r="G108" s="510">
        <f t="shared" si="17"/>
        <v>12972846.212121217</v>
      </c>
      <c r="H108" s="627">
        <f t="shared" si="18"/>
        <v>1920100.9259104067</v>
      </c>
      <c r="I108" s="628">
        <f t="shared" si="19"/>
        <v>1920100.9259104067</v>
      </c>
      <c r="J108" s="504">
        <f t="shared" si="11"/>
        <v>0</v>
      </c>
      <c r="K108" s="504"/>
      <c r="L108" s="512"/>
      <c r="M108" s="504">
        <f t="shared" si="20"/>
        <v>0</v>
      </c>
      <c r="N108" s="512"/>
      <c r="O108" s="504">
        <f t="shared" si="21"/>
        <v>0</v>
      </c>
      <c r="P108" s="504">
        <f t="shared" si="22"/>
        <v>0</v>
      </c>
    </row>
    <row r="109" spans="1:16" ht="12.5">
      <c r="B109" s="145" t="str">
        <f t="shared" si="10"/>
        <v/>
      </c>
      <c r="C109" s="495">
        <f>IF(D94="","-",+C108+1)</f>
        <v>2028</v>
      </c>
      <c r="D109" s="349">
        <f>IF(F108+SUM(E$100:E108)=D$93,F108,D$93-SUM(E$100:E108))</f>
        <v>12713389.287878793</v>
      </c>
      <c r="E109" s="509">
        <f t="shared" si="15"/>
        <v>518913.84848484851</v>
      </c>
      <c r="F109" s="510">
        <f t="shared" si="16"/>
        <v>12194475.439393945</v>
      </c>
      <c r="G109" s="510">
        <f t="shared" si="17"/>
        <v>12453932.363636369</v>
      </c>
      <c r="H109" s="627">
        <f t="shared" si="18"/>
        <v>1864053.4428133843</v>
      </c>
      <c r="I109" s="628">
        <f t="shared" si="19"/>
        <v>1864053.4428133843</v>
      </c>
      <c r="J109" s="504">
        <f t="shared" si="11"/>
        <v>0</v>
      </c>
      <c r="K109" s="504"/>
      <c r="L109" s="512"/>
      <c r="M109" s="504">
        <f t="shared" si="20"/>
        <v>0</v>
      </c>
      <c r="N109" s="512"/>
      <c r="O109" s="504">
        <f t="shared" si="21"/>
        <v>0</v>
      </c>
      <c r="P109" s="504">
        <f t="shared" si="22"/>
        <v>0</v>
      </c>
    </row>
    <row r="110" spans="1:16" ht="12.5">
      <c r="B110" s="145" t="str">
        <f t="shared" si="10"/>
        <v/>
      </c>
      <c r="C110" s="495">
        <f>IF(D94="","-",+C109+1)</f>
        <v>2029</v>
      </c>
      <c r="D110" s="349">
        <f>IF(F109+SUM(E$100:E109)=D$93,F109,D$93-SUM(E$100:E109))</f>
        <v>12194475.439393945</v>
      </c>
      <c r="E110" s="509">
        <f t="shared" si="15"/>
        <v>518913.84848484851</v>
      </c>
      <c r="F110" s="510">
        <f t="shared" si="16"/>
        <v>11675561.590909097</v>
      </c>
      <c r="G110" s="510">
        <f t="shared" si="17"/>
        <v>11935018.515151521</v>
      </c>
      <c r="H110" s="627">
        <f t="shared" si="18"/>
        <v>1808005.9597163624</v>
      </c>
      <c r="I110" s="628">
        <f t="shared" si="19"/>
        <v>1808005.9597163624</v>
      </c>
      <c r="J110" s="504">
        <f t="shared" si="11"/>
        <v>0</v>
      </c>
      <c r="K110" s="504"/>
      <c r="L110" s="512"/>
      <c r="M110" s="504">
        <f t="shared" si="20"/>
        <v>0</v>
      </c>
      <c r="N110" s="512"/>
      <c r="O110" s="504">
        <f t="shared" si="21"/>
        <v>0</v>
      </c>
      <c r="P110" s="504">
        <f t="shared" si="22"/>
        <v>0</v>
      </c>
    </row>
    <row r="111" spans="1:16" ht="12.5">
      <c r="B111" s="145" t="str">
        <f t="shared" si="10"/>
        <v/>
      </c>
      <c r="C111" s="495">
        <f>IF(D94="","-",+C110+1)</f>
        <v>2030</v>
      </c>
      <c r="D111" s="349">
        <f>IF(F110+SUM(E$100:E110)=D$93,F110,D$93-SUM(E$100:E110))</f>
        <v>11675561.590909097</v>
      </c>
      <c r="E111" s="509">
        <f t="shared" si="15"/>
        <v>518913.84848484851</v>
      </c>
      <c r="F111" s="510">
        <f t="shared" si="16"/>
        <v>11156647.74242425</v>
      </c>
      <c r="G111" s="510">
        <f t="shared" si="17"/>
        <v>11416104.666666673</v>
      </c>
      <c r="H111" s="627">
        <f t="shared" si="18"/>
        <v>1751958.47661934</v>
      </c>
      <c r="I111" s="628">
        <f t="shared" si="19"/>
        <v>1751958.47661934</v>
      </c>
      <c r="J111" s="504">
        <f t="shared" si="11"/>
        <v>0</v>
      </c>
      <c r="K111" s="504"/>
      <c r="L111" s="512"/>
      <c r="M111" s="504">
        <f t="shared" si="20"/>
        <v>0</v>
      </c>
      <c r="N111" s="512"/>
      <c r="O111" s="504">
        <f t="shared" si="21"/>
        <v>0</v>
      </c>
      <c r="P111" s="504">
        <f t="shared" si="22"/>
        <v>0</v>
      </c>
    </row>
    <row r="112" spans="1:16" ht="12.5">
      <c r="B112" s="145" t="str">
        <f t="shared" si="10"/>
        <v/>
      </c>
      <c r="C112" s="495">
        <f>IF(D94="","-",+C111+1)</f>
        <v>2031</v>
      </c>
      <c r="D112" s="349">
        <f>IF(F111+SUM(E$100:E111)=D$93,F111,D$93-SUM(E$100:E111))</f>
        <v>11156647.74242425</v>
      </c>
      <c r="E112" s="509">
        <f t="shared" si="15"/>
        <v>518913.84848484851</v>
      </c>
      <c r="F112" s="510">
        <f t="shared" si="16"/>
        <v>10637733.893939402</v>
      </c>
      <c r="G112" s="510">
        <f t="shared" si="17"/>
        <v>10897190.818181826</v>
      </c>
      <c r="H112" s="627">
        <f t="shared" si="18"/>
        <v>1695910.9935223176</v>
      </c>
      <c r="I112" s="628">
        <f t="shared" si="19"/>
        <v>1695910.9935223176</v>
      </c>
      <c r="J112" s="504">
        <f t="shared" si="11"/>
        <v>0</v>
      </c>
      <c r="K112" s="504"/>
      <c r="L112" s="512"/>
      <c r="M112" s="504">
        <f t="shared" si="20"/>
        <v>0</v>
      </c>
      <c r="N112" s="512"/>
      <c r="O112" s="504">
        <f t="shared" si="21"/>
        <v>0</v>
      </c>
      <c r="P112" s="504">
        <f t="shared" si="22"/>
        <v>0</v>
      </c>
    </row>
    <row r="113" spans="2:16" ht="12.5">
      <c r="B113" s="145" t="str">
        <f t="shared" si="10"/>
        <v/>
      </c>
      <c r="C113" s="495">
        <f>IF(D94="","-",+C112+1)</f>
        <v>2032</v>
      </c>
      <c r="D113" s="349">
        <f>IF(F112+SUM(E$100:E112)=D$93,F112,D$93-SUM(E$100:E112))</f>
        <v>10637733.893939402</v>
      </c>
      <c r="E113" s="509">
        <f t="shared" si="15"/>
        <v>518913.84848484851</v>
      </c>
      <c r="F113" s="510">
        <f t="shared" si="16"/>
        <v>10118820.045454554</v>
      </c>
      <c r="G113" s="510">
        <f t="shared" si="17"/>
        <v>10378276.969696978</v>
      </c>
      <c r="H113" s="627">
        <f t="shared" si="18"/>
        <v>1639863.5104252957</v>
      </c>
      <c r="I113" s="628">
        <f t="shared" si="19"/>
        <v>1639863.5104252957</v>
      </c>
      <c r="J113" s="504">
        <f t="shared" si="11"/>
        <v>0</v>
      </c>
      <c r="K113" s="504"/>
      <c r="L113" s="512"/>
      <c r="M113" s="504">
        <f t="shared" si="20"/>
        <v>0</v>
      </c>
      <c r="N113" s="512"/>
      <c r="O113" s="504">
        <f t="shared" si="21"/>
        <v>0</v>
      </c>
      <c r="P113" s="504">
        <f t="shared" si="22"/>
        <v>0</v>
      </c>
    </row>
    <row r="114" spans="2:16" ht="12.5">
      <c r="B114" s="145" t="str">
        <f t="shared" si="10"/>
        <v/>
      </c>
      <c r="C114" s="495">
        <f>IF(D94="","-",+C113+1)</f>
        <v>2033</v>
      </c>
      <c r="D114" s="349">
        <f>IF(F113+SUM(E$100:E113)=D$93,F113,D$93-SUM(E$100:E113))</f>
        <v>10118820.045454554</v>
      </c>
      <c r="E114" s="509">
        <f t="shared" si="15"/>
        <v>518913.84848484851</v>
      </c>
      <c r="F114" s="510">
        <f t="shared" si="16"/>
        <v>9599906.1969697066</v>
      </c>
      <c r="G114" s="510">
        <f t="shared" si="17"/>
        <v>9859363.1212121304</v>
      </c>
      <c r="H114" s="627">
        <f t="shared" si="18"/>
        <v>1583816.0273282733</v>
      </c>
      <c r="I114" s="628">
        <f t="shared" si="19"/>
        <v>1583816.0273282733</v>
      </c>
      <c r="J114" s="504">
        <f t="shared" si="11"/>
        <v>0</v>
      </c>
      <c r="K114" s="504"/>
      <c r="L114" s="512"/>
      <c r="M114" s="504">
        <f t="shared" si="20"/>
        <v>0</v>
      </c>
      <c r="N114" s="512"/>
      <c r="O114" s="504">
        <f t="shared" si="21"/>
        <v>0</v>
      </c>
      <c r="P114" s="504">
        <f t="shared" si="22"/>
        <v>0</v>
      </c>
    </row>
    <row r="115" spans="2:16" ht="12.5">
      <c r="B115" s="145" t="str">
        <f t="shared" si="10"/>
        <v/>
      </c>
      <c r="C115" s="495">
        <f>IF(D94="","-",+C114+1)</f>
        <v>2034</v>
      </c>
      <c r="D115" s="349">
        <f>IF(F114+SUM(E$100:E114)=D$93,F114,D$93-SUM(E$100:E114))</f>
        <v>9599906.1969697066</v>
      </c>
      <c r="E115" s="509">
        <f t="shared" si="15"/>
        <v>518913.84848484851</v>
      </c>
      <c r="F115" s="510">
        <f t="shared" si="16"/>
        <v>9080992.3484848589</v>
      </c>
      <c r="G115" s="510">
        <f t="shared" si="17"/>
        <v>9340449.2727272827</v>
      </c>
      <c r="H115" s="627">
        <f t="shared" si="18"/>
        <v>1527768.5442312511</v>
      </c>
      <c r="I115" s="628">
        <f t="shared" si="19"/>
        <v>1527768.5442312511</v>
      </c>
      <c r="J115" s="504">
        <f t="shared" si="11"/>
        <v>0</v>
      </c>
      <c r="K115" s="504"/>
      <c r="L115" s="512"/>
      <c r="M115" s="504">
        <f t="shared" si="20"/>
        <v>0</v>
      </c>
      <c r="N115" s="512"/>
      <c r="O115" s="504">
        <f t="shared" si="21"/>
        <v>0</v>
      </c>
      <c r="P115" s="504">
        <f t="shared" si="22"/>
        <v>0</v>
      </c>
    </row>
    <row r="116" spans="2:16" ht="12.5">
      <c r="B116" s="145" t="str">
        <f t="shared" si="10"/>
        <v/>
      </c>
      <c r="C116" s="495">
        <f>IF(D94="","-",+C115+1)</f>
        <v>2035</v>
      </c>
      <c r="D116" s="349">
        <f>IF(F115+SUM(E$100:E115)=D$93,F115,D$93-SUM(E$100:E115))</f>
        <v>9080992.3484848589</v>
      </c>
      <c r="E116" s="509">
        <f t="shared" si="15"/>
        <v>518913.84848484851</v>
      </c>
      <c r="F116" s="510">
        <f t="shared" si="16"/>
        <v>8562078.5000000112</v>
      </c>
      <c r="G116" s="510">
        <f t="shared" si="17"/>
        <v>8821535.424242435</v>
      </c>
      <c r="H116" s="627">
        <f t="shared" si="18"/>
        <v>1471721.0611342289</v>
      </c>
      <c r="I116" s="628">
        <f t="shared" si="19"/>
        <v>1471721.0611342289</v>
      </c>
      <c r="J116" s="504">
        <f t="shared" si="11"/>
        <v>0</v>
      </c>
      <c r="K116" s="504"/>
      <c r="L116" s="512"/>
      <c r="M116" s="504">
        <f t="shared" si="20"/>
        <v>0</v>
      </c>
      <c r="N116" s="512"/>
      <c r="O116" s="504">
        <f t="shared" si="21"/>
        <v>0</v>
      </c>
      <c r="P116" s="504">
        <f t="shared" si="22"/>
        <v>0</v>
      </c>
    </row>
    <row r="117" spans="2:16" ht="12.5">
      <c r="B117" s="145" t="str">
        <f t="shared" si="10"/>
        <v/>
      </c>
      <c r="C117" s="495">
        <f>IF(D94="","-",+C116+1)</f>
        <v>2036</v>
      </c>
      <c r="D117" s="349">
        <f>IF(F116+SUM(E$100:E116)=D$93,F116,D$93-SUM(E$100:E116))</f>
        <v>8562078.5000000112</v>
      </c>
      <c r="E117" s="509">
        <f t="shared" si="15"/>
        <v>518913.84848484851</v>
      </c>
      <c r="F117" s="510">
        <f t="shared" si="16"/>
        <v>8043164.6515151625</v>
      </c>
      <c r="G117" s="510">
        <f t="shared" si="17"/>
        <v>8302621.5757575873</v>
      </c>
      <c r="H117" s="627">
        <f t="shared" si="18"/>
        <v>1415673.5780372065</v>
      </c>
      <c r="I117" s="628">
        <f t="shared" si="19"/>
        <v>1415673.5780372065</v>
      </c>
      <c r="J117" s="504">
        <f t="shared" si="11"/>
        <v>0</v>
      </c>
      <c r="K117" s="504"/>
      <c r="L117" s="512"/>
      <c r="M117" s="504">
        <f t="shared" si="20"/>
        <v>0</v>
      </c>
      <c r="N117" s="512"/>
      <c r="O117" s="504">
        <f t="shared" si="21"/>
        <v>0</v>
      </c>
      <c r="P117" s="504">
        <f t="shared" si="22"/>
        <v>0</v>
      </c>
    </row>
    <row r="118" spans="2:16" ht="12.5">
      <c r="B118" s="145" t="str">
        <f t="shared" si="10"/>
        <v/>
      </c>
      <c r="C118" s="495">
        <f>IF(D94="","-",+C117+1)</f>
        <v>2037</v>
      </c>
      <c r="D118" s="349">
        <f>IF(F117+SUM(E$100:E117)=D$93,F117,D$93-SUM(E$100:E117))</f>
        <v>8043164.6515151625</v>
      </c>
      <c r="E118" s="509">
        <f t="shared" si="15"/>
        <v>518913.84848484851</v>
      </c>
      <c r="F118" s="510">
        <f t="shared" si="16"/>
        <v>7524250.8030303139</v>
      </c>
      <c r="G118" s="510">
        <f t="shared" si="17"/>
        <v>7783707.7272727378</v>
      </c>
      <c r="H118" s="627">
        <f t="shared" si="18"/>
        <v>1359626.0949401841</v>
      </c>
      <c r="I118" s="628">
        <f t="shared" si="19"/>
        <v>1359626.0949401841</v>
      </c>
      <c r="J118" s="504">
        <f t="shared" si="11"/>
        <v>0</v>
      </c>
      <c r="K118" s="504"/>
      <c r="L118" s="512"/>
      <c r="M118" s="504">
        <f t="shared" si="20"/>
        <v>0</v>
      </c>
      <c r="N118" s="512"/>
      <c r="O118" s="504">
        <f t="shared" si="21"/>
        <v>0</v>
      </c>
      <c r="P118" s="504">
        <f t="shared" si="22"/>
        <v>0</v>
      </c>
    </row>
    <row r="119" spans="2:16" ht="12.5">
      <c r="B119" s="145" t="str">
        <f t="shared" si="10"/>
        <v/>
      </c>
      <c r="C119" s="495">
        <f>IF(D94="","-",+C118+1)</f>
        <v>2038</v>
      </c>
      <c r="D119" s="349">
        <f>IF(F118+SUM(E$100:E118)=D$93,F118,D$93-SUM(E$100:E118))</f>
        <v>7524250.8030303139</v>
      </c>
      <c r="E119" s="509">
        <f t="shared" si="15"/>
        <v>518913.84848484851</v>
      </c>
      <c r="F119" s="510">
        <f t="shared" si="16"/>
        <v>7005336.9545454653</v>
      </c>
      <c r="G119" s="510">
        <f t="shared" si="17"/>
        <v>7264793.8787878901</v>
      </c>
      <c r="H119" s="627">
        <f t="shared" si="18"/>
        <v>1303578.611843162</v>
      </c>
      <c r="I119" s="628">
        <f t="shared" si="19"/>
        <v>1303578.611843162</v>
      </c>
      <c r="J119" s="504">
        <f t="shared" si="11"/>
        <v>0</v>
      </c>
      <c r="K119" s="504"/>
      <c r="L119" s="512"/>
      <c r="M119" s="504">
        <f t="shared" si="20"/>
        <v>0</v>
      </c>
      <c r="N119" s="512"/>
      <c r="O119" s="504">
        <f t="shared" si="21"/>
        <v>0</v>
      </c>
      <c r="P119" s="504">
        <f t="shared" si="22"/>
        <v>0</v>
      </c>
    </row>
    <row r="120" spans="2:16" ht="12.5">
      <c r="B120" s="145" t="str">
        <f t="shared" si="10"/>
        <v/>
      </c>
      <c r="C120" s="495">
        <f>IF(D94="","-",+C119+1)</f>
        <v>2039</v>
      </c>
      <c r="D120" s="349">
        <f>IF(F119+SUM(E$100:E119)=D$93,F119,D$93-SUM(E$100:E119))</f>
        <v>7005336.9545454653</v>
      </c>
      <c r="E120" s="509">
        <f t="shared" si="15"/>
        <v>518913.84848484851</v>
      </c>
      <c r="F120" s="510">
        <f t="shared" si="16"/>
        <v>6486423.1060606167</v>
      </c>
      <c r="G120" s="510">
        <f t="shared" si="17"/>
        <v>6745880.0303030405</v>
      </c>
      <c r="H120" s="627">
        <f t="shared" si="18"/>
        <v>1247531.1287461396</v>
      </c>
      <c r="I120" s="628">
        <f t="shared" si="19"/>
        <v>1247531.1287461396</v>
      </c>
      <c r="J120" s="504">
        <f t="shared" si="11"/>
        <v>0</v>
      </c>
      <c r="K120" s="504"/>
      <c r="L120" s="512"/>
      <c r="M120" s="504">
        <f t="shared" si="20"/>
        <v>0</v>
      </c>
      <c r="N120" s="512"/>
      <c r="O120" s="504">
        <f t="shared" si="21"/>
        <v>0</v>
      </c>
      <c r="P120" s="504">
        <f t="shared" si="22"/>
        <v>0</v>
      </c>
    </row>
    <row r="121" spans="2:16" ht="12.5">
      <c r="B121" s="145" t="str">
        <f t="shared" si="10"/>
        <v/>
      </c>
      <c r="C121" s="495">
        <f>IF(D94="","-",+C120+1)</f>
        <v>2040</v>
      </c>
      <c r="D121" s="349">
        <f>IF(F120+SUM(E$100:E120)=D$93,F120,D$93-SUM(E$100:E120))</f>
        <v>6486423.1060606167</v>
      </c>
      <c r="E121" s="509">
        <f t="shared" si="15"/>
        <v>518913.84848484851</v>
      </c>
      <c r="F121" s="510">
        <f t="shared" si="16"/>
        <v>5967509.257575768</v>
      </c>
      <c r="G121" s="510">
        <f t="shared" si="17"/>
        <v>6226966.1818181928</v>
      </c>
      <c r="H121" s="627">
        <f t="shared" si="18"/>
        <v>1191483.6456491174</v>
      </c>
      <c r="I121" s="628">
        <f t="shared" si="19"/>
        <v>1191483.6456491174</v>
      </c>
      <c r="J121" s="504">
        <f t="shared" si="11"/>
        <v>0</v>
      </c>
      <c r="K121" s="504"/>
      <c r="L121" s="512"/>
      <c r="M121" s="504">
        <f t="shared" si="20"/>
        <v>0</v>
      </c>
      <c r="N121" s="512"/>
      <c r="O121" s="504">
        <f t="shared" si="21"/>
        <v>0</v>
      </c>
      <c r="P121" s="504">
        <f t="shared" si="22"/>
        <v>0</v>
      </c>
    </row>
    <row r="122" spans="2:16" ht="12.5">
      <c r="B122" s="145" t="str">
        <f t="shared" si="10"/>
        <v/>
      </c>
      <c r="C122" s="495">
        <f>IF(D94="","-",+C121+1)</f>
        <v>2041</v>
      </c>
      <c r="D122" s="349">
        <f>IF(F121+SUM(E$100:E121)=D$93,F121,D$93-SUM(E$100:E121))</f>
        <v>5967509.257575768</v>
      </c>
      <c r="E122" s="509">
        <f t="shared" si="15"/>
        <v>518913.84848484851</v>
      </c>
      <c r="F122" s="510">
        <f t="shared" si="16"/>
        <v>5448595.4090909194</v>
      </c>
      <c r="G122" s="510">
        <f t="shared" si="17"/>
        <v>5708052.3333333433</v>
      </c>
      <c r="H122" s="627">
        <f t="shared" si="18"/>
        <v>1135436.162552095</v>
      </c>
      <c r="I122" s="628">
        <f t="shared" si="19"/>
        <v>1135436.162552095</v>
      </c>
      <c r="J122" s="504">
        <f t="shared" si="11"/>
        <v>0</v>
      </c>
      <c r="K122" s="504"/>
      <c r="L122" s="512"/>
      <c r="M122" s="504">
        <f t="shared" si="20"/>
        <v>0</v>
      </c>
      <c r="N122" s="512"/>
      <c r="O122" s="504">
        <f t="shared" si="21"/>
        <v>0</v>
      </c>
      <c r="P122" s="504">
        <f t="shared" si="22"/>
        <v>0</v>
      </c>
    </row>
    <row r="123" spans="2:16" ht="12.5">
      <c r="B123" s="145" t="str">
        <f t="shared" si="10"/>
        <v/>
      </c>
      <c r="C123" s="495">
        <f>IF(D94="","-",+C122+1)</f>
        <v>2042</v>
      </c>
      <c r="D123" s="349">
        <f>IF(F122+SUM(E$100:E122)=D$93,F122,D$93-SUM(E$100:E122))</f>
        <v>5448595.4090909194</v>
      </c>
      <c r="E123" s="509">
        <f t="shared" si="15"/>
        <v>518913.84848484851</v>
      </c>
      <c r="F123" s="510">
        <f t="shared" si="16"/>
        <v>4929681.5606060708</v>
      </c>
      <c r="G123" s="510">
        <f t="shared" si="17"/>
        <v>5189138.4848484956</v>
      </c>
      <c r="H123" s="627">
        <f t="shared" si="18"/>
        <v>1079388.6794550726</v>
      </c>
      <c r="I123" s="628">
        <f t="shared" si="19"/>
        <v>1079388.6794550726</v>
      </c>
      <c r="J123" s="504">
        <f t="shared" si="11"/>
        <v>0</v>
      </c>
      <c r="K123" s="504"/>
      <c r="L123" s="512"/>
      <c r="M123" s="504">
        <f t="shared" si="20"/>
        <v>0</v>
      </c>
      <c r="N123" s="512"/>
      <c r="O123" s="504">
        <f t="shared" si="21"/>
        <v>0</v>
      </c>
      <c r="P123" s="504">
        <f t="shared" si="22"/>
        <v>0</v>
      </c>
    </row>
    <row r="124" spans="2:16" ht="12.5">
      <c r="B124" s="145" t="str">
        <f t="shared" si="10"/>
        <v/>
      </c>
      <c r="C124" s="495">
        <f>IF(D94="","-",+C123+1)</f>
        <v>2043</v>
      </c>
      <c r="D124" s="349">
        <f>IF(F123+SUM(E$100:E123)=D$93,F123,D$93-SUM(E$100:E123))</f>
        <v>4929681.5606060708</v>
      </c>
      <c r="E124" s="509">
        <f t="shared" si="15"/>
        <v>518913.84848484851</v>
      </c>
      <c r="F124" s="510">
        <f t="shared" si="16"/>
        <v>4410767.7121212222</v>
      </c>
      <c r="G124" s="510">
        <f t="shared" si="17"/>
        <v>4670224.636363646</v>
      </c>
      <c r="H124" s="627">
        <f t="shared" si="18"/>
        <v>1023341.1963580503</v>
      </c>
      <c r="I124" s="628">
        <f t="shared" si="19"/>
        <v>1023341.1963580503</v>
      </c>
      <c r="J124" s="504">
        <f t="shared" si="11"/>
        <v>0</v>
      </c>
      <c r="K124" s="504"/>
      <c r="L124" s="512"/>
      <c r="M124" s="504">
        <f t="shared" si="20"/>
        <v>0</v>
      </c>
      <c r="N124" s="512"/>
      <c r="O124" s="504">
        <f t="shared" si="21"/>
        <v>0</v>
      </c>
      <c r="P124" s="504">
        <f t="shared" si="22"/>
        <v>0</v>
      </c>
    </row>
    <row r="125" spans="2:16" ht="12.5">
      <c r="B125" s="145" t="str">
        <f t="shared" si="10"/>
        <v/>
      </c>
      <c r="C125" s="495">
        <f>IF(D94="","-",+C124+1)</f>
        <v>2044</v>
      </c>
      <c r="D125" s="349">
        <f>IF(F124+SUM(E$100:E124)=D$93,F124,D$93-SUM(E$100:E124))</f>
        <v>4410767.7121212222</v>
      </c>
      <c r="E125" s="509">
        <f t="shared" si="15"/>
        <v>518913.84848484851</v>
      </c>
      <c r="F125" s="510">
        <f t="shared" si="16"/>
        <v>3891853.8636363735</v>
      </c>
      <c r="G125" s="510">
        <f t="shared" si="17"/>
        <v>4151310.7878787979</v>
      </c>
      <c r="H125" s="627">
        <f t="shared" si="18"/>
        <v>967293.71326102805</v>
      </c>
      <c r="I125" s="628">
        <f t="shared" si="19"/>
        <v>967293.71326102805</v>
      </c>
      <c r="J125" s="504">
        <f t="shared" si="11"/>
        <v>0</v>
      </c>
      <c r="K125" s="504"/>
      <c r="L125" s="512"/>
      <c r="M125" s="504">
        <f t="shared" si="20"/>
        <v>0</v>
      </c>
      <c r="N125" s="512"/>
      <c r="O125" s="504">
        <f t="shared" si="21"/>
        <v>0</v>
      </c>
      <c r="P125" s="504">
        <f t="shared" si="22"/>
        <v>0</v>
      </c>
    </row>
    <row r="126" spans="2:16" ht="12.5">
      <c r="B126" s="145" t="str">
        <f t="shared" si="10"/>
        <v/>
      </c>
      <c r="C126" s="495">
        <f>IF(D94="","-",+C125+1)</f>
        <v>2045</v>
      </c>
      <c r="D126" s="349">
        <f>IF(F125+SUM(E$100:E125)=D$93,F125,D$93-SUM(E$100:E125))</f>
        <v>3891853.8636363735</v>
      </c>
      <c r="E126" s="509">
        <f t="shared" si="15"/>
        <v>518913.84848484851</v>
      </c>
      <c r="F126" s="510">
        <f t="shared" si="16"/>
        <v>3372940.0151515249</v>
      </c>
      <c r="G126" s="510">
        <f t="shared" si="17"/>
        <v>3632396.9393939492</v>
      </c>
      <c r="H126" s="627">
        <f t="shared" si="18"/>
        <v>911246.23016400565</v>
      </c>
      <c r="I126" s="628">
        <f t="shared" si="19"/>
        <v>911246.23016400565</v>
      </c>
      <c r="J126" s="504">
        <f t="shared" si="11"/>
        <v>0</v>
      </c>
      <c r="K126" s="504"/>
      <c r="L126" s="512"/>
      <c r="M126" s="504">
        <f t="shared" si="20"/>
        <v>0</v>
      </c>
      <c r="N126" s="512"/>
      <c r="O126" s="504">
        <f t="shared" si="21"/>
        <v>0</v>
      </c>
      <c r="P126" s="504">
        <f t="shared" si="22"/>
        <v>0</v>
      </c>
    </row>
    <row r="127" spans="2:16" ht="12.5">
      <c r="B127" s="145" t="str">
        <f t="shared" si="10"/>
        <v/>
      </c>
      <c r="C127" s="495">
        <f>IF(D94="","-",+C126+1)</f>
        <v>2046</v>
      </c>
      <c r="D127" s="349">
        <f>IF(F126+SUM(E$100:E126)=D$93,F126,D$93-SUM(E$100:E126))</f>
        <v>3372940.0151515249</v>
      </c>
      <c r="E127" s="509">
        <f t="shared" si="15"/>
        <v>518913.84848484851</v>
      </c>
      <c r="F127" s="510">
        <f t="shared" si="16"/>
        <v>2854026.1666666763</v>
      </c>
      <c r="G127" s="510">
        <f t="shared" si="17"/>
        <v>3113483.0909091006</v>
      </c>
      <c r="H127" s="627">
        <f t="shared" si="18"/>
        <v>855198.74706698337</v>
      </c>
      <c r="I127" s="628">
        <f t="shared" si="19"/>
        <v>855198.74706698337</v>
      </c>
      <c r="J127" s="504">
        <f t="shared" si="11"/>
        <v>0</v>
      </c>
      <c r="K127" s="504"/>
      <c r="L127" s="512"/>
      <c r="M127" s="504">
        <f t="shared" si="20"/>
        <v>0</v>
      </c>
      <c r="N127" s="512"/>
      <c r="O127" s="504">
        <f t="shared" si="21"/>
        <v>0</v>
      </c>
      <c r="P127" s="504">
        <f t="shared" si="22"/>
        <v>0</v>
      </c>
    </row>
    <row r="128" spans="2:16" ht="12.5">
      <c r="B128" s="145" t="str">
        <f t="shared" si="10"/>
        <v/>
      </c>
      <c r="C128" s="495">
        <f>IF(D94="","-",+C127+1)</f>
        <v>2047</v>
      </c>
      <c r="D128" s="349">
        <f>IF(F127+SUM(E$100:E127)=D$93,F127,D$93-SUM(E$100:E127))</f>
        <v>2854026.1666666763</v>
      </c>
      <c r="E128" s="509">
        <f t="shared" si="15"/>
        <v>518913.84848484851</v>
      </c>
      <c r="F128" s="510">
        <f t="shared" si="16"/>
        <v>2335112.3181818277</v>
      </c>
      <c r="G128" s="510">
        <f t="shared" si="17"/>
        <v>2594569.242424252</v>
      </c>
      <c r="H128" s="627">
        <f t="shared" si="18"/>
        <v>799151.26396996109</v>
      </c>
      <c r="I128" s="628">
        <f t="shared" si="19"/>
        <v>799151.26396996109</v>
      </c>
      <c r="J128" s="504">
        <f t="shared" si="11"/>
        <v>0</v>
      </c>
      <c r="K128" s="504"/>
      <c r="L128" s="512"/>
      <c r="M128" s="504">
        <f t="shared" si="20"/>
        <v>0</v>
      </c>
      <c r="N128" s="512"/>
      <c r="O128" s="504">
        <f t="shared" si="21"/>
        <v>0</v>
      </c>
      <c r="P128" s="504">
        <f t="shared" si="22"/>
        <v>0</v>
      </c>
    </row>
    <row r="129" spans="2:16" ht="12.5">
      <c r="B129" s="145" t="str">
        <f t="shared" si="10"/>
        <v/>
      </c>
      <c r="C129" s="495">
        <f>IF(D94="","-",+C128+1)</f>
        <v>2048</v>
      </c>
      <c r="D129" s="349">
        <f>IF(F128+SUM(E$100:E128)=D$93,F128,D$93-SUM(E$100:E128))</f>
        <v>2335112.3181818277</v>
      </c>
      <c r="E129" s="509">
        <f t="shared" si="15"/>
        <v>518913.84848484851</v>
      </c>
      <c r="F129" s="510">
        <f t="shared" si="16"/>
        <v>1816198.469696979</v>
      </c>
      <c r="G129" s="510">
        <f t="shared" si="17"/>
        <v>2075655.3939394034</v>
      </c>
      <c r="H129" s="627">
        <f t="shared" si="18"/>
        <v>743103.78087293869</v>
      </c>
      <c r="I129" s="628">
        <f t="shared" si="19"/>
        <v>743103.78087293869</v>
      </c>
      <c r="J129" s="504">
        <f t="shared" si="11"/>
        <v>0</v>
      </c>
      <c r="K129" s="504"/>
      <c r="L129" s="512"/>
      <c r="M129" s="504">
        <f t="shared" si="20"/>
        <v>0</v>
      </c>
      <c r="N129" s="512"/>
      <c r="O129" s="504">
        <f t="shared" si="21"/>
        <v>0</v>
      </c>
      <c r="P129" s="504">
        <f t="shared" si="22"/>
        <v>0</v>
      </c>
    </row>
    <row r="130" spans="2:16" ht="12.5">
      <c r="B130" s="145" t="str">
        <f t="shared" si="10"/>
        <v/>
      </c>
      <c r="C130" s="495">
        <f>IF(D94="","-",+C129+1)</f>
        <v>2049</v>
      </c>
      <c r="D130" s="349">
        <f>IF(F129+SUM(E$100:E129)=D$93,F129,D$93-SUM(E$100:E129))</f>
        <v>1816198.469696979</v>
      </c>
      <c r="E130" s="509">
        <f t="shared" si="15"/>
        <v>518913.84848484851</v>
      </c>
      <c r="F130" s="510">
        <f t="shared" si="16"/>
        <v>1297284.6212121304</v>
      </c>
      <c r="G130" s="510">
        <f t="shared" si="17"/>
        <v>1556741.5454545547</v>
      </c>
      <c r="H130" s="627">
        <f t="shared" si="18"/>
        <v>687056.29777591641</v>
      </c>
      <c r="I130" s="628">
        <f t="shared" si="19"/>
        <v>687056.29777591641</v>
      </c>
      <c r="J130" s="504">
        <f t="shared" si="11"/>
        <v>0</v>
      </c>
      <c r="K130" s="504"/>
      <c r="L130" s="512"/>
      <c r="M130" s="504">
        <f t="shared" si="20"/>
        <v>0</v>
      </c>
      <c r="N130" s="512"/>
      <c r="O130" s="504">
        <f t="shared" si="21"/>
        <v>0</v>
      </c>
      <c r="P130" s="504">
        <f t="shared" si="22"/>
        <v>0</v>
      </c>
    </row>
    <row r="131" spans="2:16" ht="12.5">
      <c r="B131" s="145" t="str">
        <f t="shared" si="10"/>
        <v/>
      </c>
      <c r="C131" s="495">
        <f>IF(D94="","-",+C130+1)</f>
        <v>2050</v>
      </c>
      <c r="D131" s="349">
        <f>IF(F130+SUM(E$100:E130)=D$93,F130,D$93-SUM(E$100:E130))</f>
        <v>1297284.6212121304</v>
      </c>
      <c r="E131" s="509">
        <f t="shared" si="15"/>
        <v>518913.84848484851</v>
      </c>
      <c r="F131" s="510">
        <f t="shared" si="16"/>
        <v>778370.7727272819</v>
      </c>
      <c r="G131" s="510">
        <f t="shared" si="17"/>
        <v>1037827.6969697061</v>
      </c>
      <c r="H131" s="627">
        <f t="shared" si="18"/>
        <v>631008.81467889412</v>
      </c>
      <c r="I131" s="628">
        <f t="shared" si="19"/>
        <v>631008.81467889412</v>
      </c>
      <c r="J131" s="504">
        <f t="shared" si="11"/>
        <v>0</v>
      </c>
      <c r="K131" s="504"/>
      <c r="L131" s="512"/>
      <c r="M131" s="504">
        <f t="shared" si="20"/>
        <v>0</v>
      </c>
      <c r="N131" s="512"/>
      <c r="O131" s="504">
        <f t="shared" si="21"/>
        <v>0</v>
      </c>
      <c r="P131" s="504">
        <f t="shared" si="22"/>
        <v>0</v>
      </c>
    </row>
    <row r="132" spans="2:16" ht="12.5">
      <c r="B132" s="145" t="str">
        <f t="shared" si="10"/>
        <v/>
      </c>
      <c r="C132" s="495">
        <f>IF(D94="","-",+C131+1)</f>
        <v>2051</v>
      </c>
      <c r="D132" s="349">
        <f>IF(F131+SUM(E$100:E131)=D$93,F131,D$93-SUM(E$100:E131))</f>
        <v>778370.7727272819</v>
      </c>
      <c r="E132" s="509">
        <f t="shared" si="15"/>
        <v>518913.84848484851</v>
      </c>
      <c r="F132" s="510">
        <f t="shared" si="16"/>
        <v>259456.92424243339</v>
      </c>
      <c r="G132" s="510">
        <f t="shared" si="17"/>
        <v>518913.84848485765</v>
      </c>
      <c r="H132" s="627">
        <f t="shared" si="18"/>
        <v>574961.33158187184</v>
      </c>
      <c r="I132" s="628">
        <f t="shared" si="19"/>
        <v>574961.33158187184</v>
      </c>
      <c r="J132" s="504">
        <f t="shared" ref="J132:J155" si="23">+I542-H542</f>
        <v>0</v>
      </c>
      <c r="K132" s="504"/>
      <c r="L132" s="512"/>
      <c r="M132" s="504">
        <f t="shared" ref="M132:M155" si="24">IF(L542&lt;&gt;0,+H542-L542,0)</f>
        <v>0</v>
      </c>
      <c r="N132" s="512"/>
      <c r="O132" s="504">
        <f t="shared" ref="O132:O155" si="25">IF(N542&lt;&gt;0,+I542-N542,0)</f>
        <v>0</v>
      </c>
      <c r="P132" s="504">
        <f t="shared" ref="P132:P155" si="26">+O542-M542</f>
        <v>0</v>
      </c>
    </row>
    <row r="133" spans="2:16" ht="12.5">
      <c r="B133" s="145" t="str">
        <f t="shared" si="10"/>
        <v/>
      </c>
      <c r="C133" s="495">
        <f>IF(D94="","-",+C132+1)</f>
        <v>2052</v>
      </c>
      <c r="D133" s="349">
        <f>IF(F132+SUM(E$100:E132)=D$93,F132,D$93-SUM(E$100:E132))</f>
        <v>259456.92424243339</v>
      </c>
      <c r="E133" s="509">
        <f t="shared" si="15"/>
        <v>259456.92424243339</v>
      </c>
      <c r="F133" s="510">
        <f t="shared" si="16"/>
        <v>0</v>
      </c>
      <c r="G133" s="510">
        <f t="shared" si="17"/>
        <v>129728.4621212167</v>
      </c>
      <c r="H133" s="627">
        <f t="shared" si="18"/>
        <v>273468.79501668946</v>
      </c>
      <c r="I133" s="628">
        <f t="shared" si="19"/>
        <v>273468.79501668946</v>
      </c>
      <c r="J133" s="504">
        <f t="shared" si="23"/>
        <v>0</v>
      </c>
      <c r="K133" s="504"/>
      <c r="L133" s="512"/>
      <c r="M133" s="504">
        <f t="shared" si="24"/>
        <v>0</v>
      </c>
      <c r="N133" s="512"/>
      <c r="O133" s="504">
        <f t="shared" si="25"/>
        <v>0</v>
      </c>
      <c r="P133" s="504">
        <f t="shared" si="26"/>
        <v>0</v>
      </c>
    </row>
    <row r="134" spans="2:16" ht="12.5">
      <c r="B134" s="145" t="str">
        <f t="shared" si="10"/>
        <v/>
      </c>
      <c r="C134" s="495">
        <f>IF(D94="","-",+C133+1)</f>
        <v>2053</v>
      </c>
      <c r="D134" s="349">
        <f>IF(F133+SUM(E$100:E133)=D$93,F133,D$93-SUM(E$100:E133))</f>
        <v>0</v>
      </c>
      <c r="E134" s="509">
        <f t="shared" si="15"/>
        <v>0</v>
      </c>
      <c r="F134" s="510">
        <f t="shared" si="16"/>
        <v>0</v>
      </c>
      <c r="G134" s="510">
        <f t="shared" si="17"/>
        <v>0</v>
      </c>
      <c r="H134" s="627">
        <f t="shared" si="18"/>
        <v>0</v>
      </c>
      <c r="I134" s="628">
        <f t="shared" si="19"/>
        <v>0</v>
      </c>
      <c r="J134" s="504">
        <f t="shared" si="23"/>
        <v>0</v>
      </c>
      <c r="K134" s="504"/>
      <c r="L134" s="512"/>
      <c r="M134" s="504">
        <f t="shared" si="24"/>
        <v>0</v>
      </c>
      <c r="N134" s="512"/>
      <c r="O134" s="504">
        <f t="shared" si="25"/>
        <v>0</v>
      </c>
      <c r="P134" s="504">
        <f t="shared" si="26"/>
        <v>0</v>
      </c>
    </row>
    <row r="135" spans="2:16" ht="12.5">
      <c r="B135" s="145" t="str">
        <f t="shared" si="10"/>
        <v/>
      </c>
      <c r="C135" s="495">
        <f>IF(D94="","-",+C134+1)</f>
        <v>2054</v>
      </c>
      <c r="D135" s="349">
        <f>IF(F134+SUM(E$100:E134)=D$93,F134,D$93-SUM(E$100:E134))</f>
        <v>0</v>
      </c>
      <c r="E135" s="509">
        <f t="shared" si="15"/>
        <v>0</v>
      </c>
      <c r="F135" s="510">
        <f t="shared" si="16"/>
        <v>0</v>
      </c>
      <c r="G135" s="510">
        <f t="shared" si="17"/>
        <v>0</v>
      </c>
      <c r="H135" s="627">
        <f t="shared" si="18"/>
        <v>0</v>
      </c>
      <c r="I135" s="628">
        <f t="shared" si="19"/>
        <v>0</v>
      </c>
      <c r="J135" s="504">
        <f t="shared" si="23"/>
        <v>0</v>
      </c>
      <c r="K135" s="504"/>
      <c r="L135" s="512"/>
      <c r="M135" s="504">
        <f t="shared" si="24"/>
        <v>0</v>
      </c>
      <c r="N135" s="512"/>
      <c r="O135" s="504">
        <f t="shared" si="25"/>
        <v>0</v>
      </c>
      <c r="P135" s="504">
        <f t="shared" si="26"/>
        <v>0</v>
      </c>
    </row>
    <row r="136" spans="2:16" ht="12.5">
      <c r="B136" s="145" t="str">
        <f t="shared" si="10"/>
        <v/>
      </c>
      <c r="C136" s="495">
        <f>IF(D94="","-",+C135+1)</f>
        <v>2055</v>
      </c>
      <c r="D136" s="349">
        <f>IF(F135+SUM(E$100:E135)=D$93,F135,D$93-SUM(E$100:E135))</f>
        <v>0</v>
      </c>
      <c r="E136" s="509">
        <f t="shared" si="15"/>
        <v>0</v>
      </c>
      <c r="F136" s="510">
        <f t="shared" si="16"/>
        <v>0</v>
      </c>
      <c r="G136" s="510">
        <f t="shared" si="17"/>
        <v>0</v>
      </c>
      <c r="H136" s="627">
        <f t="shared" si="18"/>
        <v>0</v>
      </c>
      <c r="I136" s="628">
        <f t="shared" si="19"/>
        <v>0</v>
      </c>
      <c r="J136" s="504">
        <f t="shared" si="23"/>
        <v>0</v>
      </c>
      <c r="K136" s="504"/>
      <c r="L136" s="512"/>
      <c r="M136" s="504">
        <f t="shared" si="24"/>
        <v>0</v>
      </c>
      <c r="N136" s="512"/>
      <c r="O136" s="504">
        <f t="shared" si="25"/>
        <v>0</v>
      </c>
      <c r="P136" s="504">
        <f t="shared" si="26"/>
        <v>0</v>
      </c>
    </row>
    <row r="137" spans="2:16" ht="12.5">
      <c r="B137" s="145" t="str">
        <f t="shared" si="10"/>
        <v/>
      </c>
      <c r="C137" s="495">
        <f>IF(D94="","-",+C136+1)</f>
        <v>2056</v>
      </c>
      <c r="D137" s="349">
        <f>IF(F136+SUM(E$100:E136)=D$93,F136,D$93-SUM(E$100:E136))</f>
        <v>0</v>
      </c>
      <c r="E137" s="509">
        <f t="shared" si="15"/>
        <v>0</v>
      </c>
      <c r="F137" s="510">
        <f t="shared" si="16"/>
        <v>0</v>
      </c>
      <c r="G137" s="510">
        <f t="shared" si="17"/>
        <v>0</v>
      </c>
      <c r="H137" s="627">
        <f t="shared" si="18"/>
        <v>0</v>
      </c>
      <c r="I137" s="628">
        <f t="shared" si="19"/>
        <v>0</v>
      </c>
      <c r="J137" s="504">
        <f t="shared" si="23"/>
        <v>0</v>
      </c>
      <c r="K137" s="504"/>
      <c r="L137" s="512"/>
      <c r="M137" s="504">
        <f t="shared" si="24"/>
        <v>0</v>
      </c>
      <c r="N137" s="512"/>
      <c r="O137" s="504">
        <f t="shared" si="25"/>
        <v>0</v>
      </c>
      <c r="P137" s="504">
        <f t="shared" si="26"/>
        <v>0</v>
      </c>
    </row>
    <row r="138" spans="2:16" ht="12.5">
      <c r="B138" s="145" t="str">
        <f t="shared" si="10"/>
        <v/>
      </c>
      <c r="C138" s="495">
        <f>IF(D94="","-",+C137+1)</f>
        <v>2057</v>
      </c>
      <c r="D138" s="349">
        <f>IF(F137+SUM(E$100:E137)=D$93,F137,D$93-SUM(E$100:E137))</f>
        <v>0</v>
      </c>
      <c r="E138" s="509">
        <f t="shared" si="15"/>
        <v>0</v>
      </c>
      <c r="F138" s="510">
        <f t="shared" si="16"/>
        <v>0</v>
      </c>
      <c r="G138" s="510">
        <f t="shared" si="17"/>
        <v>0</v>
      </c>
      <c r="H138" s="627">
        <f t="shared" si="18"/>
        <v>0</v>
      </c>
      <c r="I138" s="628">
        <f t="shared" si="19"/>
        <v>0</v>
      </c>
      <c r="J138" s="504">
        <f t="shared" si="23"/>
        <v>0</v>
      </c>
      <c r="K138" s="504"/>
      <c r="L138" s="512"/>
      <c r="M138" s="504">
        <f t="shared" si="24"/>
        <v>0</v>
      </c>
      <c r="N138" s="512"/>
      <c r="O138" s="504">
        <f t="shared" si="25"/>
        <v>0</v>
      </c>
      <c r="P138" s="504">
        <f t="shared" si="26"/>
        <v>0</v>
      </c>
    </row>
    <row r="139" spans="2:16" ht="12.5">
      <c r="B139" s="145" t="str">
        <f t="shared" si="10"/>
        <v/>
      </c>
      <c r="C139" s="495">
        <f>IF(D94="","-",+C138+1)</f>
        <v>2058</v>
      </c>
      <c r="D139" s="349">
        <f>IF(F138+SUM(E$100:E138)=D$93,F138,D$93-SUM(E$100:E138))</f>
        <v>0</v>
      </c>
      <c r="E139" s="509">
        <f t="shared" si="15"/>
        <v>0</v>
      </c>
      <c r="F139" s="510">
        <f t="shared" si="16"/>
        <v>0</v>
      </c>
      <c r="G139" s="510">
        <f t="shared" si="17"/>
        <v>0</v>
      </c>
      <c r="H139" s="627">
        <f t="shared" si="18"/>
        <v>0</v>
      </c>
      <c r="I139" s="628">
        <f t="shared" si="19"/>
        <v>0</v>
      </c>
      <c r="J139" s="504">
        <f t="shared" si="23"/>
        <v>0</v>
      </c>
      <c r="K139" s="504"/>
      <c r="L139" s="512"/>
      <c r="M139" s="504">
        <f t="shared" si="24"/>
        <v>0</v>
      </c>
      <c r="N139" s="512"/>
      <c r="O139" s="504">
        <f t="shared" si="25"/>
        <v>0</v>
      </c>
      <c r="P139" s="504">
        <f t="shared" si="26"/>
        <v>0</v>
      </c>
    </row>
    <row r="140" spans="2:16" ht="12.5">
      <c r="B140" s="145" t="str">
        <f t="shared" si="10"/>
        <v/>
      </c>
      <c r="C140" s="495">
        <f>IF(D94="","-",+C139+1)</f>
        <v>2059</v>
      </c>
      <c r="D140" s="349">
        <f>IF(F139+SUM(E$100:E139)=D$93,F139,D$93-SUM(E$100:E139))</f>
        <v>0</v>
      </c>
      <c r="E140" s="509">
        <f t="shared" si="15"/>
        <v>0</v>
      </c>
      <c r="F140" s="510">
        <f t="shared" si="16"/>
        <v>0</v>
      </c>
      <c r="G140" s="510">
        <f t="shared" si="17"/>
        <v>0</v>
      </c>
      <c r="H140" s="627">
        <f t="shared" si="18"/>
        <v>0</v>
      </c>
      <c r="I140" s="628">
        <f t="shared" si="19"/>
        <v>0</v>
      </c>
      <c r="J140" s="504">
        <f t="shared" si="23"/>
        <v>0</v>
      </c>
      <c r="K140" s="504"/>
      <c r="L140" s="512"/>
      <c r="M140" s="504">
        <f t="shared" si="24"/>
        <v>0</v>
      </c>
      <c r="N140" s="512"/>
      <c r="O140" s="504">
        <f t="shared" si="25"/>
        <v>0</v>
      </c>
      <c r="P140" s="504">
        <f t="shared" si="26"/>
        <v>0</v>
      </c>
    </row>
    <row r="141" spans="2:16" ht="12.5">
      <c r="B141" s="145" t="str">
        <f t="shared" si="10"/>
        <v/>
      </c>
      <c r="C141" s="495">
        <f>IF(D94="","-",+C140+1)</f>
        <v>2060</v>
      </c>
      <c r="D141" s="349">
        <f>IF(F140+SUM(E$100:E140)=D$93,F140,D$93-SUM(E$100:E140))</f>
        <v>0</v>
      </c>
      <c r="E141" s="509">
        <f t="shared" si="15"/>
        <v>0</v>
      </c>
      <c r="F141" s="510">
        <f t="shared" si="16"/>
        <v>0</v>
      </c>
      <c r="G141" s="510">
        <f t="shared" si="17"/>
        <v>0</v>
      </c>
      <c r="H141" s="627">
        <f t="shared" si="18"/>
        <v>0</v>
      </c>
      <c r="I141" s="628">
        <f t="shared" si="19"/>
        <v>0</v>
      </c>
      <c r="J141" s="504">
        <f t="shared" si="23"/>
        <v>0</v>
      </c>
      <c r="K141" s="504"/>
      <c r="L141" s="512"/>
      <c r="M141" s="504">
        <f t="shared" si="24"/>
        <v>0</v>
      </c>
      <c r="N141" s="512"/>
      <c r="O141" s="504">
        <f t="shared" si="25"/>
        <v>0</v>
      </c>
      <c r="P141" s="504">
        <f t="shared" si="26"/>
        <v>0</v>
      </c>
    </row>
    <row r="142" spans="2:16" ht="12.5">
      <c r="B142" s="145" t="str">
        <f t="shared" si="10"/>
        <v/>
      </c>
      <c r="C142" s="495">
        <f>IF(D94="","-",+C141+1)</f>
        <v>2061</v>
      </c>
      <c r="D142" s="349">
        <f>IF(F141+SUM(E$100:E141)=D$93,F141,D$93-SUM(E$100:E141))</f>
        <v>0</v>
      </c>
      <c r="E142" s="509">
        <f t="shared" si="15"/>
        <v>0</v>
      </c>
      <c r="F142" s="510">
        <f t="shared" si="16"/>
        <v>0</v>
      </c>
      <c r="G142" s="510">
        <f t="shared" si="17"/>
        <v>0</v>
      </c>
      <c r="H142" s="627">
        <f t="shared" si="18"/>
        <v>0</v>
      </c>
      <c r="I142" s="628">
        <f t="shared" si="19"/>
        <v>0</v>
      </c>
      <c r="J142" s="504">
        <f t="shared" si="23"/>
        <v>0</v>
      </c>
      <c r="K142" s="504"/>
      <c r="L142" s="512"/>
      <c r="M142" s="504">
        <f t="shared" si="24"/>
        <v>0</v>
      </c>
      <c r="N142" s="512"/>
      <c r="O142" s="504">
        <f t="shared" si="25"/>
        <v>0</v>
      </c>
      <c r="P142" s="504">
        <f t="shared" si="26"/>
        <v>0</v>
      </c>
    </row>
    <row r="143" spans="2:16" ht="12.5">
      <c r="B143" s="145" t="str">
        <f t="shared" si="10"/>
        <v/>
      </c>
      <c r="C143" s="495">
        <f>IF(D94="","-",+C142+1)</f>
        <v>2062</v>
      </c>
      <c r="D143" s="349">
        <f>IF(F142+SUM(E$100:E142)=D$93,F142,D$93-SUM(E$100:E142))</f>
        <v>0</v>
      </c>
      <c r="E143" s="509">
        <f t="shared" si="15"/>
        <v>0</v>
      </c>
      <c r="F143" s="510">
        <f t="shared" si="16"/>
        <v>0</v>
      </c>
      <c r="G143" s="510">
        <f t="shared" si="17"/>
        <v>0</v>
      </c>
      <c r="H143" s="627">
        <f t="shared" si="18"/>
        <v>0</v>
      </c>
      <c r="I143" s="628">
        <f t="shared" si="19"/>
        <v>0</v>
      </c>
      <c r="J143" s="504">
        <f t="shared" si="23"/>
        <v>0</v>
      </c>
      <c r="K143" s="504"/>
      <c r="L143" s="512"/>
      <c r="M143" s="504">
        <f t="shared" si="24"/>
        <v>0</v>
      </c>
      <c r="N143" s="512"/>
      <c r="O143" s="504">
        <f t="shared" si="25"/>
        <v>0</v>
      </c>
      <c r="P143" s="504">
        <f t="shared" si="26"/>
        <v>0</v>
      </c>
    </row>
    <row r="144" spans="2:16" ht="12.5">
      <c r="B144" s="145" t="str">
        <f t="shared" si="10"/>
        <v/>
      </c>
      <c r="C144" s="495">
        <f>IF(D94="","-",+C143+1)</f>
        <v>2063</v>
      </c>
      <c r="D144" s="349">
        <f>IF(F143+SUM(E$100:E143)=D$93,F143,D$93-SUM(E$100:E143))</f>
        <v>0</v>
      </c>
      <c r="E144" s="509">
        <f t="shared" si="15"/>
        <v>0</v>
      </c>
      <c r="F144" s="510">
        <f t="shared" si="16"/>
        <v>0</v>
      </c>
      <c r="G144" s="510">
        <f t="shared" si="17"/>
        <v>0</v>
      </c>
      <c r="H144" s="627">
        <f t="shared" si="18"/>
        <v>0</v>
      </c>
      <c r="I144" s="628">
        <f t="shared" si="19"/>
        <v>0</v>
      </c>
      <c r="J144" s="504">
        <f t="shared" si="23"/>
        <v>0</v>
      </c>
      <c r="K144" s="504"/>
      <c r="L144" s="512"/>
      <c r="M144" s="504">
        <f t="shared" si="24"/>
        <v>0</v>
      </c>
      <c r="N144" s="512"/>
      <c r="O144" s="504">
        <f t="shared" si="25"/>
        <v>0</v>
      </c>
      <c r="P144" s="504">
        <f t="shared" si="26"/>
        <v>0</v>
      </c>
    </row>
    <row r="145" spans="2:16" ht="12.5">
      <c r="B145" s="145" t="str">
        <f t="shared" si="10"/>
        <v/>
      </c>
      <c r="C145" s="495">
        <f>IF(D94="","-",+C144+1)</f>
        <v>2064</v>
      </c>
      <c r="D145" s="349">
        <f>IF(F144+SUM(E$100:E144)=D$93,F144,D$93-SUM(E$100:E144))</f>
        <v>0</v>
      </c>
      <c r="E145" s="509">
        <f t="shared" si="15"/>
        <v>0</v>
      </c>
      <c r="F145" s="510">
        <f t="shared" si="16"/>
        <v>0</v>
      </c>
      <c r="G145" s="510">
        <f t="shared" si="17"/>
        <v>0</v>
      </c>
      <c r="H145" s="627">
        <f t="shared" si="18"/>
        <v>0</v>
      </c>
      <c r="I145" s="628">
        <f t="shared" si="19"/>
        <v>0</v>
      </c>
      <c r="J145" s="504">
        <f t="shared" si="23"/>
        <v>0</v>
      </c>
      <c r="K145" s="504"/>
      <c r="L145" s="512"/>
      <c r="M145" s="504">
        <f t="shared" si="24"/>
        <v>0</v>
      </c>
      <c r="N145" s="512"/>
      <c r="O145" s="504">
        <f t="shared" si="25"/>
        <v>0</v>
      </c>
      <c r="P145" s="504">
        <f t="shared" si="26"/>
        <v>0</v>
      </c>
    </row>
    <row r="146" spans="2:16" ht="12.5">
      <c r="B146" s="145" t="str">
        <f t="shared" si="10"/>
        <v/>
      </c>
      <c r="C146" s="495">
        <f>IF(D94="","-",+C145+1)</f>
        <v>2065</v>
      </c>
      <c r="D146" s="349">
        <f>IF(F145+SUM(E$100:E145)=D$93,F145,D$93-SUM(E$100:E145))</f>
        <v>0</v>
      </c>
      <c r="E146" s="509">
        <f t="shared" si="15"/>
        <v>0</v>
      </c>
      <c r="F146" s="510">
        <f t="shared" si="16"/>
        <v>0</v>
      </c>
      <c r="G146" s="510">
        <f t="shared" si="17"/>
        <v>0</v>
      </c>
      <c r="H146" s="627">
        <f t="shared" si="18"/>
        <v>0</v>
      </c>
      <c r="I146" s="628">
        <f t="shared" si="19"/>
        <v>0</v>
      </c>
      <c r="J146" s="504">
        <f t="shared" si="23"/>
        <v>0</v>
      </c>
      <c r="K146" s="504"/>
      <c r="L146" s="512"/>
      <c r="M146" s="504">
        <f t="shared" si="24"/>
        <v>0</v>
      </c>
      <c r="N146" s="512"/>
      <c r="O146" s="504">
        <f t="shared" si="25"/>
        <v>0</v>
      </c>
      <c r="P146" s="504">
        <f t="shared" si="26"/>
        <v>0</v>
      </c>
    </row>
    <row r="147" spans="2:16" ht="12.5">
      <c r="B147" s="145" t="str">
        <f t="shared" si="10"/>
        <v/>
      </c>
      <c r="C147" s="495">
        <f>IF(D94="","-",+C146+1)</f>
        <v>2066</v>
      </c>
      <c r="D147" s="349">
        <f>IF(F146+SUM(E$100:E146)=D$93,F146,D$93-SUM(E$100:E146))</f>
        <v>0</v>
      </c>
      <c r="E147" s="509">
        <f t="shared" si="15"/>
        <v>0</v>
      </c>
      <c r="F147" s="510">
        <f t="shared" si="16"/>
        <v>0</v>
      </c>
      <c r="G147" s="510">
        <f t="shared" si="17"/>
        <v>0</v>
      </c>
      <c r="H147" s="627">
        <f t="shared" si="18"/>
        <v>0</v>
      </c>
      <c r="I147" s="628">
        <f t="shared" si="19"/>
        <v>0</v>
      </c>
      <c r="J147" s="504">
        <f t="shared" si="23"/>
        <v>0</v>
      </c>
      <c r="K147" s="504"/>
      <c r="L147" s="512"/>
      <c r="M147" s="504">
        <f t="shared" si="24"/>
        <v>0</v>
      </c>
      <c r="N147" s="512"/>
      <c r="O147" s="504">
        <f t="shared" si="25"/>
        <v>0</v>
      </c>
      <c r="P147" s="504">
        <f t="shared" si="26"/>
        <v>0</v>
      </c>
    </row>
    <row r="148" spans="2:16" ht="12.5">
      <c r="B148" s="145" t="str">
        <f t="shared" si="10"/>
        <v/>
      </c>
      <c r="C148" s="495">
        <f>IF(D94="","-",+C147+1)</f>
        <v>2067</v>
      </c>
      <c r="D148" s="349">
        <f>IF(F147+SUM(E$100:E147)=D$93,F147,D$93-SUM(E$100:E147))</f>
        <v>0</v>
      </c>
      <c r="E148" s="509">
        <f t="shared" si="15"/>
        <v>0</v>
      </c>
      <c r="F148" s="510">
        <f t="shared" si="16"/>
        <v>0</v>
      </c>
      <c r="G148" s="510">
        <f t="shared" si="17"/>
        <v>0</v>
      </c>
      <c r="H148" s="627">
        <f t="shared" si="18"/>
        <v>0</v>
      </c>
      <c r="I148" s="628">
        <f t="shared" si="19"/>
        <v>0</v>
      </c>
      <c r="J148" s="504">
        <f t="shared" si="23"/>
        <v>0</v>
      </c>
      <c r="K148" s="504"/>
      <c r="L148" s="512"/>
      <c r="M148" s="504">
        <f t="shared" si="24"/>
        <v>0</v>
      </c>
      <c r="N148" s="512"/>
      <c r="O148" s="504">
        <f t="shared" si="25"/>
        <v>0</v>
      </c>
      <c r="P148" s="504">
        <f t="shared" si="26"/>
        <v>0</v>
      </c>
    </row>
    <row r="149" spans="2:16" ht="12.5">
      <c r="B149" s="145" t="str">
        <f t="shared" si="10"/>
        <v/>
      </c>
      <c r="C149" s="495">
        <f>IF(D94="","-",+C148+1)</f>
        <v>2068</v>
      </c>
      <c r="D149" s="349">
        <f>IF(F148+SUM(E$100:E148)=D$93,F148,D$93-SUM(E$100:E148))</f>
        <v>0</v>
      </c>
      <c r="E149" s="509">
        <f t="shared" si="15"/>
        <v>0</v>
      </c>
      <c r="F149" s="510">
        <f t="shared" si="16"/>
        <v>0</v>
      </c>
      <c r="G149" s="510">
        <f t="shared" si="17"/>
        <v>0</v>
      </c>
      <c r="H149" s="627">
        <f t="shared" si="18"/>
        <v>0</v>
      </c>
      <c r="I149" s="628">
        <f t="shared" si="19"/>
        <v>0</v>
      </c>
      <c r="J149" s="504">
        <f t="shared" si="23"/>
        <v>0</v>
      </c>
      <c r="K149" s="504"/>
      <c r="L149" s="512"/>
      <c r="M149" s="504">
        <f t="shared" si="24"/>
        <v>0</v>
      </c>
      <c r="N149" s="512"/>
      <c r="O149" s="504">
        <f t="shared" si="25"/>
        <v>0</v>
      </c>
      <c r="P149" s="504">
        <f t="shared" si="26"/>
        <v>0</v>
      </c>
    </row>
    <row r="150" spans="2:16" ht="12.5">
      <c r="B150" s="145" t="str">
        <f t="shared" si="10"/>
        <v/>
      </c>
      <c r="C150" s="495">
        <f>IF(D94="","-",+C149+1)</f>
        <v>2069</v>
      </c>
      <c r="D150" s="349">
        <f>IF(F149+SUM(E$100:E149)=D$93,F149,D$93-SUM(E$100:E149))</f>
        <v>0</v>
      </c>
      <c r="E150" s="509">
        <f t="shared" si="15"/>
        <v>0</v>
      </c>
      <c r="F150" s="510">
        <f t="shared" si="16"/>
        <v>0</v>
      </c>
      <c r="G150" s="510">
        <f t="shared" si="17"/>
        <v>0</v>
      </c>
      <c r="H150" s="627">
        <f t="shared" si="18"/>
        <v>0</v>
      </c>
      <c r="I150" s="628">
        <f t="shared" si="19"/>
        <v>0</v>
      </c>
      <c r="J150" s="504">
        <f t="shared" si="23"/>
        <v>0</v>
      </c>
      <c r="K150" s="504"/>
      <c r="L150" s="512"/>
      <c r="M150" s="504">
        <f t="shared" si="24"/>
        <v>0</v>
      </c>
      <c r="N150" s="512"/>
      <c r="O150" s="504">
        <f t="shared" si="25"/>
        <v>0</v>
      </c>
      <c r="P150" s="504">
        <f t="shared" si="26"/>
        <v>0</v>
      </c>
    </row>
    <row r="151" spans="2:16" ht="12.5">
      <c r="B151" s="145" t="str">
        <f t="shared" si="10"/>
        <v/>
      </c>
      <c r="C151" s="495">
        <f>IF(D94="","-",+C150+1)</f>
        <v>2070</v>
      </c>
      <c r="D151" s="349">
        <f>IF(F150+SUM(E$100:E150)=D$93,F150,D$93-SUM(E$100:E150))</f>
        <v>0</v>
      </c>
      <c r="E151" s="509">
        <f t="shared" si="15"/>
        <v>0</v>
      </c>
      <c r="F151" s="510">
        <f t="shared" si="16"/>
        <v>0</v>
      </c>
      <c r="G151" s="510">
        <f t="shared" si="17"/>
        <v>0</v>
      </c>
      <c r="H151" s="627">
        <f t="shared" si="18"/>
        <v>0</v>
      </c>
      <c r="I151" s="628">
        <f t="shared" si="19"/>
        <v>0</v>
      </c>
      <c r="J151" s="504">
        <f t="shared" si="23"/>
        <v>0</v>
      </c>
      <c r="K151" s="504"/>
      <c r="L151" s="512"/>
      <c r="M151" s="504">
        <f t="shared" si="24"/>
        <v>0</v>
      </c>
      <c r="N151" s="512"/>
      <c r="O151" s="504">
        <f t="shared" si="25"/>
        <v>0</v>
      </c>
      <c r="P151" s="504">
        <f t="shared" si="26"/>
        <v>0</v>
      </c>
    </row>
    <row r="152" spans="2:16" ht="12.5">
      <c r="B152" s="145" t="str">
        <f t="shared" si="10"/>
        <v/>
      </c>
      <c r="C152" s="495">
        <f>IF(D94="","-",+C151+1)</f>
        <v>2071</v>
      </c>
      <c r="D152" s="349">
        <f>IF(F151+SUM(E$100:E151)=D$93,F151,D$93-SUM(E$100:E151))</f>
        <v>0</v>
      </c>
      <c r="E152" s="509">
        <f t="shared" si="15"/>
        <v>0</v>
      </c>
      <c r="F152" s="510">
        <f t="shared" si="16"/>
        <v>0</v>
      </c>
      <c r="G152" s="510">
        <f t="shared" si="17"/>
        <v>0</v>
      </c>
      <c r="H152" s="627">
        <f t="shared" si="18"/>
        <v>0</v>
      </c>
      <c r="I152" s="628">
        <f t="shared" si="19"/>
        <v>0</v>
      </c>
      <c r="J152" s="504">
        <f t="shared" si="23"/>
        <v>0</v>
      </c>
      <c r="K152" s="504"/>
      <c r="L152" s="512"/>
      <c r="M152" s="504">
        <f t="shared" si="24"/>
        <v>0</v>
      </c>
      <c r="N152" s="512"/>
      <c r="O152" s="504">
        <f t="shared" si="25"/>
        <v>0</v>
      </c>
      <c r="P152" s="504">
        <f t="shared" si="26"/>
        <v>0</v>
      </c>
    </row>
    <row r="153" spans="2:16" ht="12.5">
      <c r="B153" s="145" t="str">
        <f t="shared" si="10"/>
        <v/>
      </c>
      <c r="C153" s="495">
        <f>IF(D94="","-",+C152+1)</f>
        <v>2072</v>
      </c>
      <c r="D153" s="349">
        <f>IF(F152+SUM(E$100:E152)=D$93,F152,D$93-SUM(E$100:E152))</f>
        <v>0</v>
      </c>
      <c r="E153" s="509">
        <f t="shared" si="15"/>
        <v>0</v>
      </c>
      <c r="F153" s="510">
        <f t="shared" si="16"/>
        <v>0</v>
      </c>
      <c r="G153" s="510">
        <f t="shared" si="17"/>
        <v>0</v>
      </c>
      <c r="H153" s="627">
        <f t="shared" si="18"/>
        <v>0</v>
      </c>
      <c r="I153" s="628">
        <f t="shared" si="19"/>
        <v>0</v>
      </c>
      <c r="J153" s="504">
        <f t="shared" si="23"/>
        <v>0</v>
      </c>
      <c r="K153" s="504"/>
      <c r="L153" s="512"/>
      <c r="M153" s="504">
        <f t="shared" si="24"/>
        <v>0</v>
      </c>
      <c r="N153" s="512"/>
      <c r="O153" s="504">
        <f t="shared" si="25"/>
        <v>0</v>
      </c>
      <c r="P153" s="504">
        <f t="shared" si="26"/>
        <v>0</v>
      </c>
    </row>
    <row r="154" spans="2:16" ht="12.5">
      <c r="B154" s="145" t="str">
        <f t="shared" si="10"/>
        <v/>
      </c>
      <c r="C154" s="495">
        <f>IF(D94="","-",+C153+1)</f>
        <v>2073</v>
      </c>
      <c r="D154" s="349">
        <f>IF(F153+SUM(E$100:E153)=D$93,F153,D$93-SUM(E$100:E153))</f>
        <v>0</v>
      </c>
      <c r="E154" s="509">
        <f t="shared" si="15"/>
        <v>0</v>
      </c>
      <c r="F154" s="510">
        <f t="shared" si="16"/>
        <v>0</v>
      </c>
      <c r="G154" s="510">
        <f t="shared" si="17"/>
        <v>0</v>
      </c>
      <c r="H154" s="627">
        <f t="shared" si="18"/>
        <v>0</v>
      </c>
      <c r="I154" s="628">
        <f t="shared" si="19"/>
        <v>0</v>
      </c>
      <c r="J154" s="504">
        <f t="shared" si="23"/>
        <v>0</v>
      </c>
      <c r="K154" s="504"/>
      <c r="L154" s="512"/>
      <c r="M154" s="504">
        <f t="shared" si="24"/>
        <v>0</v>
      </c>
      <c r="N154" s="512"/>
      <c r="O154" s="504">
        <f t="shared" si="25"/>
        <v>0</v>
      </c>
      <c r="P154" s="504">
        <f t="shared" si="26"/>
        <v>0</v>
      </c>
    </row>
    <row r="155" spans="2:16" ht="13" thickBot="1">
      <c r="B155" s="145" t="str">
        <f t="shared" si="10"/>
        <v/>
      </c>
      <c r="C155" s="524">
        <f>IF(D94="","-",+C154+1)</f>
        <v>2074</v>
      </c>
      <c r="D155" s="638">
        <f>IF(F154+SUM(E$100:E154)=D$93,F154,D$93-SUM(E$100:E154))</f>
        <v>0</v>
      </c>
      <c r="E155" s="526">
        <f t="shared" si="15"/>
        <v>0</v>
      </c>
      <c r="F155" s="527">
        <f t="shared" si="16"/>
        <v>0</v>
      </c>
      <c r="G155" s="527">
        <f t="shared" si="17"/>
        <v>0</v>
      </c>
      <c r="H155" s="623">
        <f t="shared" si="18"/>
        <v>0</v>
      </c>
      <c r="I155" s="624">
        <f t="shared" si="19"/>
        <v>0</v>
      </c>
      <c r="J155" s="531">
        <f t="shared" si="23"/>
        <v>0</v>
      </c>
      <c r="K155" s="504"/>
      <c r="L155" s="530"/>
      <c r="M155" s="531">
        <f t="shared" si="24"/>
        <v>0</v>
      </c>
      <c r="N155" s="530"/>
      <c r="O155" s="531">
        <f t="shared" si="25"/>
        <v>0</v>
      </c>
      <c r="P155" s="531">
        <f t="shared" si="26"/>
        <v>0</v>
      </c>
    </row>
    <row r="156" spans="2:16" ht="12.5">
      <c r="C156" s="349" t="s">
        <v>75</v>
      </c>
      <c r="D156" s="294"/>
      <c r="E156" s="294">
        <f>SUM(E100:E155)</f>
        <v>17124157</v>
      </c>
      <c r="F156" s="294"/>
      <c r="G156" s="294"/>
      <c r="H156" s="294">
        <f>SUM(H100:H155)</f>
        <v>47642011.546328679</v>
      </c>
      <c r="I156" s="294">
        <f>SUM(I100:I155)</f>
        <v>47642011.546328679</v>
      </c>
      <c r="J156" s="294">
        <f>SUM(J100:J155)</f>
        <v>0</v>
      </c>
      <c r="K156" s="294"/>
      <c r="L156" s="294"/>
      <c r="M156" s="294"/>
      <c r="N156" s="294"/>
      <c r="O156" s="294"/>
      <c r="P156" s="243"/>
    </row>
    <row r="157" spans="2:16" ht="12.5">
      <c r="C157" s="145" t="s">
        <v>90</v>
      </c>
      <c r="D157" s="292"/>
      <c r="E157" s="243"/>
      <c r="F157" s="243"/>
      <c r="G157" s="243"/>
      <c r="H157" s="243"/>
      <c r="I157" s="325"/>
      <c r="J157" s="325"/>
      <c r="K157" s="294"/>
      <c r="L157" s="325"/>
      <c r="M157" s="325"/>
      <c r="N157" s="325"/>
      <c r="O157" s="325"/>
      <c r="P157" s="243"/>
    </row>
    <row r="158" spans="2:16" ht="12.5">
      <c r="C158" s="574"/>
      <c r="D158" s="292"/>
      <c r="E158" s="243"/>
      <c r="F158" s="243"/>
      <c r="G158" s="243"/>
      <c r="H158" s="243"/>
      <c r="I158" s="325"/>
      <c r="J158" s="325"/>
      <c r="K158" s="294"/>
      <c r="L158" s="325"/>
      <c r="M158" s="325"/>
      <c r="N158" s="325"/>
      <c r="O158" s="325"/>
      <c r="P158" s="243"/>
    </row>
    <row r="159" spans="2:16" ht="13">
      <c r="C159" s="619" t="s">
        <v>130</v>
      </c>
      <c r="D159" s="292"/>
      <c r="E159" s="243"/>
      <c r="F159" s="243"/>
      <c r="G159" s="243"/>
      <c r="H159" s="243"/>
      <c r="I159" s="325"/>
      <c r="J159" s="325"/>
      <c r="K159" s="294"/>
      <c r="L159" s="325"/>
      <c r="M159" s="325"/>
      <c r="N159" s="325"/>
      <c r="O159" s="325"/>
      <c r="P159" s="243"/>
    </row>
    <row r="160" spans="2:16" ht="13">
      <c r="C160" s="454" t="s">
        <v>76</v>
      </c>
      <c r="D160" s="349"/>
      <c r="E160" s="349"/>
      <c r="F160" s="349"/>
      <c r="G160" s="349"/>
      <c r="H160" s="294"/>
      <c r="I160" s="294"/>
      <c r="J160" s="350"/>
      <c r="K160" s="350"/>
      <c r="L160" s="350"/>
      <c r="M160" s="350"/>
      <c r="N160" s="350"/>
      <c r="O160" s="350"/>
      <c r="P160" s="243"/>
    </row>
    <row r="161" spans="3:16" ht="13">
      <c r="C161" s="575" t="s">
        <v>77</v>
      </c>
      <c r="D161" s="349"/>
      <c r="E161" s="349"/>
      <c r="F161" s="349"/>
      <c r="G161" s="349"/>
      <c r="H161" s="294"/>
      <c r="I161" s="294"/>
      <c r="J161" s="350"/>
      <c r="K161" s="350"/>
      <c r="L161" s="350"/>
      <c r="M161" s="350"/>
      <c r="N161" s="350"/>
      <c r="O161" s="350"/>
      <c r="P161" s="243"/>
    </row>
    <row r="162" spans="3:16" ht="13">
      <c r="C162" s="575"/>
      <c r="D162" s="349"/>
      <c r="E162" s="349"/>
      <c r="F162" s="349"/>
      <c r="G162" s="349"/>
      <c r="H162" s="294"/>
      <c r="I162" s="294"/>
      <c r="J162" s="350"/>
      <c r="K162" s="350"/>
      <c r="L162" s="350"/>
      <c r="M162" s="350"/>
      <c r="N162" s="350"/>
      <c r="O162" s="350"/>
      <c r="P162" s="243"/>
    </row>
    <row r="163" spans="3:16" ht="17.5">
      <c r="C163" s="575"/>
      <c r="D163" s="349"/>
      <c r="E163" s="349"/>
      <c r="F163" s="349"/>
      <c r="G163" s="349"/>
      <c r="H163" s="294"/>
      <c r="I163" s="294"/>
      <c r="J163" s="350"/>
      <c r="K163" s="350"/>
      <c r="L163" s="350"/>
      <c r="M163" s="350"/>
      <c r="N163" s="350"/>
      <c r="P163" s="583" t="s">
        <v>129</v>
      </c>
    </row>
  </sheetData>
  <conditionalFormatting sqref="C17:C71 C73">
    <cfRule type="cellIs" dxfId="8" priority="2" stopIfTrue="1" operator="equal">
      <formula>$I$10</formula>
    </cfRule>
  </conditionalFormatting>
  <conditionalFormatting sqref="C100:C155">
    <cfRule type="cellIs" dxfId="7" priority="3" stopIfTrue="1" operator="equal">
      <formula>$J$93</formula>
    </cfRule>
  </conditionalFormatting>
  <conditionalFormatting sqref="C72">
    <cfRule type="cellIs" dxfId="6"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zoomScale="80" zoomScaleNormal="80" workbookViewId="0">
      <selection activeCell="E9" sqref="E9"/>
    </sheetView>
  </sheetViews>
  <sheetFormatPr defaultRowHeight="12.75" customHeight="1"/>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 min="17" max="17" width="9.1796875" customWidth="1"/>
    <col min="23" max="23" width="9.1796875" customWidth="1"/>
  </cols>
  <sheetData>
    <row r="1" spans="1:16" ht="20">
      <c r="A1" s="110" t="s">
        <v>189</v>
      </c>
      <c r="B1" s="1"/>
      <c r="C1" s="9"/>
      <c r="D1" s="2"/>
      <c r="E1" s="1"/>
      <c r="F1" s="14"/>
      <c r="G1" s="1"/>
      <c r="H1" s="3"/>
      <c r="J1" s="7"/>
      <c r="K1" s="18"/>
      <c r="L1" s="18"/>
      <c r="M1" s="18"/>
      <c r="P1" s="116" t="str">
        <f ca="1">"OKT Project "&amp;RIGHT(MID(CELL("filename",$A$1),FIND("]",CELL("filename",$A$1))+1,256),2)&amp;" of "&amp;COUNT('OKT.001:OKT.xyz - blank'!$P$3)-1</f>
        <v>OKT Project 20 of 20</v>
      </c>
    </row>
    <row r="2" spans="1:16" ht="17.5">
      <c r="B2" s="1"/>
      <c r="C2" s="1"/>
      <c r="D2" s="2"/>
      <c r="E2" s="1"/>
      <c r="F2" s="1"/>
      <c r="G2" s="1"/>
      <c r="H2" s="3"/>
      <c r="I2" s="1"/>
      <c r="J2" s="4"/>
      <c r="K2" s="1"/>
      <c r="L2" s="1"/>
      <c r="M2" s="1"/>
      <c r="N2" s="1"/>
      <c r="P2" s="117" t="s">
        <v>131</v>
      </c>
    </row>
    <row r="3" spans="1:16" ht="18">
      <c r="B3" s="5" t="s">
        <v>42</v>
      </c>
      <c r="C3" s="13" t="s">
        <v>43</v>
      </c>
      <c r="D3" s="2"/>
      <c r="E3" s="1"/>
      <c r="F3" s="1"/>
      <c r="G3" s="1"/>
      <c r="H3" s="3"/>
      <c r="I3" s="3"/>
      <c r="J3" s="19"/>
      <c r="K3" s="3"/>
      <c r="L3" s="3"/>
      <c r="M3" s="3"/>
      <c r="N3" s="3"/>
      <c r="O3" s="1"/>
      <c r="P3" s="108">
        <v>1</v>
      </c>
    </row>
    <row r="4" spans="1:16" ht="16" thickBot="1">
      <c r="C4" s="12"/>
      <c r="D4" s="2"/>
      <c r="E4" s="1"/>
      <c r="F4" s="1"/>
      <c r="G4" s="1"/>
      <c r="H4" s="3"/>
      <c r="I4" s="3"/>
      <c r="J4" s="19"/>
      <c r="K4" s="3"/>
      <c r="L4" s="3"/>
      <c r="M4" s="3"/>
      <c r="N4" s="3"/>
      <c r="O4" s="1"/>
      <c r="P4" s="1"/>
    </row>
    <row r="5" spans="1:16" ht="15.5">
      <c r="C5" s="20" t="s">
        <v>44</v>
      </c>
      <c r="D5" s="2"/>
      <c r="E5" s="1"/>
      <c r="F5" s="1"/>
      <c r="G5" s="21"/>
      <c r="H5" s="1" t="s">
        <v>45</v>
      </c>
      <c r="I5" s="1"/>
      <c r="J5" s="4"/>
      <c r="K5" s="22" t="s">
        <v>242</v>
      </c>
      <c r="L5" s="23"/>
      <c r="M5" s="24"/>
      <c r="N5" s="25">
        <f>VLOOKUP(I10,C17:I73,5)</f>
        <v>541054.66812252079</v>
      </c>
      <c r="P5" s="1"/>
    </row>
    <row r="6" spans="1:16" ht="15.5">
      <c r="C6" s="8"/>
      <c r="D6" s="2"/>
      <c r="E6" s="1"/>
      <c r="F6" s="1"/>
      <c r="G6" s="1"/>
      <c r="H6" s="26"/>
      <c r="I6" s="26"/>
      <c r="J6" s="27"/>
      <c r="K6" s="28" t="s">
        <v>243</v>
      </c>
      <c r="L6" s="29"/>
      <c r="M6" s="4"/>
      <c r="N6" s="30">
        <f>VLOOKUP(I10,C17:I73,6)</f>
        <v>541054.66812252079</v>
      </c>
      <c r="O6" s="1"/>
      <c r="P6" s="1"/>
    </row>
    <row r="7" spans="1:16" ht="13.5" thickBot="1">
      <c r="C7" s="31" t="s">
        <v>46</v>
      </c>
      <c r="D7" s="637" t="s">
        <v>289</v>
      </c>
      <c r="E7" s="1"/>
      <c r="F7" s="1"/>
      <c r="G7" s="1"/>
      <c r="H7" s="3"/>
      <c r="I7" s="3"/>
      <c r="J7" s="19"/>
      <c r="K7" s="32" t="s">
        <v>47</v>
      </c>
      <c r="L7" s="33"/>
      <c r="M7" s="33"/>
      <c r="N7" s="34">
        <f>+N6-N5</f>
        <v>0</v>
      </c>
      <c r="O7" s="1"/>
      <c r="P7" s="1"/>
    </row>
    <row r="8" spans="1:16" ht="13.5" thickBot="1">
      <c r="C8" s="35"/>
      <c r="D8" s="114"/>
      <c r="E8" s="36"/>
      <c r="F8" s="36"/>
      <c r="G8" s="36"/>
      <c r="H8" s="36"/>
      <c r="I8" s="36"/>
      <c r="J8" s="15"/>
      <c r="K8" s="36"/>
      <c r="L8" s="36"/>
      <c r="M8" s="36"/>
      <c r="N8" s="36"/>
      <c r="O8" s="15"/>
      <c r="P8" s="9"/>
    </row>
    <row r="9" spans="1:16" ht="13.5" thickBot="1">
      <c r="C9" s="37" t="s">
        <v>48</v>
      </c>
      <c r="D9" s="106" t="s">
        <v>292</v>
      </c>
      <c r="E9" s="647" t="s">
        <v>293</v>
      </c>
      <c r="F9" s="38"/>
      <c r="G9" s="38"/>
      <c r="H9" s="38"/>
      <c r="I9" s="39"/>
      <c r="J9" s="40"/>
      <c r="O9" s="41"/>
      <c r="P9" s="4"/>
    </row>
    <row r="10" spans="1:16" ht="13">
      <c r="C10" s="42" t="s">
        <v>49</v>
      </c>
      <c r="D10" s="43">
        <v>3941410</v>
      </c>
      <c r="E10" s="11" t="s">
        <v>50</v>
      </c>
      <c r="F10" s="41"/>
      <c r="G10" s="44"/>
      <c r="H10" s="44"/>
      <c r="I10" s="45">
        <f>+OKT.WS.F.BPU.ATRR.Projected!R101</f>
        <v>2021</v>
      </c>
      <c r="J10" s="40"/>
      <c r="K10" s="19" t="s">
        <v>51</v>
      </c>
      <c r="O10" s="4"/>
      <c r="P10" s="4"/>
    </row>
    <row r="11" spans="1:16" ht="12.5">
      <c r="C11" s="46" t="s">
        <v>52</v>
      </c>
      <c r="D11" s="47">
        <v>2020</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ht="12.5">
      <c r="C12" s="46" t="s">
        <v>54</v>
      </c>
      <c r="D12" s="43">
        <v>6</v>
      </c>
      <c r="E12" s="46" t="s">
        <v>55</v>
      </c>
      <c r="F12" s="44"/>
      <c r="G12" s="7"/>
      <c r="H12" s="7"/>
      <c r="I12" s="50">
        <f>OKT.WS.F.BPU.ATRR.Projected!$F$79</f>
        <v>0.10818506718567715</v>
      </c>
      <c r="J12" s="51"/>
      <c r="K12" t="s">
        <v>56</v>
      </c>
      <c r="O12" s="4"/>
      <c r="P12" s="4"/>
    </row>
    <row r="13" spans="1:16" ht="12.5">
      <c r="C13" s="46" t="s">
        <v>57</v>
      </c>
      <c r="D13" s="48">
        <f>+OKT.WS.F.BPU.ATRR.Projected!F$90</f>
        <v>31</v>
      </c>
      <c r="E13" s="46" t="s">
        <v>58</v>
      </c>
      <c r="F13" s="44"/>
      <c r="G13" s="7"/>
      <c r="H13" s="7"/>
      <c r="I13" s="50">
        <f>IF(G5="",I12,OKT.WS.F.BPU.ATRR.Projected!$F$78)</f>
        <v>0.10818506718567715</v>
      </c>
      <c r="J13" s="51"/>
      <c r="K13" s="19" t="s">
        <v>59</v>
      </c>
      <c r="L13" s="10"/>
      <c r="M13" s="10"/>
      <c r="N13" s="10"/>
      <c r="O13" s="4"/>
      <c r="P13" s="4"/>
    </row>
    <row r="14" spans="1:16" ht="13" thickBot="1">
      <c r="C14" s="46" t="s">
        <v>60</v>
      </c>
      <c r="D14" s="47" t="s">
        <v>61</v>
      </c>
      <c r="E14" s="4" t="s">
        <v>62</v>
      </c>
      <c r="F14" s="44"/>
      <c r="G14" s="7"/>
      <c r="H14" s="7"/>
      <c r="I14" s="52">
        <f>IF(D10=0,0,D10/D13)</f>
        <v>127142.25806451614</v>
      </c>
      <c r="J14" s="19"/>
      <c r="K14" s="19"/>
      <c r="L14" s="19"/>
      <c r="M14" s="19"/>
      <c r="N14" s="19"/>
      <c r="O14" s="4"/>
      <c r="P14" s="4"/>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ht="12.5">
      <c r="B17" t="str">
        <f t="shared" ref="B17:B71" si="0">IF(D17=F16,"","IU")</f>
        <v>IU</v>
      </c>
      <c r="C17" s="62">
        <f>IF(D11= "","-",D11)</f>
        <v>2020</v>
      </c>
      <c r="D17" s="641">
        <v>0</v>
      </c>
      <c r="E17" s="642">
        <v>51872.674102418707</v>
      </c>
      <c r="F17" s="643">
        <v>3491127.3258975814</v>
      </c>
      <c r="G17" s="642">
        <v>235038.97436975082</v>
      </c>
      <c r="H17" s="644">
        <v>235038.97436975082</v>
      </c>
      <c r="I17" s="65">
        <f t="shared" ref="I17:I71" si="1">H17-G17</f>
        <v>0</v>
      </c>
      <c r="J17" s="65"/>
      <c r="K17" s="501">
        <f>+G17</f>
        <v>235038.97436975082</v>
      </c>
      <c r="L17" s="503">
        <f t="shared" ref="L17" si="2">IF(K17&lt;&gt;0,+G17-K17,0)</f>
        <v>0</v>
      </c>
      <c r="M17" s="501">
        <f>+H17</f>
        <v>235038.97436975082</v>
      </c>
      <c r="N17" s="66">
        <f t="shared" ref="N17:N71" si="3">IF(M17&lt;&gt;0,+H17-M17,0)</f>
        <v>0</v>
      </c>
      <c r="O17" s="67">
        <f t="shared" ref="O17:O71" si="4">+N17-L17</f>
        <v>0</v>
      </c>
      <c r="P17" s="4"/>
    </row>
    <row r="18" spans="2:16" ht="12.5">
      <c r="B18" t="str">
        <f t="shared" si="0"/>
        <v>IU</v>
      </c>
      <c r="C18" s="62">
        <f>IF(D11="","-",+C17+1)</f>
        <v>2021</v>
      </c>
      <c r="D18" s="71">
        <f>IF(F17+SUM(E$17:E17)=D$10,F17,D$10-SUM(E$17:E17))</f>
        <v>3889537.3258975814</v>
      </c>
      <c r="E18" s="69">
        <f t="shared" ref="E18:E71" si="5">IF(+I$14&lt;F17,I$14,D18)</f>
        <v>127142.25806451614</v>
      </c>
      <c r="F18" s="68">
        <f t="shared" ref="F18:F71" si="6">+D18-E18</f>
        <v>3762395.0678330651</v>
      </c>
      <c r="G18" s="70">
        <f t="shared" ref="G18:G71" si="7">(D18+F18)/2*I$12+E18</f>
        <v>541054.66812252079</v>
      </c>
      <c r="H18" s="52">
        <f t="shared" ref="H18:H71" si="8">+(D18+F18)/2*I$13+E18</f>
        <v>541054.66812252079</v>
      </c>
      <c r="I18" s="65">
        <f t="shared" si="1"/>
        <v>0</v>
      </c>
      <c r="J18" s="65"/>
      <c r="K18" s="130"/>
      <c r="L18" s="67">
        <f t="shared" ref="L18:L71" si="9">IF(K18&lt;&gt;0,+G18-K18,0)</f>
        <v>0</v>
      </c>
      <c r="M18" s="130"/>
      <c r="N18" s="67">
        <f t="shared" si="3"/>
        <v>0</v>
      </c>
      <c r="O18" s="67">
        <f t="shared" si="4"/>
        <v>0</v>
      </c>
      <c r="P18" s="4"/>
    </row>
    <row r="19" spans="2:16" ht="12.5">
      <c r="B19" t="str">
        <f t="shared" si="0"/>
        <v/>
      </c>
      <c r="C19" s="62">
        <f>IF(D11="","-",+C18+1)</f>
        <v>2022</v>
      </c>
      <c r="D19" s="71">
        <f>IF(F18+SUM(E$17:E18)=D$10,F18,D$10-SUM(E$17:E18))</f>
        <v>3762395.0678330651</v>
      </c>
      <c r="E19" s="69">
        <f t="shared" si="5"/>
        <v>127142.25806451614</v>
      </c>
      <c r="F19" s="68">
        <f t="shared" si="6"/>
        <v>3635252.8097685487</v>
      </c>
      <c r="G19" s="70">
        <f t="shared" si="7"/>
        <v>527299.77439167246</v>
      </c>
      <c r="H19" s="52">
        <f t="shared" si="8"/>
        <v>527299.77439167246</v>
      </c>
      <c r="I19" s="65">
        <f t="shared" si="1"/>
        <v>0</v>
      </c>
      <c r="J19" s="65"/>
      <c r="K19" s="130"/>
      <c r="L19" s="67">
        <f t="shared" si="9"/>
        <v>0</v>
      </c>
      <c r="M19" s="130"/>
      <c r="N19" s="67">
        <f t="shared" si="3"/>
        <v>0</v>
      </c>
      <c r="O19" s="67">
        <f t="shared" si="4"/>
        <v>0</v>
      </c>
      <c r="P19" s="4"/>
    </row>
    <row r="20" spans="2:16" ht="12.5">
      <c r="B20" t="str">
        <f t="shared" si="0"/>
        <v/>
      </c>
      <c r="C20" s="62">
        <f>IF(D11="","-",+C19+1)</f>
        <v>2023</v>
      </c>
      <c r="D20" s="71">
        <f>IF(F19+SUM(E$17:E19)=D$10,F19,D$10-SUM(E$17:E19))</f>
        <v>3635252.8097685487</v>
      </c>
      <c r="E20" s="69">
        <f t="shared" si="5"/>
        <v>127142.25806451614</v>
      </c>
      <c r="F20" s="68">
        <f t="shared" si="6"/>
        <v>3508110.5517040323</v>
      </c>
      <c r="G20" s="70">
        <f t="shared" si="7"/>
        <v>513544.88066082395</v>
      </c>
      <c r="H20" s="52">
        <f t="shared" si="8"/>
        <v>513544.88066082395</v>
      </c>
      <c r="I20" s="65">
        <f t="shared" si="1"/>
        <v>0</v>
      </c>
      <c r="J20" s="65"/>
      <c r="K20" s="130"/>
      <c r="L20" s="67">
        <f t="shared" si="9"/>
        <v>0</v>
      </c>
      <c r="M20" s="130"/>
      <c r="N20" s="67">
        <f t="shared" si="3"/>
        <v>0</v>
      </c>
      <c r="O20" s="67">
        <f t="shared" si="4"/>
        <v>0</v>
      </c>
      <c r="P20" s="4"/>
    </row>
    <row r="21" spans="2:16" ht="12.5">
      <c r="B21" t="str">
        <f t="shared" si="0"/>
        <v/>
      </c>
      <c r="C21" s="62">
        <f>IF(D11="","-",+C20+1)</f>
        <v>2024</v>
      </c>
      <c r="D21" s="71">
        <f>IF(F20+SUM(E$17:E20)=D$10,F20,D$10-SUM(E$17:E20))</f>
        <v>3508110.5517040323</v>
      </c>
      <c r="E21" s="69">
        <f t="shared" si="5"/>
        <v>127142.25806451614</v>
      </c>
      <c r="F21" s="68">
        <f t="shared" si="6"/>
        <v>3380968.293639516</v>
      </c>
      <c r="G21" s="70">
        <f t="shared" si="7"/>
        <v>499789.98692997562</v>
      </c>
      <c r="H21" s="52">
        <f t="shared" si="8"/>
        <v>499789.98692997562</v>
      </c>
      <c r="I21" s="65">
        <f t="shared" si="1"/>
        <v>0</v>
      </c>
      <c r="J21" s="65"/>
      <c r="K21" s="130"/>
      <c r="L21" s="67">
        <f t="shared" si="9"/>
        <v>0</v>
      </c>
      <c r="M21" s="130"/>
      <c r="N21" s="67">
        <f t="shared" si="3"/>
        <v>0</v>
      </c>
      <c r="O21" s="67">
        <f t="shared" si="4"/>
        <v>0</v>
      </c>
      <c r="P21" s="4"/>
    </row>
    <row r="22" spans="2:16" ht="12.5">
      <c r="B22" t="str">
        <f t="shared" si="0"/>
        <v/>
      </c>
      <c r="C22" s="62">
        <f>IF(D11="","-",+C21+1)</f>
        <v>2025</v>
      </c>
      <c r="D22" s="71">
        <f>IF(F21+SUM(E$17:E21)=D$10,F21,D$10-SUM(E$17:E21))</f>
        <v>3380968.293639516</v>
      </c>
      <c r="E22" s="69">
        <f t="shared" si="5"/>
        <v>127142.25806451614</v>
      </c>
      <c r="F22" s="68">
        <f t="shared" si="6"/>
        <v>3253826.0355749996</v>
      </c>
      <c r="G22" s="70">
        <f t="shared" si="7"/>
        <v>486035.09319912718</v>
      </c>
      <c r="H22" s="52">
        <f t="shared" si="8"/>
        <v>486035.09319912718</v>
      </c>
      <c r="I22" s="65">
        <f t="shared" si="1"/>
        <v>0</v>
      </c>
      <c r="J22" s="65"/>
      <c r="K22" s="130"/>
      <c r="L22" s="67">
        <f t="shared" si="9"/>
        <v>0</v>
      </c>
      <c r="M22" s="130"/>
      <c r="N22" s="67">
        <f t="shared" si="3"/>
        <v>0</v>
      </c>
      <c r="O22" s="67">
        <f t="shared" si="4"/>
        <v>0</v>
      </c>
      <c r="P22" s="4"/>
    </row>
    <row r="23" spans="2:16" ht="12.5">
      <c r="B23" t="str">
        <f t="shared" si="0"/>
        <v/>
      </c>
      <c r="C23" s="62">
        <f>IF(D11="","-",+C22+1)</f>
        <v>2026</v>
      </c>
      <c r="D23" s="71">
        <f>IF(F22+SUM(E$17:E22)=D$10,F22,D$10-SUM(E$17:E22))</f>
        <v>3253826.0355749996</v>
      </c>
      <c r="E23" s="69">
        <f t="shared" si="5"/>
        <v>127142.25806451614</v>
      </c>
      <c r="F23" s="68">
        <f t="shared" si="6"/>
        <v>3126683.7775104833</v>
      </c>
      <c r="G23" s="70">
        <f t="shared" si="7"/>
        <v>472280.19946827879</v>
      </c>
      <c r="H23" s="52">
        <f t="shared" si="8"/>
        <v>472280.19946827879</v>
      </c>
      <c r="I23" s="65">
        <f t="shared" si="1"/>
        <v>0</v>
      </c>
      <c r="J23" s="65"/>
      <c r="K23" s="130"/>
      <c r="L23" s="67">
        <f t="shared" si="9"/>
        <v>0</v>
      </c>
      <c r="M23" s="130"/>
      <c r="N23" s="67">
        <f t="shared" si="3"/>
        <v>0</v>
      </c>
      <c r="O23" s="67">
        <f t="shared" si="4"/>
        <v>0</v>
      </c>
      <c r="P23" s="4"/>
    </row>
    <row r="24" spans="2:16" ht="12.5">
      <c r="B24" t="str">
        <f t="shared" si="0"/>
        <v/>
      </c>
      <c r="C24" s="62">
        <f>IF(D11="","-",+C23+1)</f>
        <v>2027</v>
      </c>
      <c r="D24" s="71">
        <f>IF(F23+SUM(E$17:E23)=D$10,F23,D$10-SUM(E$17:E23))</f>
        <v>3126683.7775104833</v>
      </c>
      <c r="E24" s="69">
        <f t="shared" si="5"/>
        <v>127142.25806451614</v>
      </c>
      <c r="F24" s="68">
        <f t="shared" si="6"/>
        <v>2999541.5194459669</v>
      </c>
      <c r="G24" s="70">
        <f t="shared" si="7"/>
        <v>458525.30573743035</v>
      </c>
      <c r="H24" s="52">
        <f t="shared" si="8"/>
        <v>458525.30573743035</v>
      </c>
      <c r="I24" s="65">
        <f t="shared" si="1"/>
        <v>0</v>
      </c>
      <c r="J24" s="65"/>
      <c r="K24" s="130"/>
      <c r="L24" s="67">
        <f t="shared" si="9"/>
        <v>0</v>
      </c>
      <c r="M24" s="130"/>
      <c r="N24" s="67">
        <f t="shared" si="3"/>
        <v>0</v>
      </c>
      <c r="O24" s="67">
        <f t="shared" si="4"/>
        <v>0</v>
      </c>
      <c r="P24" s="4"/>
    </row>
    <row r="25" spans="2:16" ht="12.5">
      <c r="B25" t="str">
        <f t="shared" si="0"/>
        <v/>
      </c>
      <c r="C25" s="62">
        <f>IF(D11="","-",+C24+1)</f>
        <v>2028</v>
      </c>
      <c r="D25" s="71">
        <f>IF(F24+SUM(E$17:E24)=D$10,F24,D$10-SUM(E$17:E24))</f>
        <v>2999541.5194459669</v>
      </c>
      <c r="E25" s="69">
        <f t="shared" si="5"/>
        <v>127142.25806451614</v>
      </c>
      <c r="F25" s="68">
        <f t="shared" si="6"/>
        <v>2872399.2613814506</v>
      </c>
      <c r="G25" s="70">
        <f t="shared" si="7"/>
        <v>444770.41200658202</v>
      </c>
      <c r="H25" s="52">
        <f t="shared" si="8"/>
        <v>444770.41200658202</v>
      </c>
      <c r="I25" s="65">
        <f t="shared" si="1"/>
        <v>0</v>
      </c>
      <c r="J25" s="65"/>
      <c r="K25" s="130"/>
      <c r="L25" s="67">
        <f t="shared" si="9"/>
        <v>0</v>
      </c>
      <c r="M25" s="130"/>
      <c r="N25" s="67">
        <f t="shared" si="3"/>
        <v>0</v>
      </c>
      <c r="O25" s="67">
        <f t="shared" si="4"/>
        <v>0</v>
      </c>
      <c r="P25" s="4"/>
    </row>
    <row r="26" spans="2:16" ht="12.5">
      <c r="B26" t="str">
        <f t="shared" si="0"/>
        <v/>
      </c>
      <c r="C26" s="62">
        <f>IF(D11="","-",+C25+1)</f>
        <v>2029</v>
      </c>
      <c r="D26" s="71">
        <f>IF(F25+SUM(E$17:E25)=D$10,F25,D$10-SUM(E$17:E25))</f>
        <v>2872399.2613814506</v>
      </c>
      <c r="E26" s="69">
        <f t="shared" si="5"/>
        <v>127142.25806451614</v>
      </c>
      <c r="F26" s="68">
        <f t="shared" si="6"/>
        <v>2745257.0033169342</v>
      </c>
      <c r="G26" s="70">
        <f t="shared" si="7"/>
        <v>431015.51827573357</v>
      </c>
      <c r="H26" s="52">
        <f t="shared" si="8"/>
        <v>431015.51827573357</v>
      </c>
      <c r="I26" s="65">
        <f t="shared" si="1"/>
        <v>0</v>
      </c>
      <c r="J26" s="65"/>
      <c r="K26" s="130"/>
      <c r="L26" s="67">
        <f t="shared" si="9"/>
        <v>0</v>
      </c>
      <c r="M26" s="130"/>
      <c r="N26" s="67">
        <f t="shared" si="3"/>
        <v>0</v>
      </c>
      <c r="O26" s="67">
        <f t="shared" si="4"/>
        <v>0</v>
      </c>
      <c r="P26" s="4"/>
    </row>
    <row r="27" spans="2:16" ht="12.5">
      <c r="B27" t="str">
        <f t="shared" si="0"/>
        <v/>
      </c>
      <c r="C27" s="62">
        <f>IF(D11="","-",+C26+1)</f>
        <v>2030</v>
      </c>
      <c r="D27" s="71">
        <f>IF(F26+SUM(E$17:E26)=D$10,F26,D$10-SUM(E$17:E26))</f>
        <v>2745257.0033169342</v>
      </c>
      <c r="E27" s="69">
        <f t="shared" si="5"/>
        <v>127142.25806451614</v>
      </c>
      <c r="F27" s="68">
        <f t="shared" si="6"/>
        <v>2618114.7452524179</v>
      </c>
      <c r="G27" s="70">
        <f t="shared" si="7"/>
        <v>417260.62454488518</v>
      </c>
      <c r="H27" s="52">
        <f t="shared" si="8"/>
        <v>417260.62454488518</v>
      </c>
      <c r="I27" s="65">
        <f t="shared" si="1"/>
        <v>0</v>
      </c>
      <c r="J27" s="65"/>
      <c r="K27" s="130"/>
      <c r="L27" s="67">
        <f t="shared" si="9"/>
        <v>0</v>
      </c>
      <c r="M27" s="130"/>
      <c r="N27" s="67">
        <f t="shared" si="3"/>
        <v>0</v>
      </c>
      <c r="O27" s="67">
        <f t="shared" si="4"/>
        <v>0</v>
      </c>
      <c r="P27" s="4"/>
    </row>
    <row r="28" spans="2:16" ht="12.5">
      <c r="B28" t="str">
        <f t="shared" si="0"/>
        <v/>
      </c>
      <c r="C28" s="62">
        <f>IF(D11="","-",+C27+1)</f>
        <v>2031</v>
      </c>
      <c r="D28" s="71">
        <f>IF(F27+SUM(E$17:E27)=D$10,F27,D$10-SUM(E$17:E27))</f>
        <v>2618114.7452524179</v>
      </c>
      <c r="E28" s="69">
        <f t="shared" si="5"/>
        <v>127142.25806451614</v>
      </c>
      <c r="F28" s="68">
        <f t="shared" si="6"/>
        <v>2490972.4871879015</v>
      </c>
      <c r="G28" s="70">
        <f t="shared" si="7"/>
        <v>403505.73081403674</v>
      </c>
      <c r="H28" s="52">
        <f t="shared" si="8"/>
        <v>403505.73081403674</v>
      </c>
      <c r="I28" s="65">
        <f t="shared" si="1"/>
        <v>0</v>
      </c>
      <c r="J28" s="65"/>
      <c r="K28" s="130"/>
      <c r="L28" s="67">
        <f t="shared" si="9"/>
        <v>0</v>
      </c>
      <c r="M28" s="130"/>
      <c r="N28" s="67">
        <f t="shared" si="3"/>
        <v>0</v>
      </c>
      <c r="O28" s="67">
        <f t="shared" si="4"/>
        <v>0</v>
      </c>
      <c r="P28" s="4"/>
    </row>
    <row r="29" spans="2:16" ht="12.5">
      <c r="B29" t="str">
        <f t="shared" si="0"/>
        <v/>
      </c>
      <c r="C29" s="62">
        <f>IF(D11="","-",+C28+1)</f>
        <v>2032</v>
      </c>
      <c r="D29" s="71">
        <f>IF(F28+SUM(E$17:E28)=D$10,F28,D$10-SUM(E$17:E28))</f>
        <v>2490972.4871879015</v>
      </c>
      <c r="E29" s="69">
        <f t="shared" si="5"/>
        <v>127142.25806451614</v>
      </c>
      <c r="F29" s="68">
        <f t="shared" si="6"/>
        <v>2363830.2291233852</v>
      </c>
      <c r="G29" s="70">
        <f t="shared" si="7"/>
        <v>389750.83708318841</v>
      </c>
      <c r="H29" s="52">
        <f t="shared" si="8"/>
        <v>389750.83708318841</v>
      </c>
      <c r="I29" s="65">
        <f t="shared" si="1"/>
        <v>0</v>
      </c>
      <c r="J29" s="65"/>
      <c r="K29" s="130"/>
      <c r="L29" s="67">
        <f t="shared" si="9"/>
        <v>0</v>
      </c>
      <c r="M29" s="130"/>
      <c r="N29" s="67">
        <f t="shared" si="3"/>
        <v>0</v>
      </c>
      <c r="O29" s="67">
        <f t="shared" si="4"/>
        <v>0</v>
      </c>
      <c r="P29" s="4"/>
    </row>
    <row r="30" spans="2:16" ht="12.5">
      <c r="B30" t="str">
        <f t="shared" si="0"/>
        <v/>
      </c>
      <c r="C30" s="62">
        <f>IF(D11="","-",+C29+1)</f>
        <v>2033</v>
      </c>
      <c r="D30" s="71">
        <f>IF(F29+SUM(E$17:E29)=D$10,F29,D$10-SUM(E$17:E29))</f>
        <v>2363830.2291233852</v>
      </c>
      <c r="E30" s="69">
        <f t="shared" si="5"/>
        <v>127142.25806451614</v>
      </c>
      <c r="F30" s="68">
        <f t="shared" si="6"/>
        <v>2236687.9710588688</v>
      </c>
      <c r="G30" s="70">
        <f t="shared" si="7"/>
        <v>375995.94335233996</v>
      </c>
      <c r="H30" s="52">
        <f t="shared" si="8"/>
        <v>375995.94335233996</v>
      </c>
      <c r="I30" s="65">
        <f t="shared" si="1"/>
        <v>0</v>
      </c>
      <c r="J30" s="65"/>
      <c r="K30" s="130"/>
      <c r="L30" s="67">
        <f t="shared" si="9"/>
        <v>0</v>
      </c>
      <c r="M30" s="130"/>
      <c r="N30" s="67">
        <f t="shared" si="3"/>
        <v>0</v>
      </c>
      <c r="O30" s="67">
        <f t="shared" si="4"/>
        <v>0</v>
      </c>
      <c r="P30" s="4"/>
    </row>
    <row r="31" spans="2:16" ht="12.5">
      <c r="B31" t="str">
        <f t="shared" si="0"/>
        <v/>
      </c>
      <c r="C31" s="62">
        <f>IF(D11="","-",+C30+1)</f>
        <v>2034</v>
      </c>
      <c r="D31" s="71">
        <f>IF(F30+SUM(E$17:E30)=D$10,F30,D$10-SUM(E$17:E30))</f>
        <v>2236687.9710588688</v>
      </c>
      <c r="E31" s="69">
        <f t="shared" si="5"/>
        <v>127142.25806451614</v>
      </c>
      <c r="F31" s="68">
        <f t="shared" si="6"/>
        <v>2109545.7129943524</v>
      </c>
      <c r="G31" s="70">
        <f t="shared" si="7"/>
        <v>362241.04962149158</v>
      </c>
      <c r="H31" s="52">
        <f t="shared" si="8"/>
        <v>362241.04962149158</v>
      </c>
      <c r="I31" s="65">
        <f t="shared" si="1"/>
        <v>0</v>
      </c>
      <c r="J31" s="65"/>
      <c r="K31" s="130"/>
      <c r="L31" s="67">
        <f t="shared" si="9"/>
        <v>0</v>
      </c>
      <c r="M31" s="130"/>
      <c r="N31" s="67">
        <f t="shared" si="3"/>
        <v>0</v>
      </c>
      <c r="O31" s="67">
        <f t="shared" si="4"/>
        <v>0</v>
      </c>
      <c r="P31" s="4"/>
    </row>
    <row r="32" spans="2:16" ht="12.5">
      <c r="B32" t="str">
        <f t="shared" si="0"/>
        <v/>
      </c>
      <c r="C32" s="62">
        <f>IF(D11="","-",+C31+1)</f>
        <v>2035</v>
      </c>
      <c r="D32" s="71">
        <f>IF(F31+SUM(E$17:E31)=D$10,F31,D$10-SUM(E$17:E31))</f>
        <v>2109545.7129943524</v>
      </c>
      <c r="E32" s="69">
        <f t="shared" si="5"/>
        <v>127142.25806451614</v>
      </c>
      <c r="F32" s="68">
        <f t="shared" si="6"/>
        <v>1982403.4549298363</v>
      </c>
      <c r="G32" s="70">
        <f t="shared" si="7"/>
        <v>348486.15589064319</v>
      </c>
      <c r="H32" s="52">
        <f t="shared" si="8"/>
        <v>348486.15589064319</v>
      </c>
      <c r="I32" s="65">
        <f t="shared" si="1"/>
        <v>0</v>
      </c>
      <c r="J32" s="65"/>
      <c r="K32" s="130"/>
      <c r="L32" s="67">
        <f t="shared" si="9"/>
        <v>0</v>
      </c>
      <c r="M32" s="130"/>
      <c r="N32" s="67">
        <f t="shared" si="3"/>
        <v>0</v>
      </c>
      <c r="O32" s="67">
        <f t="shared" si="4"/>
        <v>0</v>
      </c>
      <c r="P32" s="4"/>
    </row>
    <row r="33" spans="2:16" ht="12.5">
      <c r="B33" t="str">
        <f t="shared" si="0"/>
        <v/>
      </c>
      <c r="C33" s="62">
        <f>IF(D11="","-",+C32+1)</f>
        <v>2036</v>
      </c>
      <c r="D33" s="71">
        <f>IF(F32+SUM(E$17:E32)=D$10,F32,D$10-SUM(E$17:E32))</f>
        <v>1982403.4549298363</v>
      </c>
      <c r="E33" s="69">
        <f t="shared" si="5"/>
        <v>127142.25806451614</v>
      </c>
      <c r="F33" s="68">
        <f t="shared" si="6"/>
        <v>1855261.1968653202</v>
      </c>
      <c r="G33" s="70">
        <f t="shared" si="7"/>
        <v>334731.2621597948</v>
      </c>
      <c r="H33" s="52">
        <f t="shared" si="8"/>
        <v>334731.2621597948</v>
      </c>
      <c r="I33" s="65">
        <f t="shared" si="1"/>
        <v>0</v>
      </c>
      <c r="J33" s="65"/>
      <c r="K33" s="130"/>
      <c r="L33" s="67">
        <f t="shared" si="9"/>
        <v>0</v>
      </c>
      <c r="M33" s="130"/>
      <c r="N33" s="67">
        <f t="shared" si="3"/>
        <v>0</v>
      </c>
      <c r="O33" s="67">
        <f t="shared" si="4"/>
        <v>0</v>
      </c>
      <c r="P33" s="4"/>
    </row>
    <row r="34" spans="2:16" ht="12.5">
      <c r="B34" t="str">
        <f t="shared" si="0"/>
        <v/>
      </c>
      <c r="C34" s="62">
        <f>IF(D11="","-",+C33+1)</f>
        <v>2037</v>
      </c>
      <c r="D34" s="71">
        <f>IF(F33+SUM(E$17:E33)=D$10,F33,D$10-SUM(E$17:E33))</f>
        <v>1855261.1968653202</v>
      </c>
      <c r="E34" s="69">
        <f t="shared" si="5"/>
        <v>127142.25806451614</v>
      </c>
      <c r="F34" s="68">
        <f t="shared" si="6"/>
        <v>1728118.9388008041</v>
      </c>
      <c r="G34" s="70">
        <f t="shared" si="7"/>
        <v>320976.36842894641</v>
      </c>
      <c r="H34" s="52">
        <f t="shared" si="8"/>
        <v>320976.36842894641</v>
      </c>
      <c r="I34" s="65">
        <f t="shared" si="1"/>
        <v>0</v>
      </c>
      <c r="J34" s="65"/>
      <c r="K34" s="130"/>
      <c r="L34" s="67">
        <f t="shared" si="9"/>
        <v>0</v>
      </c>
      <c r="M34" s="130"/>
      <c r="N34" s="67">
        <f t="shared" si="3"/>
        <v>0</v>
      </c>
      <c r="O34" s="67">
        <f t="shared" si="4"/>
        <v>0</v>
      </c>
      <c r="P34" s="4"/>
    </row>
    <row r="35" spans="2:16" ht="12.5">
      <c r="B35" t="str">
        <f t="shared" si="0"/>
        <v/>
      </c>
      <c r="C35" s="62">
        <f>IF(D11="","-",+C34+1)</f>
        <v>2038</v>
      </c>
      <c r="D35" s="71">
        <f>IF(F34+SUM(E$17:E34)=D$10,F34,D$10-SUM(E$17:E34))</f>
        <v>1728118.9388008041</v>
      </c>
      <c r="E35" s="69">
        <f t="shared" si="5"/>
        <v>127142.25806451614</v>
      </c>
      <c r="F35" s="68">
        <f t="shared" si="6"/>
        <v>1600976.680736288</v>
      </c>
      <c r="G35" s="70">
        <f t="shared" si="7"/>
        <v>307221.47469809803</v>
      </c>
      <c r="H35" s="52">
        <f t="shared" si="8"/>
        <v>307221.47469809803</v>
      </c>
      <c r="I35" s="65">
        <f t="shared" si="1"/>
        <v>0</v>
      </c>
      <c r="J35" s="65"/>
      <c r="K35" s="130"/>
      <c r="L35" s="67">
        <f t="shared" si="9"/>
        <v>0</v>
      </c>
      <c r="M35" s="130"/>
      <c r="N35" s="67">
        <f t="shared" si="3"/>
        <v>0</v>
      </c>
      <c r="O35" s="67">
        <f t="shared" si="4"/>
        <v>0</v>
      </c>
      <c r="P35" s="4"/>
    </row>
    <row r="36" spans="2:16" ht="12.5">
      <c r="B36" t="str">
        <f t="shared" si="0"/>
        <v/>
      </c>
      <c r="C36" s="62">
        <f>IF(D11="","-",+C35+1)</f>
        <v>2039</v>
      </c>
      <c r="D36" s="71">
        <f>IF(F35+SUM(E$17:E35)=D$10,F35,D$10-SUM(E$17:E35))</f>
        <v>1600976.680736288</v>
      </c>
      <c r="E36" s="69">
        <f t="shared" si="5"/>
        <v>127142.25806451614</v>
      </c>
      <c r="F36" s="68">
        <f t="shared" si="6"/>
        <v>1473834.4226717718</v>
      </c>
      <c r="G36" s="70">
        <f t="shared" si="7"/>
        <v>293466.5809672497</v>
      </c>
      <c r="H36" s="52">
        <f t="shared" si="8"/>
        <v>293466.5809672497</v>
      </c>
      <c r="I36" s="65">
        <f t="shared" si="1"/>
        <v>0</v>
      </c>
      <c r="J36" s="65"/>
      <c r="K36" s="130"/>
      <c r="L36" s="67">
        <f t="shared" si="9"/>
        <v>0</v>
      </c>
      <c r="M36" s="130"/>
      <c r="N36" s="67">
        <f t="shared" si="3"/>
        <v>0</v>
      </c>
      <c r="O36" s="67">
        <f t="shared" si="4"/>
        <v>0</v>
      </c>
      <c r="P36" s="4"/>
    </row>
    <row r="37" spans="2:16" ht="12.5">
      <c r="B37" t="str">
        <f t="shared" si="0"/>
        <v/>
      </c>
      <c r="C37" s="62">
        <f>IF(D11="","-",+C36+1)</f>
        <v>2040</v>
      </c>
      <c r="D37" s="71">
        <f>IF(F36+SUM(E$17:E36)=D$10,F36,D$10-SUM(E$17:E36))</f>
        <v>1473834.4226717718</v>
      </c>
      <c r="E37" s="69">
        <f t="shared" si="5"/>
        <v>127142.25806451614</v>
      </c>
      <c r="F37" s="68">
        <f t="shared" si="6"/>
        <v>1346692.1646072557</v>
      </c>
      <c r="G37" s="70">
        <f t="shared" si="7"/>
        <v>279711.68723640125</v>
      </c>
      <c r="H37" s="52">
        <f t="shared" si="8"/>
        <v>279711.68723640125</v>
      </c>
      <c r="I37" s="65">
        <f t="shared" si="1"/>
        <v>0</v>
      </c>
      <c r="J37" s="65"/>
      <c r="K37" s="130"/>
      <c r="L37" s="67">
        <f t="shared" si="9"/>
        <v>0</v>
      </c>
      <c r="M37" s="130"/>
      <c r="N37" s="67">
        <f t="shared" si="3"/>
        <v>0</v>
      </c>
      <c r="O37" s="67">
        <f t="shared" si="4"/>
        <v>0</v>
      </c>
      <c r="P37" s="4"/>
    </row>
    <row r="38" spans="2:16" ht="12.5">
      <c r="B38" t="str">
        <f t="shared" si="0"/>
        <v/>
      </c>
      <c r="C38" s="62">
        <f>IF(D11="","-",+C37+1)</f>
        <v>2041</v>
      </c>
      <c r="D38" s="71">
        <f>IF(F37+SUM(E$17:E37)=D$10,F37,D$10-SUM(E$17:E37))</f>
        <v>1346692.1646072557</v>
      </c>
      <c r="E38" s="69">
        <f t="shared" si="5"/>
        <v>127142.25806451614</v>
      </c>
      <c r="F38" s="68">
        <f t="shared" si="6"/>
        <v>1219549.9065427396</v>
      </c>
      <c r="G38" s="70">
        <f t="shared" si="7"/>
        <v>265956.79350555292</v>
      </c>
      <c r="H38" s="52">
        <f t="shared" si="8"/>
        <v>265956.79350555292</v>
      </c>
      <c r="I38" s="65">
        <f t="shared" si="1"/>
        <v>0</v>
      </c>
      <c r="J38" s="65"/>
      <c r="K38" s="130"/>
      <c r="L38" s="67">
        <f t="shared" si="9"/>
        <v>0</v>
      </c>
      <c r="M38" s="130"/>
      <c r="N38" s="67">
        <f t="shared" si="3"/>
        <v>0</v>
      </c>
      <c r="O38" s="67">
        <f t="shared" si="4"/>
        <v>0</v>
      </c>
      <c r="P38" s="4"/>
    </row>
    <row r="39" spans="2:16" ht="12.5">
      <c r="B39" t="str">
        <f t="shared" si="0"/>
        <v/>
      </c>
      <c r="C39" s="62">
        <f>IF(D11="","-",+C38+1)</f>
        <v>2042</v>
      </c>
      <c r="D39" s="71">
        <f>IF(F38+SUM(E$17:E38)=D$10,F38,D$10-SUM(E$17:E38))</f>
        <v>1219549.9065427396</v>
      </c>
      <c r="E39" s="69">
        <f t="shared" si="5"/>
        <v>127142.25806451614</v>
      </c>
      <c r="F39" s="68">
        <f t="shared" si="6"/>
        <v>1092407.6484782235</v>
      </c>
      <c r="G39" s="70">
        <f t="shared" si="7"/>
        <v>252201.89977470451</v>
      </c>
      <c r="H39" s="52">
        <f t="shared" si="8"/>
        <v>252201.89977470451</v>
      </c>
      <c r="I39" s="65">
        <f t="shared" si="1"/>
        <v>0</v>
      </c>
      <c r="J39" s="65"/>
      <c r="K39" s="130"/>
      <c r="L39" s="67">
        <f t="shared" si="9"/>
        <v>0</v>
      </c>
      <c r="M39" s="130"/>
      <c r="N39" s="67">
        <f t="shared" si="3"/>
        <v>0</v>
      </c>
      <c r="O39" s="67">
        <f t="shared" si="4"/>
        <v>0</v>
      </c>
      <c r="P39" s="4"/>
    </row>
    <row r="40" spans="2:16" ht="12.5">
      <c r="B40" t="str">
        <f t="shared" si="0"/>
        <v/>
      </c>
      <c r="C40" s="62">
        <f>IF(D11="","-",+C39+1)</f>
        <v>2043</v>
      </c>
      <c r="D40" s="71">
        <f>IF(F39+SUM(E$17:E39)=D$10,F39,D$10-SUM(E$17:E39))</f>
        <v>1092407.6484782235</v>
      </c>
      <c r="E40" s="69">
        <f t="shared" si="5"/>
        <v>127142.25806451614</v>
      </c>
      <c r="F40" s="68">
        <f t="shared" si="6"/>
        <v>965265.39041370736</v>
      </c>
      <c r="G40" s="70">
        <f t="shared" si="7"/>
        <v>238447.00604385615</v>
      </c>
      <c r="H40" s="52">
        <f t="shared" si="8"/>
        <v>238447.00604385615</v>
      </c>
      <c r="I40" s="65">
        <f t="shared" si="1"/>
        <v>0</v>
      </c>
      <c r="J40" s="65"/>
      <c r="K40" s="130"/>
      <c r="L40" s="67">
        <f t="shared" si="9"/>
        <v>0</v>
      </c>
      <c r="M40" s="130"/>
      <c r="N40" s="67">
        <f t="shared" si="3"/>
        <v>0</v>
      </c>
      <c r="O40" s="67">
        <f t="shared" si="4"/>
        <v>0</v>
      </c>
      <c r="P40" s="4"/>
    </row>
    <row r="41" spans="2:16" ht="12.5">
      <c r="B41" t="str">
        <f t="shared" si="0"/>
        <v/>
      </c>
      <c r="C41" s="62">
        <f>IF(D11="","-",+C40+1)</f>
        <v>2044</v>
      </c>
      <c r="D41" s="71">
        <f>IF(F40+SUM(E$17:E40)=D$10,F40,D$10-SUM(E$17:E40))</f>
        <v>965265.39041370736</v>
      </c>
      <c r="E41" s="69">
        <f t="shared" si="5"/>
        <v>127142.25806451614</v>
      </c>
      <c r="F41" s="68">
        <f t="shared" si="6"/>
        <v>838123.13234919123</v>
      </c>
      <c r="G41" s="70">
        <f t="shared" si="7"/>
        <v>224692.11231300776</v>
      </c>
      <c r="H41" s="52">
        <f t="shared" si="8"/>
        <v>224692.11231300776</v>
      </c>
      <c r="I41" s="65">
        <f t="shared" si="1"/>
        <v>0</v>
      </c>
      <c r="J41" s="65"/>
      <c r="K41" s="130"/>
      <c r="L41" s="67">
        <f t="shared" si="9"/>
        <v>0</v>
      </c>
      <c r="M41" s="130"/>
      <c r="N41" s="67">
        <f t="shared" si="3"/>
        <v>0</v>
      </c>
      <c r="O41" s="67">
        <f t="shared" si="4"/>
        <v>0</v>
      </c>
      <c r="P41" s="4"/>
    </row>
    <row r="42" spans="2:16" ht="12.5">
      <c r="B42" t="str">
        <f t="shared" si="0"/>
        <v/>
      </c>
      <c r="C42" s="62">
        <f>IF(D11="","-",+C41+1)</f>
        <v>2045</v>
      </c>
      <c r="D42" s="71">
        <f>IF(F41+SUM(E$17:E41)=D$10,F41,D$10-SUM(E$17:E41))</f>
        <v>838123.13234919123</v>
      </c>
      <c r="E42" s="69">
        <f t="shared" si="5"/>
        <v>127142.25806451614</v>
      </c>
      <c r="F42" s="68">
        <f t="shared" si="6"/>
        <v>710980.87428467511</v>
      </c>
      <c r="G42" s="70">
        <f t="shared" si="7"/>
        <v>210937.21858215937</v>
      </c>
      <c r="H42" s="52">
        <f t="shared" si="8"/>
        <v>210937.21858215937</v>
      </c>
      <c r="I42" s="65">
        <f t="shared" si="1"/>
        <v>0</v>
      </c>
      <c r="J42" s="65"/>
      <c r="K42" s="130"/>
      <c r="L42" s="67">
        <f t="shared" si="9"/>
        <v>0</v>
      </c>
      <c r="M42" s="130"/>
      <c r="N42" s="67">
        <f t="shared" si="3"/>
        <v>0</v>
      </c>
      <c r="O42" s="67">
        <f t="shared" si="4"/>
        <v>0</v>
      </c>
      <c r="P42" s="4"/>
    </row>
    <row r="43" spans="2:16" ht="12.5">
      <c r="B43" t="str">
        <f t="shared" si="0"/>
        <v/>
      </c>
      <c r="C43" s="62">
        <f>IF(D11="","-",+C42+1)</f>
        <v>2046</v>
      </c>
      <c r="D43" s="71">
        <f>IF(F42+SUM(E$17:E42)=D$10,F42,D$10-SUM(E$17:E42))</f>
        <v>710980.87428467511</v>
      </c>
      <c r="E43" s="69">
        <f t="shared" si="5"/>
        <v>127142.25806451614</v>
      </c>
      <c r="F43" s="68">
        <f t="shared" si="6"/>
        <v>583838.61622015899</v>
      </c>
      <c r="G43" s="70">
        <f t="shared" si="7"/>
        <v>197182.32485131099</v>
      </c>
      <c r="H43" s="52">
        <f t="shared" si="8"/>
        <v>197182.32485131099</v>
      </c>
      <c r="I43" s="65">
        <f t="shared" si="1"/>
        <v>0</v>
      </c>
      <c r="J43" s="65"/>
      <c r="K43" s="130"/>
      <c r="L43" s="67">
        <f t="shared" si="9"/>
        <v>0</v>
      </c>
      <c r="M43" s="130"/>
      <c r="N43" s="67">
        <f t="shared" si="3"/>
        <v>0</v>
      </c>
      <c r="O43" s="67">
        <f t="shared" si="4"/>
        <v>0</v>
      </c>
      <c r="P43" s="4"/>
    </row>
    <row r="44" spans="2:16" ht="12.5">
      <c r="B44" t="str">
        <f t="shared" si="0"/>
        <v/>
      </c>
      <c r="C44" s="62">
        <f>IF(D11="","-",+C43+1)</f>
        <v>2047</v>
      </c>
      <c r="D44" s="71">
        <f>IF(F43+SUM(E$17:E43)=D$10,F43,D$10-SUM(E$17:E43))</f>
        <v>583838.61622015899</v>
      </c>
      <c r="E44" s="69">
        <f t="shared" si="5"/>
        <v>127142.25806451614</v>
      </c>
      <c r="F44" s="68">
        <f t="shared" si="6"/>
        <v>456696.35815564287</v>
      </c>
      <c r="G44" s="70">
        <f t="shared" si="7"/>
        <v>183427.43112046263</v>
      </c>
      <c r="H44" s="52">
        <f t="shared" si="8"/>
        <v>183427.43112046263</v>
      </c>
      <c r="I44" s="65">
        <f t="shared" si="1"/>
        <v>0</v>
      </c>
      <c r="J44" s="65"/>
      <c r="K44" s="130"/>
      <c r="L44" s="67">
        <f t="shared" si="9"/>
        <v>0</v>
      </c>
      <c r="M44" s="130"/>
      <c r="N44" s="67">
        <f t="shared" si="3"/>
        <v>0</v>
      </c>
      <c r="O44" s="67">
        <f t="shared" si="4"/>
        <v>0</v>
      </c>
      <c r="P44" s="4"/>
    </row>
    <row r="45" spans="2:16" ht="12.5">
      <c r="B45" t="str">
        <f t="shared" si="0"/>
        <v/>
      </c>
      <c r="C45" s="62">
        <f>IF(D11="","-",+C44+1)</f>
        <v>2048</v>
      </c>
      <c r="D45" s="71">
        <f>IF(F44+SUM(E$17:E44)=D$10,F44,D$10-SUM(E$17:E44))</f>
        <v>456696.35815564287</v>
      </c>
      <c r="E45" s="69">
        <f t="shared" si="5"/>
        <v>127142.25806451614</v>
      </c>
      <c r="F45" s="68">
        <f t="shared" si="6"/>
        <v>329554.10009112675</v>
      </c>
      <c r="G45" s="70">
        <f t="shared" si="7"/>
        <v>169672.53738961424</v>
      </c>
      <c r="H45" s="52">
        <f t="shared" si="8"/>
        <v>169672.53738961424</v>
      </c>
      <c r="I45" s="65">
        <f t="shared" si="1"/>
        <v>0</v>
      </c>
      <c r="J45" s="65"/>
      <c r="K45" s="130"/>
      <c r="L45" s="67">
        <f t="shared" si="9"/>
        <v>0</v>
      </c>
      <c r="M45" s="130"/>
      <c r="N45" s="67">
        <f t="shared" si="3"/>
        <v>0</v>
      </c>
      <c r="O45" s="67">
        <f t="shared" si="4"/>
        <v>0</v>
      </c>
      <c r="P45" s="4"/>
    </row>
    <row r="46" spans="2:16" ht="12.5">
      <c r="B46" t="str">
        <f t="shared" si="0"/>
        <v/>
      </c>
      <c r="C46" s="62">
        <f>IF(D11="","-",+C45+1)</f>
        <v>2049</v>
      </c>
      <c r="D46" s="71">
        <f>IF(F45+SUM(E$17:E45)=D$10,F45,D$10-SUM(E$17:E45))</f>
        <v>329554.10009112675</v>
      </c>
      <c r="E46" s="69">
        <f t="shared" si="5"/>
        <v>127142.25806451614</v>
      </c>
      <c r="F46" s="68">
        <f t="shared" si="6"/>
        <v>202411.84202661063</v>
      </c>
      <c r="G46" s="70">
        <f t="shared" si="7"/>
        <v>155917.64365876585</v>
      </c>
      <c r="H46" s="52">
        <f t="shared" si="8"/>
        <v>155917.64365876585</v>
      </c>
      <c r="I46" s="65">
        <f t="shared" si="1"/>
        <v>0</v>
      </c>
      <c r="J46" s="65"/>
      <c r="K46" s="130"/>
      <c r="L46" s="67">
        <f t="shared" si="9"/>
        <v>0</v>
      </c>
      <c r="M46" s="130"/>
      <c r="N46" s="67">
        <f t="shared" si="3"/>
        <v>0</v>
      </c>
      <c r="O46" s="67">
        <f t="shared" si="4"/>
        <v>0</v>
      </c>
      <c r="P46" s="4"/>
    </row>
    <row r="47" spans="2:16" ht="12.5">
      <c r="B47" t="str">
        <f t="shared" si="0"/>
        <v/>
      </c>
      <c r="C47" s="62">
        <f>IF(D11="","-",+C46+1)</f>
        <v>2050</v>
      </c>
      <c r="D47" s="71">
        <f>IF(F46+SUM(E$17:E46)=D$10,F46,D$10-SUM(E$17:E46))</f>
        <v>202411.84202661063</v>
      </c>
      <c r="E47" s="69">
        <f t="shared" si="5"/>
        <v>127142.25806451614</v>
      </c>
      <c r="F47" s="68">
        <f t="shared" si="6"/>
        <v>75269.58396209449</v>
      </c>
      <c r="G47" s="70">
        <f t="shared" si="7"/>
        <v>142162.7499279175</v>
      </c>
      <c r="H47" s="52">
        <f t="shared" si="8"/>
        <v>142162.7499279175</v>
      </c>
      <c r="I47" s="65">
        <f t="shared" si="1"/>
        <v>0</v>
      </c>
      <c r="J47" s="65"/>
      <c r="K47" s="130"/>
      <c r="L47" s="67">
        <f t="shared" si="9"/>
        <v>0</v>
      </c>
      <c r="M47" s="130"/>
      <c r="N47" s="67">
        <f t="shared" si="3"/>
        <v>0</v>
      </c>
      <c r="O47" s="67">
        <f t="shared" si="4"/>
        <v>0</v>
      </c>
      <c r="P47" s="4"/>
    </row>
    <row r="48" spans="2:16" ht="12.5">
      <c r="B48" t="str">
        <f t="shared" si="0"/>
        <v/>
      </c>
      <c r="C48" s="62">
        <f>IF(D11="","-",+C47+1)</f>
        <v>2051</v>
      </c>
      <c r="D48" s="71">
        <f>IF(F47+SUM(E$17:E47)=D$10,F47,D$10-SUM(E$17:E47))</f>
        <v>75269.58396209449</v>
      </c>
      <c r="E48" s="69">
        <f t="shared" si="5"/>
        <v>75269.58396209449</v>
      </c>
      <c r="F48" s="68">
        <f t="shared" si="6"/>
        <v>0</v>
      </c>
      <c r="G48" s="70">
        <f t="shared" si="7"/>
        <v>79341.106461083065</v>
      </c>
      <c r="H48" s="52">
        <f t="shared" si="8"/>
        <v>79341.106461083065</v>
      </c>
      <c r="I48" s="65">
        <f t="shared" si="1"/>
        <v>0</v>
      </c>
      <c r="J48" s="65"/>
      <c r="K48" s="130"/>
      <c r="L48" s="67">
        <f t="shared" si="9"/>
        <v>0</v>
      </c>
      <c r="M48" s="130"/>
      <c r="N48" s="67">
        <f t="shared" si="3"/>
        <v>0</v>
      </c>
      <c r="O48" s="67">
        <f t="shared" si="4"/>
        <v>0</v>
      </c>
      <c r="P48" s="4"/>
    </row>
    <row r="49" spans="2:16" ht="12.5">
      <c r="B49" t="str">
        <f t="shared" si="0"/>
        <v/>
      </c>
      <c r="C49" s="62">
        <f>IF(D11="","-",+C48+1)</f>
        <v>2052</v>
      </c>
      <c r="D49" s="71">
        <f>IF(F48+SUM(E$17:E48)=D$10,F48,D$10-SUM(E$17:E48))</f>
        <v>0</v>
      </c>
      <c r="E49" s="69">
        <f t="shared" si="5"/>
        <v>0</v>
      </c>
      <c r="F49" s="68">
        <f t="shared" si="6"/>
        <v>0</v>
      </c>
      <c r="G49" s="70">
        <f t="shared" si="7"/>
        <v>0</v>
      </c>
      <c r="H49" s="52">
        <f t="shared" si="8"/>
        <v>0</v>
      </c>
      <c r="I49" s="65">
        <f t="shared" si="1"/>
        <v>0</v>
      </c>
      <c r="J49" s="65"/>
      <c r="K49" s="130"/>
      <c r="L49" s="67">
        <f t="shared" si="9"/>
        <v>0</v>
      </c>
      <c r="M49" s="130"/>
      <c r="N49" s="67">
        <f t="shared" si="3"/>
        <v>0</v>
      </c>
      <c r="O49" s="67">
        <f t="shared" si="4"/>
        <v>0</v>
      </c>
      <c r="P49" s="4"/>
    </row>
    <row r="50" spans="2:16" ht="12.5">
      <c r="B50" t="str">
        <f t="shared" si="0"/>
        <v/>
      </c>
      <c r="C50" s="62">
        <f>IF(D11="","-",+C49+1)</f>
        <v>2053</v>
      </c>
      <c r="D50" s="71">
        <f>IF(F49+SUM(E$17:E49)=D$10,F49,D$10-SUM(E$17:E49))</f>
        <v>0</v>
      </c>
      <c r="E50" s="69">
        <f t="shared" si="5"/>
        <v>0</v>
      </c>
      <c r="F50" s="68">
        <f t="shared" si="6"/>
        <v>0</v>
      </c>
      <c r="G50" s="70">
        <f t="shared" si="7"/>
        <v>0</v>
      </c>
      <c r="H50" s="52">
        <f t="shared" si="8"/>
        <v>0</v>
      </c>
      <c r="I50" s="65">
        <f t="shared" si="1"/>
        <v>0</v>
      </c>
      <c r="J50" s="65"/>
      <c r="K50" s="130"/>
      <c r="L50" s="67">
        <f t="shared" si="9"/>
        <v>0</v>
      </c>
      <c r="M50" s="130"/>
      <c r="N50" s="67">
        <f t="shared" si="3"/>
        <v>0</v>
      </c>
      <c r="O50" s="67">
        <f t="shared" si="4"/>
        <v>0</v>
      </c>
      <c r="P50" s="4"/>
    </row>
    <row r="51" spans="2:16" ht="12.5">
      <c r="B51" t="str">
        <f t="shared" si="0"/>
        <v/>
      </c>
      <c r="C51" s="62">
        <f>IF(D11="","-",+C50+1)</f>
        <v>2054</v>
      </c>
      <c r="D51" s="71">
        <f>IF(F50+SUM(E$17:E50)=D$10,F50,D$10-SUM(E$17:E50))</f>
        <v>0</v>
      </c>
      <c r="E51" s="69">
        <f t="shared" si="5"/>
        <v>0</v>
      </c>
      <c r="F51" s="68">
        <f t="shared" si="6"/>
        <v>0</v>
      </c>
      <c r="G51" s="70">
        <f t="shared" si="7"/>
        <v>0</v>
      </c>
      <c r="H51" s="52">
        <f t="shared" si="8"/>
        <v>0</v>
      </c>
      <c r="I51" s="65">
        <f t="shared" si="1"/>
        <v>0</v>
      </c>
      <c r="J51" s="65"/>
      <c r="K51" s="130"/>
      <c r="L51" s="67">
        <f t="shared" si="9"/>
        <v>0</v>
      </c>
      <c r="M51" s="130"/>
      <c r="N51" s="67">
        <f t="shared" si="3"/>
        <v>0</v>
      </c>
      <c r="O51" s="67">
        <f t="shared" si="4"/>
        <v>0</v>
      </c>
      <c r="P51" s="4"/>
    </row>
    <row r="52" spans="2:16" ht="12.5">
      <c r="B52" t="str">
        <f t="shared" si="0"/>
        <v/>
      </c>
      <c r="C52" s="62">
        <f>IF(D11="","-",+C51+1)</f>
        <v>2055</v>
      </c>
      <c r="D52" s="71">
        <f>IF(F51+SUM(E$17:E51)=D$10,F51,D$10-SUM(E$17:E51))</f>
        <v>0</v>
      </c>
      <c r="E52" s="69">
        <f t="shared" si="5"/>
        <v>0</v>
      </c>
      <c r="F52" s="68">
        <f t="shared" si="6"/>
        <v>0</v>
      </c>
      <c r="G52" s="70">
        <f t="shared" si="7"/>
        <v>0</v>
      </c>
      <c r="H52" s="52">
        <f t="shared" si="8"/>
        <v>0</v>
      </c>
      <c r="I52" s="65">
        <f t="shared" si="1"/>
        <v>0</v>
      </c>
      <c r="J52" s="65"/>
      <c r="K52" s="130"/>
      <c r="L52" s="67">
        <f t="shared" si="9"/>
        <v>0</v>
      </c>
      <c r="M52" s="130"/>
      <c r="N52" s="67">
        <f t="shared" si="3"/>
        <v>0</v>
      </c>
      <c r="O52" s="67">
        <f t="shared" si="4"/>
        <v>0</v>
      </c>
      <c r="P52" s="4"/>
    </row>
    <row r="53" spans="2:16" ht="12.5">
      <c r="B53" t="str">
        <f t="shared" si="0"/>
        <v/>
      </c>
      <c r="C53" s="62">
        <f>IF(D11="","-",+C52+1)</f>
        <v>2056</v>
      </c>
      <c r="D53" s="71">
        <f>IF(F52+SUM(E$17:E52)=D$10,F52,D$10-SUM(E$17:E52))</f>
        <v>0</v>
      </c>
      <c r="E53" s="69">
        <f t="shared" si="5"/>
        <v>0</v>
      </c>
      <c r="F53" s="68">
        <f t="shared" si="6"/>
        <v>0</v>
      </c>
      <c r="G53" s="70">
        <f t="shared" si="7"/>
        <v>0</v>
      </c>
      <c r="H53" s="52">
        <f t="shared" si="8"/>
        <v>0</v>
      </c>
      <c r="I53" s="65">
        <f t="shared" si="1"/>
        <v>0</v>
      </c>
      <c r="J53" s="65"/>
      <c r="K53" s="130"/>
      <c r="L53" s="67">
        <f t="shared" si="9"/>
        <v>0</v>
      </c>
      <c r="M53" s="130"/>
      <c r="N53" s="67">
        <f t="shared" si="3"/>
        <v>0</v>
      </c>
      <c r="O53" s="67">
        <f t="shared" si="4"/>
        <v>0</v>
      </c>
      <c r="P53" s="4"/>
    </row>
    <row r="54" spans="2:16" ht="12.5">
      <c r="B54" t="str">
        <f t="shared" si="0"/>
        <v/>
      </c>
      <c r="C54" s="62">
        <f>IF(D11="","-",+C53+1)</f>
        <v>2057</v>
      </c>
      <c r="D54" s="71">
        <f>IF(F53+SUM(E$17:E53)=D$10,F53,D$10-SUM(E$17:E53))</f>
        <v>0</v>
      </c>
      <c r="E54" s="69">
        <f t="shared" si="5"/>
        <v>0</v>
      </c>
      <c r="F54" s="68">
        <f t="shared" si="6"/>
        <v>0</v>
      </c>
      <c r="G54" s="70">
        <f t="shared" si="7"/>
        <v>0</v>
      </c>
      <c r="H54" s="52">
        <f t="shared" si="8"/>
        <v>0</v>
      </c>
      <c r="I54" s="65">
        <f t="shared" si="1"/>
        <v>0</v>
      </c>
      <c r="J54" s="65"/>
      <c r="K54" s="130"/>
      <c r="L54" s="67">
        <f t="shared" si="9"/>
        <v>0</v>
      </c>
      <c r="M54" s="130"/>
      <c r="N54" s="67">
        <f t="shared" si="3"/>
        <v>0</v>
      </c>
      <c r="O54" s="67">
        <f t="shared" si="4"/>
        <v>0</v>
      </c>
      <c r="P54" s="4"/>
    </row>
    <row r="55" spans="2:16" ht="12.5">
      <c r="B55" t="str">
        <f t="shared" si="0"/>
        <v/>
      </c>
      <c r="C55" s="62">
        <f>IF(D11="","-",+C54+1)</f>
        <v>2058</v>
      </c>
      <c r="D55" s="71">
        <f>IF(F54+SUM(E$17:E54)=D$10,F54,D$10-SUM(E$17:E54))</f>
        <v>0</v>
      </c>
      <c r="E55" s="69">
        <f t="shared" si="5"/>
        <v>0</v>
      </c>
      <c r="F55" s="68">
        <f t="shared" si="6"/>
        <v>0</v>
      </c>
      <c r="G55" s="70">
        <f t="shared" si="7"/>
        <v>0</v>
      </c>
      <c r="H55" s="52">
        <f t="shared" si="8"/>
        <v>0</v>
      </c>
      <c r="I55" s="65">
        <f t="shared" si="1"/>
        <v>0</v>
      </c>
      <c r="J55" s="65"/>
      <c r="K55" s="130"/>
      <c r="L55" s="67">
        <f t="shared" si="9"/>
        <v>0</v>
      </c>
      <c r="M55" s="130"/>
      <c r="N55" s="67">
        <f t="shared" si="3"/>
        <v>0</v>
      </c>
      <c r="O55" s="67">
        <f t="shared" si="4"/>
        <v>0</v>
      </c>
      <c r="P55" s="4"/>
    </row>
    <row r="56" spans="2:16" ht="12.5">
      <c r="B56" t="str">
        <f t="shared" si="0"/>
        <v/>
      </c>
      <c r="C56" s="62">
        <f>IF(D11="","-",+C55+1)</f>
        <v>2059</v>
      </c>
      <c r="D56" s="71">
        <f>IF(F55+SUM(E$17:E55)=D$10,F55,D$10-SUM(E$17:E55))</f>
        <v>0</v>
      </c>
      <c r="E56" s="69">
        <f t="shared" si="5"/>
        <v>0</v>
      </c>
      <c r="F56" s="68">
        <f t="shared" si="6"/>
        <v>0</v>
      </c>
      <c r="G56" s="70">
        <f t="shared" si="7"/>
        <v>0</v>
      </c>
      <c r="H56" s="52">
        <f t="shared" si="8"/>
        <v>0</v>
      </c>
      <c r="I56" s="65">
        <f t="shared" si="1"/>
        <v>0</v>
      </c>
      <c r="J56" s="65"/>
      <c r="K56" s="130"/>
      <c r="L56" s="67">
        <f t="shared" si="9"/>
        <v>0</v>
      </c>
      <c r="M56" s="130"/>
      <c r="N56" s="67">
        <f t="shared" si="3"/>
        <v>0</v>
      </c>
      <c r="O56" s="67">
        <f t="shared" si="4"/>
        <v>0</v>
      </c>
      <c r="P56" s="4"/>
    </row>
    <row r="57" spans="2:16" ht="12.5">
      <c r="B57" t="str">
        <f t="shared" si="0"/>
        <v/>
      </c>
      <c r="C57" s="62">
        <f>IF(D11="","-",+C56+1)</f>
        <v>2060</v>
      </c>
      <c r="D57" s="71">
        <f>IF(F56+SUM(E$17:E56)=D$10,F56,D$10-SUM(E$17:E56))</f>
        <v>0</v>
      </c>
      <c r="E57" s="69">
        <f t="shared" si="5"/>
        <v>0</v>
      </c>
      <c r="F57" s="68">
        <f t="shared" si="6"/>
        <v>0</v>
      </c>
      <c r="G57" s="70">
        <f t="shared" si="7"/>
        <v>0</v>
      </c>
      <c r="H57" s="52">
        <f t="shared" si="8"/>
        <v>0</v>
      </c>
      <c r="I57" s="65">
        <f t="shared" si="1"/>
        <v>0</v>
      </c>
      <c r="J57" s="65"/>
      <c r="K57" s="130"/>
      <c r="L57" s="67">
        <f t="shared" si="9"/>
        <v>0</v>
      </c>
      <c r="M57" s="130"/>
      <c r="N57" s="67">
        <f t="shared" si="3"/>
        <v>0</v>
      </c>
      <c r="O57" s="67">
        <f t="shared" si="4"/>
        <v>0</v>
      </c>
      <c r="P57" s="4"/>
    </row>
    <row r="58" spans="2:16" ht="12.5">
      <c r="B58" t="str">
        <f t="shared" si="0"/>
        <v/>
      </c>
      <c r="C58" s="62">
        <f>IF(D11="","-",+C57+1)</f>
        <v>2061</v>
      </c>
      <c r="D58" s="71">
        <f>IF(F57+SUM(E$17:E57)=D$10,F57,D$10-SUM(E$17:E57))</f>
        <v>0</v>
      </c>
      <c r="E58" s="69">
        <f t="shared" si="5"/>
        <v>0</v>
      </c>
      <c r="F58" s="68">
        <f t="shared" si="6"/>
        <v>0</v>
      </c>
      <c r="G58" s="70">
        <f t="shared" si="7"/>
        <v>0</v>
      </c>
      <c r="H58" s="52">
        <f t="shared" si="8"/>
        <v>0</v>
      </c>
      <c r="I58" s="65">
        <f t="shared" si="1"/>
        <v>0</v>
      </c>
      <c r="J58" s="65"/>
      <c r="K58" s="130"/>
      <c r="L58" s="67">
        <f t="shared" si="9"/>
        <v>0</v>
      </c>
      <c r="M58" s="130"/>
      <c r="N58" s="67">
        <f t="shared" si="3"/>
        <v>0</v>
      </c>
      <c r="O58" s="67">
        <f t="shared" si="4"/>
        <v>0</v>
      </c>
      <c r="P58" s="4"/>
    </row>
    <row r="59" spans="2:16" ht="12.5">
      <c r="B59" t="str">
        <f t="shared" si="0"/>
        <v/>
      </c>
      <c r="C59" s="62">
        <f>IF(D11="","-",+C58+1)</f>
        <v>2062</v>
      </c>
      <c r="D59" s="71">
        <f>IF(F58+SUM(E$17:E58)=D$10,F58,D$10-SUM(E$17:E58))</f>
        <v>0</v>
      </c>
      <c r="E59" s="69">
        <f t="shared" si="5"/>
        <v>0</v>
      </c>
      <c r="F59" s="68">
        <f t="shared" si="6"/>
        <v>0</v>
      </c>
      <c r="G59" s="70">
        <f t="shared" si="7"/>
        <v>0</v>
      </c>
      <c r="H59" s="52">
        <f t="shared" si="8"/>
        <v>0</v>
      </c>
      <c r="I59" s="65">
        <f t="shared" si="1"/>
        <v>0</v>
      </c>
      <c r="J59" s="65"/>
      <c r="K59" s="130"/>
      <c r="L59" s="67">
        <f t="shared" si="9"/>
        <v>0</v>
      </c>
      <c r="M59" s="130"/>
      <c r="N59" s="67">
        <f t="shared" si="3"/>
        <v>0</v>
      </c>
      <c r="O59" s="67">
        <f t="shared" si="4"/>
        <v>0</v>
      </c>
      <c r="P59" s="4"/>
    </row>
    <row r="60" spans="2:16" ht="12.5">
      <c r="B60" t="str">
        <f t="shared" si="0"/>
        <v/>
      </c>
      <c r="C60" s="62">
        <f>IF(D11="","-",+C59+1)</f>
        <v>2063</v>
      </c>
      <c r="D60" s="71">
        <f>IF(F59+SUM(E$17:E59)=D$10,F59,D$10-SUM(E$17:E59))</f>
        <v>0</v>
      </c>
      <c r="E60" s="69">
        <f t="shared" si="5"/>
        <v>0</v>
      </c>
      <c r="F60" s="68">
        <f t="shared" si="6"/>
        <v>0</v>
      </c>
      <c r="G60" s="70">
        <f t="shared" si="7"/>
        <v>0</v>
      </c>
      <c r="H60" s="52">
        <f t="shared" si="8"/>
        <v>0</v>
      </c>
      <c r="I60" s="65">
        <f t="shared" si="1"/>
        <v>0</v>
      </c>
      <c r="J60" s="65"/>
      <c r="K60" s="130"/>
      <c r="L60" s="67">
        <f t="shared" si="9"/>
        <v>0</v>
      </c>
      <c r="M60" s="130"/>
      <c r="N60" s="67">
        <f t="shared" si="3"/>
        <v>0</v>
      </c>
      <c r="O60" s="67">
        <f t="shared" si="4"/>
        <v>0</v>
      </c>
      <c r="P60" s="4"/>
    </row>
    <row r="61" spans="2:16" ht="12.5">
      <c r="B61" t="str">
        <f t="shared" si="0"/>
        <v/>
      </c>
      <c r="C61" s="62">
        <f>IF(D11="","-",+C60+1)</f>
        <v>2064</v>
      </c>
      <c r="D61" s="71">
        <f>IF(F60+SUM(E$17:E60)=D$10,F60,D$10-SUM(E$17:E60))</f>
        <v>0</v>
      </c>
      <c r="E61" s="69">
        <f t="shared" si="5"/>
        <v>0</v>
      </c>
      <c r="F61" s="68">
        <f t="shared" si="6"/>
        <v>0</v>
      </c>
      <c r="G61" s="72">
        <f t="shared" si="7"/>
        <v>0</v>
      </c>
      <c r="H61" s="52">
        <f t="shared" si="8"/>
        <v>0</v>
      </c>
      <c r="I61" s="65">
        <f t="shared" si="1"/>
        <v>0</v>
      </c>
      <c r="J61" s="65"/>
      <c r="K61" s="130"/>
      <c r="L61" s="67">
        <f t="shared" si="9"/>
        <v>0</v>
      </c>
      <c r="M61" s="130"/>
      <c r="N61" s="67">
        <f t="shared" si="3"/>
        <v>0</v>
      </c>
      <c r="O61" s="67">
        <f t="shared" si="4"/>
        <v>0</v>
      </c>
      <c r="P61" s="4"/>
    </row>
    <row r="62" spans="2:16" ht="12.5">
      <c r="B62" t="str">
        <f t="shared" si="0"/>
        <v/>
      </c>
      <c r="C62" s="62">
        <f>IF(D11="","-",+C61+1)</f>
        <v>2065</v>
      </c>
      <c r="D62" s="71">
        <f>IF(F61+SUM(E$17:E61)=D$10,F61,D$10-SUM(E$17:E61))</f>
        <v>0</v>
      </c>
      <c r="E62" s="69">
        <f t="shared" si="5"/>
        <v>0</v>
      </c>
      <c r="F62" s="68">
        <f t="shared" si="6"/>
        <v>0</v>
      </c>
      <c r="G62" s="72">
        <f t="shared" si="7"/>
        <v>0</v>
      </c>
      <c r="H62" s="52">
        <f t="shared" si="8"/>
        <v>0</v>
      </c>
      <c r="I62" s="65">
        <f t="shared" si="1"/>
        <v>0</v>
      </c>
      <c r="J62" s="65"/>
      <c r="K62" s="130"/>
      <c r="L62" s="67">
        <f t="shared" si="9"/>
        <v>0</v>
      </c>
      <c r="M62" s="130"/>
      <c r="N62" s="67">
        <f t="shared" si="3"/>
        <v>0</v>
      </c>
      <c r="O62" s="67">
        <f t="shared" si="4"/>
        <v>0</v>
      </c>
      <c r="P62" s="4"/>
    </row>
    <row r="63" spans="2:16" ht="12.5">
      <c r="B63" t="str">
        <f t="shared" si="0"/>
        <v/>
      </c>
      <c r="C63" s="62">
        <f>IF(D11="","-",+C62+1)</f>
        <v>2066</v>
      </c>
      <c r="D63" s="71">
        <f>IF(F62+SUM(E$17:E62)=D$10,F62,D$10-SUM(E$17:E62))</f>
        <v>0</v>
      </c>
      <c r="E63" s="69">
        <f t="shared" si="5"/>
        <v>0</v>
      </c>
      <c r="F63" s="68">
        <f t="shared" si="6"/>
        <v>0</v>
      </c>
      <c r="G63" s="72">
        <f t="shared" si="7"/>
        <v>0</v>
      </c>
      <c r="H63" s="52">
        <f t="shared" si="8"/>
        <v>0</v>
      </c>
      <c r="I63" s="65">
        <f t="shared" si="1"/>
        <v>0</v>
      </c>
      <c r="J63" s="65"/>
      <c r="K63" s="130"/>
      <c r="L63" s="67">
        <f t="shared" si="9"/>
        <v>0</v>
      </c>
      <c r="M63" s="130"/>
      <c r="N63" s="67">
        <f t="shared" si="3"/>
        <v>0</v>
      </c>
      <c r="O63" s="67">
        <f t="shared" si="4"/>
        <v>0</v>
      </c>
      <c r="P63" s="4"/>
    </row>
    <row r="64" spans="2:16" ht="12.5">
      <c r="B64" t="str">
        <f t="shared" si="0"/>
        <v/>
      </c>
      <c r="C64" s="62">
        <f>IF(D11="","-",+C63+1)</f>
        <v>2067</v>
      </c>
      <c r="D64" s="71">
        <f>IF(F63+SUM(E$17:E63)=D$10,F63,D$10-SUM(E$17:E63))</f>
        <v>0</v>
      </c>
      <c r="E64" s="69">
        <f t="shared" si="5"/>
        <v>0</v>
      </c>
      <c r="F64" s="68">
        <f t="shared" si="6"/>
        <v>0</v>
      </c>
      <c r="G64" s="72">
        <f t="shared" si="7"/>
        <v>0</v>
      </c>
      <c r="H64" s="52">
        <f t="shared" si="8"/>
        <v>0</v>
      </c>
      <c r="I64" s="65">
        <f t="shared" si="1"/>
        <v>0</v>
      </c>
      <c r="J64" s="65"/>
      <c r="K64" s="130"/>
      <c r="L64" s="67">
        <f t="shared" si="9"/>
        <v>0</v>
      </c>
      <c r="M64" s="130"/>
      <c r="N64" s="67">
        <f t="shared" si="3"/>
        <v>0</v>
      </c>
      <c r="O64" s="67">
        <f t="shared" si="4"/>
        <v>0</v>
      </c>
      <c r="P64" s="4"/>
    </row>
    <row r="65" spans="2:16" ht="12.5">
      <c r="B65" t="str">
        <f t="shared" si="0"/>
        <v/>
      </c>
      <c r="C65" s="62">
        <f>IF(D11="","-",+C64+1)</f>
        <v>2068</v>
      </c>
      <c r="D65" s="71">
        <f>IF(F64+SUM(E$17:E64)=D$10,F64,D$10-SUM(E$17:E64))</f>
        <v>0</v>
      </c>
      <c r="E65" s="69">
        <f t="shared" si="5"/>
        <v>0</v>
      </c>
      <c r="F65" s="68">
        <f t="shared" si="6"/>
        <v>0</v>
      </c>
      <c r="G65" s="72">
        <f t="shared" si="7"/>
        <v>0</v>
      </c>
      <c r="H65" s="52">
        <f t="shared" si="8"/>
        <v>0</v>
      </c>
      <c r="I65" s="65">
        <f t="shared" si="1"/>
        <v>0</v>
      </c>
      <c r="J65" s="65"/>
      <c r="K65" s="130"/>
      <c r="L65" s="67">
        <f t="shared" si="9"/>
        <v>0</v>
      </c>
      <c r="M65" s="130"/>
      <c r="N65" s="67">
        <f t="shared" si="3"/>
        <v>0</v>
      </c>
      <c r="O65" s="67">
        <f t="shared" si="4"/>
        <v>0</v>
      </c>
      <c r="P65" s="4"/>
    </row>
    <row r="66" spans="2:16" ht="12.5">
      <c r="B66" t="str">
        <f t="shared" si="0"/>
        <v/>
      </c>
      <c r="C66" s="62">
        <f>IF(D11="","-",+C65+1)</f>
        <v>2069</v>
      </c>
      <c r="D66" s="71">
        <f>IF(F65+SUM(E$17:E65)=D$10,F65,D$10-SUM(E$17:E65))</f>
        <v>0</v>
      </c>
      <c r="E66" s="69">
        <f t="shared" si="5"/>
        <v>0</v>
      </c>
      <c r="F66" s="68">
        <f t="shared" si="6"/>
        <v>0</v>
      </c>
      <c r="G66" s="72">
        <f t="shared" si="7"/>
        <v>0</v>
      </c>
      <c r="H66" s="52">
        <f t="shared" si="8"/>
        <v>0</v>
      </c>
      <c r="I66" s="65">
        <f t="shared" si="1"/>
        <v>0</v>
      </c>
      <c r="J66" s="65"/>
      <c r="K66" s="130"/>
      <c r="L66" s="67">
        <f t="shared" si="9"/>
        <v>0</v>
      </c>
      <c r="M66" s="130"/>
      <c r="N66" s="67">
        <f t="shared" si="3"/>
        <v>0</v>
      </c>
      <c r="O66" s="67">
        <f t="shared" si="4"/>
        <v>0</v>
      </c>
      <c r="P66" s="4"/>
    </row>
    <row r="67" spans="2:16" ht="12.5">
      <c r="B67" t="str">
        <f t="shared" si="0"/>
        <v/>
      </c>
      <c r="C67" s="62">
        <f>IF(D11="","-",+C66+1)</f>
        <v>2070</v>
      </c>
      <c r="D67" s="71">
        <f>IF(F66+SUM(E$17:E66)=D$10,F66,D$10-SUM(E$17:E66))</f>
        <v>0</v>
      </c>
      <c r="E67" s="69">
        <f t="shared" si="5"/>
        <v>0</v>
      </c>
      <c r="F67" s="68">
        <f t="shared" si="6"/>
        <v>0</v>
      </c>
      <c r="G67" s="72">
        <f t="shared" si="7"/>
        <v>0</v>
      </c>
      <c r="H67" s="52">
        <f t="shared" si="8"/>
        <v>0</v>
      </c>
      <c r="I67" s="65">
        <f t="shared" si="1"/>
        <v>0</v>
      </c>
      <c r="J67" s="65"/>
      <c r="K67" s="130"/>
      <c r="L67" s="67">
        <f t="shared" si="9"/>
        <v>0</v>
      </c>
      <c r="M67" s="130"/>
      <c r="N67" s="67">
        <f t="shared" si="3"/>
        <v>0</v>
      </c>
      <c r="O67" s="67">
        <f t="shared" si="4"/>
        <v>0</v>
      </c>
      <c r="P67" s="4"/>
    </row>
    <row r="68" spans="2:16" ht="12.5">
      <c r="B68" t="str">
        <f t="shared" si="0"/>
        <v/>
      </c>
      <c r="C68" s="62">
        <f>IF(D11="","-",+C67+1)</f>
        <v>2071</v>
      </c>
      <c r="D68" s="71">
        <f>IF(F67+SUM(E$17:E67)=D$10,F67,D$10-SUM(E$17:E67))</f>
        <v>0</v>
      </c>
      <c r="E68" s="69">
        <f t="shared" si="5"/>
        <v>0</v>
      </c>
      <c r="F68" s="68">
        <f t="shared" si="6"/>
        <v>0</v>
      </c>
      <c r="G68" s="72">
        <f t="shared" si="7"/>
        <v>0</v>
      </c>
      <c r="H68" s="52">
        <f t="shared" si="8"/>
        <v>0</v>
      </c>
      <c r="I68" s="65">
        <f t="shared" si="1"/>
        <v>0</v>
      </c>
      <c r="J68" s="65"/>
      <c r="K68" s="130"/>
      <c r="L68" s="67">
        <f t="shared" si="9"/>
        <v>0</v>
      </c>
      <c r="M68" s="130"/>
      <c r="N68" s="67">
        <f t="shared" si="3"/>
        <v>0</v>
      </c>
      <c r="O68" s="67">
        <f t="shared" si="4"/>
        <v>0</v>
      </c>
      <c r="P68" s="4"/>
    </row>
    <row r="69" spans="2:16" ht="12.5">
      <c r="B69" t="str">
        <f t="shared" si="0"/>
        <v/>
      </c>
      <c r="C69" s="62">
        <f>IF(D11="","-",+C68+1)</f>
        <v>2072</v>
      </c>
      <c r="D69" s="71">
        <f>IF(F68+SUM(E$17:E68)=D$10,F68,D$10-SUM(E$17:E68))</f>
        <v>0</v>
      </c>
      <c r="E69" s="69">
        <f t="shared" si="5"/>
        <v>0</v>
      </c>
      <c r="F69" s="68">
        <f t="shared" si="6"/>
        <v>0</v>
      </c>
      <c r="G69" s="72">
        <f t="shared" si="7"/>
        <v>0</v>
      </c>
      <c r="H69" s="52">
        <f t="shared" si="8"/>
        <v>0</v>
      </c>
      <c r="I69" s="65">
        <f t="shared" si="1"/>
        <v>0</v>
      </c>
      <c r="J69" s="65"/>
      <c r="K69" s="130"/>
      <c r="L69" s="67">
        <f t="shared" si="9"/>
        <v>0</v>
      </c>
      <c r="M69" s="130"/>
      <c r="N69" s="67">
        <f t="shared" si="3"/>
        <v>0</v>
      </c>
      <c r="O69" s="67">
        <f t="shared" si="4"/>
        <v>0</v>
      </c>
      <c r="P69" s="4"/>
    </row>
    <row r="70" spans="2:16" ht="12.5">
      <c r="B70" t="str">
        <f t="shared" si="0"/>
        <v/>
      </c>
      <c r="C70" s="62">
        <f>IF(D11="","-",+C69+1)</f>
        <v>2073</v>
      </c>
      <c r="D70" s="71">
        <f>IF(F69+SUM(E$17:E69)=D$10,F69,D$10-SUM(E$17:E69))</f>
        <v>0</v>
      </c>
      <c r="E70" s="69">
        <f t="shared" si="5"/>
        <v>0</v>
      </c>
      <c r="F70" s="68">
        <f t="shared" si="6"/>
        <v>0</v>
      </c>
      <c r="G70" s="72">
        <f t="shared" si="7"/>
        <v>0</v>
      </c>
      <c r="H70" s="52">
        <f t="shared" si="8"/>
        <v>0</v>
      </c>
      <c r="I70" s="65">
        <f t="shared" si="1"/>
        <v>0</v>
      </c>
      <c r="J70" s="65"/>
      <c r="K70" s="130"/>
      <c r="L70" s="67">
        <f t="shared" si="9"/>
        <v>0</v>
      </c>
      <c r="M70" s="130"/>
      <c r="N70" s="67">
        <f t="shared" si="3"/>
        <v>0</v>
      </c>
      <c r="O70" s="67">
        <f t="shared" si="4"/>
        <v>0</v>
      </c>
      <c r="P70" s="4"/>
    </row>
    <row r="71" spans="2:16" ht="12.5">
      <c r="B71" t="str">
        <f t="shared" si="0"/>
        <v/>
      </c>
      <c r="C71" s="62">
        <f>IF(D11="","-",+C70+1)</f>
        <v>2074</v>
      </c>
      <c r="D71" s="71">
        <f>IF(F70+SUM(E$17:E70)=D$10,F70,D$10-SUM(E$17:E70))</f>
        <v>0</v>
      </c>
      <c r="E71" s="69">
        <f t="shared" si="5"/>
        <v>0</v>
      </c>
      <c r="F71" s="68">
        <f t="shared" si="6"/>
        <v>0</v>
      </c>
      <c r="G71" s="72">
        <f t="shared" si="7"/>
        <v>0</v>
      </c>
      <c r="H71" s="52">
        <f t="shared" si="8"/>
        <v>0</v>
      </c>
      <c r="I71" s="65">
        <f t="shared" si="1"/>
        <v>0</v>
      </c>
      <c r="J71" s="65"/>
      <c r="K71" s="130"/>
      <c r="L71" s="67">
        <f t="shared" si="9"/>
        <v>0</v>
      </c>
      <c r="M71" s="130"/>
      <c r="N71" s="67">
        <f t="shared" si="3"/>
        <v>0</v>
      </c>
      <c r="O71" s="67">
        <f t="shared" si="4"/>
        <v>0</v>
      </c>
      <c r="P71" s="4"/>
    </row>
    <row r="72" spans="2:16" ht="12.5">
      <c r="C72" s="62">
        <f>IF(D12="","-",+C71+1)</f>
        <v>2075</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 thickBot="1">
      <c r="B73" t="str">
        <f>IF(D73=F71,"","IU")</f>
        <v/>
      </c>
      <c r="C73" s="73">
        <f>IF(D13="","-",+C72+1)</f>
        <v>2076</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ht="12.5">
      <c r="C74" s="63" t="s">
        <v>75</v>
      </c>
      <c r="D74" s="19"/>
      <c r="E74" s="19">
        <f>SUM(E17:E73)</f>
        <v>3941410</v>
      </c>
      <c r="F74" s="19"/>
      <c r="G74" s="19">
        <f>SUM(G17:G73)</f>
        <v>10562641.351587407</v>
      </c>
      <c r="H74" s="19">
        <f>SUM(H17:H73)</f>
        <v>10562641.351587407</v>
      </c>
      <c r="I74" s="19">
        <f>SUM(I17:I73)</f>
        <v>0</v>
      </c>
      <c r="J74" s="19"/>
      <c r="K74" s="19"/>
      <c r="L74" s="19"/>
      <c r="M74" s="19"/>
      <c r="N74" s="19"/>
      <c r="O74" s="4"/>
      <c r="P74" s="4"/>
    </row>
    <row r="75" spans="2:16" ht="12.5">
      <c r="D75" s="2"/>
      <c r="E75" s="1"/>
      <c r="F75" s="1"/>
      <c r="G75" s="1"/>
      <c r="H75" s="3"/>
      <c r="I75" s="3"/>
      <c r="J75" s="19"/>
      <c r="K75" s="3"/>
      <c r="L75" s="3"/>
      <c r="M75" s="3"/>
      <c r="N75" s="3"/>
      <c r="O75" s="1"/>
      <c r="P75" s="1"/>
    </row>
    <row r="76" spans="2:16" ht="13">
      <c r="C76" s="79" t="s">
        <v>95</v>
      </c>
      <c r="D76" s="2"/>
      <c r="E76" s="1"/>
      <c r="F76" s="1"/>
      <c r="G76" s="1"/>
      <c r="H76" s="3"/>
      <c r="I76" s="3"/>
      <c r="J76" s="19"/>
      <c r="K76" s="3"/>
      <c r="L76" s="3"/>
      <c r="M76" s="3"/>
      <c r="N76" s="3"/>
      <c r="O76" s="1"/>
      <c r="P76" s="1"/>
    </row>
    <row r="77" spans="2:16" ht="13">
      <c r="C77" s="31" t="s">
        <v>76</v>
      </c>
      <c r="D77" s="2"/>
      <c r="E77" s="1"/>
      <c r="F77" s="1"/>
      <c r="G77" s="1"/>
      <c r="H77" s="3"/>
      <c r="I77" s="3"/>
      <c r="J77" s="19"/>
      <c r="K77" s="3"/>
      <c r="L77" s="3"/>
      <c r="M77" s="3"/>
      <c r="N77" s="3"/>
      <c r="O77" s="4"/>
      <c r="P77" s="4"/>
    </row>
    <row r="78" spans="2:16" ht="13">
      <c r="C78" s="31" t="s">
        <v>77</v>
      </c>
      <c r="D78" s="63"/>
      <c r="E78" s="63"/>
      <c r="F78" s="63"/>
      <c r="G78" s="19"/>
      <c r="H78" s="19"/>
      <c r="I78" s="80"/>
      <c r="J78" s="80"/>
      <c r="K78" s="80"/>
      <c r="L78" s="80"/>
      <c r="M78" s="80"/>
      <c r="N78" s="80"/>
      <c r="O78" s="4"/>
      <c r="P78" s="4"/>
    </row>
    <row r="79" spans="2:16" ht="13">
      <c r="C79" s="31"/>
      <c r="D79" s="63"/>
      <c r="E79" s="63"/>
      <c r="F79" s="63"/>
      <c r="G79" s="19"/>
      <c r="H79" s="19"/>
      <c r="I79" s="80"/>
      <c r="J79" s="80"/>
      <c r="K79" s="80"/>
      <c r="L79" s="80"/>
      <c r="M79" s="80"/>
      <c r="N79" s="80"/>
      <c r="O79" s="4"/>
      <c r="P79" s="1"/>
    </row>
    <row r="80" spans="2:16" ht="12.5">
      <c r="B80" s="1"/>
      <c r="C80" s="9"/>
      <c r="D80" s="2"/>
      <c r="E80" s="1"/>
      <c r="F80" s="17"/>
      <c r="G80" s="1"/>
      <c r="H80" s="3"/>
      <c r="I80" s="1"/>
      <c r="J80" s="4"/>
      <c r="K80" s="1"/>
      <c r="L80" s="1"/>
      <c r="M80" s="1"/>
      <c r="N80" s="1"/>
      <c r="O80" s="1"/>
      <c r="P80" s="1"/>
    </row>
    <row r="81" spans="1:16" ht="17.5">
      <c r="B81" s="1"/>
      <c r="C81" s="109"/>
      <c r="D81" s="2"/>
      <c r="E81" s="1"/>
      <c r="F81" s="17"/>
      <c r="G81" s="1"/>
      <c r="H81" s="3"/>
      <c r="I81" s="1"/>
      <c r="J81" s="4"/>
      <c r="K81" s="1"/>
      <c r="L81" s="1"/>
      <c r="M81" s="1"/>
      <c r="N81" s="1"/>
      <c r="P81" s="111" t="s">
        <v>128</v>
      </c>
    </row>
    <row r="82" spans="1:16" ht="12.5">
      <c r="B82" s="1"/>
      <c r="C82" s="9"/>
      <c r="D82" s="2"/>
      <c r="E82" s="1"/>
      <c r="F82" s="17"/>
      <c r="G82" s="1"/>
      <c r="H82" s="3"/>
      <c r="I82" s="1"/>
      <c r="J82" s="4"/>
      <c r="K82" s="1"/>
      <c r="L82" s="1"/>
      <c r="M82" s="1"/>
      <c r="N82" s="1"/>
      <c r="O82" s="1"/>
      <c r="P82" s="1"/>
    </row>
    <row r="83" spans="1:16" ht="12.5">
      <c r="B83" s="1"/>
      <c r="C83" s="9"/>
      <c r="D83" s="2"/>
      <c r="E83" s="1"/>
      <c r="F83" s="17"/>
      <c r="G83" s="1"/>
      <c r="H83" s="3"/>
      <c r="I83" s="1"/>
      <c r="J83" s="4"/>
      <c r="K83" s="1"/>
      <c r="L83" s="1"/>
      <c r="M83" s="1"/>
      <c r="N83" s="1"/>
      <c r="O83" s="1"/>
      <c r="P83" s="1"/>
    </row>
    <row r="84" spans="1:16" ht="20">
      <c r="A84" s="110" t="s">
        <v>190</v>
      </c>
      <c r="B84" s="1"/>
      <c r="C84" s="9"/>
      <c r="D84" s="2"/>
      <c r="E84" s="1"/>
      <c r="F84" s="14"/>
      <c r="G84" s="14"/>
      <c r="H84" s="1"/>
      <c r="I84" s="3"/>
      <c r="K84" s="7"/>
      <c r="L84" s="18"/>
      <c r="M84" s="18"/>
      <c r="P84" s="18" t="str">
        <f ca="1">P1</f>
        <v>OKT Project 20 of 20</v>
      </c>
    </row>
    <row r="85" spans="1:16" ht="17.5">
      <c r="B85" s="1"/>
      <c r="C85" s="1"/>
      <c r="D85" s="2"/>
      <c r="E85" s="1"/>
      <c r="F85" s="1"/>
      <c r="G85" s="1"/>
      <c r="H85" s="1"/>
      <c r="I85" s="3"/>
      <c r="J85" s="1"/>
      <c r="K85" s="4"/>
      <c r="L85" s="1"/>
      <c r="M85" s="1"/>
      <c r="P85" s="117" t="s">
        <v>132</v>
      </c>
    </row>
    <row r="86" spans="1:16" ht="17.5" thickBot="1">
      <c r="B86" s="5" t="s">
        <v>42</v>
      </c>
      <c r="C86" s="82" t="s">
        <v>81</v>
      </c>
      <c r="D86" s="2"/>
      <c r="E86" s="1"/>
      <c r="F86" s="1"/>
      <c r="G86" s="1"/>
      <c r="H86" s="1"/>
      <c r="I86" s="3"/>
      <c r="J86" s="3"/>
      <c r="K86" s="19"/>
      <c r="L86" s="3"/>
      <c r="M86" s="3"/>
      <c r="N86" s="3"/>
      <c r="O86" s="19"/>
      <c r="P86" s="1"/>
    </row>
    <row r="87" spans="1:16" ht="16" thickBot="1">
      <c r="C87" s="12"/>
      <c r="D87" s="2"/>
      <c r="E87" s="1"/>
      <c r="F87" s="1"/>
      <c r="G87" s="1"/>
      <c r="H87" s="1"/>
      <c r="I87" s="3"/>
      <c r="J87" s="3"/>
      <c r="K87" s="19"/>
      <c r="L87" s="118">
        <f>+J93</f>
        <v>2019</v>
      </c>
      <c r="M87" s="119" t="s">
        <v>9</v>
      </c>
      <c r="N87" s="120" t="s">
        <v>134</v>
      </c>
      <c r="O87" s="121" t="s">
        <v>11</v>
      </c>
      <c r="P87" s="1"/>
    </row>
    <row r="88" spans="1:16" ht="15.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Keystone Dam - Wekiwa 138 kV</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TP2015118</v>
      </c>
      <c r="E92" s="91"/>
      <c r="F92" s="91"/>
      <c r="G92" s="91"/>
      <c r="H92" s="91"/>
      <c r="I92" s="91"/>
      <c r="J92" s="91"/>
      <c r="K92" s="92"/>
      <c r="P92" s="41"/>
    </row>
    <row r="93" spans="1:16" ht="13">
      <c r="C93" s="46" t="s">
        <v>49</v>
      </c>
      <c r="D93" s="102">
        <v>0</v>
      </c>
      <c r="E93" s="9" t="s">
        <v>84</v>
      </c>
      <c r="H93" s="44"/>
      <c r="I93" s="44"/>
      <c r="J93" s="45">
        <f>+'OKT.WS.G.BPU.ATRR.True-up'!M16</f>
        <v>2019</v>
      </c>
      <c r="K93" s="40"/>
      <c r="L93" s="19" t="s">
        <v>85</v>
      </c>
      <c r="P93" s="4"/>
    </row>
    <row r="94" spans="1:16" ht="12.5">
      <c r="C94" s="46" t="s">
        <v>52</v>
      </c>
      <c r="D94" s="102">
        <f>IF(D11="","",D11)</f>
        <v>2020</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ht="12.5">
      <c r="C95" s="46" t="s">
        <v>54</v>
      </c>
      <c r="D95" s="102">
        <f>IF(D12="","",D12)</f>
        <v>6</v>
      </c>
      <c r="E95" s="46" t="s">
        <v>55</v>
      </c>
      <c r="F95" s="44"/>
      <c r="G95" s="44"/>
      <c r="J95" s="50">
        <f>'OKT.WS.G.BPU.ATRR.True-up'!$F$81</f>
        <v>0.10800922592579221</v>
      </c>
      <c r="K95" s="51"/>
      <c r="L95" t="s">
        <v>86</v>
      </c>
      <c r="P95" s="4"/>
    </row>
    <row r="96" spans="1:16" ht="12.5">
      <c r="C96" s="46" t="s">
        <v>57</v>
      </c>
      <c r="D96" s="48">
        <f>'OKT.WS.G.BPU.ATRR.True-up'!F$93</f>
        <v>33</v>
      </c>
      <c r="E96" s="46" t="s">
        <v>58</v>
      </c>
      <c r="F96" s="44"/>
      <c r="G96" s="44"/>
      <c r="J96" s="50">
        <f>IF(H88="",J95,'OKT.WS.G.BPU.ATRR.True-up'!$F$80)</f>
        <v>0.10800922592579221</v>
      </c>
      <c r="K96" s="10"/>
      <c r="L96" s="19" t="s">
        <v>59</v>
      </c>
      <c r="M96" s="10"/>
      <c r="N96" s="10"/>
      <c r="O96" s="10"/>
      <c r="P96" s="4"/>
    </row>
    <row r="97" spans="1:16" ht="13" thickBot="1">
      <c r="C97" s="46" t="s">
        <v>60</v>
      </c>
      <c r="D97" s="103" t="str">
        <f>+D14</f>
        <v>No</v>
      </c>
      <c r="E97" s="87" t="s">
        <v>62</v>
      </c>
      <c r="F97" s="93"/>
      <c r="G97" s="93"/>
      <c r="H97" s="94"/>
      <c r="I97" s="94"/>
      <c r="J97" s="34">
        <f>IF(D93=0,0,D93/D96)</f>
        <v>0</v>
      </c>
      <c r="K97" s="19"/>
      <c r="L97" s="19"/>
      <c r="M97" s="19"/>
      <c r="N97" s="19"/>
      <c r="O97" s="19"/>
      <c r="P97" s="4"/>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ht="12.5">
      <c r="B100" t="str">
        <f t="shared" ref="B100:B155" si="10">IF(D100=F99,"","IU")</f>
        <v>IU</v>
      </c>
      <c r="C100" s="62">
        <f>IF(D94= "","-",D94)</f>
        <v>2020</v>
      </c>
      <c r="D100" s="63">
        <f>IF(D94=C100,0,IF(D93&lt;100000,0,D93))</f>
        <v>0</v>
      </c>
      <c r="E100" s="70">
        <f>IF(D93&lt;100000,0,J$97/12*(12-D95))</f>
        <v>0</v>
      </c>
      <c r="F100" s="68">
        <f>IF(D94=C100,+D93-E100,+D100-E100)</f>
        <v>0</v>
      </c>
      <c r="G100" s="98">
        <f>+(F100+D100)/2</f>
        <v>0</v>
      </c>
      <c r="H100" s="98">
        <f t="shared" ref="H100:H155" si="11">+J$95*G100+E100</f>
        <v>0</v>
      </c>
      <c r="I100" s="98">
        <f>+J$96*G100+E100</f>
        <v>0</v>
      </c>
      <c r="J100" s="67">
        <f t="shared" ref="J100:J131" si="12">+I100-H100</f>
        <v>0</v>
      </c>
      <c r="K100" s="67"/>
      <c r="L100" s="129"/>
      <c r="M100" s="66">
        <f t="shared" ref="M100:M131" si="13">IF(L100&lt;&gt;0,+H100-L100,0)</f>
        <v>0</v>
      </c>
      <c r="N100" s="129"/>
      <c r="O100" s="66">
        <f t="shared" ref="O100:O131" si="14">IF(N100&lt;&gt;0,+I100-N100,0)</f>
        <v>0</v>
      </c>
      <c r="P100" s="66">
        <f t="shared" ref="P100:P131" si="15">+O100-M100</f>
        <v>0</v>
      </c>
    </row>
    <row r="101" spans="1:16" ht="12.5">
      <c r="B101" t="str">
        <f t="shared" si="10"/>
        <v/>
      </c>
      <c r="C101" s="62">
        <f>IF(D94="","-",+C100+1)</f>
        <v>2021</v>
      </c>
      <c r="D101" s="63">
        <f>IF(F100+SUM(E$100:E100)=D$93,F100,D$93-SUM(E$100:E100))</f>
        <v>0</v>
      </c>
      <c r="E101" s="69">
        <f t="shared" ref="E101:E155" si="16">IF(+J$97&lt;F100,J$97,D101)</f>
        <v>0</v>
      </c>
      <c r="F101" s="68">
        <f t="shared" ref="F101:F155" si="17">+D101-E101</f>
        <v>0</v>
      </c>
      <c r="G101" s="68">
        <f t="shared" ref="G101:G155" si="18">+(F101+D101)/2</f>
        <v>0</v>
      </c>
      <c r="H101" s="128">
        <f t="shared" si="11"/>
        <v>0</v>
      </c>
      <c r="I101" s="137">
        <f t="shared" ref="I101:I155" si="19">+J$96*G101+E101</f>
        <v>0</v>
      </c>
      <c r="J101" s="67">
        <f t="shared" si="12"/>
        <v>0</v>
      </c>
      <c r="K101" s="67"/>
      <c r="L101" s="130"/>
      <c r="M101" s="67">
        <f t="shared" si="13"/>
        <v>0</v>
      </c>
      <c r="N101" s="130"/>
      <c r="O101" s="67">
        <f t="shared" si="14"/>
        <v>0</v>
      </c>
      <c r="P101" s="67">
        <f t="shared" si="15"/>
        <v>0</v>
      </c>
    </row>
    <row r="102" spans="1:16" ht="12.5">
      <c r="B102" t="str">
        <f t="shared" si="10"/>
        <v/>
      </c>
      <c r="C102" s="62">
        <f>IF(D94="","-",+C101+1)</f>
        <v>2022</v>
      </c>
      <c r="D102" s="63">
        <f>IF(F101+SUM(E$100:E101)=D$93,F101,D$93-SUM(E$100:E101))</f>
        <v>0</v>
      </c>
      <c r="E102" s="69">
        <f t="shared" si="16"/>
        <v>0</v>
      </c>
      <c r="F102" s="68">
        <f t="shared" si="17"/>
        <v>0</v>
      </c>
      <c r="G102" s="68">
        <f t="shared" si="18"/>
        <v>0</v>
      </c>
      <c r="H102" s="128">
        <f t="shared" si="11"/>
        <v>0</v>
      </c>
      <c r="I102" s="137">
        <f t="shared" si="19"/>
        <v>0</v>
      </c>
      <c r="J102" s="67">
        <f t="shared" si="12"/>
        <v>0</v>
      </c>
      <c r="K102" s="67"/>
      <c r="L102" s="130"/>
      <c r="M102" s="67">
        <f t="shared" si="13"/>
        <v>0</v>
      </c>
      <c r="N102" s="130"/>
      <c r="O102" s="67">
        <f t="shared" si="14"/>
        <v>0</v>
      </c>
      <c r="P102" s="67">
        <f t="shared" si="15"/>
        <v>0</v>
      </c>
    </row>
    <row r="103" spans="1:16" ht="12.5">
      <c r="B103" t="str">
        <f t="shared" si="10"/>
        <v/>
      </c>
      <c r="C103" s="62">
        <f>IF(D94="","-",+C102+1)</f>
        <v>2023</v>
      </c>
      <c r="D103" s="63">
        <f>IF(F102+SUM(E$100:E102)=D$93,F102,D$93-SUM(E$100:E102))</f>
        <v>0</v>
      </c>
      <c r="E103" s="69">
        <f t="shared" si="16"/>
        <v>0</v>
      </c>
      <c r="F103" s="68">
        <f t="shared" si="17"/>
        <v>0</v>
      </c>
      <c r="G103" s="68">
        <f t="shared" si="18"/>
        <v>0</v>
      </c>
      <c r="H103" s="128">
        <f t="shared" si="11"/>
        <v>0</v>
      </c>
      <c r="I103" s="137">
        <f t="shared" si="19"/>
        <v>0</v>
      </c>
      <c r="J103" s="67">
        <f t="shared" si="12"/>
        <v>0</v>
      </c>
      <c r="K103" s="67"/>
      <c r="L103" s="130"/>
      <c r="M103" s="67">
        <f t="shared" si="13"/>
        <v>0</v>
      </c>
      <c r="N103" s="130"/>
      <c r="O103" s="67">
        <f t="shared" si="14"/>
        <v>0</v>
      </c>
      <c r="P103" s="67">
        <f t="shared" si="15"/>
        <v>0</v>
      </c>
    </row>
    <row r="104" spans="1:16" ht="12.5">
      <c r="B104" t="str">
        <f t="shared" si="10"/>
        <v/>
      </c>
      <c r="C104" s="62">
        <f>IF(D94="","-",+C103+1)</f>
        <v>2024</v>
      </c>
      <c r="D104" s="63">
        <f>IF(F103+SUM(E$100:E103)=D$93,F103,D$93-SUM(E$100:E103))</f>
        <v>0</v>
      </c>
      <c r="E104" s="69">
        <f t="shared" si="16"/>
        <v>0</v>
      </c>
      <c r="F104" s="68">
        <f t="shared" si="17"/>
        <v>0</v>
      </c>
      <c r="G104" s="68">
        <f t="shared" si="18"/>
        <v>0</v>
      </c>
      <c r="H104" s="128">
        <f t="shared" si="11"/>
        <v>0</v>
      </c>
      <c r="I104" s="137">
        <f t="shared" si="19"/>
        <v>0</v>
      </c>
      <c r="J104" s="67">
        <f t="shared" si="12"/>
        <v>0</v>
      </c>
      <c r="K104" s="67"/>
      <c r="L104" s="130"/>
      <c r="M104" s="67">
        <f t="shared" si="13"/>
        <v>0</v>
      </c>
      <c r="N104" s="130"/>
      <c r="O104" s="67">
        <f t="shared" si="14"/>
        <v>0</v>
      </c>
      <c r="P104" s="67">
        <f t="shared" si="15"/>
        <v>0</v>
      </c>
    </row>
    <row r="105" spans="1:16" ht="12.5">
      <c r="B105" t="str">
        <f t="shared" si="10"/>
        <v/>
      </c>
      <c r="C105" s="62">
        <f>IF(D94="","-",+C104+1)</f>
        <v>2025</v>
      </c>
      <c r="D105" s="63">
        <f>IF(F104+SUM(E$100:E104)=D$93,F104,D$93-SUM(E$100:E104))</f>
        <v>0</v>
      </c>
      <c r="E105" s="69">
        <f t="shared" si="16"/>
        <v>0</v>
      </c>
      <c r="F105" s="68">
        <f t="shared" si="17"/>
        <v>0</v>
      </c>
      <c r="G105" s="68">
        <f t="shared" si="18"/>
        <v>0</v>
      </c>
      <c r="H105" s="128">
        <f t="shared" si="11"/>
        <v>0</v>
      </c>
      <c r="I105" s="137">
        <f t="shared" si="19"/>
        <v>0</v>
      </c>
      <c r="J105" s="67">
        <f t="shared" si="12"/>
        <v>0</v>
      </c>
      <c r="K105" s="67"/>
      <c r="L105" s="130"/>
      <c r="M105" s="67">
        <f t="shared" si="13"/>
        <v>0</v>
      </c>
      <c r="N105" s="130"/>
      <c r="O105" s="67">
        <f t="shared" si="14"/>
        <v>0</v>
      </c>
      <c r="P105" s="67">
        <f t="shared" si="15"/>
        <v>0</v>
      </c>
    </row>
    <row r="106" spans="1:16" ht="12.5">
      <c r="B106" t="str">
        <f t="shared" si="10"/>
        <v/>
      </c>
      <c r="C106" s="62">
        <f>IF(D94="","-",+C105+1)</f>
        <v>2026</v>
      </c>
      <c r="D106" s="63">
        <f>IF(F105+SUM(E$100:E105)=D$93,F105,D$93-SUM(E$100:E105))</f>
        <v>0</v>
      </c>
      <c r="E106" s="69">
        <f t="shared" si="16"/>
        <v>0</v>
      </c>
      <c r="F106" s="68">
        <f t="shared" si="17"/>
        <v>0</v>
      </c>
      <c r="G106" s="68">
        <f t="shared" si="18"/>
        <v>0</v>
      </c>
      <c r="H106" s="128">
        <f t="shared" si="11"/>
        <v>0</v>
      </c>
      <c r="I106" s="137">
        <f t="shared" si="19"/>
        <v>0</v>
      </c>
      <c r="J106" s="67">
        <f t="shared" si="12"/>
        <v>0</v>
      </c>
      <c r="K106" s="67"/>
      <c r="L106" s="130"/>
      <c r="M106" s="67">
        <f t="shared" si="13"/>
        <v>0</v>
      </c>
      <c r="N106" s="130"/>
      <c r="O106" s="67">
        <f t="shared" si="14"/>
        <v>0</v>
      </c>
      <c r="P106" s="67">
        <f t="shared" si="15"/>
        <v>0</v>
      </c>
    </row>
    <row r="107" spans="1:16" ht="12.5">
      <c r="B107" t="str">
        <f t="shared" si="10"/>
        <v/>
      </c>
      <c r="C107" s="62">
        <f>IF(D94="","-",+C106+1)</f>
        <v>2027</v>
      </c>
      <c r="D107" s="63">
        <f>IF(F106+SUM(E$100:E106)=D$93,F106,D$93-SUM(E$100:E106))</f>
        <v>0</v>
      </c>
      <c r="E107" s="69">
        <f t="shared" si="16"/>
        <v>0</v>
      </c>
      <c r="F107" s="68">
        <f t="shared" si="17"/>
        <v>0</v>
      </c>
      <c r="G107" s="68">
        <f t="shared" si="18"/>
        <v>0</v>
      </c>
      <c r="H107" s="128">
        <f t="shared" si="11"/>
        <v>0</v>
      </c>
      <c r="I107" s="137">
        <f t="shared" si="19"/>
        <v>0</v>
      </c>
      <c r="J107" s="67">
        <f t="shared" si="12"/>
        <v>0</v>
      </c>
      <c r="K107" s="67"/>
      <c r="L107" s="130"/>
      <c r="M107" s="67">
        <f t="shared" si="13"/>
        <v>0</v>
      </c>
      <c r="N107" s="130"/>
      <c r="O107" s="67">
        <f t="shared" si="14"/>
        <v>0</v>
      </c>
      <c r="P107" s="67">
        <f t="shared" si="15"/>
        <v>0</v>
      </c>
    </row>
    <row r="108" spans="1:16" ht="12.5">
      <c r="B108" t="str">
        <f t="shared" si="10"/>
        <v/>
      </c>
      <c r="C108" s="62">
        <f>IF(D94="","-",+C107+1)</f>
        <v>2028</v>
      </c>
      <c r="D108" s="63">
        <f>IF(F107+SUM(E$100:E107)=D$93,F107,D$93-SUM(E$100:E107))</f>
        <v>0</v>
      </c>
      <c r="E108" s="69">
        <f t="shared" si="16"/>
        <v>0</v>
      </c>
      <c r="F108" s="68">
        <f t="shared" si="17"/>
        <v>0</v>
      </c>
      <c r="G108" s="68">
        <f t="shared" si="18"/>
        <v>0</v>
      </c>
      <c r="H108" s="128">
        <f t="shared" si="11"/>
        <v>0</v>
      </c>
      <c r="I108" s="137">
        <f t="shared" si="19"/>
        <v>0</v>
      </c>
      <c r="J108" s="67">
        <f t="shared" si="12"/>
        <v>0</v>
      </c>
      <c r="K108" s="67"/>
      <c r="L108" s="130"/>
      <c r="M108" s="67">
        <f t="shared" si="13"/>
        <v>0</v>
      </c>
      <c r="N108" s="130"/>
      <c r="O108" s="67">
        <f t="shared" si="14"/>
        <v>0</v>
      </c>
      <c r="P108" s="67">
        <f t="shared" si="15"/>
        <v>0</v>
      </c>
    </row>
    <row r="109" spans="1:16" ht="12.5">
      <c r="B109" t="str">
        <f t="shared" si="10"/>
        <v/>
      </c>
      <c r="C109" s="62">
        <f>IF(D94="","-",+C108+1)</f>
        <v>2029</v>
      </c>
      <c r="D109" s="63">
        <f>IF(F108+SUM(E$100:E108)=D$93,F108,D$93-SUM(E$100:E108))</f>
        <v>0</v>
      </c>
      <c r="E109" s="69">
        <f t="shared" si="16"/>
        <v>0</v>
      </c>
      <c r="F109" s="68">
        <f t="shared" si="17"/>
        <v>0</v>
      </c>
      <c r="G109" s="68">
        <f t="shared" si="18"/>
        <v>0</v>
      </c>
      <c r="H109" s="128">
        <f t="shared" si="11"/>
        <v>0</v>
      </c>
      <c r="I109" s="137">
        <f t="shared" si="19"/>
        <v>0</v>
      </c>
      <c r="J109" s="67">
        <f t="shared" si="12"/>
        <v>0</v>
      </c>
      <c r="K109" s="67"/>
      <c r="L109" s="130"/>
      <c r="M109" s="67">
        <f t="shared" si="13"/>
        <v>0</v>
      </c>
      <c r="N109" s="130"/>
      <c r="O109" s="67">
        <f t="shared" si="14"/>
        <v>0</v>
      </c>
      <c r="P109" s="67">
        <f t="shared" si="15"/>
        <v>0</v>
      </c>
    </row>
    <row r="110" spans="1:16" ht="12.5">
      <c r="B110" t="str">
        <f t="shared" si="10"/>
        <v/>
      </c>
      <c r="C110" s="62">
        <f>IF(D94="","-",+C109+1)</f>
        <v>2030</v>
      </c>
      <c r="D110" s="63">
        <f>IF(F109+SUM(E$100:E109)=D$93,F109,D$93-SUM(E$100:E109))</f>
        <v>0</v>
      </c>
      <c r="E110" s="69">
        <f t="shared" si="16"/>
        <v>0</v>
      </c>
      <c r="F110" s="68">
        <f t="shared" si="17"/>
        <v>0</v>
      </c>
      <c r="G110" s="68">
        <f t="shared" si="18"/>
        <v>0</v>
      </c>
      <c r="H110" s="128">
        <f t="shared" si="11"/>
        <v>0</v>
      </c>
      <c r="I110" s="137">
        <f t="shared" si="19"/>
        <v>0</v>
      </c>
      <c r="J110" s="67">
        <f t="shared" si="12"/>
        <v>0</v>
      </c>
      <c r="K110" s="67"/>
      <c r="L110" s="130"/>
      <c r="M110" s="67">
        <f t="shared" si="13"/>
        <v>0</v>
      </c>
      <c r="N110" s="130"/>
      <c r="O110" s="67">
        <f t="shared" si="14"/>
        <v>0</v>
      </c>
      <c r="P110" s="67">
        <f t="shared" si="15"/>
        <v>0</v>
      </c>
    </row>
    <row r="111" spans="1:16" ht="12.5">
      <c r="B111" t="str">
        <f t="shared" si="10"/>
        <v/>
      </c>
      <c r="C111" s="62">
        <f>IF(D94="","-",+C110+1)</f>
        <v>2031</v>
      </c>
      <c r="D111" s="63">
        <f>IF(F110+SUM(E$100:E110)=D$93,F110,D$93-SUM(E$100:E110))</f>
        <v>0</v>
      </c>
      <c r="E111" s="69">
        <f t="shared" si="16"/>
        <v>0</v>
      </c>
      <c r="F111" s="68">
        <f t="shared" si="17"/>
        <v>0</v>
      </c>
      <c r="G111" s="68">
        <f t="shared" si="18"/>
        <v>0</v>
      </c>
      <c r="H111" s="128">
        <f t="shared" si="11"/>
        <v>0</v>
      </c>
      <c r="I111" s="137">
        <f t="shared" si="19"/>
        <v>0</v>
      </c>
      <c r="J111" s="67">
        <f t="shared" si="12"/>
        <v>0</v>
      </c>
      <c r="K111" s="67"/>
      <c r="L111" s="130"/>
      <c r="M111" s="67">
        <f t="shared" si="13"/>
        <v>0</v>
      </c>
      <c r="N111" s="130"/>
      <c r="O111" s="67">
        <f t="shared" si="14"/>
        <v>0</v>
      </c>
      <c r="P111" s="67">
        <f t="shared" si="15"/>
        <v>0</v>
      </c>
    </row>
    <row r="112" spans="1:16" ht="12.5">
      <c r="B112" t="str">
        <f t="shared" si="10"/>
        <v/>
      </c>
      <c r="C112" s="62">
        <f>IF(D94="","-",+C111+1)</f>
        <v>2032</v>
      </c>
      <c r="D112" s="63">
        <f>IF(F111+SUM(E$100:E111)=D$93,F111,D$93-SUM(E$100:E111))</f>
        <v>0</v>
      </c>
      <c r="E112" s="69">
        <f t="shared" si="16"/>
        <v>0</v>
      </c>
      <c r="F112" s="68">
        <f t="shared" si="17"/>
        <v>0</v>
      </c>
      <c r="G112" s="68">
        <f t="shared" si="18"/>
        <v>0</v>
      </c>
      <c r="H112" s="128">
        <f t="shared" si="11"/>
        <v>0</v>
      </c>
      <c r="I112" s="137">
        <f t="shared" si="19"/>
        <v>0</v>
      </c>
      <c r="J112" s="67">
        <f t="shared" si="12"/>
        <v>0</v>
      </c>
      <c r="K112" s="67"/>
      <c r="L112" s="130"/>
      <c r="M112" s="67">
        <f t="shared" si="13"/>
        <v>0</v>
      </c>
      <c r="N112" s="130"/>
      <c r="O112" s="67">
        <f t="shared" si="14"/>
        <v>0</v>
      </c>
      <c r="P112" s="67">
        <f t="shared" si="15"/>
        <v>0</v>
      </c>
    </row>
    <row r="113" spans="2:16" ht="12.5">
      <c r="B113" t="str">
        <f t="shared" si="10"/>
        <v/>
      </c>
      <c r="C113" s="62">
        <f>IF(D94="","-",+C112+1)</f>
        <v>2033</v>
      </c>
      <c r="D113" s="63">
        <f>IF(F112+SUM(E$100:E112)=D$93,F112,D$93-SUM(E$100:E112))</f>
        <v>0</v>
      </c>
      <c r="E113" s="69">
        <f t="shared" si="16"/>
        <v>0</v>
      </c>
      <c r="F113" s="68">
        <f t="shared" si="17"/>
        <v>0</v>
      </c>
      <c r="G113" s="68">
        <f t="shared" si="18"/>
        <v>0</v>
      </c>
      <c r="H113" s="128">
        <f t="shared" si="11"/>
        <v>0</v>
      </c>
      <c r="I113" s="137">
        <f t="shared" si="19"/>
        <v>0</v>
      </c>
      <c r="J113" s="67">
        <f t="shared" si="12"/>
        <v>0</v>
      </c>
      <c r="K113" s="67"/>
      <c r="L113" s="130"/>
      <c r="M113" s="67">
        <f t="shared" si="13"/>
        <v>0</v>
      </c>
      <c r="N113" s="130"/>
      <c r="O113" s="67">
        <f t="shared" si="14"/>
        <v>0</v>
      </c>
      <c r="P113" s="67">
        <f t="shared" si="15"/>
        <v>0</v>
      </c>
    </row>
    <row r="114" spans="2:16" ht="12.5">
      <c r="B114" t="str">
        <f t="shared" si="10"/>
        <v/>
      </c>
      <c r="C114" s="62">
        <f>IF(D94="","-",+C113+1)</f>
        <v>2034</v>
      </c>
      <c r="D114" s="63">
        <f>IF(F113+SUM(E$100:E113)=D$93,F113,D$93-SUM(E$100:E113))</f>
        <v>0</v>
      </c>
      <c r="E114" s="69">
        <f t="shared" si="16"/>
        <v>0</v>
      </c>
      <c r="F114" s="68">
        <f t="shared" si="17"/>
        <v>0</v>
      </c>
      <c r="G114" s="68">
        <f t="shared" si="18"/>
        <v>0</v>
      </c>
      <c r="H114" s="128">
        <f t="shared" si="11"/>
        <v>0</v>
      </c>
      <c r="I114" s="137">
        <f t="shared" si="19"/>
        <v>0</v>
      </c>
      <c r="J114" s="67">
        <f t="shared" si="12"/>
        <v>0</v>
      </c>
      <c r="K114" s="67"/>
      <c r="L114" s="130"/>
      <c r="M114" s="67">
        <f t="shared" si="13"/>
        <v>0</v>
      </c>
      <c r="N114" s="130"/>
      <c r="O114" s="67">
        <f t="shared" si="14"/>
        <v>0</v>
      </c>
      <c r="P114" s="67">
        <f t="shared" si="15"/>
        <v>0</v>
      </c>
    </row>
    <row r="115" spans="2:16" ht="12.5">
      <c r="B115" t="str">
        <f t="shared" si="10"/>
        <v/>
      </c>
      <c r="C115" s="62">
        <f>IF(D94="","-",+C114+1)</f>
        <v>2035</v>
      </c>
      <c r="D115" s="63">
        <f>IF(F114+SUM(E$100:E114)=D$93,F114,D$93-SUM(E$100:E114))</f>
        <v>0</v>
      </c>
      <c r="E115" s="69">
        <f t="shared" si="16"/>
        <v>0</v>
      </c>
      <c r="F115" s="68">
        <f t="shared" si="17"/>
        <v>0</v>
      </c>
      <c r="G115" s="68">
        <f t="shared" si="18"/>
        <v>0</v>
      </c>
      <c r="H115" s="128">
        <f t="shared" si="11"/>
        <v>0</v>
      </c>
      <c r="I115" s="137">
        <f t="shared" si="19"/>
        <v>0</v>
      </c>
      <c r="J115" s="67">
        <f t="shared" si="12"/>
        <v>0</v>
      </c>
      <c r="K115" s="67"/>
      <c r="L115" s="130"/>
      <c r="M115" s="67">
        <f t="shared" si="13"/>
        <v>0</v>
      </c>
      <c r="N115" s="130"/>
      <c r="O115" s="67">
        <f t="shared" si="14"/>
        <v>0</v>
      </c>
      <c r="P115" s="67">
        <f t="shared" si="15"/>
        <v>0</v>
      </c>
    </row>
    <row r="116" spans="2:16" ht="12.5">
      <c r="B116" t="str">
        <f t="shared" si="10"/>
        <v/>
      </c>
      <c r="C116" s="62">
        <f>IF(D94="","-",+C115+1)</f>
        <v>2036</v>
      </c>
      <c r="D116" s="63">
        <f>IF(F115+SUM(E$100:E115)=D$93,F115,D$93-SUM(E$100:E115))</f>
        <v>0</v>
      </c>
      <c r="E116" s="69">
        <f t="shared" si="16"/>
        <v>0</v>
      </c>
      <c r="F116" s="68">
        <f t="shared" si="17"/>
        <v>0</v>
      </c>
      <c r="G116" s="68">
        <f t="shared" si="18"/>
        <v>0</v>
      </c>
      <c r="H116" s="128">
        <f t="shared" si="11"/>
        <v>0</v>
      </c>
      <c r="I116" s="137">
        <f t="shared" si="19"/>
        <v>0</v>
      </c>
      <c r="J116" s="67">
        <f t="shared" si="12"/>
        <v>0</v>
      </c>
      <c r="K116" s="67"/>
      <c r="L116" s="130"/>
      <c r="M116" s="67">
        <f t="shared" si="13"/>
        <v>0</v>
      </c>
      <c r="N116" s="130"/>
      <c r="O116" s="67">
        <f t="shared" si="14"/>
        <v>0</v>
      </c>
      <c r="P116" s="67">
        <f t="shared" si="15"/>
        <v>0</v>
      </c>
    </row>
    <row r="117" spans="2:16" ht="12.5">
      <c r="B117" t="str">
        <f t="shared" si="10"/>
        <v/>
      </c>
      <c r="C117" s="62">
        <f>IF(D94="","-",+C116+1)</f>
        <v>2037</v>
      </c>
      <c r="D117" s="63">
        <f>IF(F116+SUM(E$100:E116)=D$93,F116,D$93-SUM(E$100:E116))</f>
        <v>0</v>
      </c>
      <c r="E117" s="69">
        <f t="shared" si="16"/>
        <v>0</v>
      </c>
      <c r="F117" s="68">
        <f t="shared" si="17"/>
        <v>0</v>
      </c>
      <c r="G117" s="68">
        <f t="shared" si="18"/>
        <v>0</v>
      </c>
      <c r="H117" s="128">
        <f t="shared" si="11"/>
        <v>0</v>
      </c>
      <c r="I117" s="137">
        <f t="shared" si="19"/>
        <v>0</v>
      </c>
      <c r="J117" s="67">
        <f t="shared" si="12"/>
        <v>0</v>
      </c>
      <c r="K117" s="67"/>
      <c r="L117" s="130"/>
      <c r="M117" s="67">
        <f t="shared" si="13"/>
        <v>0</v>
      </c>
      <c r="N117" s="130"/>
      <c r="O117" s="67">
        <f t="shared" si="14"/>
        <v>0</v>
      </c>
      <c r="P117" s="67">
        <f t="shared" si="15"/>
        <v>0</v>
      </c>
    </row>
    <row r="118" spans="2:16" ht="12.5">
      <c r="B118" t="str">
        <f t="shared" si="10"/>
        <v/>
      </c>
      <c r="C118" s="62">
        <f>IF(D94="","-",+C117+1)</f>
        <v>2038</v>
      </c>
      <c r="D118" s="63">
        <f>IF(F117+SUM(E$100:E117)=D$93,F117,D$93-SUM(E$100:E117))</f>
        <v>0</v>
      </c>
      <c r="E118" s="69">
        <f t="shared" si="16"/>
        <v>0</v>
      </c>
      <c r="F118" s="68">
        <f t="shared" si="17"/>
        <v>0</v>
      </c>
      <c r="G118" s="68">
        <f t="shared" si="18"/>
        <v>0</v>
      </c>
      <c r="H118" s="128">
        <f t="shared" si="11"/>
        <v>0</v>
      </c>
      <c r="I118" s="137">
        <f t="shared" si="19"/>
        <v>0</v>
      </c>
      <c r="J118" s="67">
        <f t="shared" si="12"/>
        <v>0</v>
      </c>
      <c r="K118" s="67"/>
      <c r="L118" s="130"/>
      <c r="M118" s="67">
        <f t="shared" si="13"/>
        <v>0</v>
      </c>
      <c r="N118" s="130"/>
      <c r="O118" s="67">
        <f t="shared" si="14"/>
        <v>0</v>
      </c>
      <c r="P118" s="67">
        <f t="shared" si="15"/>
        <v>0</v>
      </c>
    </row>
    <row r="119" spans="2:16" ht="12.5">
      <c r="B119" t="str">
        <f t="shared" si="10"/>
        <v/>
      </c>
      <c r="C119" s="62">
        <f>IF(D94="","-",+C118+1)</f>
        <v>2039</v>
      </c>
      <c r="D119" s="63">
        <f>IF(F118+SUM(E$100:E118)=D$93,F118,D$93-SUM(E$100:E118))</f>
        <v>0</v>
      </c>
      <c r="E119" s="69">
        <f t="shared" si="16"/>
        <v>0</v>
      </c>
      <c r="F119" s="68">
        <f t="shared" si="17"/>
        <v>0</v>
      </c>
      <c r="G119" s="68">
        <f t="shared" si="18"/>
        <v>0</v>
      </c>
      <c r="H119" s="128">
        <f t="shared" si="11"/>
        <v>0</v>
      </c>
      <c r="I119" s="137">
        <f t="shared" si="19"/>
        <v>0</v>
      </c>
      <c r="J119" s="67">
        <f t="shared" si="12"/>
        <v>0</v>
      </c>
      <c r="K119" s="67"/>
      <c r="L119" s="130"/>
      <c r="M119" s="67">
        <f t="shared" si="13"/>
        <v>0</v>
      </c>
      <c r="N119" s="130"/>
      <c r="O119" s="67">
        <f t="shared" si="14"/>
        <v>0</v>
      </c>
      <c r="P119" s="67">
        <f t="shared" si="15"/>
        <v>0</v>
      </c>
    </row>
    <row r="120" spans="2:16" ht="12.5">
      <c r="B120" t="str">
        <f t="shared" si="10"/>
        <v/>
      </c>
      <c r="C120" s="62">
        <f>IF(D94="","-",+C119+1)</f>
        <v>2040</v>
      </c>
      <c r="D120" s="63">
        <f>IF(F119+SUM(E$100:E119)=D$93,F119,D$93-SUM(E$100:E119))</f>
        <v>0</v>
      </c>
      <c r="E120" s="69">
        <f t="shared" si="16"/>
        <v>0</v>
      </c>
      <c r="F120" s="68">
        <f t="shared" si="17"/>
        <v>0</v>
      </c>
      <c r="G120" s="68">
        <f t="shared" si="18"/>
        <v>0</v>
      </c>
      <c r="H120" s="128">
        <f t="shared" si="11"/>
        <v>0</v>
      </c>
      <c r="I120" s="137">
        <f t="shared" si="19"/>
        <v>0</v>
      </c>
      <c r="J120" s="67">
        <f t="shared" si="12"/>
        <v>0</v>
      </c>
      <c r="K120" s="67"/>
      <c r="L120" s="130"/>
      <c r="M120" s="67">
        <f t="shared" si="13"/>
        <v>0</v>
      </c>
      <c r="N120" s="130"/>
      <c r="O120" s="67">
        <f t="shared" si="14"/>
        <v>0</v>
      </c>
      <c r="P120" s="67">
        <f t="shared" si="15"/>
        <v>0</v>
      </c>
    </row>
    <row r="121" spans="2:16" ht="12.5">
      <c r="B121" t="str">
        <f t="shared" si="10"/>
        <v/>
      </c>
      <c r="C121" s="62">
        <f>IF(D94="","-",+C120+1)</f>
        <v>2041</v>
      </c>
      <c r="D121" s="63">
        <f>IF(F120+SUM(E$100:E120)=D$93,F120,D$93-SUM(E$100:E120))</f>
        <v>0</v>
      </c>
      <c r="E121" s="69">
        <f t="shared" si="16"/>
        <v>0</v>
      </c>
      <c r="F121" s="68">
        <f t="shared" si="17"/>
        <v>0</v>
      </c>
      <c r="G121" s="68">
        <f t="shared" si="18"/>
        <v>0</v>
      </c>
      <c r="H121" s="128">
        <f t="shared" si="11"/>
        <v>0</v>
      </c>
      <c r="I121" s="137">
        <f t="shared" si="19"/>
        <v>0</v>
      </c>
      <c r="J121" s="67">
        <f t="shared" si="12"/>
        <v>0</v>
      </c>
      <c r="K121" s="67"/>
      <c r="L121" s="130"/>
      <c r="M121" s="67">
        <f t="shared" si="13"/>
        <v>0</v>
      </c>
      <c r="N121" s="130"/>
      <c r="O121" s="67">
        <f t="shared" si="14"/>
        <v>0</v>
      </c>
      <c r="P121" s="67">
        <f t="shared" si="15"/>
        <v>0</v>
      </c>
    </row>
    <row r="122" spans="2:16" ht="12.5">
      <c r="B122" t="str">
        <f t="shared" si="10"/>
        <v/>
      </c>
      <c r="C122" s="62">
        <f>IF(D94="","-",+C121+1)</f>
        <v>2042</v>
      </c>
      <c r="D122" s="63">
        <f>IF(F121+SUM(E$100:E121)=D$93,F121,D$93-SUM(E$100:E121))</f>
        <v>0</v>
      </c>
      <c r="E122" s="69">
        <f t="shared" si="16"/>
        <v>0</v>
      </c>
      <c r="F122" s="68">
        <f t="shared" si="17"/>
        <v>0</v>
      </c>
      <c r="G122" s="68">
        <f t="shared" si="18"/>
        <v>0</v>
      </c>
      <c r="H122" s="128">
        <f t="shared" si="11"/>
        <v>0</v>
      </c>
      <c r="I122" s="137">
        <f t="shared" si="19"/>
        <v>0</v>
      </c>
      <c r="J122" s="67">
        <f t="shared" si="12"/>
        <v>0</v>
      </c>
      <c r="K122" s="67"/>
      <c r="L122" s="130"/>
      <c r="M122" s="67">
        <f t="shared" si="13"/>
        <v>0</v>
      </c>
      <c r="N122" s="130"/>
      <c r="O122" s="67">
        <f t="shared" si="14"/>
        <v>0</v>
      </c>
      <c r="P122" s="67">
        <f t="shared" si="15"/>
        <v>0</v>
      </c>
    </row>
    <row r="123" spans="2:16" ht="12.5">
      <c r="B123" t="str">
        <f t="shared" si="10"/>
        <v/>
      </c>
      <c r="C123" s="62">
        <f>IF(D94="","-",+C122+1)</f>
        <v>2043</v>
      </c>
      <c r="D123" s="63">
        <f>IF(F122+SUM(E$100:E122)=D$93,F122,D$93-SUM(E$100:E122))</f>
        <v>0</v>
      </c>
      <c r="E123" s="69">
        <f t="shared" si="16"/>
        <v>0</v>
      </c>
      <c r="F123" s="68">
        <f t="shared" si="17"/>
        <v>0</v>
      </c>
      <c r="G123" s="68">
        <f t="shared" si="18"/>
        <v>0</v>
      </c>
      <c r="H123" s="128">
        <f t="shared" si="11"/>
        <v>0</v>
      </c>
      <c r="I123" s="137">
        <f t="shared" si="19"/>
        <v>0</v>
      </c>
      <c r="J123" s="67">
        <f t="shared" si="12"/>
        <v>0</v>
      </c>
      <c r="K123" s="67"/>
      <c r="L123" s="130"/>
      <c r="M123" s="67">
        <f t="shared" si="13"/>
        <v>0</v>
      </c>
      <c r="N123" s="130"/>
      <c r="O123" s="67">
        <f t="shared" si="14"/>
        <v>0</v>
      </c>
      <c r="P123" s="67">
        <f t="shared" si="15"/>
        <v>0</v>
      </c>
    </row>
    <row r="124" spans="2:16" ht="12.5">
      <c r="B124" t="str">
        <f t="shared" si="10"/>
        <v/>
      </c>
      <c r="C124" s="62">
        <f>IF(D94="","-",+C123+1)</f>
        <v>2044</v>
      </c>
      <c r="D124" s="63">
        <f>IF(F123+SUM(E$100:E123)=D$93,F123,D$93-SUM(E$100:E123))</f>
        <v>0</v>
      </c>
      <c r="E124" s="69">
        <f t="shared" si="16"/>
        <v>0</v>
      </c>
      <c r="F124" s="68">
        <f t="shared" si="17"/>
        <v>0</v>
      </c>
      <c r="G124" s="68">
        <f t="shared" si="18"/>
        <v>0</v>
      </c>
      <c r="H124" s="128">
        <f t="shared" si="11"/>
        <v>0</v>
      </c>
      <c r="I124" s="137">
        <f t="shared" si="19"/>
        <v>0</v>
      </c>
      <c r="J124" s="67">
        <f t="shared" si="12"/>
        <v>0</v>
      </c>
      <c r="K124" s="67"/>
      <c r="L124" s="130"/>
      <c r="M124" s="67">
        <f t="shared" si="13"/>
        <v>0</v>
      </c>
      <c r="N124" s="130"/>
      <c r="O124" s="67">
        <f t="shared" si="14"/>
        <v>0</v>
      </c>
      <c r="P124" s="67">
        <f t="shared" si="15"/>
        <v>0</v>
      </c>
    </row>
    <row r="125" spans="2:16" ht="12.5">
      <c r="B125" t="str">
        <f t="shared" si="10"/>
        <v/>
      </c>
      <c r="C125" s="62">
        <f>IF(D94="","-",+C124+1)</f>
        <v>2045</v>
      </c>
      <c r="D125" s="63">
        <f>IF(F124+SUM(E$100:E124)=D$93,F124,D$93-SUM(E$100:E124))</f>
        <v>0</v>
      </c>
      <c r="E125" s="69">
        <f t="shared" si="16"/>
        <v>0</v>
      </c>
      <c r="F125" s="68">
        <f t="shared" si="17"/>
        <v>0</v>
      </c>
      <c r="G125" s="68">
        <f t="shared" si="18"/>
        <v>0</v>
      </c>
      <c r="H125" s="128">
        <f t="shared" si="11"/>
        <v>0</v>
      </c>
      <c r="I125" s="137">
        <f t="shared" si="19"/>
        <v>0</v>
      </c>
      <c r="J125" s="67">
        <f t="shared" si="12"/>
        <v>0</v>
      </c>
      <c r="K125" s="67"/>
      <c r="L125" s="130"/>
      <c r="M125" s="67">
        <f t="shared" si="13"/>
        <v>0</v>
      </c>
      <c r="N125" s="130"/>
      <c r="O125" s="67">
        <f t="shared" si="14"/>
        <v>0</v>
      </c>
      <c r="P125" s="67">
        <f t="shared" si="15"/>
        <v>0</v>
      </c>
    </row>
    <row r="126" spans="2:16" ht="12.5">
      <c r="B126" t="str">
        <f t="shared" si="10"/>
        <v/>
      </c>
      <c r="C126" s="62">
        <f>IF(D94="","-",+C125+1)</f>
        <v>2046</v>
      </c>
      <c r="D126" s="63">
        <f>IF(F125+SUM(E$100:E125)=D$93,F125,D$93-SUM(E$100:E125))</f>
        <v>0</v>
      </c>
      <c r="E126" s="69">
        <f t="shared" si="16"/>
        <v>0</v>
      </c>
      <c r="F126" s="68">
        <f t="shared" si="17"/>
        <v>0</v>
      </c>
      <c r="G126" s="68">
        <f t="shared" si="18"/>
        <v>0</v>
      </c>
      <c r="H126" s="128">
        <f t="shared" si="11"/>
        <v>0</v>
      </c>
      <c r="I126" s="137">
        <f t="shared" si="19"/>
        <v>0</v>
      </c>
      <c r="J126" s="67">
        <f t="shared" si="12"/>
        <v>0</v>
      </c>
      <c r="K126" s="67"/>
      <c r="L126" s="130"/>
      <c r="M126" s="67">
        <f t="shared" si="13"/>
        <v>0</v>
      </c>
      <c r="N126" s="130"/>
      <c r="O126" s="67">
        <f t="shared" si="14"/>
        <v>0</v>
      </c>
      <c r="P126" s="67">
        <f t="shared" si="15"/>
        <v>0</v>
      </c>
    </row>
    <row r="127" spans="2:16" ht="12.5">
      <c r="B127" t="str">
        <f t="shared" si="10"/>
        <v/>
      </c>
      <c r="C127" s="62">
        <f>IF(D94="","-",+C126+1)</f>
        <v>2047</v>
      </c>
      <c r="D127" s="63">
        <f>IF(F126+SUM(E$100:E126)=D$93,F126,D$93-SUM(E$100:E126))</f>
        <v>0</v>
      </c>
      <c r="E127" s="69">
        <f t="shared" si="16"/>
        <v>0</v>
      </c>
      <c r="F127" s="68">
        <f t="shared" si="17"/>
        <v>0</v>
      </c>
      <c r="G127" s="68">
        <f t="shared" si="18"/>
        <v>0</v>
      </c>
      <c r="H127" s="128">
        <f t="shared" si="11"/>
        <v>0</v>
      </c>
      <c r="I127" s="137">
        <f t="shared" si="19"/>
        <v>0</v>
      </c>
      <c r="J127" s="67">
        <f t="shared" si="12"/>
        <v>0</v>
      </c>
      <c r="K127" s="67"/>
      <c r="L127" s="130"/>
      <c r="M127" s="67">
        <f t="shared" si="13"/>
        <v>0</v>
      </c>
      <c r="N127" s="130"/>
      <c r="O127" s="67">
        <f t="shared" si="14"/>
        <v>0</v>
      </c>
      <c r="P127" s="67">
        <f t="shared" si="15"/>
        <v>0</v>
      </c>
    </row>
    <row r="128" spans="2:16" ht="12.5">
      <c r="B128" t="str">
        <f t="shared" si="10"/>
        <v/>
      </c>
      <c r="C128" s="62">
        <f>IF(D94="","-",+C127+1)</f>
        <v>2048</v>
      </c>
      <c r="D128" s="63">
        <f>IF(F127+SUM(E$100:E127)=D$93,F127,D$93-SUM(E$100:E127))</f>
        <v>0</v>
      </c>
      <c r="E128" s="69">
        <f t="shared" si="16"/>
        <v>0</v>
      </c>
      <c r="F128" s="68">
        <f t="shared" si="17"/>
        <v>0</v>
      </c>
      <c r="G128" s="68">
        <f t="shared" si="18"/>
        <v>0</v>
      </c>
      <c r="H128" s="128">
        <f t="shared" si="11"/>
        <v>0</v>
      </c>
      <c r="I128" s="137">
        <f t="shared" si="19"/>
        <v>0</v>
      </c>
      <c r="J128" s="67">
        <f t="shared" si="12"/>
        <v>0</v>
      </c>
      <c r="K128" s="67"/>
      <c r="L128" s="130"/>
      <c r="M128" s="67">
        <f t="shared" si="13"/>
        <v>0</v>
      </c>
      <c r="N128" s="130"/>
      <c r="O128" s="67">
        <f t="shared" si="14"/>
        <v>0</v>
      </c>
      <c r="P128" s="67">
        <f t="shared" si="15"/>
        <v>0</v>
      </c>
    </row>
    <row r="129" spans="2:16" ht="12.5">
      <c r="B129" t="str">
        <f t="shared" si="10"/>
        <v/>
      </c>
      <c r="C129" s="62">
        <f>IF(D94="","-",+C128+1)</f>
        <v>2049</v>
      </c>
      <c r="D129" s="63">
        <f>IF(F128+SUM(E$100:E128)=D$93,F128,D$93-SUM(E$100:E128))</f>
        <v>0</v>
      </c>
      <c r="E129" s="69">
        <f t="shared" si="16"/>
        <v>0</v>
      </c>
      <c r="F129" s="68">
        <f t="shared" si="17"/>
        <v>0</v>
      </c>
      <c r="G129" s="68">
        <f t="shared" si="18"/>
        <v>0</v>
      </c>
      <c r="H129" s="128">
        <f t="shared" si="11"/>
        <v>0</v>
      </c>
      <c r="I129" s="137">
        <f t="shared" si="19"/>
        <v>0</v>
      </c>
      <c r="J129" s="67">
        <f t="shared" si="12"/>
        <v>0</v>
      </c>
      <c r="K129" s="67"/>
      <c r="L129" s="130"/>
      <c r="M129" s="67">
        <f t="shared" si="13"/>
        <v>0</v>
      </c>
      <c r="N129" s="130"/>
      <c r="O129" s="67">
        <f t="shared" si="14"/>
        <v>0</v>
      </c>
      <c r="P129" s="67">
        <f t="shared" si="15"/>
        <v>0</v>
      </c>
    </row>
    <row r="130" spans="2:16" ht="12.5">
      <c r="B130" t="str">
        <f t="shared" si="10"/>
        <v/>
      </c>
      <c r="C130" s="62">
        <f>IF(D94="","-",+C129+1)</f>
        <v>2050</v>
      </c>
      <c r="D130" s="63">
        <f>IF(F129+SUM(E$100:E129)=D$93,F129,D$93-SUM(E$100:E129))</f>
        <v>0</v>
      </c>
      <c r="E130" s="69">
        <f t="shared" si="16"/>
        <v>0</v>
      </c>
      <c r="F130" s="68">
        <f t="shared" si="17"/>
        <v>0</v>
      </c>
      <c r="G130" s="68">
        <f t="shared" si="18"/>
        <v>0</v>
      </c>
      <c r="H130" s="128">
        <f t="shared" si="11"/>
        <v>0</v>
      </c>
      <c r="I130" s="137">
        <f t="shared" si="19"/>
        <v>0</v>
      </c>
      <c r="J130" s="67">
        <f t="shared" si="12"/>
        <v>0</v>
      </c>
      <c r="K130" s="67"/>
      <c r="L130" s="130"/>
      <c r="M130" s="67">
        <f t="shared" si="13"/>
        <v>0</v>
      </c>
      <c r="N130" s="130"/>
      <c r="O130" s="67">
        <f t="shared" si="14"/>
        <v>0</v>
      </c>
      <c r="P130" s="67">
        <f t="shared" si="15"/>
        <v>0</v>
      </c>
    </row>
    <row r="131" spans="2:16" ht="12.5">
      <c r="B131" t="str">
        <f t="shared" si="10"/>
        <v/>
      </c>
      <c r="C131" s="62">
        <f>IF(D94="","-",+C130+1)</f>
        <v>2051</v>
      </c>
      <c r="D131" s="63">
        <f>IF(F130+SUM(E$100:E130)=D$93,F130,D$93-SUM(E$100:E130))</f>
        <v>0</v>
      </c>
      <c r="E131" s="69">
        <f t="shared" si="16"/>
        <v>0</v>
      </c>
      <c r="F131" s="68">
        <f t="shared" si="17"/>
        <v>0</v>
      </c>
      <c r="G131" s="68">
        <f t="shared" si="18"/>
        <v>0</v>
      </c>
      <c r="H131" s="128">
        <f t="shared" si="11"/>
        <v>0</v>
      </c>
      <c r="I131" s="137">
        <f t="shared" si="19"/>
        <v>0</v>
      </c>
      <c r="J131" s="67">
        <f t="shared" si="12"/>
        <v>0</v>
      </c>
      <c r="K131" s="67"/>
      <c r="L131" s="130"/>
      <c r="M131" s="67">
        <f t="shared" si="13"/>
        <v>0</v>
      </c>
      <c r="N131" s="130"/>
      <c r="O131" s="67">
        <f t="shared" si="14"/>
        <v>0</v>
      </c>
      <c r="P131" s="67">
        <f t="shared" si="15"/>
        <v>0</v>
      </c>
    </row>
    <row r="132" spans="2:16" ht="12.5">
      <c r="B132" t="str">
        <f t="shared" si="10"/>
        <v/>
      </c>
      <c r="C132" s="62">
        <f>IF(D94="","-",+C131+1)</f>
        <v>2052</v>
      </c>
      <c r="D132" s="63">
        <f>IF(F131+SUM(E$100:E131)=D$93,F131,D$93-SUM(E$100:E131))</f>
        <v>0</v>
      </c>
      <c r="E132" s="69">
        <f t="shared" si="16"/>
        <v>0</v>
      </c>
      <c r="F132" s="68">
        <f t="shared" si="17"/>
        <v>0</v>
      </c>
      <c r="G132" s="68">
        <f t="shared" si="18"/>
        <v>0</v>
      </c>
      <c r="H132" s="128">
        <f t="shared" si="11"/>
        <v>0</v>
      </c>
      <c r="I132" s="137">
        <f t="shared" si="19"/>
        <v>0</v>
      </c>
      <c r="J132" s="67">
        <f t="shared" ref="J132:J155" si="20">+I542-H542</f>
        <v>0</v>
      </c>
      <c r="K132" s="67"/>
      <c r="L132" s="130"/>
      <c r="M132" s="67">
        <f t="shared" ref="M132:M155" si="21">IF(L542&lt;&gt;0,+H542-L542,0)</f>
        <v>0</v>
      </c>
      <c r="N132" s="130"/>
      <c r="O132" s="67">
        <f t="shared" ref="O132:O155" si="22">IF(N542&lt;&gt;0,+I542-N542,0)</f>
        <v>0</v>
      </c>
      <c r="P132" s="67">
        <f t="shared" ref="P132:P155" si="23">+O542-M542</f>
        <v>0</v>
      </c>
    </row>
    <row r="133" spans="2:16" ht="12.5">
      <c r="B133" t="str">
        <f t="shared" si="10"/>
        <v/>
      </c>
      <c r="C133" s="62">
        <f>IF(D94="","-",+C132+1)</f>
        <v>2053</v>
      </c>
      <c r="D133" s="63">
        <f>IF(F132+SUM(E$100:E132)=D$93,F132,D$93-SUM(E$100:E132))</f>
        <v>0</v>
      </c>
      <c r="E133" s="69">
        <f t="shared" si="16"/>
        <v>0</v>
      </c>
      <c r="F133" s="68">
        <f t="shared" si="17"/>
        <v>0</v>
      </c>
      <c r="G133" s="68">
        <f t="shared" si="18"/>
        <v>0</v>
      </c>
      <c r="H133" s="128">
        <f t="shared" si="11"/>
        <v>0</v>
      </c>
      <c r="I133" s="137">
        <f t="shared" si="19"/>
        <v>0</v>
      </c>
      <c r="J133" s="67">
        <f t="shared" si="20"/>
        <v>0</v>
      </c>
      <c r="K133" s="67"/>
      <c r="L133" s="130"/>
      <c r="M133" s="67">
        <f t="shared" si="21"/>
        <v>0</v>
      </c>
      <c r="N133" s="130"/>
      <c r="O133" s="67">
        <f t="shared" si="22"/>
        <v>0</v>
      </c>
      <c r="P133" s="67">
        <f t="shared" si="23"/>
        <v>0</v>
      </c>
    </row>
    <row r="134" spans="2:16" ht="12.5">
      <c r="B134" t="str">
        <f t="shared" si="10"/>
        <v/>
      </c>
      <c r="C134" s="62">
        <f>IF(D94="","-",+C133+1)</f>
        <v>2054</v>
      </c>
      <c r="D134" s="63">
        <f>IF(F133+SUM(E$100:E133)=D$93,F133,D$93-SUM(E$100:E133))</f>
        <v>0</v>
      </c>
      <c r="E134" s="69">
        <f t="shared" si="16"/>
        <v>0</v>
      </c>
      <c r="F134" s="68">
        <f t="shared" si="17"/>
        <v>0</v>
      </c>
      <c r="G134" s="68">
        <f t="shared" si="18"/>
        <v>0</v>
      </c>
      <c r="H134" s="128">
        <f t="shared" si="11"/>
        <v>0</v>
      </c>
      <c r="I134" s="137">
        <f t="shared" si="19"/>
        <v>0</v>
      </c>
      <c r="J134" s="67">
        <f t="shared" si="20"/>
        <v>0</v>
      </c>
      <c r="K134" s="67"/>
      <c r="L134" s="130"/>
      <c r="M134" s="67">
        <f t="shared" si="21"/>
        <v>0</v>
      </c>
      <c r="N134" s="130"/>
      <c r="O134" s="67">
        <f t="shared" si="22"/>
        <v>0</v>
      </c>
      <c r="P134" s="67">
        <f t="shared" si="23"/>
        <v>0</v>
      </c>
    </row>
    <row r="135" spans="2:16" ht="12.5">
      <c r="B135" t="str">
        <f t="shared" si="10"/>
        <v/>
      </c>
      <c r="C135" s="62">
        <f>IF(D94="","-",+C134+1)</f>
        <v>2055</v>
      </c>
      <c r="D135" s="63">
        <f>IF(F134+SUM(E$100:E134)=D$93,F134,D$93-SUM(E$100:E134))</f>
        <v>0</v>
      </c>
      <c r="E135" s="69">
        <f t="shared" si="16"/>
        <v>0</v>
      </c>
      <c r="F135" s="68">
        <f t="shared" si="17"/>
        <v>0</v>
      </c>
      <c r="G135" s="68">
        <f t="shared" si="18"/>
        <v>0</v>
      </c>
      <c r="H135" s="128">
        <f t="shared" si="11"/>
        <v>0</v>
      </c>
      <c r="I135" s="137">
        <f t="shared" si="19"/>
        <v>0</v>
      </c>
      <c r="J135" s="67">
        <f t="shared" si="20"/>
        <v>0</v>
      </c>
      <c r="K135" s="67"/>
      <c r="L135" s="130"/>
      <c r="M135" s="67">
        <f t="shared" si="21"/>
        <v>0</v>
      </c>
      <c r="N135" s="130"/>
      <c r="O135" s="67">
        <f t="shared" si="22"/>
        <v>0</v>
      </c>
      <c r="P135" s="67">
        <f t="shared" si="23"/>
        <v>0</v>
      </c>
    </row>
    <row r="136" spans="2:16" ht="12.5">
      <c r="B136" t="str">
        <f t="shared" si="10"/>
        <v/>
      </c>
      <c r="C136" s="62">
        <f>IF(D94="","-",+C135+1)</f>
        <v>2056</v>
      </c>
      <c r="D136" s="63">
        <f>IF(F135+SUM(E$100:E135)=D$93,F135,D$93-SUM(E$100:E135))</f>
        <v>0</v>
      </c>
      <c r="E136" s="69">
        <f t="shared" si="16"/>
        <v>0</v>
      </c>
      <c r="F136" s="68">
        <f t="shared" si="17"/>
        <v>0</v>
      </c>
      <c r="G136" s="68">
        <f t="shared" si="18"/>
        <v>0</v>
      </c>
      <c r="H136" s="128">
        <f t="shared" si="11"/>
        <v>0</v>
      </c>
      <c r="I136" s="137">
        <f t="shared" si="19"/>
        <v>0</v>
      </c>
      <c r="J136" s="67">
        <f t="shared" si="20"/>
        <v>0</v>
      </c>
      <c r="K136" s="67"/>
      <c r="L136" s="130"/>
      <c r="M136" s="67">
        <f t="shared" si="21"/>
        <v>0</v>
      </c>
      <c r="N136" s="130"/>
      <c r="O136" s="67">
        <f t="shared" si="22"/>
        <v>0</v>
      </c>
      <c r="P136" s="67">
        <f t="shared" si="23"/>
        <v>0</v>
      </c>
    </row>
    <row r="137" spans="2:16" ht="12.5">
      <c r="B137" t="str">
        <f t="shared" si="10"/>
        <v/>
      </c>
      <c r="C137" s="62">
        <f>IF(D94="","-",+C136+1)</f>
        <v>2057</v>
      </c>
      <c r="D137" s="63">
        <f>IF(F136+SUM(E$100:E136)=D$93,F136,D$93-SUM(E$100:E136))</f>
        <v>0</v>
      </c>
      <c r="E137" s="69">
        <f t="shared" si="16"/>
        <v>0</v>
      </c>
      <c r="F137" s="68">
        <f t="shared" si="17"/>
        <v>0</v>
      </c>
      <c r="G137" s="68">
        <f t="shared" si="18"/>
        <v>0</v>
      </c>
      <c r="H137" s="128">
        <f t="shared" si="11"/>
        <v>0</v>
      </c>
      <c r="I137" s="137">
        <f t="shared" si="19"/>
        <v>0</v>
      </c>
      <c r="J137" s="67">
        <f t="shared" si="20"/>
        <v>0</v>
      </c>
      <c r="K137" s="67"/>
      <c r="L137" s="130"/>
      <c r="M137" s="67">
        <f t="shared" si="21"/>
        <v>0</v>
      </c>
      <c r="N137" s="130"/>
      <c r="O137" s="67">
        <f t="shared" si="22"/>
        <v>0</v>
      </c>
      <c r="P137" s="67">
        <f t="shared" si="23"/>
        <v>0</v>
      </c>
    </row>
    <row r="138" spans="2:16" ht="12.5">
      <c r="B138" t="str">
        <f t="shared" si="10"/>
        <v/>
      </c>
      <c r="C138" s="62">
        <f>IF(D94="","-",+C137+1)</f>
        <v>2058</v>
      </c>
      <c r="D138" s="63">
        <f>IF(F137+SUM(E$100:E137)=D$93,F137,D$93-SUM(E$100:E137))</f>
        <v>0</v>
      </c>
      <c r="E138" s="69">
        <f t="shared" si="16"/>
        <v>0</v>
      </c>
      <c r="F138" s="68">
        <f t="shared" si="17"/>
        <v>0</v>
      </c>
      <c r="G138" s="68">
        <f t="shared" si="18"/>
        <v>0</v>
      </c>
      <c r="H138" s="128">
        <f t="shared" si="11"/>
        <v>0</v>
      </c>
      <c r="I138" s="137">
        <f t="shared" si="19"/>
        <v>0</v>
      </c>
      <c r="J138" s="67">
        <f t="shared" si="20"/>
        <v>0</v>
      </c>
      <c r="K138" s="67"/>
      <c r="L138" s="130"/>
      <c r="M138" s="67">
        <f t="shared" si="21"/>
        <v>0</v>
      </c>
      <c r="N138" s="130"/>
      <c r="O138" s="67">
        <f t="shared" si="22"/>
        <v>0</v>
      </c>
      <c r="P138" s="67">
        <f t="shared" si="23"/>
        <v>0</v>
      </c>
    </row>
    <row r="139" spans="2:16" ht="12.5">
      <c r="B139" t="str">
        <f t="shared" si="10"/>
        <v/>
      </c>
      <c r="C139" s="62">
        <f>IF(D94="","-",+C138+1)</f>
        <v>2059</v>
      </c>
      <c r="D139" s="63">
        <f>IF(F138+SUM(E$100:E138)=D$93,F138,D$93-SUM(E$100:E138))</f>
        <v>0</v>
      </c>
      <c r="E139" s="69">
        <f t="shared" si="16"/>
        <v>0</v>
      </c>
      <c r="F139" s="68">
        <f t="shared" si="17"/>
        <v>0</v>
      </c>
      <c r="G139" s="68">
        <f t="shared" si="18"/>
        <v>0</v>
      </c>
      <c r="H139" s="128">
        <f t="shared" si="11"/>
        <v>0</v>
      </c>
      <c r="I139" s="137">
        <f t="shared" si="19"/>
        <v>0</v>
      </c>
      <c r="J139" s="67">
        <f t="shared" si="20"/>
        <v>0</v>
      </c>
      <c r="K139" s="67"/>
      <c r="L139" s="130"/>
      <c r="M139" s="67">
        <f t="shared" si="21"/>
        <v>0</v>
      </c>
      <c r="N139" s="130"/>
      <c r="O139" s="67">
        <f t="shared" si="22"/>
        <v>0</v>
      </c>
      <c r="P139" s="67">
        <f t="shared" si="23"/>
        <v>0</v>
      </c>
    </row>
    <row r="140" spans="2:16" ht="12.5">
      <c r="B140" t="str">
        <f t="shared" si="10"/>
        <v/>
      </c>
      <c r="C140" s="62">
        <f>IF(D94="","-",+C139+1)</f>
        <v>2060</v>
      </c>
      <c r="D140" s="63">
        <f>IF(F139+SUM(E$100:E139)=D$93,F139,D$93-SUM(E$100:E139))</f>
        <v>0</v>
      </c>
      <c r="E140" s="69">
        <f t="shared" si="16"/>
        <v>0</v>
      </c>
      <c r="F140" s="68">
        <f t="shared" si="17"/>
        <v>0</v>
      </c>
      <c r="G140" s="68">
        <f t="shared" si="18"/>
        <v>0</v>
      </c>
      <c r="H140" s="128">
        <f t="shared" si="11"/>
        <v>0</v>
      </c>
      <c r="I140" s="137">
        <f t="shared" si="19"/>
        <v>0</v>
      </c>
      <c r="J140" s="67">
        <f t="shared" si="20"/>
        <v>0</v>
      </c>
      <c r="K140" s="67"/>
      <c r="L140" s="130"/>
      <c r="M140" s="67">
        <f t="shared" si="21"/>
        <v>0</v>
      </c>
      <c r="N140" s="130"/>
      <c r="O140" s="67">
        <f t="shared" si="22"/>
        <v>0</v>
      </c>
      <c r="P140" s="67">
        <f t="shared" si="23"/>
        <v>0</v>
      </c>
    </row>
    <row r="141" spans="2:16" ht="12.5">
      <c r="B141" t="str">
        <f t="shared" si="10"/>
        <v/>
      </c>
      <c r="C141" s="62">
        <f>IF(D94="","-",+C140+1)</f>
        <v>2061</v>
      </c>
      <c r="D141" s="63">
        <f>IF(F140+SUM(E$100:E140)=D$93,F140,D$93-SUM(E$100:E140))</f>
        <v>0</v>
      </c>
      <c r="E141" s="69">
        <f t="shared" si="16"/>
        <v>0</v>
      </c>
      <c r="F141" s="68">
        <f t="shared" si="17"/>
        <v>0</v>
      </c>
      <c r="G141" s="68">
        <f t="shared" si="18"/>
        <v>0</v>
      </c>
      <c r="H141" s="128">
        <f t="shared" si="11"/>
        <v>0</v>
      </c>
      <c r="I141" s="137">
        <f t="shared" si="19"/>
        <v>0</v>
      </c>
      <c r="J141" s="67">
        <f t="shared" si="20"/>
        <v>0</v>
      </c>
      <c r="K141" s="67"/>
      <c r="L141" s="130"/>
      <c r="M141" s="67">
        <f t="shared" si="21"/>
        <v>0</v>
      </c>
      <c r="N141" s="130"/>
      <c r="O141" s="67">
        <f t="shared" si="22"/>
        <v>0</v>
      </c>
      <c r="P141" s="67">
        <f t="shared" si="23"/>
        <v>0</v>
      </c>
    </row>
    <row r="142" spans="2:16" ht="12.5">
      <c r="B142" t="str">
        <f t="shared" si="10"/>
        <v/>
      </c>
      <c r="C142" s="62">
        <f>IF(D94="","-",+C141+1)</f>
        <v>2062</v>
      </c>
      <c r="D142" s="63">
        <f>IF(F141+SUM(E$100:E141)=D$93,F141,D$93-SUM(E$100:E141))</f>
        <v>0</v>
      </c>
      <c r="E142" s="69">
        <f t="shared" si="16"/>
        <v>0</v>
      </c>
      <c r="F142" s="68">
        <f t="shared" si="17"/>
        <v>0</v>
      </c>
      <c r="G142" s="68">
        <f t="shared" si="18"/>
        <v>0</v>
      </c>
      <c r="H142" s="128">
        <f t="shared" si="11"/>
        <v>0</v>
      </c>
      <c r="I142" s="137">
        <f t="shared" si="19"/>
        <v>0</v>
      </c>
      <c r="J142" s="67">
        <f t="shared" si="20"/>
        <v>0</v>
      </c>
      <c r="K142" s="67"/>
      <c r="L142" s="130"/>
      <c r="M142" s="67">
        <f t="shared" si="21"/>
        <v>0</v>
      </c>
      <c r="N142" s="130"/>
      <c r="O142" s="67">
        <f t="shared" si="22"/>
        <v>0</v>
      </c>
      <c r="P142" s="67">
        <f t="shared" si="23"/>
        <v>0</v>
      </c>
    </row>
    <row r="143" spans="2:16" ht="12.5">
      <c r="B143" t="str">
        <f t="shared" si="10"/>
        <v/>
      </c>
      <c r="C143" s="62">
        <f>IF(D94="","-",+C142+1)</f>
        <v>2063</v>
      </c>
      <c r="D143" s="63">
        <f>IF(F142+SUM(E$100:E142)=D$93,F142,D$93-SUM(E$100:E142))</f>
        <v>0</v>
      </c>
      <c r="E143" s="69">
        <f t="shared" si="16"/>
        <v>0</v>
      </c>
      <c r="F143" s="68">
        <f t="shared" si="17"/>
        <v>0</v>
      </c>
      <c r="G143" s="68">
        <f t="shared" si="18"/>
        <v>0</v>
      </c>
      <c r="H143" s="128">
        <f t="shared" si="11"/>
        <v>0</v>
      </c>
      <c r="I143" s="137">
        <f t="shared" si="19"/>
        <v>0</v>
      </c>
      <c r="J143" s="67">
        <f t="shared" si="20"/>
        <v>0</v>
      </c>
      <c r="K143" s="67"/>
      <c r="L143" s="130"/>
      <c r="M143" s="67">
        <f t="shared" si="21"/>
        <v>0</v>
      </c>
      <c r="N143" s="130"/>
      <c r="O143" s="67">
        <f t="shared" si="22"/>
        <v>0</v>
      </c>
      <c r="P143" s="67">
        <f t="shared" si="23"/>
        <v>0</v>
      </c>
    </row>
    <row r="144" spans="2:16" ht="12.5">
      <c r="B144" t="str">
        <f t="shared" si="10"/>
        <v/>
      </c>
      <c r="C144" s="62">
        <f>IF(D94="","-",+C143+1)</f>
        <v>2064</v>
      </c>
      <c r="D144" s="63">
        <f>IF(F143+SUM(E$100:E143)=D$93,F143,D$93-SUM(E$100:E143))</f>
        <v>0</v>
      </c>
      <c r="E144" s="69">
        <f t="shared" si="16"/>
        <v>0</v>
      </c>
      <c r="F144" s="68">
        <f t="shared" si="17"/>
        <v>0</v>
      </c>
      <c r="G144" s="68">
        <f t="shared" si="18"/>
        <v>0</v>
      </c>
      <c r="H144" s="128">
        <f t="shared" si="11"/>
        <v>0</v>
      </c>
      <c r="I144" s="137">
        <f t="shared" si="19"/>
        <v>0</v>
      </c>
      <c r="J144" s="67">
        <f t="shared" si="20"/>
        <v>0</v>
      </c>
      <c r="K144" s="67"/>
      <c r="L144" s="130"/>
      <c r="M144" s="67">
        <f t="shared" si="21"/>
        <v>0</v>
      </c>
      <c r="N144" s="130"/>
      <c r="O144" s="67">
        <f t="shared" si="22"/>
        <v>0</v>
      </c>
      <c r="P144" s="67">
        <f t="shared" si="23"/>
        <v>0</v>
      </c>
    </row>
    <row r="145" spans="2:16" ht="12.5">
      <c r="B145" t="str">
        <f t="shared" si="10"/>
        <v/>
      </c>
      <c r="C145" s="62">
        <f>IF(D94="","-",+C144+1)</f>
        <v>2065</v>
      </c>
      <c r="D145" s="63">
        <f>IF(F144+SUM(E$100:E144)=D$93,F144,D$93-SUM(E$100:E144))</f>
        <v>0</v>
      </c>
      <c r="E145" s="69">
        <f t="shared" si="16"/>
        <v>0</v>
      </c>
      <c r="F145" s="68">
        <f t="shared" si="17"/>
        <v>0</v>
      </c>
      <c r="G145" s="68">
        <f t="shared" si="18"/>
        <v>0</v>
      </c>
      <c r="H145" s="128">
        <f t="shared" si="11"/>
        <v>0</v>
      </c>
      <c r="I145" s="137">
        <f t="shared" si="19"/>
        <v>0</v>
      </c>
      <c r="J145" s="67">
        <f t="shared" si="20"/>
        <v>0</v>
      </c>
      <c r="K145" s="67"/>
      <c r="L145" s="130"/>
      <c r="M145" s="67">
        <f t="shared" si="21"/>
        <v>0</v>
      </c>
      <c r="N145" s="130"/>
      <c r="O145" s="67">
        <f t="shared" si="22"/>
        <v>0</v>
      </c>
      <c r="P145" s="67">
        <f t="shared" si="23"/>
        <v>0</v>
      </c>
    </row>
    <row r="146" spans="2:16" ht="12.5">
      <c r="B146" t="str">
        <f t="shared" si="10"/>
        <v/>
      </c>
      <c r="C146" s="62">
        <f>IF(D94="","-",+C145+1)</f>
        <v>2066</v>
      </c>
      <c r="D146" s="63">
        <f>IF(F145+SUM(E$100:E145)=D$93,F145,D$93-SUM(E$100:E145))</f>
        <v>0</v>
      </c>
      <c r="E146" s="69">
        <f t="shared" si="16"/>
        <v>0</v>
      </c>
      <c r="F146" s="68">
        <f t="shared" si="17"/>
        <v>0</v>
      </c>
      <c r="G146" s="68">
        <f t="shared" si="18"/>
        <v>0</v>
      </c>
      <c r="H146" s="128">
        <f t="shared" si="11"/>
        <v>0</v>
      </c>
      <c r="I146" s="137">
        <f t="shared" si="19"/>
        <v>0</v>
      </c>
      <c r="J146" s="67">
        <f t="shared" si="20"/>
        <v>0</v>
      </c>
      <c r="K146" s="67"/>
      <c r="L146" s="130"/>
      <c r="M146" s="67">
        <f t="shared" si="21"/>
        <v>0</v>
      </c>
      <c r="N146" s="130"/>
      <c r="O146" s="67">
        <f t="shared" si="22"/>
        <v>0</v>
      </c>
      <c r="P146" s="67">
        <f t="shared" si="23"/>
        <v>0</v>
      </c>
    </row>
    <row r="147" spans="2:16" ht="12.5">
      <c r="B147" t="str">
        <f t="shared" si="10"/>
        <v/>
      </c>
      <c r="C147" s="62">
        <f>IF(D94="","-",+C146+1)</f>
        <v>2067</v>
      </c>
      <c r="D147" s="63">
        <f>IF(F146+SUM(E$100:E146)=D$93,F146,D$93-SUM(E$100:E146))</f>
        <v>0</v>
      </c>
      <c r="E147" s="69">
        <f t="shared" si="16"/>
        <v>0</v>
      </c>
      <c r="F147" s="68">
        <f t="shared" si="17"/>
        <v>0</v>
      </c>
      <c r="G147" s="68">
        <f t="shared" si="18"/>
        <v>0</v>
      </c>
      <c r="H147" s="128">
        <f t="shared" si="11"/>
        <v>0</v>
      </c>
      <c r="I147" s="137">
        <f t="shared" si="19"/>
        <v>0</v>
      </c>
      <c r="J147" s="67">
        <f t="shared" si="20"/>
        <v>0</v>
      </c>
      <c r="K147" s="67"/>
      <c r="L147" s="130"/>
      <c r="M147" s="67">
        <f t="shared" si="21"/>
        <v>0</v>
      </c>
      <c r="N147" s="130"/>
      <c r="O147" s="67">
        <f t="shared" si="22"/>
        <v>0</v>
      </c>
      <c r="P147" s="67">
        <f t="shared" si="23"/>
        <v>0</v>
      </c>
    </row>
    <row r="148" spans="2:16" ht="12.5">
      <c r="B148" t="str">
        <f t="shared" si="10"/>
        <v/>
      </c>
      <c r="C148" s="62">
        <f>IF(D94="","-",+C147+1)</f>
        <v>2068</v>
      </c>
      <c r="D148" s="63">
        <f>IF(F147+SUM(E$100:E147)=D$93,F147,D$93-SUM(E$100:E147))</f>
        <v>0</v>
      </c>
      <c r="E148" s="69">
        <f t="shared" si="16"/>
        <v>0</v>
      </c>
      <c r="F148" s="68">
        <f t="shared" si="17"/>
        <v>0</v>
      </c>
      <c r="G148" s="68">
        <f t="shared" si="18"/>
        <v>0</v>
      </c>
      <c r="H148" s="128">
        <f t="shared" si="11"/>
        <v>0</v>
      </c>
      <c r="I148" s="137">
        <f t="shared" si="19"/>
        <v>0</v>
      </c>
      <c r="J148" s="67">
        <f t="shared" si="20"/>
        <v>0</v>
      </c>
      <c r="K148" s="67"/>
      <c r="L148" s="130"/>
      <c r="M148" s="67">
        <f t="shared" si="21"/>
        <v>0</v>
      </c>
      <c r="N148" s="130"/>
      <c r="O148" s="67">
        <f t="shared" si="22"/>
        <v>0</v>
      </c>
      <c r="P148" s="67">
        <f t="shared" si="23"/>
        <v>0</v>
      </c>
    </row>
    <row r="149" spans="2:16" ht="12.5">
      <c r="B149" t="str">
        <f t="shared" si="10"/>
        <v/>
      </c>
      <c r="C149" s="62">
        <f>IF(D94="","-",+C148+1)</f>
        <v>2069</v>
      </c>
      <c r="D149" s="63">
        <f>IF(F148+SUM(E$100:E148)=D$93,F148,D$93-SUM(E$100:E148))</f>
        <v>0</v>
      </c>
      <c r="E149" s="69">
        <f t="shared" si="16"/>
        <v>0</v>
      </c>
      <c r="F149" s="68">
        <f t="shared" si="17"/>
        <v>0</v>
      </c>
      <c r="G149" s="68">
        <f t="shared" si="18"/>
        <v>0</v>
      </c>
      <c r="H149" s="128">
        <f t="shared" si="11"/>
        <v>0</v>
      </c>
      <c r="I149" s="137">
        <f t="shared" si="19"/>
        <v>0</v>
      </c>
      <c r="J149" s="67">
        <f t="shared" si="20"/>
        <v>0</v>
      </c>
      <c r="K149" s="67"/>
      <c r="L149" s="130"/>
      <c r="M149" s="67">
        <f t="shared" si="21"/>
        <v>0</v>
      </c>
      <c r="N149" s="130"/>
      <c r="O149" s="67">
        <f t="shared" si="22"/>
        <v>0</v>
      </c>
      <c r="P149" s="67">
        <f t="shared" si="23"/>
        <v>0</v>
      </c>
    </row>
    <row r="150" spans="2:16" ht="12.5">
      <c r="B150" t="str">
        <f t="shared" si="10"/>
        <v/>
      </c>
      <c r="C150" s="62">
        <f>IF(D94="","-",+C149+1)</f>
        <v>2070</v>
      </c>
      <c r="D150" s="63">
        <f>IF(F149+SUM(E$100:E149)=D$93,F149,D$93-SUM(E$100:E149))</f>
        <v>0</v>
      </c>
      <c r="E150" s="69">
        <f t="shared" si="16"/>
        <v>0</v>
      </c>
      <c r="F150" s="68">
        <f t="shared" si="17"/>
        <v>0</v>
      </c>
      <c r="G150" s="68">
        <f t="shared" si="18"/>
        <v>0</v>
      </c>
      <c r="H150" s="128">
        <f t="shared" si="11"/>
        <v>0</v>
      </c>
      <c r="I150" s="137">
        <f t="shared" si="19"/>
        <v>0</v>
      </c>
      <c r="J150" s="67">
        <f t="shared" si="20"/>
        <v>0</v>
      </c>
      <c r="K150" s="67"/>
      <c r="L150" s="130"/>
      <c r="M150" s="67">
        <f t="shared" si="21"/>
        <v>0</v>
      </c>
      <c r="N150" s="130"/>
      <c r="O150" s="67">
        <f t="shared" si="22"/>
        <v>0</v>
      </c>
      <c r="P150" s="67">
        <f t="shared" si="23"/>
        <v>0</v>
      </c>
    </row>
    <row r="151" spans="2:16" ht="12.5">
      <c r="B151" t="str">
        <f t="shared" si="10"/>
        <v/>
      </c>
      <c r="C151" s="62">
        <f>IF(D94="","-",+C150+1)</f>
        <v>2071</v>
      </c>
      <c r="D151" s="63">
        <f>IF(F150+SUM(E$100:E150)=D$93,F150,D$93-SUM(E$100:E150))</f>
        <v>0</v>
      </c>
      <c r="E151" s="69">
        <f t="shared" si="16"/>
        <v>0</v>
      </c>
      <c r="F151" s="68">
        <f t="shared" si="17"/>
        <v>0</v>
      </c>
      <c r="G151" s="68">
        <f t="shared" si="18"/>
        <v>0</v>
      </c>
      <c r="H151" s="128">
        <f t="shared" si="11"/>
        <v>0</v>
      </c>
      <c r="I151" s="137">
        <f t="shared" si="19"/>
        <v>0</v>
      </c>
      <c r="J151" s="67">
        <f t="shared" si="20"/>
        <v>0</v>
      </c>
      <c r="K151" s="67"/>
      <c r="L151" s="130"/>
      <c r="M151" s="67">
        <f t="shared" si="21"/>
        <v>0</v>
      </c>
      <c r="N151" s="130"/>
      <c r="O151" s="67">
        <f t="shared" si="22"/>
        <v>0</v>
      </c>
      <c r="P151" s="67">
        <f t="shared" si="23"/>
        <v>0</v>
      </c>
    </row>
    <row r="152" spans="2:16" ht="12.5">
      <c r="B152" t="str">
        <f t="shared" si="10"/>
        <v/>
      </c>
      <c r="C152" s="62">
        <f>IF(D94="","-",+C151+1)</f>
        <v>2072</v>
      </c>
      <c r="D152" s="63">
        <f>IF(F151+SUM(E$100:E151)=D$93,F151,D$93-SUM(E$100:E151))</f>
        <v>0</v>
      </c>
      <c r="E152" s="69">
        <f t="shared" si="16"/>
        <v>0</v>
      </c>
      <c r="F152" s="68">
        <f t="shared" si="17"/>
        <v>0</v>
      </c>
      <c r="G152" s="68">
        <f t="shared" si="18"/>
        <v>0</v>
      </c>
      <c r="H152" s="128">
        <f t="shared" si="11"/>
        <v>0</v>
      </c>
      <c r="I152" s="137">
        <f t="shared" si="19"/>
        <v>0</v>
      </c>
      <c r="J152" s="67">
        <f t="shared" si="20"/>
        <v>0</v>
      </c>
      <c r="K152" s="67"/>
      <c r="L152" s="130"/>
      <c r="M152" s="67">
        <f t="shared" si="21"/>
        <v>0</v>
      </c>
      <c r="N152" s="130"/>
      <c r="O152" s="67">
        <f t="shared" si="22"/>
        <v>0</v>
      </c>
      <c r="P152" s="67">
        <f t="shared" si="23"/>
        <v>0</v>
      </c>
    </row>
    <row r="153" spans="2:16" ht="12.5">
      <c r="B153" t="str">
        <f t="shared" si="10"/>
        <v/>
      </c>
      <c r="C153" s="62">
        <f>IF(D94="","-",+C152+1)</f>
        <v>2073</v>
      </c>
      <c r="D153" s="63">
        <f>IF(F152+SUM(E$100:E152)=D$93,F152,D$93-SUM(E$100:E152))</f>
        <v>0</v>
      </c>
      <c r="E153" s="69">
        <f t="shared" si="16"/>
        <v>0</v>
      </c>
      <c r="F153" s="68">
        <f t="shared" si="17"/>
        <v>0</v>
      </c>
      <c r="G153" s="68">
        <f t="shared" si="18"/>
        <v>0</v>
      </c>
      <c r="H153" s="128">
        <f t="shared" si="11"/>
        <v>0</v>
      </c>
      <c r="I153" s="137">
        <f t="shared" si="19"/>
        <v>0</v>
      </c>
      <c r="J153" s="67">
        <f t="shared" si="20"/>
        <v>0</v>
      </c>
      <c r="K153" s="67"/>
      <c r="L153" s="130"/>
      <c r="M153" s="67">
        <f t="shared" si="21"/>
        <v>0</v>
      </c>
      <c r="N153" s="130"/>
      <c r="O153" s="67">
        <f t="shared" si="22"/>
        <v>0</v>
      </c>
      <c r="P153" s="67">
        <f t="shared" si="23"/>
        <v>0</v>
      </c>
    </row>
    <row r="154" spans="2:16" ht="12.5">
      <c r="B154" t="str">
        <f t="shared" si="10"/>
        <v/>
      </c>
      <c r="C154" s="62">
        <f>IF(D94="","-",+C153+1)</f>
        <v>2074</v>
      </c>
      <c r="D154" s="63">
        <f>IF(F153+SUM(E$100:E153)=D$93,F153,D$93-SUM(E$100:E153))</f>
        <v>0</v>
      </c>
      <c r="E154" s="69">
        <f t="shared" si="16"/>
        <v>0</v>
      </c>
      <c r="F154" s="68">
        <f t="shared" si="17"/>
        <v>0</v>
      </c>
      <c r="G154" s="68">
        <f t="shared" si="18"/>
        <v>0</v>
      </c>
      <c r="H154" s="128">
        <f t="shared" si="11"/>
        <v>0</v>
      </c>
      <c r="I154" s="137">
        <f t="shared" si="19"/>
        <v>0</v>
      </c>
      <c r="J154" s="67">
        <f t="shared" si="20"/>
        <v>0</v>
      </c>
      <c r="K154" s="67"/>
      <c r="L154" s="130"/>
      <c r="M154" s="67">
        <f t="shared" si="21"/>
        <v>0</v>
      </c>
      <c r="N154" s="130"/>
      <c r="O154" s="67">
        <f t="shared" si="22"/>
        <v>0</v>
      </c>
      <c r="P154" s="67">
        <f t="shared" si="23"/>
        <v>0</v>
      </c>
    </row>
    <row r="155" spans="2:16" ht="13" thickBot="1">
      <c r="B155" t="str">
        <f t="shared" si="10"/>
        <v/>
      </c>
      <c r="C155" s="73">
        <f>IF(D94="","-",+C154+1)</f>
        <v>2075</v>
      </c>
      <c r="D155" s="99">
        <f>IF(F154+SUM(E$100:E154)=D$93,F154,D$93-SUM(E$100:E154))</f>
        <v>0</v>
      </c>
      <c r="E155" s="75">
        <f t="shared" si="16"/>
        <v>0</v>
      </c>
      <c r="F155" s="74">
        <f t="shared" si="17"/>
        <v>0</v>
      </c>
      <c r="G155" s="74">
        <f t="shared" si="18"/>
        <v>0</v>
      </c>
      <c r="H155" s="138">
        <f t="shared" si="11"/>
        <v>0</v>
      </c>
      <c r="I155" s="139">
        <f t="shared" si="19"/>
        <v>0</v>
      </c>
      <c r="J155" s="78">
        <f t="shared" si="20"/>
        <v>0</v>
      </c>
      <c r="K155" s="67"/>
      <c r="L155" s="131"/>
      <c r="M155" s="78">
        <f t="shared" si="21"/>
        <v>0</v>
      </c>
      <c r="N155" s="131"/>
      <c r="O155" s="78">
        <f t="shared" si="22"/>
        <v>0</v>
      </c>
      <c r="P155" s="78">
        <f t="shared" si="23"/>
        <v>0</v>
      </c>
    </row>
    <row r="156" spans="2:16" ht="12.5">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ht="12.5">
      <c r="C157" t="s">
        <v>90</v>
      </c>
      <c r="D157" s="2"/>
      <c r="E157" s="1"/>
      <c r="F157" s="1"/>
      <c r="G157" s="1"/>
      <c r="H157" s="1"/>
      <c r="I157" s="3"/>
      <c r="J157" s="3"/>
      <c r="K157" s="19"/>
      <c r="L157" s="3"/>
      <c r="M157" s="3"/>
      <c r="N157" s="3"/>
      <c r="O157" s="3"/>
      <c r="P157" s="1"/>
    </row>
    <row r="158" spans="2:16" ht="12.5">
      <c r="C158" s="100"/>
      <c r="D158" s="2"/>
      <c r="E158" s="1"/>
      <c r="F158" s="1"/>
      <c r="G158" s="1"/>
      <c r="H158" s="1"/>
      <c r="I158" s="3"/>
      <c r="J158" s="3"/>
      <c r="K158" s="19"/>
      <c r="L158" s="3"/>
      <c r="M158" s="3"/>
      <c r="N158" s="3"/>
      <c r="O158" s="3"/>
      <c r="P158" s="1"/>
    </row>
    <row r="159" spans="2:16" ht="13">
      <c r="C159" s="115" t="s">
        <v>130</v>
      </c>
      <c r="D159" s="2"/>
      <c r="E159" s="1"/>
      <c r="F159" s="1"/>
      <c r="G159" s="1"/>
      <c r="H159" s="1"/>
      <c r="I159" s="3"/>
      <c r="J159" s="3"/>
      <c r="K159" s="19"/>
      <c r="L159" s="3"/>
      <c r="M159" s="3"/>
      <c r="N159" s="3"/>
      <c r="O159" s="3"/>
      <c r="P159" s="1"/>
    </row>
    <row r="160" spans="2:16" ht="13">
      <c r="C160" s="31" t="s">
        <v>76</v>
      </c>
      <c r="D160" s="63"/>
      <c r="E160" s="63"/>
      <c r="F160" s="63"/>
      <c r="G160" s="63"/>
      <c r="H160" s="19"/>
      <c r="I160" s="19"/>
      <c r="J160" s="80"/>
      <c r="K160" s="80"/>
      <c r="L160" s="80"/>
      <c r="M160" s="80"/>
      <c r="N160" s="80"/>
      <c r="O160" s="80"/>
      <c r="P160" s="1"/>
    </row>
    <row r="161" spans="3:16" ht="13">
      <c r="C161" s="101" t="s">
        <v>77</v>
      </c>
      <c r="D161" s="63"/>
      <c r="E161" s="63"/>
      <c r="F161" s="63"/>
      <c r="G161" s="63"/>
      <c r="H161" s="19"/>
      <c r="I161" s="19"/>
      <c r="J161" s="80"/>
      <c r="K161" s="80"/>
      <c r="L161" s="80"/>
      <c r="M161" s="80"/>
      <c r="N161" s="80"/>
      <c r="O161" s="80"/>
      <c r="P161" s="1"/>
    </row>
    <row r="162" spans="3:16" ht="13">
      <c r="C162" s="101"/>
      <c r="D162" s="63"/>
      <c r="E162" s="63"/>
      <c r="F162" s="63"/>
      <c r="G162" s="63"/>
      <c r="H162" s="19"/>
      <c r="I162" s="19"/>
      <c r="J162" s="80"/>
      <c r="K162" s="80"/>
      <c r="L162" s="80"/>
      <c r="M162" s="80"/>
      <c r="N162" s="80"/>
      <c r="O162" s="80"/>
      <c r="P162" s="1"/>
    </row>
    <row r="163" spans="3:16" ht="17.5">
      <c r="C163" s="101"/>
      <c r="D163" s="63"/>
      <c r="E163" s="63"/>
      <c r="F163" s="63"/>
      <c r="G163" s="63"/>
      <c r="H163" s="19"/>
      <c r="I163" s="19"/>
      <c r="J163" s="80"/>
      <c r="K163" s="80"/>
      <c r="L163" s="80"/>
      <c r="M163" s="80"/>
      <c r="N163" s="80"/>
      <c r="P163" s="112" t="s">
        <v>129</v>
      </c>
    </row>
  </sheetData>
  <conditionalFormatting sqref="C17:C71 C73">
    <cfRule type="cellIs" dxfId="5" priority="2" stopIfTrue="1" operator="equal">
      <formula>$I$10</formula>
    </cfRule>
  </conditionalFormatting>
  <conditionalFormatting sqref="C100:C155">
    <cfRule type="cellIs" dxfId="4" priority="3" stopIfTrue="1" operator="equal">
      <formula>$J$93</formula>
    </cfRule>
  </conditionalFormatting>
  <conditionalFormatting sqref="C72">
    <cfRule type="cellIs" dxfId="3" priority="1" stopIfTrue="1" operator="equal">
      <formula>$I$10</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63"/>
  <sheetViews>
    <sheetView zoomScaleNormal="100" workbookViewId="0">
      <selection sqref="A1:XFD1048576"/>
    </sheetView>
  </sheetViews>
  <sheetFormatPr defaultRowHeight="12.75" customHeight="1"/>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 min="17" max="17" width="9.1796875" customWidth="1"/>
    <col min="23" max="23" width="9.1796875" customWidth="1"/>
  </cols>
  <sheetData>
    <row r="1" spans="1:16" ht="20">
      <c r="A1" s="110" t="s">
        <v>189</v>
      </c>
      <c r="B1" s="1"/>
      <c r="C1" s="9"/>
      <c r="D1" s="2"/>
      <c r="E1" s="1"/>
      <c r="F1" s="14"/>
      <c r="G1" s="1"/>
      <c r="H1" s="3"/>
      <c r="J1" s="7"/>
      <c r="K1" s="18"/>
      <c r="L1" s="18"/>
      <c r="M1" s="18"/>
      <c r="P1" s="116" t="str">
        <f ca="1">"OKT Project "&amp;RIGHT(MID(CELL("filename",$A$1),FIND("]",CELL("filename",$A$1))+1,256),2)&amp;" of "&amp;COUNT('OKT.001:OKT.xyz - blank'!$P$3)-1</f>
        <v>OKT Project nk of 20</v>
      </c>
    </row>
    <row r="2" spans="1:16" ht="17.5">
      <c r="B2" s="1"/>
      <c r="C2" s="1"/>
      <c r="D2" s="2"/>
      <c r="E2" s="1"/>
      <c r="F2" s="1"/>
      <c r="G2" s="1"/>
      <c r="H2" s="3"/>
      <c r="I2" s="1"/>
      <c r="J2" s="4"/>
      <c r="K2" s="1"/>
      <c r="L2" s="1"/>
      <c r="M2" s="1"/>
      <c r="N2" s="1"/>
      <c r="P2" s="117" t="s">
        <v>131</v>
      </c>
    </row>
    <row r="3" spans="1:16" ht="18">
      <c r="B3" s="5" t="s">
        <v>42</v>
      </c>
      <c r="C3" s="13" t="s">
        <v>43</v>
      </c>
      <c r="D3" s="2"/>
      <c r="E3" s="1"/>
      <c r="F3" s="1"/>
      <c r="G3" s="1"/>
      <c r="H3" s="3"/>
      <c r="I3" s="3"/>
      <c r="J3" s="19"/>
      <c r="K3" s="3"/>
      <c r="L3" s="3"/>
      <c r="M3" s="3"/>
      <c r="N3" s="3"/>
      <c r="O3" s="1"/>
      <c r="P3" s="108">
        <v>1</v>
      </c>
    </row>
    <row r="4" spans="1:16" ht="16" thickBot="1">
      <c r="C4" s="12"/>
      <c r="D4" s="2"/>
      <c r="E4" s="1"/>
      <c r="F4" s="1"/>
      <c r="G4" s="1"/>
      <c r="H4" s="3"/>
      <c r="I4" s="3"/>
      <c r="J4" s="19"/>
      <c r="K4" s="3"/>
      <c r="L4" s="3"/>
      <c r="M4" s="3"/>
      <c r="N4" s="3"/>
      <c r="O4" s="1"/>
      <c r="P4" s="1"/>
    </row>
    <row r="5" spans="1:16" ht="15.5">
      <c r="C5" s="20" t="s">
        <v>44</v>
      </c>
      <c r="D5" s="2"/>
      <c r="E5" s="1"/>
      <c r="F5" s="1"/>
      <c r="G5" s="21"/>
      <c r="H5" s="1" t="s">
        <v>45</v>
      </c>
      <c r="I5" s="1"/>
      <c r="J5" s="4"/>
      <c r="K5" s="22" t="s">
        <v>242</v>
      </c>
      <c r="L5" s="23"/>
      <c r="M5" s="24"/>
      <c r="N5" s="25">
        <f>VLOOKUP(I10,C17:I73,5)</f>
        <v>0</v>
      </c>
      <c r="P5" s="1"/>
    </row>
    <row r="6" spans="1:16" ht="15.5">
      <c r="C6" s="8"/>
      <c r="D6" s="2"/>
      <c r="E6" s="1"/>
      <c r="F6" s="1"/>
      <c r="G6" s="1"/>
      <c r="H6" s="26"/>
      <c r="I6" s="26"/>
      <c r="J6" s="27"/>
      <c r="K6" s="28" t="s">
        <v>243</v>
      </c>
      <c r="L6" s="29"/>
      <c r="M6" s="4"/>
      <c r="N6" s="30">
        <f>VLOOKUP(I10,C17:I73,6)</f>
        <v>0</v>
      </c>
      <c r="O6" s="1"/>
      <c r="P6" s="1"/>
    </row>
    <row r="7" spans="1:16" ht="13.5" thickBot="1">
      <c r="C7" s="31" t="s">
        <v>46</v>
      </c>
      <c r="D7" s="104" t="s">
        <v>245</v>
      </c>
      <c r="E7" s="1"/>
      <c r="F7" s="1"/>
      <c r="G7" s="1"/>
      <c r="H7" s="3"/>
      <c r="I7" s="3"/>
      <c r="J7" s="19"/>
      <c r="K7" s="32" t="s">
        <v>47</v>
      </c>
      <c r="L7" s="33"/>
      <c r="M7" s="33"/>
      <c r="N7" s="34">
        <f>+N6-N5</f>
        <v>0</v>
      </c>
      <c r="O7" s="1"/>
      <c r="P7" s="1"/>
    </row>
    <row r="8" spans="1:16" ht="13.5" thickBot="1">
      <c r="C8" s="35"/>
      <c r="D8" s="114" t="str">
        <f>IF(D10&lt;100000,"DOES NOT MEET SPP $100,000 MINIMUM INVESTMENT FOR REGIONAL BPU SHARING.","")</f>
        <v>DOES NOT MEET SPP $100,000 MINIMUM INVESTMENT FOR REGIONAL BPU SHARING.</v>
      </c>
      <c r="E8" s="36"/>
      <c r="F8" s="36"/>
      <c r="G8" s="36"/>
      <c r="H8" s="36"/>
      <c r="I8" s="36"/>
      <c r="J8" s="15"/>
      <c r="K8" s="36"/>
      <c r="L8" s="36"/>
      <c r="M8" s="36"/>
      <c r="N8" s="36"/>
      <c r="O8" s="15"/>
      <c r="P8" s="9"/>
    </row>
    <row r="9" spans="1:16" ht="13.5" thickBot="1">
      <c r="C9" s="37" t="s">
        <v>48</v>
      </c>
      <c r="D9" s="106" t="s">
        <v>78</v>
      </c>
      <c r="E9" s="38"/>
      <c r="F9" s="38"/>
      <c r="G9" s="38"/>
      <c r="H9" s="38"/>
      <c r="I9" s="39"/>
      <c r="J9" s="40"/>
      <c r="O9" s="41"/>
      <c r="P9" s="4"/>
    </row>
    <row r="10" spans="1:16" ht="13">
      <c r="C10" s="42" t="s">
        <v>49</v>
      </c>
      <c r="D10" s="43">
        <v>0</v>
      </c>
      <c r="E10" s="11" t="s">
        <v>50</v>
      </c>
      <c r="F10" s="41"/>
      <c r="G10" s="44"/>
      <c r="H10" s="44"/>
      <c r="I10" s="45">
        <f>+OKT.WS.F.BPU.ATRR.Projected!R101</f>
        <v>2021</v>
      </c>
      <c r="J10" s="40"/>
      <c r="K10" s="19" t="s">
        <v>51</v>
      </c>
      <c r="O10" s="4"/>
      <c r="P10" s="4"/>
    </row>
    <row r="11" spans="1:16" ht="12.5">
      <c r="C11" s="46" t="s">
        <v>52</v>
      </c>
      <c r="D11" s="47">
        <v>2018</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ht="12.5">
      <c r="C12" s="46" t="s">
        <v>54</v>
      </c>
      <c r="D12" s="43">
        <v>4</v>
      </c>
      <c r="E12" s="46" t="s">
        <v>55</v>
      </c>
      <c r="F12" s="44"/>
      <c r="G12" s="7"/>
      <c r="H12" s="7"/>
      <c r="I12" s="50">
        <f>OKT.WS.F.BPU.ATRR.Projected!$F$79</f>
        <v>0.10818506718567715</v>
      </c>
      <c r="J12" s="51"/>
      <c r="K12" t="s">
        <v>56</v>
      </c>
      <c r="O12" s="4"/>
      <c r="P12" s="4"/>
    </row>
    <row r="13" spans="1:16" ht="12.5">
      <c r="C13" s="46" t="s">
        <v>57</v>
      </c>
      <c r="D13" s="48">
        <f>+OKT.WS.F.BPU.ATRR.Projected!F$90</f>
        <v>31</v>
      </c>
      <c r="E13" s="46" t="s">
        <v>58</v>
      </c>
      <c r="F13" s="44"/>
      <c r="G13" s="7"/>
      <c r="H13" s="7"/>
      <c r="I13" s="50">
        <f>IF(G5="",I12,OKT.WS.F.BPU.ATRR.Projected!$F$78)</f>
        <v>0.10818506718567715</v>
      </c>
      <c r="J13" s="51"/>
      <c r="K13" s="19" t="s">
        <v>59</v>
      </c>
      <c r="L13" s="10"/>
      <c r="M13" s="10"/>
      <c r="N13" s="10"/>
      <c r="O13" s="4"/>
      <c r="P13" s="4"/>
    </row>
    <row r="14" spans="1:16" ht="13" thickBot="1">
      <c r="C14" s="46" t="s">
        <v>60</v>
      </c>
      <c r="D14" s="47" t="s">
        <v>61</v>
      </c>
      <c r="E14" s="4" t="s">
        <v>62</v>
      </c>
      <c r="F14" s="44"/>
      <c r="G14" s="7"/>
      <c r="H14" s="7"/>
      <c r="I14" s="52">
        <f>IF(D10=0,0,D10/D13)</f>
        <v>0</v>
      </c>
      <c r="J14" s="19"/>
      <c r="K14" s="19"/>
      <c r="L14" s="19"/>
      <c r="M14" s="19"/>
      <c r="N14" s="19"/>
      <c r="O14" s="4"/>
      <c r="P14" s="4"/>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ht="12.5">
      <c r="B17" t="str">
        <f t="shared" ref="B17:B71" si="0">IF(D17=F16,"","IU")</f>
        <v>IU</v>
      </c>
      <c r="C17" s="62">
        <f>IF(D11= "","-",D11)</f>
        <v>2018</v>
      </c>
      <c r="D17" s="63">
        <v>0</v>
      </c>
      <c r="E17" s="64">
        <f>IF(D10&gt;=100000,I$14/12*(12-D12),0)</f>
        <v>0</v>
      </c>
      <c r="F17" s="68">
        <f>IF(D11=C17,+D10-E17,+D17-E17)</f>
        <v>0</v>
      </c>
      <c r="G17" s="64">
        <f>(D17+F17)/2*I$12+E17</f>
        <v>0</v>
      </c>
      <c r="H17" s="52">
        <f>+(D17+F17)/2*I$13+E17</f>
        <v>0</v>
      </c>
      <c r="I17" s="65">
        <f t="shared" ref="I17:I48" si="1">H17-G17</f>
        <v>0</v>
      </c>
      <c r="J17" s="65"/>
      <c r="K17" s="132"/>
      <c r="L17" s="66">
        <f t="shared" ref="L17:L48" si="2">IF(K17&lt;&gt;0,+G17-K17,0)</f>
        <v>0</v>
      </c>
      <c r="M17" s="132"/>
      <c r="N17" s="66">
        <f t="shared" ref="N17:N48" si="3">IF(M17&lt;&gt;0,+H17-M17,0)</f>
        <v>0</v>
      </c>
      <c r="O17" s="67">
        <f t="shared" ref="O17:O48" si="4">+N17-L17</f>
        <v>0</v>
      </c>
      <c r="P17" s="4"/>
    </row>
    <row r="18" spans="2:16" ht="12.5">
      <c r="B18" t="str">
        <f t="shared" si="0"/>
        <v/>
      </c>
      <c r="C18" s="62">
        <f>IF(D11="","-",+C17+1)</f>
        <v>2019</v>
      </c>
      <c r="D18" s="71">
        <f>IF(F17+SUM(E$17:E17)=D$10,F17,D$10-SUM(E$17:E17))</f>
        <v>0</v>
      </c>
      <c r="E18" s="69">
        <f t="shared" ref="E18:E49" si="5">IF(+I$14&lt;F17,I$14,D18)</f>
        <v>0</v>
      </c>
      <c r="F18" s="68">
        <f t="shared" ref="F18:F48" si="6">+D18-E18</f>
        <v>0</v>
      </c>
      <c r="G18" s="70">
        <f t="shared" ref="G18:G71" si="7">(D18+F18)/2*I$12+E18</f>
        <v>0</v>
      </c>
      <c r="H18" s="52">
        <f t="shared" ref="H18:H71" si="8">+(D18+F18)/2*I$13+E18</f>
        <v>0</v>
      </c>
      <c r="I18" s="65">
        <f t="shared" si="1"/>
        <v>0</v>
      </c>
      <c r="J18" s="65"/>
      <c r="K18" s="130"/>
      <c r="L18" s="67">
        <f t="shared" si="2"/>
        <v>0</v>
      </c>
      <c r="M18" s="130"/>
      <c r="N18" s="67">
        <f t="shared" si="3"/>
        <v>0</v>
      </c>
      <c r="O18" s="67">
        <f t="shared" si="4"/>
        <v>0</v>
      </c>
      <c r="P18" s="4"/>
    </row>
    <row r="19" spans="2:16" ht="12.5">
      <c r="B19" t="str">
        <f t="shared" si="0"/>
        <v/>
      </c>
      <c r="C19" s="62">
        <f>IF(D11="","-",+C18+1)</f>
        <v>2020</v>
      </c>
      <c r="D19" s="71">
        <f>IF(F18+SUM(E$17:E18)=D$10,F18,D$10-SUM(E$17:E18))</f>
        <v>0</v>
      </c>
      <c r="E19" s="69">
        <f t="shared" si="5"/>
        <v>0</v>
      </c>
      <c r="F19" s="68">
        <f t="shared" si="6"/>
        <v>0</v>
      </c>
      <c r="G19" s="70">
        <f t="shared" si="7"/>
        <v>0</v>
      </c>
      <c r="H19" s="52">
        <f t="shared" si="8"/>
        <v>0</v>
      </c>
      <c r="I19" s="65">
        <f t="shared" si="1"/>
        <v>0</v>
      </c>
      <c r="J19" s="65"/>
      <c r="K19" s="130"/>
      <c r="L19" s="67">
        <f t="shared" si="2"/>
        <v>0</v>
      </c>
      <c r="M19" s="130"/>
      <c r="N19" s="67">
        <f t="shared" si="3"/>
        <v>0</v>
      </c>
      <c r="O19" s="67">
        <f t="shared" si="4"/>
        <v>0</v>
      </c>
      <c r="P19" s="4"/>
    </row>
    <row r="20" spans="2:16" ht="12.5">
      <c r="B20" t="str">
        <f t="shared" si="0"/>
        <v/>
      </c>
      <c r="C20" s="62">
        <f>IF(D11="","-",+C19+1)</f>
        <v>2021</v>
      </c>
      <c r="D20" s="71">
        <f>IF(F19+SUM(E$17:E19)=D$10,F19,D$10-SUM(E$17:E19))</f>
        <v>0</v>
      </c>
      <c r="E20" s="69">
        <f t="shared" si="5"/>
        <v>0</v>
      </c>
      <c r="F20" s="68">
        <f t="shared" si="6"/>
        <v>0</v>
      </c>
      <c r="G20" s="70">
        <f t="shared" si="7"/>
        <v>0</v>
      </c>
      <c r="H20" s="52">
        <f t="shared" si="8"/>
        <v>0</v>
      </c>
      <c r="I20" s="65">
        <f t="shared" si="1"/>
        <v>0</v>
      </c>
      <c r="J20" s="65"/>
      <c r="K20" s="130"/>
      <c r="L20" s="67">
        <f t="shared" si="2"/>
        <v>0</v>
      </c>
      <c r="M20" s="130"/>
      <c r="N20" s="67">
        <f t="shared" si="3"/>
        <v>0</v>
      </c>
      <c r="O20" s="67">
        <f t="shared" si="4"/>
        <v>0</v>
      </c>
      <c r="P20" s="4"/>
    </row>
    <row r="21" spans="2:16" ht="12.5">
      <c r="B21" t="str">
        <f t="shared" si="0"/>
        <v/>
      </c>
      <c r="C21" s="62">
        <f>IF(D11="","-",+C20+1)</f>
        <v>2022</v>
      </c>
      <c r="D21" s="71">
        <f>IF(F20+SUM(E$17:E20)=D$10,F20,D$10-SUM(E$17:E20))</f>
        <v>0</v>
      </c>
      <c r="E21" s="69">
        <f t="shared" si="5"/>
        <v>0</v>
      </c>
      <c r="F21" s="68">
        <f t="shared" si="6"/>
        <v>0</v>
      </c>
      <c r="G21" s="70">
        <f t="shared" si="7"/>
        <v>0</v>
      </c>
      <c r="H21" s="52">
        <f t="shared" si="8"/>
        <v>0</v>
      </c>
      <c r="I21" s="65">
        <f t="shared" si="1"/>
        <v>0</v>
      </c>
      <c r="J21" s="65"/>
      <c r="K21" s="130"/>
      <c r="L21" s="67">
        <f t="shared" si="2"/>
        <v>0</v>
      </c>
      <c r="M21" s="130"/>
      <c r="N21" s="67">
        <f t="shared" si="3"/>
        <v>0</v>
      </c>
      <c r="O21" s="67">
        <f t="shared" si="4"/>
        <v>0</v>
      </c>
      <c r="P21" s="4"/>
    </row>
    <row r="22" spans="2:16" ht="12.5">
      <c r="B22" t="str">
        <f t="shared" si="0"/>
        <v/>
      </c>
      <c r="C22" s="62">
        <f>IF(D11="","-",+C21+1)</f>
        <v>2023</v>
      </c>
      <c r="D22" s="71">
        <f>IF(F21+SUM(E$17:E21)=D$10,F21,D$10-SUM(E$17:E21))</f>
        <v>0</v>
      </c>
      <c r="E22" s="69">
        <f t="shared" si="5"/>
        <v>0</v>
      </c>
      <c r="F22" s="68">
        <f t="shared" si="6"/>
        <v>0</v>
      </c>
      <c r="G22" s="70">
        <f t="shared" si="7"/>
        <v>0</v>
      </c>
      <c r="H22" s="52">
        <f t="shared" si="8"/>
        <v>0</v>
      </c>
      <c r="I22" s="65">
        <f t="shared" si="1"/>
        <v>0</v>
      </c>
      <c r="J22" s="65"/>
      <c r="K22" s="130"/>
      <c r="L22" s="67">
        <f t="shared" si="2"/>
        <v>0</v>
      </c>
      <c r="M22" s="130"/>
      <c r="N22" s="67">
        <f t="shared" si="3"/>
        <v>0</v>
      </c>
      <c r="O22" s="67">
        <f t="shared" si="4"/>
        <v>0</v>
      </c>
      <c r="P22" s="4"/>
    </row>
    <row r="23" spans="2:16" ht="12.5">
      <c r="B23" t="str">
        <f t="shared" si="0"/>
        <v/>
      </c>
      <c r="C23" s="62">
        <f>IF(D11="","-",+C22+1)</f>
        <v>2024</v>
      </c>
      <c r="D23" s="71">
        <f>IF(F22+SUM(E$17:E22)=D$10,F22,D$10-SUM(E$17:E22))</f>
        <v>0</v>
      </c>
      <c r="E23" s="69">
        <f t="shared" si="5"/>
        <v>0</v>
      </c>
      <c r="F23" s="68">
        <f t="shared" si="6"/>
        <v>0</v>
      </c>
      <c r="G23" s="70">
        <f t="shared" si="7"/>
        <v>0</v>
      </c>
      <c r="H23" s="52">
        <f t="shared" si="8"/>
        <v>0</v>
      </c>
      <c r="I23" s="65">
        <f t="shared" si="1"/>
        <v>0</v>
      </c>
      <c r="J23" s="65"/>
      <c r="K23" s="130"/>
      <c r="L23" s="67">
        <f t="shared" si="2"/>
        <v>0</v>
      </c>
      <c r="M23" s="130"/>
      <c r="N23" s="67">
        <f t="shared" si="3"/>
        <v>0</v>
      </c>
      <c r="O23" s="67">
        <f t="shared" si="4"/>
        <v>0</v>
      </c>
      <c r="P23" s="4"/>
    </row>
    <row r="24" spans="2:16" ht="12.5">
      <c r="B24" t="str">
        <f t="shared" si="0"/>
        <v/>
      </c>
      <c r="C24" s="62">
        <f>IF(D11="","-",+C23+1)</f>
        <v>2025</v>
      </c>
      <c r="D24" s="71">
        <f>IF(F23+SUM(E$17:E23)=D$10,F23,D$10-SUM(E$17:E23))</f>
        <v>0</v>
      </c>
      <c r="E24" s="69">
        <f t="shared" si="5"/>
        <v>0</v>
      </c>
      <c r="F24" s="68">
        <f t="shared" si="6"/>
        <v>0</v>
      </c>
      <c r="G24" s="70">
        <f t="shared" si="7"/>
        <v>0</v>
      </c>
      <c r="H24" s="52">
        <f t="shared" si="8"/>
        <v>0</v>
      </c>
      <c r="I24" s="65">
        <f t="shared" si="1"/>
        <v>0</v>
      </c>
      <c r="J24" s="65"/>
      <c r="K24" s="130"/>
      <c r="L24" s="67">
        <f t="shared" si="2"/>
        <v>0</v>
      </c>
      <c r="M24" s="130"/>
      <c r="N24" s="67">
        <f t="shared" si="3"/>
        <v>0</v>
      </c>
      <c r="O24" s="67">
        <f t="shared" si="4"/>
        <v>0</v>
      </c>
      <c r="P24" s="4"/>
    </row>
    <row r="25" spans="2:16" ht="12.5">
      <c r="B25" t="str">
        <f t="shared" si="0"/>
        <v/>
      </c>
      <c r="C25" s="62">
        <f>IF(D11="","-",+C24+1)</f>
        <v>2026</v>
      </c>
      <c r="D25" s="71">
        <f>IF(F24+SUM(E$17:E24)=D$10,F24,D$10-SUM(E$17:E24))</f>
        <v>0</v>
      </c>
      <c r="E25" s="69">
        <f t="shared" si="5"/>
        <v>0</v>
      </c>
      <c r="F25" s="68">
        <f t="shared" si="6"/>
        <v>0</v>
      </c>
      <c r="G25" s="70">
        <f t="shared" si="7"/>
        <v>0</v>
      </c>
      <c r="H25" s="52">
        <f t="shared" si="8"/>
        <v>0</v>
      </c>
      <c r="I25" s="65">
        <f t="shared" si="1"/>
        <v>0</v>
      </c>
      <c r="J25" s="65"/>
      <c r="K25" s="130"/>
      <c r="L25" s="67">
        <f t="shared" si="2"/>
        <v>0</v>
      </c>
      <c r="M25" s="130"/>
      <c r="N25" s="67">
        <f t="shared" si="3"/>
        <v>0</v>
      </c>
      <c r="O25" s="67">
        <f t="shared" si="4"/>
        <v>0</v>
      </c>
      <c r="P25" s="4"/>
    </row>
    <row r="26" spans="2:16" ht="12.5">
      <c r="B26" t="str">
        <f t="shared" si="0"/>
        <v/>
      </c>
      <c r="C26" s="62">
        <f>IF(D11="","-",+C25+1)</f>
        <v>2027</v>
      </c>
      <c r="D26" s="71">
        <f>IF(F25+SUM(E$17:E25)=D$10,F25,D$10-SUM(E$17:E25))</f>
        <v>0</v>
      </c>
      <c r="E26" s="69">
        <f t="shared" si="5"/>
        <v>0</v>
      </c>
      <c r="F26" s="68">
        <f t="shared" si="6"/>
        <v>0</v>
      </c>
      <c r="G26" s="70">
        <f t="shared" si="7"/>
        <v>0</v>
      </c>
      <c r="H26" s="52">
        <f t="shared" si="8"/>
        <v>0</v>
      </c>
      <c r="I26" s="65">
        <f t="shared" si="1"/>
        <v>0</v>
      </c>
      <c r="J26" s="65"/>
      <c r="K26" s="130"/>
      <c r="L26" s="67">
        <f t="shared" si="2"/>
        <v>0</v>
      </c>
      <c r="M26" s="130"/>
      <c r="N26" s="67">
        <f t="shared" si="3"/>
        <v>0</v>
      </c>
      <c r="O26" s="67">
        <f t="shared" si="4"/>
        <v>0</v>
      </c>
      <c r="P26" s="4"/>
    </row>
    <row r="27" spans="2:16" ht="12.5">
      <c r="B27" t="str">
        <f t="shared" si="0"/>
        <v/>
      </c>
      <c r="C27" s="62">
        <f>IF(D11="","-",+C26+1)</f>
        <v>2028</v>
      </c>
      <c r="D27" s="71">
        <f>IF(F26+SUM(E$17:E26)=D$10,F26,D$10-SUM(E$17:E26))</f>
        <v>0</v>
      </c>
      <c r="E27" s="69">
        <f t="shared" si="5"/>
        <v>0</v>
      </c>
      <c r="F27" s="68">
        <f t="shared" si="6"/>
        <v>0</v>
      </c>
      <c r="G27" s="70">
        <f t="shared" si="7"/>
        <v>0</v>
      </c>
      <c r="H27" s="52">
        <f t="shared" si="8"/>
        <v>0</v>
      </c>
      <c r="I27" s="65">
        <f t="shared" si="1"/>
        <v>0</v>
      </c>
      <c r="J27" s="65"/>
      <c r="K27" s="130"/>
      <c r="L27" s="67">
        <f t="shared" si="2"/>
        <v>0</v>
      </c>
      <c r="M27" s="130"/>
      <c r="N27" s="67">
        <f t="shared" si="3"/>
        <v>0</v>
      </c>
      <c r="O27" s="67">
        <f t="shared" si="4"/>
        <v>0</v>
      </c>
      <c r="P27" s="4"/>
    </row>
    <row r="28" spans="2:16" ht="12.5">
      <c r="B28" t="str">
        <f t="shared" si="0"/>
        <v/>
      </c>
      <c r="C28" s="62">
        <f>IF(D11="","-",+C27+1)</f>
        <v>2029</v>
      </c>
      <c r="D28" s="71">
        <f>IF(F27+SUM(E$17:E27)=D$10,F27,D$10-SUM(E$17:E27))</f>
        <v>0</v>
      </c>
      <c r="E28" s="69">
        <f t="shared" si="5"/>
        <v>0</v>
      </c>
      <c r="F28" s="68">
        <f t="shared" si="6"/>
        <v>0</v>
      </c>
      <c r="G28" s="70">
        <f t="shared" si="7"/>
        <v>0</v>
      </c>
      <c r="H28" s="52">
        <f t="shared" si="8"/>
        <v>0</v>
      </c>
      <c r="I28" s="65">
        <f t="shared" si="1"/>
        <v>0</v>
      </c>
      <c r="J28" s="65"/>
      <c r="K28" s="130"/>
      <c r="L28" s="67">
        <f t="shared" si="2"/>
        <v>0</v>
      </c>
      <c r="M28" s="130"/>
      <c r="N28" s="67">
        <f t="shared" si="3"/>
        <v>0</v>
      </c>
      <c r="O28" s="67">
        <f t="shared" si="4"/>
        <v>0</v>
      </c>
      <c r="P28" s="4"/>
    </row>
    <row r="29" spans="2:16" ht="12.5">
      <c r="B29" t="str">
        <f t="shared" si="0"/>
        <v/>
      </c>
      <c r="C29" s="62">
        <f>IF(D11="","-",+C28+1)</f>
        <v>2030</v>
      </c>
      <c r="D29" s="71">
        <f>IF(F28+SUM(E$17:E28)=D$10,F28,D$10-SUM(E$17:E28))</f>
        <v>0</v>
      </c>
      <c r="E29" s="69">
        <f t="shared" si="5"/>
        <v>0</v>
      </c>
      <c r="F29" s="68">
        <f t="shared" si="6"/>
        <v>0</v>
      </c>
      <c r="G29" s="70">
        <f t="shared" si="7"/>
        <v>0</v>
      </c>
      <c r="H29" s="52">
        <f t="shared" si="8"/>
        <v>0</v>
      </c>
      <c r="I29" s="65">
        <f t="shared" si="1"/>
        <v>0</v>
      </c>
      <c r="J29" s="65"/>
      <c r="K29" s="130"/>
      <c r="L29" s="67">
        <f t="shared" si="2"/>
        <v>0</v>
      </c>
      <c r="M29" s="130"/>
      <c r="N29" s="67">
        <f t="shared" si="3"/>
        <v>0</v>
      </c>
      <c r="O29" s="67">
        <f t="shared" si="4"/>
        <v>0</v>
      </c>
      <c r="P29" s="4"/>
    </row>
    <row r="30" spans="2:16" ht="12.5">
      <c r="B30" t="str">
        <f t="shared" si="0"/>
        <v/>
      </c>
      <c r="C30" s="62">
        <f>IF(D11="","-",+C29+1)</f>
        <v>2031</v>
      </c>
      <c r="D30" s="71">
        <f>IF(F29+SUM(E$17:E29)=D$10,F29,D$10-SUM(E$17:E29))</f>
        <v>0</v>
      </c>
      <c r="E30" s="69">
        <f t="shared" si="5"/>
        <v>0</v>
      </c>
      <c r="F30" s="68">
        <f t="shared" si="6"/>
        <v>0</v>
      </c>
      <c r="G30" s="70">
        <f t="shared" si="7"/>
        <v>0</v>
      </c>
      <c r="H30" s="52">
        <f t="shared" si="8"/>
        <v>0</v>
      </c>
      <c r="I30" s="65">
        <f t="shared" si="1"/>
        <v>0</v>
      </c>
      <c r="J30" s="65"/>
      <c r="K30" s="130"/>
      <c r="L30" s="67">
        <f t="shared" si="2"/>
        <v>0</v>
      </c>
      <c r="M30" s="130"/>
      <c r="N30" s="67">
        <f t="shared" si="3"/>
        <v>0</v>
      </c>
      <c r="O30" s="67">
        <f t="shared" si="4"/>
        <v>0</v>
      </c>
      <c r="P30" s="4"/>
    </row>
    <row r="31" spans="2:16" ht="12.5">
      <c r="B31" t="str">
        <f t="shared" si="0"/>
        <v/>
      </c>
      <c r="C31" s="62">
        <f>IF(D11="","-",+C30+1)</f>
        <v>2032</v>
      </c>
      <c r="D31" s="71">
        <f>IF(F30+SUM(E$17:E30)=D$10,F30,D$10-SUM(E$17:E30))</f>
        <v>0</v>
      </c>
      <c r="E31" s="69">
        <f t="shared" si="5"/>
        <v>0</v>
      </c>
      <c r="F31" s="68">
        <f t="shared" si="6"/>
        <v>0</v>
      </c>
      <c r="G31" s="70">
        <f t="shared" si="7"/>
        <v>0</v>
      </c>
      <c r="H31" s="52">
        <f t="shared" si="8"/>
        <v>0</v>
      </c>
      <c r="I31" s="65">
        <f t="shared" si="1"/>
        <v>0</v>
      </c>
      <c r="J31" s="65"/>
      <c r="K31" s="130"/>
      <c r="L31" s="67">
        <f t="shared" si="2"/>
        <v>0</v>
      </c>
      <c r="M31" s="130"/>
      <c r="N31" s="67">
        <f t="shared" si="3"/>
        <v>0</v>
      </c>
      <c r="O31" s="67">
        <f t="shared" si="4"/>
        <v>0</v>
      </c>
      <c r="P31" s="4"/>
    </row>
    <row r="32" spans="2:16" ht="12.5">
      <c r="B32" t="str">
        <f t="shared" si="0"/>
        <v/>
      </c>
      <c r="C32" s="62">
        <f>IF(D11="","-",+C31+1)</f>
        <v>2033</v>
      </c>
      <c r="D32" s="71">
        <f>IF(F31+SUM(E$17:E31)=D$10,F31,D$10-SUM(E$17:E31))</f>
        <v>0</v>
      </c>
      <c r="E32" s="69">
        <f t="shared" si="5"/>
        <v>0</v>
      </c>
      <c r="F32" s="68">
        <f t="shared" si="6"/>
        <v>0</v>
      </c>
      <c r="G32" s="70">
        <f t="shared" si="7"/>
        <v>0</v>
      </c>
      <c r="H32" s="52">
        <f t="shared" si="8"/>
        <v>0</v>
      </c>
      <c r="I32" s="65">
        <f t="shared" si="1"/>
        <v>0</v>
      </c>
      <c r="J32" s="65"/>
      <c r="K32" s="130"/>
      <c r="L32" s="67">
        <f t="shared" si="2"/>
        <v>0</v>
      </c>
      <c r="M32" s="130"/>
      <c r="N32" s="67">
        <f t="shared" si="3"/>
        <v>0</v>
      </c>
      <c r="O32" s="67">
        <f t="shared" si="4"/>
        <v>0</v>
      </c>
      <c r="P32" s="4"/>
    </row>
    <row r="33" spans="2:16" ht="12.5">
      <c r="B33" t="str">
        <f t="shared" si="0"/>
        <v/>
      </c>
      <c r="C33" s="62">
        <f>IF(D11="","-",+C32+1)</f>
        <v>2034</v>
      </c>
      <c r="D33" s="71">
        <f>IF(F32+SUM(E$17:E32)=D$10,F32,D$10-SUM(E$17:E32))</f>
        <v>0</v>
      </c>
      <c r="E33" s="69">
        <f t="shared" si="5"/>
        <v>0</v>
      </c>
      <c r="F33" s="68">
        <f t="shared" si="6"/>
        <v>0</v>
      </c>
      <c r="G33" s="70">
        <f t="shared" si="7"/>
        <v>0</v>
      </c>
      <c r="H33" s="52">
        <f t="shared" si="8"/>
        <v>0</v>
      </c>
      <c r="I33" s="65">
        <f t="shared" si="1"/>
        <v>0</v>
      </c>
      <c r="J33" s="65"/>
      <c r="K33" s="130"/>
      <c r="L33" s="67">
        <f t="shared" si="2"/>
        <v>0</v>
      </c>
      <c r="M33" s="130"/>
      <c r="N33" s="67">
        <f t="shared" si="3"/>
        <v>0</v>
      </c>
      <c r="O33" s="67">
        <f t="shared" si="4"/>
        <v>0</v>
      </c>
      <c r="P33" s="4"/>
    </row>
    <row r="34" spans="2:16" ht="12.5">
      <c r="B34" t="str">
        <f t="shared" si="0"/>
        <v/>
      </c>
      <c r="C34" s="62">
        <f>IF(D11="","-",+C33+1)</f>
        <v>2035</v>
      </c>
      <c r="D34" s="71">
        <f>IF(F33+SUM(E$17:E33)=D$10,F33,D$10-SUM(E$17:E33))</f>
        <v>0</v>
      </c>
      <c r="E34" s="69">
        <f t="shared" si="5"/>
        <v>0</v>
      </c>
      <c r="F34" s="68">
        <f t="shared" si="6"/>
        <v>0</v>
      </c>
      <c r="G34" s="70">
        <f t="shared" si="7"/>
        <v>0</v>
      </c>
      <c r="H34" s="52">
        <f t="shared" si="8"/>
        <v>0</v>
      </c>
      <c r="I34" s="65">
        <f t="shared" si="1"/>
        <v>0</v>
      </c>
      <c r="J34" s="65"/>
      <c r="K34" s="130"/>
      <c r="L34" s="67">
        <f t="shared" si="2"/>
        <v>0</v>
      </c>
      <c r="M34" s="130"/>
      <c r="N34" s="67">
        <f t="shared" si="3"/>
        <v>0</v>
      </c>
      <c r="O34" s="67">
        <f t="shared" si="4"/>
        <v>0</v>
      </c>
      <c r="P34" s="4"/>
    </row>
    <row r="35" spans="2:16" ht="12.5">
      <c r="B35" t="str">
        <f t="shared" si="0"/>
        <v/>
      </c>
      <c r="C35" s="62">
        <f>IF(D11="","-",+C34+1)</f>
        <v>2036</v>
      </c>
      <c r="D35" s="71">
        <f>IF(F34+SUM(E$17:E34)=D$10,F34,D$10-SUM(E$17:E34))</f>
        <v>0</v>
      </c>
      <c r="E35" s="69">
        <f t="shared" si="5"/>
        <v>0</v>
      </c>
      <c r="F35" s="68">
        <f t="shared" si="6"/>
        <v>0</v>
      </c>
      <c r="G35" s="70">
        <f t="shared" si="7"/>
        <v>0</v>
      </c>
      <c r="H35" s="52">
        <f t="shared" si="8"/>
        <v>0</v>
      </c>
      <c r="I35" s="65">
        <f t="shared" si="1"/>
        <v>0</v>
      </c>
      <c r="J35" s="65"/>
      <c r="K35" s="130"/>
      <c r="L35" s="67">
        <f t="shared" si="2"/>
        <v>0</v>
      </c>
      <c r="M35" s="130"/>
      <c r="N35" s="67">
        <f t="shared" si="3"/>
        <v>0</v>
      </c>
      <c r="O35" s="67">
        <f t="shared" si="4"/>
        <v>0</v>
      </c>
      <c r="P35" s="4"/>
    </row>
    <row r="36" spans="2:16" ht="12.5">
      <c r="B36" t="str">
        <f t="shared" si="0"/>
        <v/>
      </c>
      <c r="C36" s="62">
        <f>IF(D11="","-",+C35+1)</f>
        <v>2037</v>
      </c>
      <c r="D36" s="71">
        <f>IF(F35+SUM(E$17:E35)=D$10,F35,D$10-SUM(E$17:E35))</f>
        <v>0</v>
      </c>
      <c r="E36" s="69">
        <f t="shared" si="5"/>
        <v>0</v>
      </c>
      <c r="F36" s="68">
        <f t="shared" si="6"/>
        <v>0</v>
      </c>
      <c r="G36" s="70">
        <f t="shared" si="7"/>
        <v>0</v>
      </c>
      <c r="H36" s="52">
        <f t="shared" si="8"/>
        <v>0</v>
      </c>
      <c r="I36" s="65">
        <f t="shared" si="1"/>
        <v>0</v>
      </c>
      <c r="J36" s="65"/>
      <c r="K36" s="130"/>
      <c r="L36" s="67">
        <f t="shared" si="2"/>
        <v>0</v>
      </c>
      <c r="M36" s="130"/>
      <c r="N36" s="67">
        <f t="shared" si="3"/>
        <v>0</v>
      </c>
      <c r="O36" s="67">
        <f t="shared" si="4"/>
        <v>0</v>
      </c>
      <c r="P36" s="4"/>
    </row>
    <row r="37" spans="2:16" ht="12.5">
      <c r="B37" t="str">
        <f t="shared" si="0"/>
        <v/>
      </c>
      <c r="C37" s="62">
        <f>IF(D11="","-",+C36+1)</f>
        <v>2038</v>
      </c>
      <c r="D37" s="71">
        <f>IF(F36+SUM(E$17:E36)=D$10,F36,D$10-SUM(E$17:E36))</f>
        <v>0</v>
      </c>
      <c r="E37" s="69">
        <f t="shared" si="5"/>
        <v>0</v>
      </c>
      <c r="F37" s="68">
        <f t="shared" si="6"/>
        <v>0</v>
      </c>
      <c r="G37" s="70">
        <f t="shared" si="7"/>
        <v>0</v>
      </c>
      <c r="H37" s="52">
        <f t="shared" si="8"/>
        <v>0</v>
      </c>
      <c r="I37" s="65">
        <f t="shared" si="1"/>
        <v>0</v>
      </c>
      <c r="J37" s="65"/>
      <c r="K37" s="130"/>
      <c r="L37" s="67">
        <f t="shared" si="2"/>
        <v>0</v>
      </c>
      <c r="M37" s="130"/>
      <c r="N37" s="67">
        <f t="shared" si="3"/>
        <v>0</v>
      </c>
      <c r="O37" s="67">
        <f t="shared" si="4"/>
        <v>0</v>
      </c>
      <c r="P37" s="4"/>
    </row>
    <row r="38" spans="2:16" ht="12.5">
      <c r="B38" t="str">
        <f t="shared" si="0"/>
        <v/>
      </c>
      <c r="C38" s="62">
        <f>IF(D11="","-",+C37+1)</f>
        <v>2039</v>
      </c>
      <c r="D38" s="71">
        <f>IF(F37+SUM(E$17:E37)=D$10,F37,D$10-SUM(E$17:E37))</f>
        <v>0</v>
      </c>
      <c r="E38" s="69">
        <f t="shared" si="5"/>
        <v>0</v>
      </c>
      <c r="F38" s="68">
        <f t="shared" si="6"/>
        <v>0</v>
      </c>
      <c r="G38" s="70">
        <f t="shared" si="7"/>
        <v>0</v>
      </c>
      <c r="H38" s="52">
        <f t="shared" si="8"/>
        <v>0</v>
      </c>
      <c r="I38" s="65">
        <f t="shared" si="1"/>
        <v>0</v>
      </c>
      <c r="J38" s="65"/>
      <c r="K38" s="130"/>
      <c r="L38" s="67">
        <f t="shared" si="2"/>
        <v>0</v>
      </c>
      <c r="M38" s="130"/>
      <c r="N38" s="67">
        <f t="shared" si="3"/>
        <v>0</v>
      </c>
      <c r="O38" s="67">
        <f t="shared" si="4"/>
        <v>0</v>
      </c>
      <c r="P38" s="4"/>
    </row>
    <row r="39" spans="2:16" ht="12.5">
      <c r="B39" t="str">
        <f t="shared" si="0"/>
        <v/>
      </c>
      <c r="C39" s="62">
        <f>IF(D11="","-",+C38+1)</f>
        <v>2040</v>
      </c>
      <c r="D39" s="71">
        <f>IF(F38+SUM(E$17:E38)=D$10,F38,D$10-SUM(E$17:E38))</f>
        <v>0</v>
      </c>
      <c r="E39" s="69">
        <f t="shared" si="5"/>
        <v>0</v>
      </c>
      <c r="F39" s="68">
        <f t="shared" si="6"/>
        <v>0</v>
      </c>
      <c r="G39" s="70">
        <f t="shared" si="7"/>
        <v>0</v>
      </c>
      <c r="H39" s="52">
        <f t="shared" si="8"/>
        <v>0</v>
      </c>
      <c r="I39" s="65">
        <f t="shared" si="1"/>
        <v>0</v>
      </c>
      <c r="J39" s="65"/>
      <c r="K39" s="130"/>
      <c r="L39" s="67">
        <f t="shared" si="2"/>
        <v>0</v>
      </c>
      <c r="M39" s="130"/>
      <c r="N39" s="67">
        <f t="shared" si="3"/>
        <v>0</v>
      </c>
      <c r="O39" s="67">
        <f t="shared" si="4"/>
        <v>0</v>
      </c>
      <c r="P39" s="4"/>
    </row>
    <row r="40" spans="2:16" ht="12.5">
      <c r="B40" t="str">
        <f t="shared" si="0"/>
        <v/>
      </c>
      <c r="C40" s="62">
        <f>IF(D11="","-",+C39+1)</f>
        <v>2041</v>
      </c>
      <c r="D40" s="71">
        <f>IF(F39+SUM(E$17:E39)=D$10,F39,D$10-SUM(E$17:E39))</f>
        <v>0</v>
      </c>
      <c r="E40" s="69">
        <f t="shared" si="5"/>
        <v>0</v>
      </c>
      <c r="F40" s="68">
        <f t="shared" si="6"/>
        <v>0</v>
      </c>
      <c r="G40" s="70">
        <f t="shared" si="7"/>
        <v>0</v>
      </c>
      <c r="H40" s="52">
        <f t="shared" si="8"/>
        <v>0</v>
      </c>
      <c r="I40" s="65">
        <f t="shared" si="1"/>
        <v>0</v>
      </c>
      <c r="J40" s="65"/>
      <c r="K40" s="130"/>
      <c r="L40" s="67">
        <f t="shared" si="2"/>
        <v>0</v>
      </c>
      <c r="M40" s="130"/>
      <c r="N40" s="67">
        <f t="shared" si="3"/>
        <v>0</v>
      </c>
      <c r="O40" s="67">
        <f t="shared" si="4"/>
        <v>0</v>
      </c>
      <c r="P40" s="4"/>
    </row>
    <row r="41" spans="2:16" ht="12.5">
      <c r="B41" t="str">
        <f t="shared" si="0"/>
        <v/>
      </c>
      <c r="C41" s="62">
        <f>IF(D11="","-",+C40+1)</f>
        <v>2042</v>
      </c>
      <c r="D41" s="71">
        <f>IF(F40+SUM(E$17:E40)=D$10,F40,D$10-SUM(E$17:E40))</f>
        <v>0</v>
      </c>
      <c r="E41" s="69">
        <f t="shared" si="5"/>
        <v>0</v>
      </c>
      <c r="F41" s="68">
        <f t="shared" si="6"/>
        <v>0</v>
      </c>
      <c r="G41" s="70">
        <f t="shared" si="7"/>
        <v>0</v>
      </c>
      <c r="H41" s="52">
        <f t="shared" si="8"/>
        <v>0</v>
      </c>
      <c r="I41" s="65">
        <f t="shared" si="1"/>
        <v>0</v>
      </c>
      <c r="J41" s="65"/>
      <c r="K41" s="130"/>
      <c r="L41" s="67">
        <f t="shared" si="2"/>
        <v>0</v>
      </c>
      <c r="M41" s="130"/>
      <c r="N41" s="67">
        <f t="shared" si="3"/>
        <v>0</v>
      </c>
      <c r="O41" s="67">
        <f t="shared" si="4"/>
        <v>0</v>
      </c>
      <c r="P41" s="4"/>
    </row>
    <row r="42" spans="2:16" ht="12.5">
      <c r="B42" t="str">
        <f t="shared" si="0"/>
        <v/>
      </c>
      <c r="C42" s="62">
        <f>IF(D11="","-",+C41+1)</f>
        <v>2043</v>
      </c>
      <c r="D42" s="71">
        <f>IF(F41+SUM(E$17:E41)=D$10,F41,D$10-SUM(E$17:E41))</f>
        <v>0</v>
      </c>
      <c r="E42" s="69">
        <f t="shared" si="5"/>
        <v>0</v>
      </c>
      <c r="F42" s="68">
        <f t="shared" si="6"/>
        <v>0</v>
      </c>
      <c r="G42" s="70">
        <f t="shared" si="7"/>
        <v>0</v>
      </c>
      <c r="H42" s="52">
        <f t="shared" si="8"/>
        <v>0</v>
      </c>
      <c r="I42" s="65">
        <f t="shared" si="1"/>
        <v>0</v>
      </c>
      <c r="J42" s="65"/>
      <c r="K42" s="130"/>
      <c r="L42" s="67">
        <f t="shared" si="2"/>
        <v>0</v>
      </c>
      <c r="M42" s="130"/>
      <c r="N42" s="67">
        <f t="shared" si="3"/>
        <v>0</v>
      </c>
      <c r="O42" s="67">
        <f t="shared" si="4"/>
        <v>0</v>
      </c>
      <c r="P42" s="4"/>
    </row>
    <row r="43" spans="2:16" ht="12.5">
      <c r="B43" t="str">
        <f t="shared" si="0"/>
        <v/>
      </c>
      <c r="C43" s="62">
        <f>IF(D11="","-",+C42+1)</f>
        <v>2044</v>
      </c>
      <c r="D43" s="71">
        <f>IF(F42+SUM(E$17:E42)=D$10,F42,D$10-SUM(E$17:E42))</f>
        <v>0</v>
      </c>
      <c r="E43" s="69">
        <f t="shared" si="5"/>
        <v>0</v>
      </c>
      <c r="F43" s="68">
        <f t="shared" si="6"/>
        <v>0</v>
      </c>
      <c r="G43" s="70">
        <f t="shared" si="7"/>
        <v>0</v>
      </c>
      <c r="H43" s="52">
        <f t="shared" si="8"/>
        <v>0</v>
      </c>
      <c r="I43" s="65">
        <f t="shared" si="1"/>
        <v>0</v>
      </c>
      <c r="J43" s="65"/>
      <c r="K43" s="130"/>
      <c r="L43" s="67">
        <f t="shared" si="2"/>
        <v>0</v>
      </c>
      <c r="M43" s="130"/>
      <c r="N43" s="67">
        <f t="shared" si="3"/>
        <v>0</v>
      </c>
      <c r="O43" s="67">
        <f t="shared" si="4"/>
        <v>0</v>
      </c>
      <c r="P43" s="4"/>
    </row>
    <row r="44" spans="2:16" ht="12.5">
      <c r="B44" t="str">
        <f t="shared" si="0"/>
        <v/>
      </c>
      <c r="C44" s="62">
        <f>IF(D11="","-",+C43+1)</f>
        <v>2045</v>
      </c>
      <c r="D44" s="71">
        <f>IF(F43+SUM(E$17:E43)=D$10,F43,D$10-SUM(E$17:E43))</f>
        <v>0</v>
      </c>
      <c r="E44" s="69">
        <f t="shared" si="5"/>
        <v>0</v>
      </c>
      <c r="F44" s="68">
        <f t="shared" si="6"/>
        <v>0</v>
      </c>
      <c r="G44" s="70">
        <f t="shared" si="7"/>
        <v>0</v>
      </c>
      <c r="H44" s="52">
        <f t="shared" si="8"/>
        <v>0</v>
      </c>
      <c r="I44" s="65">
        <f t="shared" si="1"/>
        <v>0</v>
      </c>
      <c r="J44" s="65"/>
      <c r="K44" s="130"/>
      <c r="L44" s="67">
        <f t="shared" si="2"/>
        <v>0</v>
      </c>
      <c r="M44" s="130"/>
      <c r="N44" s="67">
        <f t="shared" si="3"/>
        <v>0</v>
      </c>
      <c r="O44" s="67">
        <f t="shared" si="4"/>
        <v>0</v>
      </c>
      <c r="P44" s="4"/>
    </row>
    <row r="45" spans="2:16" ht="12.5">
      <c r="B45" t="str">
        <f t="shared" si="0"/>
        <v/>
      </c>
      <c r="C45" s="62">
        <f>IF(D11="","-",+C44+1)</f>
        <v>2046</v>
      </c>
      <c r="D45" s="71">
        <f>IF(F44+SUM(E$17:E44)=D$10,F44,D$10-SUM(E$17:E44))</f>
        <v>0</v>
      </c>
      <c r="E45" s="69">
        <f t="shared" si="5"/>
        <v>0</v>
      </c>
      <c r="F45" s="68">
        <f t="shared" si="6"/>
        <v>0</v>
      </c>
      <c r="G45" s="70">
        <f t="shared" si="7"/>
        <v>0</v>
      </c>
      <c r="H45" s="52">
        <f t="shared" si="8"/>
        <v>0</v>
      </c>
      <c r="I45" s="65">
        <f t="shared" si="1"/>
        <v>0</v>
      </c>
      <c r="J45" s="65"/>
      <c r="K45" s="130"/>
      <c r="L45" s="67">
        <f t="shared" si="2"/>
        <v>0</v>
      </c>
      <c r="M45" s="130"/>
      <c r="N45" s="67">
        <f t="shared" si="3"/>
        <v>0</v>
      </c>
      <c r="O45" s="67">
        <f t="shared" si="4"/>
        <v>0</v>
      </c>
      <c r="P45" s="4"/>
    </row>
    <row r="46" spans="2:16" ht="12.5">
      <c r="B46" t="str">
        <f t="shared" si="0"/>
        <v/>
      </c>
      <c r="C46" s="62">
        <f>IF(D11="","-",+C45+1)</f>
        <v>2047</v>
      </c>
      <c r="D46" s="71">
        <f>IF(F45+SUM(E$17:E45)=D$10,F45,D$10-SUM(E$17:E45))</f>
        <v>0</v>
      </c>
      <c r="E46" s="69">
        <f t="shared" si="5"/>
        <v>0</v>
      </c>
      <c r="F46" s="68">
        <f t="shared" si="6"/>
        <v>0</v>
      </c>
      <c r="G46" s="70">
        <f t="shared" si="7"/>
        <v>0</v>
      </c>
      <c r="H46" s="52">
        <f t="shared" si="8"/>
        <v>0</v>
      </c>
      <c r="I46" s="65">
        <f t="shared" si="1"/>
        <v>0</v>
      </c>
      <c r="J46" s="65"/>
      <c r="K46" s="130"/>
      <c r="L46" s="67">
        <f t="shared" si="2"/>
        <v>0</v>
      </c>
      <c r="M46" s="130"/>
      <c r="N46" s="67">
        <f t="shared" si="3"/>
        <v>0</v>
      </c>
      <c r="O46" s="67">
        <f t="shared" si="4"/>
        <v>0</v>
      </c>
      <c r="P46" s="4"/>
    </row>
    <row r="47" spans="2:16" ht="12.5">
      <c r="B47" t="str">
        <f t="shared" si="0"/>
        <v/>
      </c>
      <c r="C47" s="62">
        <f>IF(D11="","-",+C46+1)</f>
        <v>2048</v>
      </c>
      <c r="D47" s="71">
        <f>IF(F46+SUM(E$17:E46)=D$10,F46,D$10-SUM(E$17:E46))</f>
        <v>0</v>
      </c>
      <c r="E47" s="69">
        <f t="shared" si="5"/>
        <v>0</v>
      </c>
      <c r="F47" s="68">
        <f t="shared" si="6"/>
        <v>0</v>
      </c>
      <c r="G47" s="70">
        <f t="shared" si="7"/>
        <v>0</v>
      </c>
      <c r="H47" s="52">
        <f t="shared" si="8"/>
        <v>0</v>
      </c>
      <c r="I47" s="65">
        <f t="shared" si="1"/>
        <v>0</v>
      </c>
      <c r="J47" s="65"/>
      <c r="K47" s="130"/>
      <c r="L47" s="67">
        <f t="shared" si="2"/>
        <v>0</v>
      </c>
      <c r="M47" s="130"/>
      <c r="N47" s="67">
        <f t="shared" si="3"/>
        <v>0</v>
      </c>
      <c r="O47" s="67">
        <f t="shared" si="4"/>
        <v>0</v>
      </c>
      <c r="P47" s="4"/>
    </row>
    <row r="48" spans="2:16" ht="12.5">
      <c r="B48" t="str">
        <f t="shared" si="0"/>
        <v/>
      </c>
      <c r="C48" s="62">
        <f>IF(D11="","-",+C47+1)</f>
        <v>2049</v>
      </c>
      <c r="D48" s="71">
        <f>IF(F47+SUM(E$17:E47)=D$10,F47,D$10-SUM(E$17:E47))</f>
        <v>0</v>
      </c>
      <c r="E48" s="69">
        <f t="shared" si="5"/>
        <v>0</v>
      </c>
      <c r="F48" s="68">
        <f t="shared" si="6"/>
        <v>0</v>
      </c>
      <c r="G48" s="70">
        <f t="shared" si="7"/>
        <v>0</v>
      </c>
      <c r="H48" s="52">
        <f t="shared" si="8"/>
        <v>0</v>
      </c>
      <c r="I48" s="65">
        <f t="shared" si="1"/>
        <v>0</v>
      </c>
      <c r="J48" s="65"/>
      <c r="K48" s="130"/>
      <c r="L48" s="67">
        <f t="shared" si="2"/>
        <v>0</v>
      </c>
      <c r="M48" s="130"/>
      <c r="N48" s="67">
        <f t="shared" si="3"/>
        <v>0</v>
      </c>
      <c r="O48" s="67">
        <f t="shared" si="4"/>
        <v>0</v>
      </c>
      <c r="P48" s="4"/>
    </row>
    <row r="49" spans="2:16" ht="12.5">
      <c r="B49" t="str">
        <f t="shared" si="0"/>
        <v/>
      </c>
      <c r="C49" s="62">
        <f>IF(D11="","-",+C48+1)</f>
        <v>2050</v>
      </c>
      <c r="D49" s="71">
        <f>IF(F48+SUM(E$17:E48)=D$10,F48,D$10-SUM(E$17:E48))</f>
        <v>0</v>
      </c>
      <c r="E49" s="69">
        <f t="shared" si="5"/>
        <v>0</v>
      </c>
      <c r="F49" s="68">
        <f t="shared" ref="F49:F71" si="9">+D49-E49</f>
        <v>0</v>
      </c>
      <c r="G49" s="70">
        <f t="shared" si="7"/>
        <v>0</v>
      </c>
      <c r="H49" s="52">
        <f t="shared" si="8"/>
        <v>0</v>
      </c>
      <c r="I49" s="65">
        <f t="shared" ref="I49:I71" si="10">H49-G49</f>
        <v>0</v>
      </c>
      <c r="J49" s="65"/>
      <c r="K49" s="130"/>
      <c r="L49" s="67">
        <f t="shared" ref="L49:L71" si="11">IF(K49&lt;&gt;0,+G49-K49,0)</f>
        <v>0</v>
      </c>
      <c r="M49" s="130"/>
      <c r="N49" s="67">
        <f t="shared" ref="N49:N71" si="12">IF(M49&lt;&gt;0,+H49-M49,0)</f>
        <v>0</v>
      </c>
      <c r="O49" s="67">
        <f t="shared" ref="O49:O71" si="13">+N49-L49</f>
        <v>0</v>
      </c>
      <c r="P49" s="4"/>
    </row>
    <row r="50" spans="2:16" ht="12.5">
      <c r="B50" t="str">
        <f t="shared" si="0"/>
        <v/>
      </c>
      <c r="C50" s="62">
        <f>IF(D11="","-",+C49+1)</f>
        <v>2051</v>
      </c>
      <c r="D50" s="71">
        <f>IF(F49+SUM(E$17:E49)=D$10,F49,D$10-SUM(E$17:E49))</f>
        <v>0</v>
      </c>
      <c r="E50" s="69">
        <f t="shared" ref="E50:E71" si="14">IF(+I$14&lt;F49,I$14,D50)</f>
        <v>0</v>
      </c>
      <c r="F50" s="68">
        <f t="shared" si="9"/>
        <v>0</v>
      </c>
      <c r="G50" s="70">
        <f t="shared" si="7"/>
        <v>0</v>
      </c>
      <c r="H50" s="52">
        <f t="shared" si="8"/>
        <v>0</v>
      </c>
      <c r="I50" s="65">
        <f t="shared" si="10"/>
        <v>0</v>
      </c>
      <c r="J50" s="65"/>
      <c r="K50" s="130"/>
      <c r="L50" s="67">
        <f t="shared" si="11"/>
        <v>0</v>
      </c>
      <c r="M50" s="130"/>
      <c r="N50" s="67">
        <f t="shared" si="12"/>
        <v>0</v>
      </c>
      <c r="O50" s="67">
        <f t="shared" si="13"/>
        <v>0</v>
      </c>
      <c r="P50" s="4"/>
    </row>
    <row r="51" spans="2:16" ht="12.5">
      <c r="B51" t="str">
        <f t="shared" si="0"/>
        <v/>
      </c>
      <c r="C51" s="62">
        <f>IF(D11="","-",+C50+1)</f>
        <v>2052</v>
      </c>
      <c r="D51" s="71">
        <f>IF(F50+SUM(E$17:E50)=D$10,F50,D$10-SUM(E$17:E50))</f>
        <v>0</v>
      </c>
      <c r="E51" s="69">
        <f t="shared" si="14"/>
        <v>0</v>
      </c>
      <c r="F51" s="68">
        <f t="shared" si="9"/>
        <v>0</v>
      </c>
      <c r="G51" s="70">
        <f t="shared" si="7"/>
        <v>0</v>
      </c>
      <c r="H51" s="52">
        <f t="shared" si="8"/>
        <v>0</v>
      </c>
      <c r="I51" s="65">
        <f t="shared" si="10"/>
        <v>0</v>
      </c>
      <c r="J51" s="65"/>
      <c r="K51" s="130"/>
      <c r="L51" s="67">
        <f t="shared" si="11"/>
        <v>0</v>
      </c>
      <c r="M51" s="130"/>
      <c r="N51" s="67">
        <f t="shared" si="12"/>
        <v>0</v>
      </c>
      <c r="O51" s="67">
        <f t="shared" si="13"/>
        <v>0</v>
      </c>
      <c r="P51" s="4"/>
    </row>
    <row r="52" spans="2:16" ht="12.5">
      <c r="B52" t="str">
        <f t="shared" si="0"/>
        <v/>
      </c>
      <c r="C52" s="62">
        <f>IF(D11="","-",+C51+1)</f>
        <v>2053</v>
      </c>
      <c r="D52" s="71">
        <f>IF(F51+SUM(E$17:E51)=D$10,F51,D$10-SUM(E$17:E51))</f>
        <v>0</v>
      </c>
      <c r="E52" s="69">
        <f t="shared" si="14"/>
        <v>0</v>
      </c>
      <c r="F52" s="68">
        <f t="shared" si="9"/>
        <v>0</v>
      </c>
      <c r="G52" s="70">
        <f t="shared" si="7"/>
        <v>0</v>
      </c>
      <c r="H52" s="52">
        <f t="shared" si="8"/>
        <v>0</v>
      </c>
      <c r="I52" s="65">
        <f t="shared" si="10"/>
        <v>0</v>
      </c>
      <c r="J52" s="65"/>
      <c r="K52" s="130"/>
      <c r="L52" s="67">
        <f t="shared" si="11"/>
        <v>0</v>
      </c>
      <c r="M52" s="130"/>
      <c r="N52" s="67">
        <f t="shared" si="12"/>
        <v>0</v>
      </c>
      <c r="O52" s="67">
        <f t="shared" si="13"/>
        <v>0</v>
      </c>
      <c r="P52" s="4"/>
    </row>
    <row r="53" spans="2:16" ht="12.5">
      <c r="B53" t="str">
        <f t="shared" si="0"/>
        <v/>
      </c>
      <c r="C53" s="62">
        <f>IF(D11="","-",+C52+1)</f>
        <v>2054</v>
      </c>
      <c r="D53" s="71">
        <f>IF(F52+SUM(E$17:E52)=D$10,F52,D$10-SUM(E$17:E52))</f>
        <v>0</v>
      </c>
      <c r="E53" s="69">
        <f t="shared" si="14"/>
        <v>0</v>
      </c>
      <c r="F53" s="68">
        <f t="shared" si="9"/>
        <v>0</v>
      </c>
      <c r="G53" s="70">
        <f t="shared" si="7"/>
        <v>0</v>
      </c>
      <c r="H53" s="52">
        <f t="shared" si="8"/>
        <v>0</v>
      </c>
      <c r="I53" s="65">
        <f t="shared" si="10"/>
        <v>0</v>
      </c>
      <c r="J53" s="65"/>
      <c r="K53" s="130"/>
      <c r="L53" s="67">
        <f t="shared" si="11"/>
        <v>0</v>
      </c>
      <c r="M53" s="130"/>
      <c r="N53" s="67">
        <f t="shared" si="12"/>
        <v>0</v>
      </c>
      <c r="O53" s="67">
        <f t="shared" si="13"/>
        <v>0</v>
      </c>
      <c r="P53" s="4"/>
    </row>
    <row r="54" spans="2:16" ht="12.5">
      <c r="B54" t="str">
        <f t="shared" si="0"/>
        <v/>
      </c>
      <c r="C54" s="62">
        <f>IF(D11="","-",+C53+1)</f>
        <v>2055</v>
      </c>
      <c r="D54" s="71">
        <f>IF(F53+SUM(E$17:E53)=D$10,F53,D$10-SUM(E$17:E53))</f>
        <v>0</v>
      </c>
      <c r="E54" s="69">
        <f t="shared" si="14"/>
        <v>0</v>
      </c>
      <c r="F54" s="68">
        <f t="shared" si="9"/>
        <v>0</v>
      </c>
      <c r="G54" s="70">
        <f t="shared" si="7"/>
        <v>0</v>
      </c>
      <c r="H54" s="52">
        <f t="shared" si="8"/>
        <v>0</v>
      </c>
      <c r="I54" s="65">
        <f t="shared" si="10"/>
        <v>0</v>
      </c>
      <c r="J54" s="65"/>
      <c r="K54" s="130"/>
      <c r="L54" s="67">
        <f t="shared" si="11"/>
        <v>0</v>
      </c>
      <c r="M54" s="130"/>
      <c r="N54" s="67">
        <f t="shared" si="12"/>
        <v>0</v>
      </c>
      <c r="O54" s="67">
        <f t="shared" si="13"/>
        <v>0</v>
      </c>
      <c r="P54" s="4"/>
    </row>
    <row r="55" spans="2:16" ht="12.5">
      <c r="B55" t="str">
        <f t="shared" si="0"/>
        <v/>
      </c>
      <c r="C55" s="62">
        <f>IF(D11="","-",+C54+1)</f>
        <v>2056</v>
      </c>
      <c r="D55" s="71">
        <f>IF(F54+SUM(E$17:E54)=D$10,F54,D$10-SUM(E$17:E54))</f>
        <v>0</v>
      </c>
      <c r="E55" s="69">
        <f t="shared" si="14"/>
        <v>0</v>
      </c>
      <c r="F55" s="68">
        <f t="shared" si="9"/>
        <v>0</v>
      </c>
      <c r="G55" s="70">
        <f t="shared" si="7"/>
        <v>0</v>
      </c>
      <c r="H55" s="52">
        <f t="shared" si="8"/>
        <v>0</v>
      </c>
      <c r="I55" s="65">
        <f t="shared" si="10"/>
        <v>0</v>
      </c>
      <c r="J55" s="65"/>
      <c r="K55" s="130"/>
      <c r="L55" s="67">
        <f t="shared" si="11"/>
        <v>0</v>
      </c>
      <c r="M55" s="130"/>
      <c r="N55" s="67">
        <f t="shared" si="12"/>
        <v>0</v>
      </c>
      <c r="O55" s="67">
        <f t="shared" si="13"/>
        <v>0</v>
      </c>
      <c r="P55" s="4"/>
    </row>
    <row r="56" spans="2:16" ht="12.5">
      <c r="B56" t="str">
        <f t="shared" si="0"/>
        <v/>
      </c>
      <c r="C56" s="62">
        <f>IF(D11="","-",+C55+1)</f>
        <v>2057</v>
      </c>
      <c r="D56" s="71">
        <f>IF(F55+SUM(E$17:E55)=D$10,F55,D$10-SUM(E$17:E55))</f>
        <v>0</v>
      </c>
      <c r="E56" s="69">
        <f t="shared" si="14"/>
        <v>0</v>
      </c>
      <c r="F56" s="68">
        <f t="shared" si="9"/>
        <v>0</v>
      </c>
      <c r="G56" s="70">
        <f t="shared" si="7"/>
        <v>0</v>
      </c>
      <c r="H56" s="52">
        <f t="shared" si="8"/>
        <v>0</v>
      </c>
      <c r="I56" s="65">
        <f t="shared" si="10"/>
        <v>0</v>
      </c>
      <c r="J56" s="65"/>
      <c r="K56" s="130"/>
      <c r="L56" s="67">
        <f t="shared" si="11"/>
        <v>0</v>
      </c>
      <c r="M56" s="130"/>
      <c r="N56" s="67">
        <f t="shared" si="12"/>
        <v>0</v>
      </c>
      <c r="O56" s="67">
        <f t="shared" si="13"/>
        <v>0</v>
      </c>
      <c r="P56" s="4"/>
    </row>
    <row r="57" spans="2:16" ht="12.5">
      <c r="B57" t="str">
        <f t="shared" si="0"/>
        <v/>
      </c>
      <c r="C57" s="62">
        <f>IF(D11="","-",+C56+1)</f>
        <v>2058</v>
      </c>
      <c r="D57" s="71">
        <f>IF(F56+SUM(E$17:E56)=D$10,F56,D$10-SUM(E$17:E56))</f>
        <v>0</v>
      </c>
      <c r="E57" s="69">
        <f t="shared" si="14"/>
        <v>0</v>
      </c>
      <c r="F57" s="68">
        <f t="shared" si="9"/>
        <v>0</v>
      </c>
      <c r="G57" s="70">
        <f t="shared" si="7"/>
        <v>0</v>
      </c>
      <c r="H57" s="52">
        <f t="shared" si="8"/>
        <v>0</v>
      </c>
      <c r="I57" s="65">
        <f t="shared" si="10"/>
        <v>0</v>
      </c>
      <c r="J57" s="65"/>
      <c r="K57" s="130"/>
      <c r="L57" s="67">
        <f t="shared" si="11"/>
        <v>0</v>
      </c>
      <c r="M57" s="130"/>
      <c r="N57" s="67">
        <f t="shared" si="12"/>
        <v>0</v>
      </c>
      <c r="O57" s="67">
        <f t="shared" si="13"/>
        <v>0</v>
      </c>
      <c r="P57" s="4"/>
    </row>
    <row r="58" spans="2:16" ht="12.5">
      <c r="B58" t="str">
        <f t="shared" si="0"/>
        <v/>
      </c>
      <c r="C58" s="62">
        <f>IF(D11="","-",+C57+1)</f>
        <v>2059</v>
      </c>
      <c r="D58" s="71">
        <f>IF(F57+SUM(E$17:E57)=D$10,F57,D$10-SUM(E$17:E57))</f>
        <v>0</v>
      </c>
      <c r="E58" s="69">
        <f t="shared" si="14"/>
        <v>0</v>
      </c>
      <c r="F58" s="68">
        <f t="shared" si="9"/>
        <v>0</v>
      </c>
      <c r="G58" s="70">
        <f t="shared" si="7"/>
        <v>0</v>
      </c>
      <c r="H58" s="52">
        <f t="shared" si="8"/>
        <v>0</v>
      </c>
      <c r="I58" s="65">
        <f t="shared" si="10"/>
        <v>0</v>
      </c>
      <c r="J58" s="65"/>
      <c r="K58" s="130"/>
      <c r="L58" s="67">
        <f t="shared" si="11"/>
        <v>0</v>
      </c>
      <c r="M58" s="130"/>
      <c r="N58" s="67">
        <f t="shared" si="12"/>
        <v>0</v>
      </c>
      <c r="O58" s="67">
        <f t="shared" si="13"/>
        <v>0</v>
      </c>
      <c r="P58" s="4"/>
    </row>
    <row r="59" spans="2:16" ht="12.5">
      <c r="B59" t="str">
        <f t="shared" si="0"/>
        <v/>
      </c>
      <c r="C59" s="62">
        <f>IF(D11="","-",+C58+1)</f>
        <v>2060</v>
      </c>
      <c r="D59" s="71">
        <f>IF(F58+SUM(E$17:E58)=D$10,F58,D$10-SUM(E$17:E58))</f>
        <v>0</v>
      </c>
      <c r="E59" s="69">
        <f t="shared" si="14"/>
        <v>0</v>
      </c>
      <c r="F59" s="68">
        <f t="shared" si="9"/>
        <v>0</v>
      </c>
      <c r="G59" s="70">
        <f t="shared" si="7"/>
        <v>0</v>
      </c>
      <c r="H59" s="52">
        <f t="shared" si="8"/>
        <v>0</v>
      </c>
      <c r="I59" s="65">
        <f t="shared" si="10"/>
        <v>0</v>
      </c>
      <c r="J59" s="65"/>
      <c r="K59" s="130"/>
      <c r="L59" s="67">
        <f t="shared" si="11"/>
        <v>0</v>
      </c>
      <c r="M59" s="130"/>
      <c r="N59" s="67">
        <f t="shared" si="12"/>
        <v>0</v>
      </c>
      <c r="O59" s="67">
        <f t="shared" si="13"/>
        <v>0</v>
      </c>
      <c r="P59" s="4"/>
    </row>
    <row r="60" spans="2:16" ht="12.5">
      <c r="B60" t="str">
        <f t="shared" si="0"/>
        <v/>
      </c>
      <c r="C60" s="62">
        <f>IF(D11="","-",+C59+1)</f>
        <v>2061</v>
      </c>
      <c r="D60" s="71">
        <f>IF(F59+SUM(E$17:E59)=D$10,F59,D$10-SUM(E$17:E59))</f>
        <v>0</v>
      </c>
      <c r="E60" s="69">
        <f t="shared" si="14"/>
        <v>0</v>
      </c>
      <c r="F60" s="68">
        <f t="shared" si="9"/>
        <v>0</v>
      </c>
      <c r="G60" s="70">
        <f t="shared" si="7"/>
        <v>0</v>
      </c>
      <c r="H60" s="52">
        <f t="shared" si="8"/>
        <v>0</v>
      </c>
      <c r="I60" s="65">
        <f t="shared" si="10"/>
        <v>0</v>
      </c>
      <c r="J60" s="65"/>
      <c r="K60" s="130"/>
      <c r="L60" s="67">
        <f t="shared" si="11"/>
        <v>0</v>
      </c>
      <c r="M60" s="130"/>
      <c r="N60" s="67">
        <f t="shared" si="12"/>
        <v>0</v>
      </c>
      <c r="O60" s="67">
        <f t="shared" si="13"/>
        <v>0</v>
      </c>
      <c r="P60" s="4"/>
    </row>
    <row r="61" spans="2:16" ht="12.5">
      <c r="B61" t="str">
        <f t="shared" si="0"/>
        <v/>
      </c>
      <c r="C61" s="62">
        <f>IF(D11="","-",+C60+1)</f>
        <v>2062</v>
      </c>
      <c r="D61" s="71">
        <f>IF(F60+SUM(E$17:E60)=D$10,F60,D$10-SUM(E$17:E60))</f>
        <v>0</v>
      </c>
      <c r="E61" s="69">
        <f t="shared" si="14"/>
        <v>0</v>
      </c>
      <c r="F61" s="68">
        <f t="shared" si="9"/>
        <v>0</v>
      </c>
      <c r="G61" s="72">
        <f t="shared" si="7"/>
        <v>0</v>
      </c>
      <c r="H61" s="52">
        <f t="shared" si="8"/>
        <v>0</v>
      </c>
      <c r="I61" s="65">
        <f t="shared" si="10"/>
        <v>0</v>
      </c>
      <c r="J61" s="65"/>
      <c r="K61" s="130"/>
      <c r="L61" s="67">
        <f t="shared" si="11"/>
        <v>0</v>
      </c>
      <c r="M61" s="130"/>
      <c r="N61" s="67">
        <f t="shared" si="12"/>
        <v>0</v>
      </c>
      <c r="O61" s="67">
        <f t="shared" si="13"/>
        <v>0</v>
      </c>
      <c r="P61" s="4"/>
    </row>
    <row r="62" spans="2:16" ht="12.5">
      <c r="B62" t="str">
        <f t="shared" si="0"/>
        <v/>
      </c>
      <c r="C62" s="62">
        <f>IF(D11="","-",+C61+1)</f>
        <v>2063</v>
      </c>
      <c r="D62" s="71">
        <f>IF(F61+SUM(E$17:E61)=D$10,F61,D$10-SUM(E$17:E61))</f>
        <v>0</v>
      </c>
      <c r="E62" s="69">
        <f t="shared" si="14"/>
        <v>0</v>
      </c>
      <c r="F62" s="68">
        <f t="shared" si="9"/>
        <v>0</v>
      </c>
      <c r="G62" s="72">
        <f t="shared" si="7"/>
        <v>0</v>
      </c>
      <c r="H62" s="52">
        <f t="shared" si="8"/>
        <v>0</v>
      </c>
      <c r="I62" s="65">
        <f t="shared" si="10"/>
        <v>0</v>
      </c>
      <c r="J62" s="65"/>
      <c r="K62" s="130"/>
      <c r="L62" s="67">
        <f t="shared" si="11"/>
        <v>0</v>
      </c>
      <c r="M62" s="130"/>
      <c r="N62" s="67">
        <f t="shared" si="12"/>
        <v>0</v>
      </c>
      <c r="O62" s="67">
        <f t="shared" si="13"/>
        <v>0</v>
      </c>
      <c r="P62" s="4"/>
    </row>
    <row r="63" spans="2:16" ht="12.5">
      <c r="B63" t="str">
        <f t="shared" si="0"/>
        <v/>
      </c>
      <c r="C63" s="62">
        <f>IF(D11="","-",+C62+1)</f>
        <v>2064</v>
      </c>
      <c r="D63" s="71">
        <f>IF(F62+SUM(E$17:E62)=D$10,F62,D$10-SUM(E$17:E62))</f>
        <v>0</v>
      </c>
      <c r="E63" s="69">
        <f t="shared" si="14"/>
        <v>0</v>
      </c>
      <c r="F63" s="68">
        <f t="shared" si="9"/>
        <v>0</v>
      </c>
      <c r="G63" s="72">
        <f t="shared" si="7"/>
        <v>0</v>
      </c>
      <c r="H63" s="52">
        <f t="shared" si="8"/>
        <v>0</v>
      </c>
      <c r="I63" s="65">
        <f t="shared" si="10"/>
        <v>0</v>
      </c>
      <c r="J63" s="65"/>
      <c r="K63" s="130"/>
      <c r="L63" s="67">
        <f t="shared" si="11"/>
        <v>0</v>
      </c>
      <c r="M63" s="130"/>
      <c r="N63" s="67">
        <f t="shared" si="12"/>
        <v>0</v>
      </c>
      <c r="O63" s="67">
        <f t="shared" si="13"/>
        <v>0</v>
      </c>
      <c r="P63" s="4"/>
    </row>
    <row r="64" spans="2:16" ht="12.5">
      <c r="B64" t="str">
        <f t="shared" si="0"/>
        <v/>
      </c>
      <c r="C64" s="62">
        <f>IF(D11="","-",+C63+1)</f>
        <v>2065</v>
      </c>
      <c r="D64" s="71">
        <f>IF(F63+SUM(E$17:E63)=D$10,F63,D$10-SUM(E$17:E63))</f>
        <v>0</v>
      </c>
      <c r="E64" s="69">
        <f t="shared" si="14"/>
        <v>0</v>
      </c>
      <c r="F64" s="68">
        <f t="shared" si="9"/>
        <v>0</v>
      </c>
      <c r="G64" s="72">
        <f t="shared" si="7"/>
        <v>0</v>
      </c>
      <c r="H64" s="52">
        <f t="shared" si="8"/>
        <v>0</v>
      </c>
      <c r="I64" s="65">
        <f t="shared" si="10"/>
        <v>0</v>
      </c>
      <c r="J64" s="65"/>
      <c r="K64" s="130"/>
      <c r="L64" s="67">
        <f t="shared" si="11"/>
        <v>0</v>
      </c>
      <c r="M64" s="130"/>
      <c r="N64" s="67">
        <f t="shared" si="12"/>
        <v>0</v>
      </c>
      <c r="O64" s="67">
        <f t="shared" si="13"/>
        <v>0</v>
      </c>
      <c r="P64" s="4"/>
    </row>
    <row r="65" spans="2:16" ht="12.5">
      <c r="B65" t="str">
        <f t="shared" si="0"/>
        <v/>
      </c>
      <c r="C65" s="62">
        <f>IF(D11="","-",+C64+1)</f>
        <v>2066</v>
      </c>
      <c r="D65" s="71">
        <f>IF(F64+SUM(E$17:E64)=D$10,F64,D$10-SUM(E$17:E64))</f>
        <v>0</v>
      </c>
      <c r="E65" s="69">
        <f t="shared" si="14"/>
        <v>0</v>
      </c>
      <c r="F65" s="68">
        <f t="shared" si="9"/>
        <v>0</v>
      </c>
      <c r="G65" s="72">
        <f t="shared" si="7"/>
        <v>0</v>
      </c>
      <c r="H65" s="52">
        <f t="shared" si="8"/>
        <v>0</v>
      </c>
      <c r="I65" s="65">
        <f t="shared" si="10"/>
        <v>0</v>
      </c>
      <c r="J65" s="65"/>
      <c r="K65" s="130"/>
      <c r="L65" s="67">
        <f t="shared" si="11"/>
        <v>0</v>
      </c>
      <c r="M65" s="130"/>
      <c r="N65" s="67">
        <f t="shared" si="12"/>
        <v>0</v>
      </c>
      <c r="O65" s="67">
        <f t="shared" si="13"/>
        <v>0</v>
      </c>
      <c r="P65" s="4"/>
    </row>
    <row r="66" spans="2:16" ht="12.5">
      <c r="B66" t="str">
        <f t="shared" si="0"/>
        <v/>
      </c>
      <c r="C66" s="62">
        <f>IF(D11="","-",+C65+1)</f>
        <v>2067</v>
      </c>
      <c r="D66" s="71">
        <f>IF(F65+SUM(E$17:E65)=D$10,F65,D$10-SUM(E$17:E65))</f>
        <v>0</v>
      </c>
      <c r="E66" s="69">
        <f t="shared" si="14"/>
        <v>0</v>
      </c>
      <c r="F66" s="68">
        <f t="shared" si="9"/>
        <v>0</v>
      </c>
      <c r="G66" s="72">
        <f t="shared" si="7"/>
        <v>0</v>
      </c>
      <c r="H66" s="52">
        <f t="shared" si="8"/>
        <v>0</v>
      </c>
      <c r="I66" s="65">
        <f t="shared" si="10"/>
        <v>0</v>
      </c>
      <c r="J66" s="65"/>
      <c r="K66" s="130"/>
      <c r="L66" s="67">
        <f t="shared" si="11"/>
        <v>0</v>
      </c>
      <c r="M66" s="130"/>
      <c r="N66" s="67">
        <f t="shared" si="12"/>
        <v>0</v>
      </c>
      <c r="O66" s="67">
        <f t="shared" si="13"/>
        <v>0</v>
      </c>
      <c r="P66" s="4"/>
    </row>
    <row r="67" spans="2:16" ht="12.5">
      <c r="B67" t="str">
        <f t="shared" si="0"/>
        <v/>
      </c>
      <c r="C67" s="62">
        <f>IF(D11="","-",+C66+1)</f>
        <v>2068</v>
      </c>
      <c r="D67" s="71">
        <f>IF(F66+SUM(E$17:E66)=D$10,F66,D$10-SUM(E$17:E66))</f>
        <v>0</v>
      </c>
      <c r="E67" s="69">
        <f t="shared" si="14"/>
        <v>0</v>
      </c>
      <c r="F67" s="68">
        <f t="shared" si="9"/>
        <v>0</v>
      </c>
      <c r="G67" s="72">
        <f t="shared" si="7"/>
        <v>0</v>
      </c>
      <c r="H67" s="52">
        <f t="shared" si="8"/>
        <v>0</v>
      </c>
      <c r="I67" s="65">
        <f t="shared" si="10"/>
        <v>0</v>
      </c>
      <c r="J67" s="65"/>
      <c r="K67" s="130"/>
      <c r="L67" s="67">
        <f t="shared" si="11"/>
        <v>0</v>
      </c>
      <c r="M67" s="130"/>
      <c r="N67" s="67">
        <f t="shared" si="12"/>
        <v>0</v>
      </c>
      <c r="O67" s="67">
        <f t="shared" si="13"/>
        <v>0</v>
      </c>
      <c r="P67" s="4"/>
    </row>
    <row r="68" spans="2:16" ht="12.5">
      <c r="B68" t="str">
        <f t="shared" si="0"/>
        <v/>
      </c>
      <c r="C68" s="62">
        <f>IF(D11="","-",+C67+1)</f>
        <v>2069</v>
      </c>
      <c r="D68" s="71">
        <f>IF(F67+SUM(E$17:E67)=D$10,F67,D$10-SUM(E$17:E67))</f>
        <v>0</v>
      </c>
      <c r="E68" s="69">
        <f t="shared" si="14"/>
        <v>0</v>
      </c>
      <c r="F68" s="68">
        <f t="shared" si="9"/>
        <v>0</v>
      </c>
      <c r="G68" s="72">
        <f t="shared" si="7"/>
        <v>0</v>
      </c>
      <c r="H68" s="52">
        <f t="shared" si="8"/>
        <v>0</v>
      </c>
      <c r="I68" s="65">
        <f t="shared" si="10"/>
        <v>0</v>
      </c>
      <c r="J68" s="65"/>
      <c r="K68" s="130"/>
      <c r="L68" s="67">
        <f t="shared" si="11"/>
        <v>0</v>
      </c>
      <c r="M68" s="130"/>
      <c r="N68" s="67">
        <f t="shared" si="12"/>
        <v>0</v>
      </c>
      <c r="O68" s="67">
        <f t="shared" si="13"/>
        <v>0</v>
      </c>
      <c r="P68" s="4"/>
    </row>
    <row r="69" spans="2:16" ht="12.5">
      <c r="B69" t="str">
        <f t="shared" si="0"/>
        <v/>
      </c>
      <c r="C69" s="62">
        <f>IF(D11="","-",+C68+1)</f>
        <v>2070</v>
      </c>
      <c r="D69" s="71">
        <f>IF(F68+SUM(E$17:E68)=D$10,F68,D$10-SUM(E$17:E68))</f>
        <v>0</v>
      </c>
      <c r="E69" s="69">
        <f t="shared" si="14"/>
        <v>0</v>
      </c>
      <c r="F69" s="68">
        <f t="shared" si="9"/>
        <v>0</v>
      </c>
      <c r="G69" s="72">
        <f t="shared" si="7"/>
        <v>0</v>
      </c>
      <c r="H69" s="52">
        <f t="shared" si="8"/>
        <v>0</v>
      </c>
      <c r="I69" s="65">
        <f t="shared" si="10"/>
        <v>0</v>
      </c>
      <c r="J69" s="65"/>
      <c r="K69" s="130"/>
      <c r="L69" s="67">
        <f t="shared" si="11"/>
        <v>0</v>
      </c>
      <c r="M69" s="130"/>
      <c r="N69" s="67">
        <f t="shared" si="12"/>
        <v>0</v>
      </c>
      <c r="O69" s="67">
        <f t="shared" si="13"/>
        <v>0</v>
      </c>
      <c r="P69" s="4"/>
    </row>
    <row r="70" spans="2:16" ht="12.5">
      <c r="B70" t="str">
        <f t="shared" si="0"/>
        <v/>
      </c>
      <c r="C70" s="62">
        <f>IF(D11="","-",+C69+1)</f>
        <v>2071</v>
      </c>
      <c r="D70" s="71">
        <f>IF(F69+SUM(E$17:E69)=D$10,F69,D$10-SUM(E$17:E69))</f>
        <v>0</v>
      </c>
      <c r="E70" s="69">
        <f t="shared" si="14"/>
        <v>0</v>
      </c>
      <c r="F70" s="68">
        <f t="shared" si="9"/>
        <v>0</v>
      </c>
      <c r="G70" s="72">
        <f t="shared" si="7"/>
        <v>0</v>
      </c>
      <c r="H70" s="52">
        <f t="shared" si="8"/>
        <v>0</v>
      </c>
      <c r="I70" s="65">
        <f t="shared" si="10"/>
        <v>0</v>
      </c>
      <c r="J70" s="65"/>
      <c r="K70" s="130"/>
      <c r="L70" s="67">
        <f t="shared" si="11"/>
        <v>0</v>
      </c>
      <c r="M70" s="130"/>
      <c r="N70" s="67">
        <f t="shared" si="12"/>
        <v>0</v>
      </c>
      <c r="O70" s="67">
        <f t="shared" si="13"/>
        <v>0</v>
      </c>
      <c r="P70" s="4"/>
    </row>
    <row r="71" spans="2:16" ht="12.5">
      <c r="B71" t="str">
        <f t="shared" si="0"/>
        <v/>
      </c>
      <c r="C71" s="62">
        <f>IF(D11="","-",+C70+1)</f>
        <v>2072</v>
      </c>
      <c r="D71" s="71">
        <f>IF(F70+SUM(E$17:E70)=D$10,F70,D$10-SUM(E$17:E70))</f>
        <v>0</v>
      </c>
      <c r="E71" s="69">
        <f t="shared" si="14"/>
        <v>0</v>
      </c>
      <c r="F71" s="68">
        <f t="shared" si="9"/>
        <v>0</v>
      </c>
      <c r="G71" s="72">
        <f t="shared" si="7"/>
        <v>0</v>
      </c>
      <c r="H71" s="52">
        <f t="shared" si="8"/>
        <v>0</v>
      </c>
      <c r="I71" s="65">
        <f t="shared" si="10"/>
        <v>0</v>
      </c>
      <c r="J71" s="65"/>
      <c r="K71" s="130"/>
      <c r="L71" s="67">
        <f t="shared" si="11"/>
        <v>0</v>
      </c>
      <c r="M71" s="130"/>
      <c r="N71" s="67">
        <f t="shared" si="12"/>
        <v>0</v>
      </c>
      <c r="O71" s="67">
        <f t="shared" si="13"/>
        <v>0</v>
      </c>
      <c r="P71" s="4"/>
    </row>
    <row r="72" spans="2:16" ht="12.5">
      <c r="C72" s="62">
        <f>IF(D12="","-",+C71+1)</f>
        <v>2073</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 thickBot="1">
      <c r="B73" t="str">
        <f>IF(D73=F71,"","IU")</f>
        <v/>
      </c>
      <c r="C73" s="73">
        <f>IF(D13="","-",+C72+1)</f>
        <v>2074</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ht="12.5">
      <c r="C74" s="63" t="s">
        <v>75</v>
      </c>
      <c r="D74" s="19"/>
      <c r="E74" s="19">
        <f>SUM(E17:E73)</f>
        <v>0</v>
      </c>
      <c r="F74" s="19"/>
      <c r="G74" s="19">
        <f>SUM(G17:G73)</f>
        <v>0</v>
      </c>
      <c r="H74" s="19">
        <f>SUM(H17:H73)</f>
        <v>0</v>
      </c>
      <c r="I74" s="19">
        <f>SUM(I17:I73)</f>
        <v>0</v>
      </c>
      <c r="J74" s="19"/>
      <c r="K74" s="19"/>
      <c r="L74" s="19"/>
      <c r="M74" s="19"/>
      <c r="N74" s="19"/>
      <c r="O74" s="4"/>
      <c r="P74" s="4"/>
    </row>
    <row r="75" spans="2:16" ht="12.5">
      <c r="D75" s="2"/>
      <c r="E75" s="1"/>
      <c r="F75" s="1"/>
      <c r="G75" s="1"/>
      <c r="H75" s="3"/>
      <c r="I75" s="3"/>
      <c r="J75" s="19"/>
      <c r="K75" s="3"/>
      <c r="L75" s="3"/>
      <c r="M75" s="3"/>
      <c r="N75" s="3"/>
      <c r="O75" s="1"/>
      <c r="P75" s="1"/>
    </row>
    <row r="76" spans="2:16" ht="13">
      <c r="C76" s="79" t="s">
        <v>95</v>
      </c>
      <c r="D76" s="2"/>
      <c r="E76" s="1"/>
      <c r="F76" s="1"/>
      <c r="G76" s="1"/>
      <c r="H76" s="3"/>
      <c r="I76" s="3"/>
      <c r="J76" s="19"/>
      <c r="K76" s="3"/>
      <c r="L76" s="3"/>
      <c r="M76" s="3"/>
      <c r="N76" s="3"/>
      <c r="O76" s="1"/>
      <c r="P76" s="1"/>
    </row>
    <row r="77" spans="2:16" ht="13">
      <c r="C77" s="31" t="s">
        <v>76</v>
      </c>
      <c r="D77" s="2"/>
      <c r="E77" s="1"/>
      <c r="F77" s="1"/>
      <c r="G77" s="1"/>
      <c r="H77" s="3"/>
      <c r="I77" s="3"/>
      <c r="J77" s="19"/>
      <c r="K77" s="3"/>
      <c r="L77" s="3"/>
      <c r="M77" s="3"/>
      <c r="N77" s="3"/>
      <c r="O77" s="4"/>
      <c r="P77" s="4"/>
    </row>
    <row r="78" spans="2:16" ht="13">
      <c r="C78" s="31" t="s">
        <v>77</v>
      </c>
      <c r="D78" s="63"/>
      <c r="E78" s="63"/>
      <c r="F78" s="63"/>
      <c r="G78" s="19"/>
      <c r="H78" s="19"/>
      <c r="I78" s="80"/>
      <c r="J78" s="80"/>
      <c r="K78" s="80"/>
      <c r="L78" s="80"/>
      <c r="M78" s="80"/>
      <c r="N78" s="80"/>
      <c r="O78" s="4"/>
      <c r="P78" s="4"/>
    </row>
    <row r="79" spans="2:16" ht="13">
      <c r="C79" s="31"/>
      <c r="D79" s="63"/>
      <c r="E79" s="63"/>
      <c r="F79" s="63"/>
      <c r="G79" s="19"/>
      <c r="H79" s="19"/>
      <c r="I79" s="80"/>
      <c r="J79" s="80"/>
      <c r="K79" s="80"/>
      <c r="L79" s="80"/>
      <c r="M79" s="80"/>
      <c r="N79" s="80"/>
      <c r="O79" s="4"/>
      <c r="P79" s="1"/>
    </row>
    <row r="80" spans="2:16" ht="12.5">
      <c r="B80" s="1"/>
      <c r="C80" s="9"/>
      <c r="D80" s="2"/>
      <c r="E80" s="1"/>
      <c r="F80" s="17"/>
      <c r="G80" s="1"/>
      <c r="H80" s="3"/>
      <c r="I80" s="1"/>
      <c r="J80" s="4"/>
      <c r="K80" s="1"/>
      <c r="L80" s="1"/>
      <c r="M80" s="1"/>
      <c r="N80" s="1"/>
      <c r="O80" s="1"/>
      <c r="P80" s="1"/>
    </row>
    <row r="81" spans="1:16" ht="17.5">
      <c r="B81" s="1"/>
      <c r="C81" s="109"/>
      <c r="D81" s="2"/>
      <c r="E81" s="1"/>
      <c r="F81" s="17"/>
      <c r="G81" s="1"/>
      <c r="H81" s="3"/>
      <c r="I81" s="1"/>
      <c r="J81" s="4"/>
      <c r="K81" s="1"/>
      <c r="L81" s="1"/>
      <c r="M81" s="1"/>
      <c r="N81" s="1"/>
      <c r="P81" s="111" t="s">
        <v>128</v>
      </c>
    </row>
    <row r="82" spans="1:16" ht="12.5">
      <c r="B82" s="1"/>
      <c r="C82" s="9"/>
      <c r="D82" s="2"/>
      <c r="E82" s="1"/>
      <c r="F82" s="17"/>
      <c r="G82" s="1"/>
      <c r="H82" s="3"/>
      <c r="I82" s="1"/>
      <c r="J82" s="4"/>
      <c r="K82" s="1"/>
      <c r="L82" s="1"/>
      <c r="M82" s="1"/>
      <c r="N82" s="1"/>
      <c r="O82" s="1"/>
      <c r="P82" s="1"/>
    </row>
    <row r="83" spans="1:16" ht="12.5">
      <c r="B83" s="1"/>
      <c r="C83" s="9"/>
      <c r="D83" s="2"/>
      <c r="E83" s="1"/>
      <c r="F83" s="17"/>
      <c r="G83" s="1"/>
      <c r="H83" s="3"/>
      <c r="I83" s="1"/>
      <c r="J83" s="4"/>
      <c r="K83" s="1"/>
      <c r="L83" s="1"/>
      <c r="M83" s="1"/>
      <c r="N83" s="1"/>
      <c r="O83" s="1"/>
      <c r="P83" s="1"/>
    </row>
    <row r="84" spans="1:16" ht="20">
      <c r="A84" s="110" t="s">
        <v>190</v>
      </c>
      <c r="B84" s="1"/>
      <c r="C84" s="9"/>
      <c r="D84" s="2"/>
      <c r="E84" s="1"/>
      <c r="F84" s="14"/>
      <c r="G84" s="14"/>
      <c r="H84" s="1"/>
      <c r="I84" s="3"/>
      <c r="K84" s="7"/>
      <c r="L84" s="18"/>
      <c r="M84" s="18"/>
      <c r="P84" s="18" t="str">
        <f ca="1">P1</f>
        <v>OKT Project nk of 20</v>
      </c>
    </row>
    <row r="85" spans="1:16" ht="17.5">
      <c r="B85" s="1"/>
      <c r="C85" s="1"/>
      <c r="D85" s="2"/>
      <c r="E85" s="1"/>
      <c r="F85" s="1"/>
      <c r="G85" s="1"/>
      <c r="H85" s="1"/>
      <c r="I85" s="3"/>
      <c r="J85" s="1"/>
      <c r="K85" s="4"/>
      <c r="L85" s="1"/>
      <c r="M85" s="1"/>
      <c r="P85" s="117" t="s">
        <v>132</v>
      </c>
    </row>
    <row r="86" spans="1:16" ht="17.5" thickBot="1">
      <c r="B86" s="5" t="s">
        <v>42</v>
      </c>
      <c r="C86" s="82" t="s">
        <v>81</v>
      </c>
      <c r="D86" s="2"/>
      <c r="E86" s="1"/>
      <c r="F86" s="1"/>
      <c r="G86" s="1"/>
      <c r="H86" s="1"/>
      <c r="I86" s="3"/>
      <c r="J86" s="3"/>
      <c r="K86" s="19"/>
      <c r="L86" s="3"/>
      <c r="M86" s="3"/>
      <c r="N86" s="3"/>
      <c r="O86" s="19"/>
      <c r="P86" s="1"/>
    </row>
    <row r="87" spans="1:16" ht="16" thickBot="1">
      <c r="C87" s="12"/>
      <c r="D87" s="2"/>
      <c r="E87" s="1"/>
      <c r="F87" s="1"/>
      <c r="G87" s="1"/>
      <c r="H87" s="1"/>
      <c r="I87" s="3"/>
      <c r="J87" s="3"/>
      <c r="K87" s="19"/>
      <c r="L87" s="118">
        <f>+J93</f>
        <v>2019</v>
      </c>
      <c r="M87" s="119" t="s">
        <v>9</v>
      </c>
      <c r="N87" s="120" t="s">
        <v>134</v>
      </c>
      <c r="O87" s="121" t="s">
        <v>11</v>
      </c>
      <c r="P87" s="1"/>
    </row>
    <row r="88" spans="1:16" ht="15.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insert project name here</v>
      </c>
      <c r="E90" s="1"/>
      <c r="F90" s="1"/>
      <c r="G90" s="1"/>
      <c r="H90" s="1"/>
      <c r="I90" s="3"/>
      <c r="J90" s="3"/>
      <c r="K90" s="126"/>
      <c r="L90" s="127" t="s">
        <v>135</v>
      </c>
      <c r="M90" s="88">
        <f>+M89-M88</f>
        <v>0</v>
      </c>
      <c r="N90" s="88">
        <f>+N89-N88</f>
        <v>0</v>
      </c>
      <c r="O90" s="89">
        <f>+O89-O88</f>
        <v>0</v>
      </c>
      <c r="P90" s="1"/>
    </row>
    <row r="91" spans="1:16" ht="13.5" thickBot="1">
      <c r="C91" s="79"/>
      <c r="D91" s="81" t="str">
        <f>IF(D8="","",D8)</f>
        <v>DOES NOT MEET SPP $100,000 MINIMUM INVESTMENT FOR REGIONAL BPU SHARING.</v>
      </c>
      <c r="E91" s="17"/>
      <c r="F91" s="17"/>
      <c r="G91" s="17"/>
      <c r="H91" s="36"/>
      <c r="I91" s="3"/>
      <c r="J91" s="3"/>
      <c r="K91" s="19"/>
      <c r="L91" s="3"/>
      <c r="M91" s="3"/>
      <c r="N91" s="3"/>
      <c r="O91" s="19"/>
      <c r="P91" s="1"/>
    </row>
    <row r="92" spans="1:16" ht="13.5" thickBot="1">
      <c r="A92" s="16"/>
      <c r="C92" s="90" t="s">
        <v>83</v>
      </c>
      <c r="D92" s="105" t="str">
        <f>+D9</f>
        <v>TP2004033</v>
      </c>
      <c r="E92" s="91"/>
      <c r="F92" s="91"/>
      <c r="G92" s="91"/>
      <c r="H92" s="91"/>
      <c r="I92" s="91"/>
      <c r="J92" s="91"/>
      <c r="K92" s="92"/>
      <c r="P92" s="41"/>
    </row>
    <row r="93" spans="1:16" ht="13">
      <c r="C93" s="46" t="s">
        <v>49</v>
      </c>
      <c r="D93" s="102">
        <v>0</v>
      </c>
      <c r="E93" s="9" t="s">
        <v>84</v>
      </c>
      <c r="H93" s="44"/>
      <c r="I93" s="44"/>
      <c r="J93" s="45">
        <f>+'OKT.WS.G.BPU.ATRR.True-up'!M16</f>
        <v>2019</v>
      </c>
      <c r="K93" s="40"/>
      <c r="L93" s="19" t="s">
        <v>85</v>
      </c>
      <c r="P93" s="4"/>
    </row>
    <row r="94" spans="1:16" ht="12.5">
      <c r="C94" s="46" t="s">
        <v>52</v>
      </c>
      <c r="D94" s="102">
        <f>IF(D11="","",D11)</f>
        <v>2018</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ht="12.5">
      <c r="C95" s="46" t="s">
        <v>54</v>
      </c>
      <c r="D95" s="102">
        <f>IF(D12="","",D12)</f>
        <v>4</v>
      </c>
      <c r="E95" s="46" t="s">
        <v>55</v>
      </c>
      <c r="F95" s="44"/>
      <c r="G95" s="44"/>
      <c r="J95" s="50">
        <f>'OKT.WS.G.BPU.ATRR.True-up'!$F$81</f>
        <v>0.10800922592579221</v>
      </c>
      <c r="K95" s="51"/>
      <c r="L95" t="s">
        <v>86</v>
      </c>
      <c r="P95" s="4"/>
    </row>
    <row r="96" spans="1:16" ht="12.5">
      <c r="C96" s="46" t="s">
        <v>57</v>
      </c>
      <c r="D96" s="48">
        <f>'OKT.WS.G.BPU.ATRR.True-up'!F$93</f>
        <v>33</v>
      </c>
      <c r="E96" s="46" t="s">
        <v>58</v>
      </c>
      <c r="F96" s="44"/>
      <c r="G96" s="44"/>
      <c r="J96" s="50">
        <f>IF(H88="",J95,'OKT.WS.G.BPU.ATRR.True-up'!$F$80)</f>
        <v>0.10800922592579221</v>
      </c>
      <c r="K96" s="10"/>
      <c r="L96" s="19" t="s">
        <v>59</v>
      </c>
      <c r="M96" s="10"/>
      <c r="N96" s="10"/>
      <c r="O96" s="10"/>
      <c r="P96" s="4"/>
    </row>
    <row r="97" spans="1:16" ht="13" thickBot="1">
      <c r="C97" s="46" t="s">
        <v>60</v>
      </c>
      <c r="D97" s="103" t="str">
        <f>+D14</f>
        <v>No</v>
      </c>
      <c r="E97" s="87" t="s">
        <v>62</v>
      </c>
      <c r="F97" s="93"/>
      <c r="G97" s="93"/>
      <c r="H97" s="94"/>
      <c r="I97" s="94"/>
      <c r="J97" s="34">
        <f>IF(D93=0,0,D93/D96)</f>
        <v>0</v>
      </c>
      <c r="K97" s="19"/>
      <c r="L97" s="19"/>
      <c r="M97" s="19"/>
      <c r="N97" s="19"/>
      <c r="O97" s="19"/>
      <c r="P97" s="4"/>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ht="12.5">
      <c r="B100" t="str">
        <f t="shared" ref="B100:B155" si="15">IF(D100=F99,"","IU")</f>
        <v>IU</v>
      </c>
      <c r="C100" s="62">
        <f>IF(D94= "","-",D94)</f>
        <v>2018</v>
      </c>
      <c r="D100" s="63">
        <f>IF(D94=C100,0,IF(D93&lt;100000,0,D93))</f>
        <v>0</v>
      </c>
      <c r="E100" s="70">
        <f>IF(D93&lt;100000,0,J$97/12*(12-D95))</f>
        <v>0</v>
      </c>
      <c r="F100" s="68">
        <f>IF(D94=C100,+D93-E100,+D100-E100)</f>
        <v>0</v>
      </c>
      <c r="G100" s="98">
        <f>+(F100+D100)/2</f>
        <v>0</v>
      </c>
      <c r="H100" s="98">
        <f t="shared" ref="H100:H155" si="16">+J$95*G100+E100</f>
        <v>0</v>
      </c>
      <c r="I100" s="98">
        <f>+J$96*G100+E100</f>
        <v>0</v>
      </c>
      <c r="J100" s="67">
        <f t="shared" ref="J100:J131" si="17">+I100-H100</f>
        <v>0</v>
      </c>
      <c r="K100" s="67"/>
      <c r="L100" s="129"/>
      <c r="M100" s="66">
        <f t="shared" ref="M100:M131" si="18">IF(L100&lt;&gt;0,+H100-L100,0)</f>
        <v>0</v>
      </c>
      <c r="N100" s="129"/>
      <c r="O100" s="66">
        <f t="shared" ref="O100:O131" si="19">IF(N100&lt;&gt;0,+I100-N100,0)</f>
        <v>0</v>
      </c>
      <c r="P100" s="66">
        <f t="shared" ref="P100:P131" si="20">+O100-M100</f>
        <v>0</v>
      </c>
    </row>
    <row r="101" spans="1:16" ht="12.5">
      <c r="B101" t="str">
        <f t="shared" si="15"/>
        <v/>
      </c>
      <c r="C101" s="62">
        <f>IF(D94="","-",+C100+1)</f>
        <v>2019</v>
      </c>
      <c r="D101" s="63">
        <f>IF(F100+SUM(E$100:E100)=D$93,F100,D$93-SUM(E$100:E100))</f>
        <v>0</v>
      </c>
      <c r="E101" s="69">
        <f t="shared" ref="E101:E132" si="21">IF(+J$97&lt;F100,J$97,D101)</f>
        <v>0</v>
      </c>
      <c r="F101" s="68">
        <f t="shared" ref="F101:F131" si="22">+D101-E101</f>
        <v>0</v>
      </c>
      <c r="G101" s="68">
        <f t="shared" ref="G101:G131" si="23">+(F101+D101)/2</f>
        <v>0</v>
      </c>
      <c r="H101" s="128">
        <f t="shared" si="16"/>
        <v>0</v>
      </c>
      <c r="I101" s="137">
        <f t="shared" ref="I101:I155" si="24">+J$96*G101+E101</f>
        <v>0</v>
      </c>
      <c r="J101" s="67">
        <f t="shared" si="17"/>
        <v>0</v>
      </c>
      <c r="K101" s="67"/>
      <c r="L101" s="130"/>
      <c r="M101" s="67">
        <f t="shared" si="18"/>
        <v>0</v>
      </c>
      <c r="N101" s="130"/>
      <c r="O101" s="67">
        <f t="shared" si="19"/>
        <v>0</v>
      </c>
      <c r="P101" s="67">
        <f t="shared" si="20"/>
        <v>0</v>
      </c>
    </row>
    <row r="102" spans="1:16" ht="12.5">
      <c r="B102" t="str">
        <f t="shared" si="15"/>
        <v/>
      </c>
      <c r="C102" s="62">
        <f>IF(D94="","-",+C101+1)</f>
        <v>2020</v>
      </c>
      <c r="D102" s="63">
        <f>IF(F101+SUM(E$100:E101)=D$93,F101,D$93-SUM(E$100:E101))</f>
        <v>0</v>
      </c>
      <c r="E102" s="69">
        <f t="shared" si="21"/>
        <v>0</v>
      </c>
      <c r="F102" s="68">
        <f t="shared" si="22"/>
        <v>0</v>
      </c>
      <c r="G102" s="68">
        <f t="shared" si="23"/>
        <v>0</v>
      </c>
      <c r="H102" s="128">
        <f t="shared" si="16"/>
        <v>0</v>
      </c>
      <c r="I102" s="137">
        <f t="shared" si="24"/>
        <v>0</v>
      </c>
      <c r="J102" s="67">
        <f t="shared" si="17"/>
        <v>0</v>
      </c>
      <c r="K102" s="67"/>
      <c r="L102" s="130"/>
      <c r="M102" s="67">
        <f t="shared" si="18"/>
        <v>0</v>
      </c>
      <c r="N102" s="130"/>
      <c r="O102" s="67">
        <f t="shared" si="19"/>
        <v>0</v>
      </c>
      <c r="P102" s="67">
        <f t="shared" si="20"/>
        <v>0</v>
      </c>
    </row>
    <row r="103" spans="1:16" ht="12.5">
      <c r="B103" t="str">
        <f t="shared" si="15"/>
        <v/>
      </c>
      <c r="C103" s="62">
        <f>IF(D94="","-",+C102+1)</f>
        <v>2021</v>
      </c>
      <c r="D103" s="63">
        <f>IF(F102+SUM(E$100:E102)=D$93,F102,D$93-SUM(E$100:E102))</f>
        <v>0</v>
      </c>
      <c r="E103" s="69">
        <f t="shared" si="21"/>
        <v>0</v>
      </c>
      <c r="F103" s="68">
        <f t="shared" si="22"/>
        <v>0</v>
      </c>
      <c r="G103" s="68">
        <f t="shared" si="23"/>
        <v>0</v>
      </c>
      <c r="H103" s="128">
        <f t="shared" si="16"/>
        <v>0</v>
      </c>
      <c r="I103" s="137">
        <f t="shared" si="24"/>
        <v>0</v>
      </c>
      <c r="J103" s="67">
        <f t="shared" si="17"/>
        <v>0</v>
      </c>
      <c r="K103" s="67"/>
      <c r="L103" s="130"/>
      <c r="M103" s="67">
        <f t="shared" si="18"/>
        <v>0</v>
      </c>
      <c r="N103" s="130"/>
      <c r="O103" s="67">
        <f t="shared" si="19"/>
        <v>0</v>
      </c>
      <c r="P103" s="67">
        <f t="shared" si="20"/>
        <v>0</v>
      </c>
    </row>
    <row r="104" spans="1:16" ht="12.5">
      <c r="B104" t="str">
        <f t="shared" si="15"/>
        <v/>
      </c>
      <c r="C104" s="62">
        <f>IF(D94="","-",+C103+1)</f>
        <v>2022</v>
      </c>
      <c r="D104" s="63">
        <f>IF(F103+SUM(E$100:E103)=D$93,F103,D$93-SUM(E$100:E103))</f>
        <v>0</v>
      </c>
      <c r="E104" s="69">
        <f t="shared" si="21"/>
        <v>0</v>
      </c>
      <c r="F104" s="68">
        <f t="shared" si="22"/>
        <v>0</v>
      </c>
      <c r="G104" s="68">
        <f t="shared" si="23"/>
        <v>0</v>
      </c>
      <c r="H104" s="128">
        <f t="shared" si="16"/>
        <v>0</v>
      </c>
      <c r="I104" s="137">
        <f t="shared" si="24"/>
        <v>0</v>
      </c>
      <c r="J104" s="67">
        <f t="shared" si="17"/>
        <v>0</v>
      </c>
      <c r="K104" s="67"/>
      <c r="L104" s="130"/>
      <c r="M104" s="67">
        <f t="shared" si="18"/>
        <v>0</v>
      </c>
      <c r="N104" s="130"/>
      <c r="O104" s="67">
        <f t="shared" si="19"/>
        <v>0</v>
      </c>
      <c r="P104" s="67">
        <f t="shared" si="20"/>
        <v>0</v>
      </c>
    </row>
    <row r="105" spans="1:16" ht="12.5">
      <c r="B105" t="str">
        <f t="shared" si="15"/>
        <v/>
      </c>
      <c r="C105" s="62">
        <f>IF(D94="","-",+C104+1)</f>
        <v>2023</v>
      </c>
      <c r="D105" s="63">
        <f>IF(F104+SUM(E$100:E104)=D$93,F104,D$93-SUM(E$100:E104))</f>
        <v>0</v>
      </c>
      <c r="E105" s="69">
        <f t="shared" si="21"/>
        <v>0</v>
      </c>
      <c r="F105" s="68">
        <f t="shared" si="22"/>
        <v>0</v>
      </c>
      <c r="G105" s="68">
        <f t="shared" si="23"/>
        <v>0</v>
      </c>
      <c r="H105" s="128">
        <f t="shared" si="16"/>
        <v>0</v>
      </c>
      <c r="I105" s="137">
        <f t="shared" si="24"/>
        <v>0</v>
      </c>
      <c r="J105" s="67">
        <f t="shared" si="17"/>
        <v>0</v>
      </c>
      <c r="K105" s="67"/>
      <c r="L105" s="130"/>
      <c r="M105" s="67">
        <f t="shared" si="18"/>
        <v>0</v>
      </c>
      <c r="N105" s="130"/>
      <c r="O105" s="67">
        <f t="shared" si="19"/>
        <v>0</v>
      </c>
      <c r="P105" s="67">
        <f t="shared" si="20"/>
        <v>0</v>
      </c>
    </row>
    <row r="106" spans="1:16" ht="12.5">
      <c r="B106" t="str">
        <f t="shared" si="15"/>
        <v/>
      </c>
      <c r="C106" s="62">
        <f>IF(D94="","-",+C105+1)</f>
        <v>2024</v>
      </c>
      <c r="D106" s="63">
        <f>IF(F105+SUM(E$100:E105)=D$93,F105,D$93-SUM(E$100:E105))</f>
        <v>0</v>
      </c>
      <c r="E106" s="69">
        <f t="shared" si="21"/>
        <v>0</v>
      </c>
      <c r="F106" s="68">
        <f t="shared" si="22"/>
        <v>0</v>
      </c>
      <c r="G106" s="68">
        <f t="shared" si="23"/>
        <v>0</v>
      </c>
      <c r="H106" s="128">
        <f t="shared" si="16"/>
        <v>0</v>
      </c>
      <c r="I106" s="137">
        <f t="shared" si="24"/>
        <v>0</v>
      </c>
      <c r="J106" s="67">
        <f t="shared" si="17"/>
        <v>0</v>
      </c>
      <c r="K106" s="67"/>
      <c r="L106" s="130"/>
      <c r="M106" s="67">
        <f t="shared" si="18"/>
        <v>0</v>
      </c>
      <c r="N106" s="130"/>
      <c r="O106" s="67">
        <f t="shared" si="19"/>
        <v>0</v>
      </c>
      <c r="P106" s="67">
        <f t="shared" si="20"/>
        <v>0</v>
      </c>
    </row>
    <row r="107" spans="1:16" ht="12.5">
      <c r="B107" t="str">
        <f t="shared" si="15"/>
        <v/>
      </c>
      <c r="C107" s="62">
        <f>IF(D94="","-",+C106+1)</f>
        <v>2025</v>
      </c>
      <c r="D107" s="63">
        <f>IF(F106+SUM(E$100:E106)=D$93,F106,D$93-SUM(E$100:E106))</f>
        <v>0</v>
      </c>
      <c r="E107" s="69">
        <f t="shared" si="21"/>
        <v>0</v>
      </c>
      <c r="F107" s="68">
        <f t="shared" si="22"/>
        <v>0</v>
      </c>
      <c r="G107" s="68">
        <f t="shared" si="23"/>
        <v>0</v>
      </c>
      <c r="H107" s="128">
        <f t="shared" si="16"/>
        <v>0</v>
      </c>
      <c r="I107" s="137">
        <f t="shared" si="24"/>
        <v>0</v>
      </c>
      <c r="J107" s="67">
        <f t="shared" si="17"/>
        <v>0</v>
      </c>
      <c r="K107" s="67"/>
      <c r="L107" s="130"/>
      <c r="M107" s="67">
        <f t="shared" si="18"/>
        <v>0</v>
      </c>
      <c r="N107" s="130"/>
      <c r="O107" s="67">
        <f t="shared" si="19"/>
        <v>0</v>
      </c>
      <c r="P107" s="67">
        <f t="shared" si="20"/>
        <v>0</v>
      </c>
    </row>
    <row r="108" spans="1:16" ht="12.5">
      <c r="B108" t="str">
        <f t="shared" si="15"/>
        <v/>
      </c>
      <c r="C108" s="62">
        <f>IF(D94="","-",+C107+1)</f>
        <v>2026</v>
      </c>
      <c r="D108" s="63">
        <f>IF(F107+SUM(E$100:E107)=D$93,F107,D$93-SUM(E$100:E107))</f>
        <v>0</v>
      </c>
      <c r="E108" s="69">
        <f t="shared" si="21"/>
        <v>0</v>
      </c>
      <c r="F108" s="68">
        <f t="shared" si="22"/>
        <v>0</v>
      </c>
      <c r="G108" s="68">
        <f t="shared" si="23"/>
        <v>0</v>
      </c>
      <c r="H108" s="128">
        <f t="shared" si="16"/>
        <v>0</v>
      </c>
      <c r="I108" s="137">
        <f t="shared" si="24"/>
        <v>0</v>
      </c>
      <c r="J108" s="67">
        <f t="shared" si="17"/>
        <v>0</v>
      </c>
      <c r="K108" s="67"/>
      <c r="L108" s="130"/>
      <c r="M108" s="67">
        <f t="shared" si="18"/>
        <v>0</v>
      </c>
      <c r="N108" s="130"/>
      <c r="O108" s="67">
        <f t="shared" si="19"/>
        <v>0</v>
      </c>
      <c r="P108" s="67">
        <f t="shared" si="20"/>
        <v>0</v>
      </c>
    </row>
    <row r="109" spans="1:16" ht="12.5">
      <c r="B109" t="str">
        <f t="shared" si="15"/>
        <v/>
      </c>
      <c r="C109" s="62">
        <f>IF(D94="","-",+C108+1)</f>
        <v>2027</v>
      </c>
      <c r="D109" s="63">
        <f>IF(F108+SUM(E$100:E108)=D$93,F108,D$93-SUM(E$100:E108))</f>
        <v>0</v>
      </c>
      <c r="E109" s="69">
        <f t="shared" si="21"/>
        <v>0</v>
      </c>
      <c r="F109" s="68">
        <f t="shared" si="22"/>
        <v>0</v>
      </c>
      <c r="G109" s="68">
        <f t="shared" si="23"/>
        <v>0</v>
      </c>
      <c r="H109" s="128">
        <f t="shared" si="16"/>
        <v>0</v>
      </c>
      <c r="I109" s="137">
        <f t="shared" si="24"/>
        <v>0</v>
      </c>
      <c r="J109" s="67">
        <f t="shared" si="17"/>
        <v>0</v>
      </c>
      <c r="K109" s="67"/>
      <c r="L109" s="130"/>
      <c r="M109" s="67">
        <f t="shared" si="18"/>
        <v>0</v>
      </c>
      <c r="N109" s="130"/>
      <c r="O109" s="67">
        <f t="shared" si="19"/>
        <v>0</v>
      </c>
      <c r="P109" s="67">
        <f t="shared" si="20"/>
        <v>0</v>
      </c>
    </row>
    <row r="110" spans="1:16" ht="12.5">
      <c r="B110" t="str">
        <f t="shared" si="15"/>
        <v/>
      </c>
      <c r="C110" s="62">
        <f>IF(D94="","-",+C109+1)</f>
        <v>2028</v>
      </c>
      <c r="D110" s="63">
        <f>IF(F109+SUM(E$100:E109)=D$93,F109,D$93-SUM(E$100:E109))</f>
        <v>0</v>
      </c>
      <c r="E110" s="69">
        <f t="shared" si="21"/>
        <v>0</v>
      </c>
      <c r="F110" s="68">
        <f t="shared" si="22"/>
        <v>0</v>
      </c>
      <c r="G110" s="68">
        <f t="shared" si="23"/>
        <v>0</v>
      </c>
      <c r="H110" s="128">
        <f t="shared" si="16"/>
        <v>0</v>
      </c>
      <c r="I110" s="137">
        <f t="shared" si="24"/>
        <v>0</v>
      </c>
      <c r="J110" s="67">
        <f t="shared" si="17"/>
        <v>0</v>
      </c>
      <c r="K110" s="67"/>
      <c r="L110" s="130"/>
      <c r="M110" s="67">
        <f t="shared" si="18"/>
        <v>0</v>
      </c>
      <c r="N110" s="130"/>
      <c r="O110" s="67">
        <f t="shared" si="19"/>
        <v>0</v>
      </c>
      <c r="P110" s="67">
        <f t="shared" si="20"/>
        <v>0</v>
      </c>
    </row>
    <row r="111" spans="1:16" ht="12.5">
      <c r="B111" t="str">
        <f t="shared" si="15"/>
        <v/>
      </c>
      <c r="C111" s="62">
        <f>IF(D94="","-",+C110+1)</f>
        <v>2029</v>
      </c>
      <c r="D111" s="63">
        <f>IF(F110+SUM(E$100:E110)=D$93,F110,D$93-SUM(E$100:E110))</f>
        <v>0</v>
      </c>
      <c r="E111" s="69">
        <f t="shared" si="21"/>
        <v>0</v>
      </c>
      <c r="F111" s="68">
        <f t="shared" si="22"/>
        <v>0</v>
      </c>
      <c r="G111" s="68">
        <f t="shared" si="23"/>
        <v>0</v>
      </c>
      <c r="H111" s="128">
        <f t="shared" si="16"/>
        <v>0</v>
      </c>
      <c r="I111" s="137">
        <f t="shared" si="24"/>
        <v>0</v>
      </c>
      <c r="J111" s="67">
        <f t="shared" si="17"/>
        <v>0</v>
      </c>
      <c r="K111" s="67"/>
      <c r="L111" s="130"/>
      <c r="M111" s="67">
        <f t="shared" si="18"/>
        <v>0</v>
      </c>
      <c r="N111" s="130"/>
      <c r="O111" s="67">
        <f t="shared" si="19"/>
        <v>0</v>
      </c>
      <c r="P111" s="67">
        <f t="shared" si="20"/>
        <v>0</v>
      </c>
    </row>
    <row r="112" spans="1:16" ht="12.5">
      <c r="B112" t="str">
        <f t="shared" si="15"/>
        <v/>
      </c>
      <c r="C112" s="62">
        <f>IF(D94="","-",+C111+1)</f>
        <v>2030</v>
      </c>
      <c r="D112" s="63">
        <f>IF(F111+SUM(E$100:E111)=D$93,F111,D$93-SUM(E$100:E111))</f>
        <v>0</v>
      </c>
      <c r="E112" s="69">
        <f t="shared" si="21"/>
        <v>0</v>
      </c>
      <c r="F112" s="68">
        <f t="shared" si="22"/>
        <v>0</v>
      </c>
      <c r="G112" s="68">
        <f t="shared" si="23"/>
        <v>0</v>
      </c>
      <c r="H112" s="128">
        <f t="shared" si="16"/>
        <v>0</v>
      </c>
      <c r="I112" s="137">
        <f t="shared" si="24"/>
        <v>0</v>
      </c>
      <c r="J112" s="67">
        <f t="shared" si="17"/>
        <v>0</v>
      </c>
      <c r="K112" s="67"/>
      <c r="L112" s="130"/>
      <c r="M112" s="67">
        <f t="shared" si="18"/>
        <v>0</v>
      </c>
      <c r="N112" s="130"/>
      <c r="O112" s="67">
        <f t="shared" si="19"/>
        <v>0</v>
      </c>
      <c r="P112" s="67">
        <f t="shared" si="20"/>
        <v>0</v>
      </c>
    </row>
    <row r="113" spans="2:16" ht="12.5">
      <c r="B113" t="str">
        <f t="shared" si="15"/>
        <v/>
      </c>
      <c r="C113" s="62">
        <f>IF(D94="","-",+C112+1)</f>
        <v>2031</v>
      </c>
      <c r="D113" s="63">
        <f>IF(F112+SUM(E$100:E112)=D$93,F112,D$93-SUM(E$100:E112))</f>
        <v>0</v>
      </c>
      <c r="E113" s="69">
        <f t="shared" si="21"/>
        <v>0</v>
      </c>
      <c r="F113" s="68">
        <f t="shared" si="22"/>
        <v>0</v>
      </c>
      <c r="G113" s="68">
        <f t="shared" si="23"/>
        <v>0</v>
      </c>
      <c r="H113" s="128">
        <f t="shared" si="16"/>
        <v>0</v>
      </c>
      <c r="I113" s="137">
        <f t="shared" si="24"/>
        <v>0</v>
      </c>
      <c r="J113" s="67">
        <f t="shared" si="17"/>
        <v>0</v>
      </c>
      <c r="K113" s="67"/>
      <c r="L113" s="130"/>
      <c r="M113" s="67">
        <f t="shared" si="18"/>
        <v>0</v>
      </c>
      <c r="N113" s="130"/>
      <c r="O113" s="67">
        <f t="shared" si="19"/>
        <v>0</v>
      </c>
      <c r="P113" s="67">
        <f t="shared" si="20"/>
        <v>0</v>
      </c>
    </row>
    <row r="114" spans="2:16" ht="12.5">
      <c r="B114" t="str">
        <f t="shared" si="15"/>
        <v/>
      </c>
      <c r="C114" s="62">
        <f>IF(D94="","-",+C113+1)</f>
        <v>2032</v>
      </c>
      <c r="D114" s="63">
        <f>IF(F113+SUM(E$100:E113)=D$93,F113,D$93-SUM(E$100:E113))</f>
        <v>0</v>
      </c>
      <c r="E114" s="69">
        <f t="shared" si="21"/>
        <v>0</v>
      </c>
      <c r="F114" s="68">
        <f t="shared" si="22"/>
        <v>0</v>
      </c>
      <c r="G114" s="68">
        <f t="shared" si="23"/>
        <v>0</v>
      </c>
      <c r="H114" s="128">
        <f t="shared" si="16"/>
        <v>0</v>
      </c>
      <c r="I114" s="137">
        <f t="shared" si="24"/>
        <v>0</v>
      </c>
      <c r="J114" s="67">
        <f t="shared" si="17"/>
        <v>0</v>
      </c>
      <c r="K114" s="67"/>
      <c r="L114" s="130"/>
      <c r="M114" s="67">
        <f t="shared" si="18"/>
        <v>0</v>
      </c>
      <c r="N114" s="130"/>
      <c r="O114" s="67">
        <f t="shared" si="19"/>
        <v>0</v>
      </c>
      <c r="P114" s="67">
        <f t="shared" si="20"/>
        <v>0</v>
      </c>
    </row>
    <row r="115" spans="2:16" ht="12.5">
      <c r="B115" t="str">
        <f t="shared" si="15"/>
        <v/>
      </c>
      <c r="C115" s="62">
        <f>IF(D94="","-",+C114+1)</f>
        <v>2033</v>
      </c>
      <c r="D115" s="63">
        <f>IF(F114+SUM(E$100:E114)=D$93,F114,D$93-SUM(E$100:E114))</f>
        <v>0</v>
      </c>
      <c r="E115" s="69">
        <f t="shared" si="21"/>
        <v>0</v>
      </c>
      <c r="F115" s="68">
        <f t="shared" si="22"/>
        <v>0</v>
      </c>
      <c r="G115" s="68">
        <f t="shared" si="23"/>
        <v>0</v>
      </c>
      <c r="H115" s="128">
        <f t="shared" si="16"/>
        <v>0</v>
      </c>
      <c r="I115" s="137">
        <f t="shared" si="24"/>
        <v>0</v>
      </c>
      <c r="J115" s="67">
        <f t="shared" si="17"/>
        <v>0</v>
      </c>
      <c r="K115" s="67"/>
      <c r="L115" s="130"/>
      <c r="M115" s="67">
        <f t="shared" si="18"/>
        <v>0</v>
      </c>
      <c r="N115" s="130"/>
      <c r="O115" s="67">
        <f t="shared" si="19"/>
        <v>0</v>
      </c>
      <c r="P115" s="67">
        <f t="shared" si="20"/>
        <v>0</v>
      </c>
    </row>
    <row r="116" spans="2:16" ht="12.5">
      <c r="B116" t="str">
        <f t="shared" si="15"/>
        <v/>
      </c>
      <c r="C116" s="62">
        <f>IF(D94="","-",+C115+1)</f>
        <v>2034</v>
      </c>
      <c r="D116" s="63">
        <f>IF(F115+SUM(E$100:E115)=D$93,F115,D$93-SUM(E$100:E115))</f>
        <v>0</v>
      </c>
      <c r="E116" s="69">
        <f t="shared" si="21"/>
        <v>0</v>
      </c>
      <c r="F116" s="68">
        <f t="shared" si="22"/>
        <v>0</v>
      </c>
      <c r="G116" s="68">
        <f t="shared" si="23"/>
        <v>0</v>
      </c>
      <c r="H116" s="128">
        <f t="shared" si="16"/>
        <v>0</v>
      </c>
      <c r="I116" s="137">
        <f t="shared" si="24"/>
        <v>0</v>
      </c>
      <c r="J116" s="67">
        <f t="shared" si="17"/>
        <v>0</v>
      </c>
      <c r="K116" s="67"/>
      <c r="L116" s="130"/>
      <c r="M116" s="67">
        <f t="shared" si="18"/>
        <v>0</v>
      </c>
      <c r="N116" s="130"/>
      <c r="O116" s="67">
        <f t="shared" si="19"/>
        <v>0</v>
      </c>
      <c r="P116" s="67">
        <f t="shared" si="20"/>
        <v>0</v>
      </c>
    </row>
    <row r="117" spans="2:16" ht="12.5">
      <c r="B117" t="str">
        <f t="shared" si="15"/>
        <v/>
      </c>
      <c r="C117" s="62">
        <f>IF(D94="","-",+C116+1)</f>
        <v>2035</v>
      </c>
      <c r="D117" s="63">
        <f>IF(F116+SUM(E$100:E116)=D$93,F116,D$93-SUM(E$100:E116))</f>
        <v>0</v>
      </c>
      <c r="E117" s="69">
        <f t="shared" si="21"/>
        <v>0</v>
      </c>
      <c r="F117" s="68">
        <f t="shared" si="22"/>
        <v>0</v>
      </c>
      <c r="G117" s="68">
        <f t="shared" si="23"/>
        <v>0</v>
      </c>
      <c r="H117" s="128">
        <f t="shared" si="16"/>
        <v>0</v>
      </c>
      <c r="I117" s="137">
        <f t="shared" si="24"/>
        <v>0</v>
      </c>
      <c r="J117" s="67">
        <f t="shared" si="17"/>
        <v>0</v>
      </c>
      <c r="K117" s="67"/>
      <c r="L117" s="130"/>
      <c r="M117" s="67">
        <f t="shared" si="18"/>
        <v>0</v>
      </c>
      <c r="N117" s="130"/>
      <c r="O117" s="67">
        <f t="shared" si="19"/>
        <v>0</v>
      </c>
      <c r="P117" s="67">
        <f t="shared" si="20"/>
        <v>0</v>
      </c>
    </row>
    <row r="118" spans="2:16" ht="12.5">
      <c r="B118" t="str">
        <f t="shared" si="15"/>
        <v/>
      </c>
      <c r="C118" s="62">
        <f>IF(D94="","-",+C117+1)</f>
        <v>2036</v>
      </c>
      <c r="D118" s="63">
        <f>IF(F117+SUM(E$100:E117)=D$93,F117,D$93-SUM(E$100:E117))</f>
        <v>0</v>
      </c>
      <c r="E118" s="69">
        <f t="shared" si="21"/>
        <v>0</v>
      </c>
      <c r="F118" s="68">
        <f t="shared" si="22"/>
        <v>0</v>
      </c>
      <c r="G118" s="68">
        <f t="shared" si="23"/>
        <v>0</v>
      </c>
      <c r="H118" s="128">
        <f t="shared" si="16"/>
        <v>0</v>
      </c>
      <c r="I118" s="137">
        <f t="shared" si="24"/>
        <v>0</v>
      </c>
      <c r="J118" s="67">
        <f t="shared" si="17"/>
        <v>0</v>
      </c>
      <c r="K118" s="67"/>
      <c r="L118" s="130"/>
      <c r="M118" s="67">
        <f t="shared" si="18"/>
        <v>0</v>
      </c>
      <c r="N118" s="130"/>
      <c r="O118" s="67">
        <f t="shared" si="19"/>
        <v>0</v>
      </c>
      <c r="P118" s="67">
        <f t="shared" si="20"/>
        <v>0</v>
      </c>
    </row>
    <row r="119" spans="2:16" ht="12.5">
      <c r="B119" t="str">
        <f t="shared" si="15"/>
        <v/>
      </c>
      <c r="C119" s="62">
        <f>IF(D94="","-",+C118+1)</f>
        <v>2037</v>
      </c>
      <c r="D119" s="63">
        <f>IF(F118+SUM(E$100:E118)=D$93,F118,D$93-SUM(E$100:E118))</f>
        <v>0</v>
      </c>
      <c r="E119" s="69">
        <f t="shared" si="21"/>
        <v>0</v>
      </c>
      <c r="F119" s="68">
        <f t="shared" si="22"/>
        <v>0</v>
      </c>
      <c r="G119" s="68">
        <f t="shared" si="23"/>
        <v>0</v>
      </c>
      <c r="H119" s="128">
        <f t="shared" si="16"/>
        <v>0</v>
      </c>
      <c r="I119" s="137">
        <f t="shared" si="24"/>
        <v>0</v>
      </c>
      <c r="J119" s="67">
        <f t="shared" si="17"/>
        <v>0</v>
      </c>
      <c r="K119" s="67"/>
      <c r="L119" s="130"/>
      <c r="M119" s="67">
        <f t="shared" si="18"/>
        <v>0</v>
      </c>
      <c r="N119" s="130"/>
      <c r="O119" s="67">
        <f t="shared" si="19"/>
        <v>0</v>
      </c>
      <c r="P119" s="67">
        <f t="shared" si="20"/>
        <v>0</v>
      </c>
    </row>
    <row r="120" spans="2:16" ht="12.5">
      <c r="B120" t="str">
        <f t="shared" si="15"/>
        <v/>
      </c>
      <c r="C120" s="62">
        <f>IF(D94="","-",+C119+1)</f>
        <v>2038</v>
      </c>
      <c r="D120" s="63">
        <f>IF(F119+SUM(E$100:E119)=D$93,F119,D$93-SUM(E$100:E119))</f>
        <v>0</v>
      </c>
      <c r="E120" s="69">
        <f t="shared" si="21"/>
        <v>0</v>
      </c>
      <c r="F120" s="68">
        <f t="shared" si="22"/>
        <v>0</v>
      </c>
      <c r="G120" s="68">
        <f t="shared" si="23"/>
        <v>0</v>
      </c>
      <c r="H120" s="128">
        <f t="shared" si="16"/>
        <v>0</v>
      </c>
      <c r="I120" s="137">
        <f t="shared" si="24"/>
        <v>0</v>
      </c>
      <c r="J120" s="67">
        <f t="shared" si="17"/>
        <v>0</v>
      </c>
      <c r="K120" s="67"/>
      <c r="L120" s="130"/>
      <c r="M120" s="67">
        <f t="shared" si="18"/>
        <v>0</v>
      </c>
      <c r="N120" s="130"/>
      <c r="O120" s="67">
        <f t="shared" si="19"/>
        <v>0</v>
      </c>
      <c r="P120" s="67">
        <f t="shared" si="20"/>
        <v>0</v>
      </c>
    </row>
    <row r="121" spans="2:16" ht="12.5">
      <c r="B121" t="str">
        <f t="shared" si="15"/>
        <v/>
      </c>
      <c r="C121" s="62">
        <f>IF(D94="","-",+C120+1)</f>
        <v>2039</v>
      </c>
      <c r="D121" s="63">
        <f>IF(F120+SUM(E$100:E120)=D$93,F120,D$93-SUM(E$100:E120))</f>
        <v>0</v>
      </c>
      <c r="E121" s="69">
        <f t="shared" si="21"/>
        <v>0</v>
      </c>
      <c r="F121" s="68">
        <f t="shared" si="22"/>
        <v>0</v>
      </c>
      <c r="G121" s="68">
        <f t="shared" si="23"/>
        <v>0</v>
      </c>
      <c r="H121" s="128">
        <f t="shared" si="16"/>
        <v>0</v>
      </c>
      <c r="I121" s="137">
        <f t="shared" si="24"/>
        <v>0</v>
      </c>
      <c r="J121" s="67">
        <f t="shared" si="17"/>
        <v>0</v>
      </c>
      <c r="K121" s="67"/>
      <c r="L121" s="130"/>
      <c r="M121" s="67">
        <f t="shared" si="18"/>
        <v>0</v>
      </c>
      <c r="N121" s="130"/>
      <c r="O121" s="67">
        <f t="shared" si="19"/>
        <v>0</v>
      </c>
      <c r="P121" s="67">
        <f t="shared" si="20"/>
        <v>0</v>
      </c>
    </row>
    <row r="122" spans="2:16" ht="12.5">
      <c r="B122" t="str">
        <f t="shared" si="15"/>
        <v/>
      </c>
      <c r="C122" s="62">
        <f>IF(D94="","-",+C121+1)</f>
        <v>2040</v>
      </c>
      <c r="D122" s="63">
        <f>IF(F121+SUM(E$100:E121)=D$93,F121,D$93-SUM(E$100:E121))</f>
        <v>0</v>
      </c>
      <c r="E122" s="69">
        <f t="shared" si="21"/>
        <v>0</v>
      </c>
      <c r="F122" s="68">
        <f t="shared" si="22"/>
        <v>0</v>
      </c>
      <c r="G122" s="68">
        <f t="shared" si="23"/>
        <v>0</v>
      </c>
      <c r="H122" s="128">
        <f t="shared" si="16"/>
        <v>0</v>
      </c>
      <c r="I122" s="137">
        <f t="shared" si="24"/>
        <v>0</v>
      </c>
      <c r="J122" s="67">
        <f t="shared" si="17"/>
        <v>0</v>
      </c>
      <c r="K122" s="67"/>
      <c r="L122" s="130"/>
      <c r="M122" s="67">
        <f t="shared" si="18"/>
        <v>0</v>
      </c>
      <c r="N122" s="130"/>
      <c r="O122" s="67">
        <f t="shared" si="19"/>
        <v>0</v>
      </c>
      <c r="P122" s="67">
        <f t="shared" si="20"/>
        <v>0</v>
      </c>
    </row>
    <row r="123" spans="2:16" ht="12.5">
      <c r="B123" t="str">
        <f t="shared" si="15"/>
        <v/>
      </c>
      <c r="C123" s="62">
        <f>IF(D94="","-",+C122+1)</f>
        <v>2041</v>
      </c>
      <c r="D123" s="63">
        <f>IF(F122+SUM(E$100:E122)=D$93,F122,D$93-SUM(E$100:E122))</f>
        <v>0</v>
      </c>
      <c r="E123" s="69">
        <f t="shared" si="21"/>
        <v>0</v>
      </c>
      <c r="F123" s="68">
        <f t="shared" si="22"/>
        <v>0</v>
      </c>
      <c r="G123" s="68">
        <f t="shared" si="23"/>
        <v>0</v>
      </c>
      <c r="H123" s="128">
        <f t="shared" si="16"/>
        <v>0</v>
      </c>
      <c r="I123" s="137">
        <f t="shared" si="24"/>
        <v>0</v>
      </c>
      <c r="J123" s="67">
        <f t="shared" si="17"/>
        <v>0</v>
      </c>
      <c r="K123" s="67"/>
      <c r="L123" s="130"/>
      <c r="M123" s="67">
        <f t="shared" si="18"/>
        <v>0</v>
      </c>
      <c r="N123" s="130"/>
      <c r="O123" s="67">
        <f t="shared" si="19"/>
        <v>0</v>
      </c>
      <c r="P123" s="67">
        <f t="shared" si="20"/>
        <v>0</v>
      </c>
    </row>
    <row r="124" spans="2:16" ht="12.5">
      <c r="B124" t="str">
        <f t="shared" si="15"/>
        <v/>
      </c>
      <c r="C124" s="62">
        <f>IF(D94="","-",+C123+1)</f>
        <v>2042</v>
      </c>
      <c r="D124" s="63">
        <f>IF(F123+SUM(E$100:E123)=D$93,F123,D$93-SUM(E$100:E123))</f>
        <v>0</v>
      </c>
      <c r="E124" s="69">
        <f t="shared" si="21"/>
        <v>0</v>
      </c>
      <c r="F124" s="68">
        <f t="shared" si="22"/>
        <v>0</v>
      </c>
      <c r="G124" s="68">
        <f t="shared" si="23"/>
        <v>0</v>
      </c>
      <c r="H124" s="128">
        <f t="shared" si="16"/>
        <v>0</v>
      </c>
      <c r="I124" s="137">
        <f t="shared" si="24"/>
        <v>0</v>
      </c>
      <c r="J124" s="67">
        <f t="shared" si="17"/>
        <v>0</v>
      </c>
      <c r="K124" s="67"/>
      <c r="L124" s="130"/>
      <c r="M124" s="67">
        <f t="shared" si="18"/>
        <v>0</v>
      </c>
      <c r="N124" s="130"/>
      <c r="O124" s="67">
        <f t="shared" si="19"/>
        <v>0</v>
      </c>
      <c r="P124" s="67">
        <f t="shared" si="20"/>
        <v>0</v>
      </c>
    </row>
    <row r="125" spans="2:16" ht="12.5">
      <c r="B125" t="str">
        <f t="shared" si="15"/>
        <v/>
      </c>
      <c r="C125" s="62">
        <f>IF(D94="","-",+C124+1)</f>
        <v>2043</v>
      </c>
      <c r="D125" s="63">
        <f>IF(F124+SUM(E$100:E124)=D$93,F124,D$93-SUM(E$100:E124))</f>
        <v>0</v>
      </c>
      <c r="E125" s="69">
        <f t="shared" si="21"/>
        <v>0</v>
      </c>
      <c r="F125" s="68">
        <f t="shared" si="22"/>
        <v>0</v>
      </c>
      <c r="G125" s="68">
        <f t="shared" si="23"/>
        <v>0</v>
      </c>
      <c r="H125" s="128">
        <f t="shared" si="16"/>
        <v>0</v>
      </c>
      <c r="I125" s="137">
        <f t="shared" si="24"/>
        <v>0</v>
      </c>
      <c r="J125" s="67">
        <f t="shared" si="17"/>
        <v>0</v>
      </c>
      <c r="K125" s="67"/>
      <c r="L125" s="130"/>
      <c r="M125" s="67">
        <f t="shared" si="18"/>
        <v>0</v>
      </c>
      <c r="N125" s="130"/>
      <c r="O125" s="67">
        <f t="shared" si="19"/>
        <v>0</v>
      </c>
      <c r="P125" s="67">
        <f t="shared" si="20"/>
        <v>0</v>
      </c>
    </row>
    <row r="126" spans="2:16" ht="12.5">
      <c r="B126" t="str">
        <f t="shared" si="15"/>
        <v/>
      </c>
      <c r="C126" s="62">
        <f>IF(D94="","-",+C125+1)</f>
        <v>2044</v>
      </c>
      <c r="D126" s="63">
        <f>IF(F125+SUM(E$100:E125)=D$93,F125,D$93-SUM(E$100:E125))</f>
        <v>0</v>
      </c>
      <c r="E126" s="69">
        <f t="shared" si="21"/>
        <v>0</v>
      </c>
      <c r="F126" s="68">
        <f t="shared" si="22"/>
        <v>0</v>
      </c>
      <c r="G126" s="68">
        <f t="shared" si="23"/>
        <v>0</v>
      </c>
      <c r="H126" s="128">
        <f t="shared" si="16"/>
        <v>0</v>
      </c>
      <c r="I126" s="137">
        <f t="shared" si="24"/>
        <v>0</v>
      </c>
      <c r="J126" s="67">
        <f t="shared" si="17"/>
        <v>0</v>
      </c>
      <c r="K126" s="67"/>
      <c r="L126" s="130"/>
      <c r="M126" s="67">
        <f t="shared" si="18"/>
        <v>0</v>
      </c>
      <c r="N126" s="130"/>
      <c r="O126" s="67">
        <f t="shared" si="19"/>
        <v>0</v>
      </c>
      <c r="P126" s="67">
        <f t="shared" si="20"/>
        <v>0</v>
      </c>
    </row>
    <row r="127" spans="2:16" ht="12.5">
      <c r="B127" t="str">
        <f t="shared" si="15"/>
        <v/>
      </c>
      <c r="C127" s="62">
        <f>IF(D94="","-",+C126+1)</f>
        <v>2045</v>
      </c>
      <c r="D127" s="63">
        <f>IF(F126+SUM(E$100:E126)=D$93,F126,D$93-SUM(E$100:E126))</f>
        <v>0</v>
      </c>
      <c r="E127" s="69">
        <f t="shared" si="21"/>
        <v>0</v>
      </c>
      <c r="F127" s="68">
        <f t="shared" si="22"/>
        <v>0</v>
      </c>
      <c r="G127" s="68">
        <f t="shared" si="23"/>
        <v>0</v>
      </c>
      <c r="H127" s="128">
        <f t="shared" si="16"/>
        <v>0</v>
      </c>
      <c r="I127" s="137">
        <f t="shared" si="24"/>
        <v>0</v>
      </c>
      <c r="J127" s="67">
        <f t="shared" si="17"/>
        <v>0</v>
      </c>
      <c r="K127" s="67"/>
      <c r="L127" s="130"/>
      <c r="M127" s="67">
        <f t="shared" si="18"/>
        <v>0</v>
      </c>
      <c r="N127" s="130"/>
      <c r="O127" s="67">
        <f t="shared" si="19"/>
        <v>0</v>
      </c>
      <c r="P127" s="67">
        <f t="shared" si="20"/>
        <v>0</v>
      </c>
    </row>
    <row r="128" spans="2:16" ht="12.5">
      <c r="B128" t="str">
        <f t="shared" si="15"/>
        <v/>
      </c>
      <c r="C128" s="62">
        <f>IF(D94="","-",+C127+1)</f>
        <v>2046</v>
      </c>
      <c r="D128" s="63">
        <f>IF(F127+SUM(E$100:E127)=D$93,F127,D$93-SUM(E$100:E127))</f>
        <v>0</v>
      </c>
      <c r="E128" s="69">
        <f t="shared" si="21"/>
        <v>0</v>
      </c>
      <c r="F128" s="68">
        <f t="shared" si="22"/>
        <v>0</v>
      </c>
      <c r="G128" s="68">
        <f t="shared" si="23"/>
        <v>0</v>
      </c>
      <c r="H128" s="128">
        <f t="shared" si="16"/>
        <v>0</v>
      </c>
      <c r="I128" s="137">
        <f t="shared" si="24"/>
        <v>0</v>
      </c>
      <c r="J128" s="67">
        <f t="shared" si="17"/>
        <v>0</v>
      </c>
      <c r="K128" s="67"/>
      <c r="L128" s="130"/>
      <c r="M128" s="67">
        <f t="shared" si="18"/>
        <v>0</v>
      </c>
      <c r="N128" s="130"/>
      <c r="O128" s="67">
        <f t="shared" si="19"/>
        <v>0</v>
      </c>
      <c r="P128" s="67">
        <f t="shared" si="20"/>
        <v>0</v>
      </c>
    </row>
    <row r="129" spans="2:16" ht="12.5">
      <c r="B129" t="str">
        <f t="shared" si="15"/>
        <v/>
      </c>
      <c r="C129" s="62">
        <f>IF(D94="","-",+C128+1)</f>
        <v>2047</v>
      </c>
      <c r="D129" s="63">
        <f>IF(F128+SUM(E$100:E128)=D$93,F128,D$93-SUM(E$100:E128))</f>
        <v>0</v>
      </c>
      <c r="E129" s="69">
        <f t="shared" si="21"/>
        <v>0</v>
      </c>
      <c r="F129" s="68">
        <f t="shared" si="22"/>
        <v>0</v>
      </c>
      <c r="G129" s="68">
        <f t="shared" si="23"/>
        <v>0</v>
      </c>
      <c r="H129" s="128">
        <f t="shared" si="16"/>
        <v>0</v>
      </c>
      <c r="I129" s="137">
        <f t="shared" si="24"/>
        <v>0</v>
      </c>
      <c r="J129" s="67">
        <f t="shared" si="17"/>
        <v>0</v>
      </c>
      <c r="K129" s="67"/>
      <c r="L129" s="130"/>
      <c r="M129" s="67">
        <f t="shared" si="18"/>
        <v>0</v>
      </c>
      <c r="N129" s="130"/>
      <c r="O129" s="67">
        <f t="shared" si="19"/>
        <v>0</v>
      </c>
      <c r="P129" s="67">
        <f t="shared" si="20"/>
        <v>0</v>
      </c>
    </row>
    <row r="130" spans="2:16" ht="12.5">
      <c r="B130" t="str">
        <f t="shared" si="15"/>
        <v/>
      </c>
      <c r="C130" s="62">
        <f>IF(D94="","-",+C129+1)</f>
        <v>2048</v>
      </c>
      <c r="D130" s="63">
        <f>IF(F129+SUM(E$100:E129)=D$93,F129,D$93-SUM(E$100:E129))</f>
        <v>0</v>
      </c>
      <c r="E130" s="69">
        <f t="shared" si="21"/>
        <v>0</v>
      </c>
      <c r="F130" s="68">
        <f t="shared" si="22"/>
        <v>0</v>
      </c>
      <c r="G130" s="68">
        <f t="shared" si="23"/>
        <v>0</v>
      </c>
      <c r="H130" s="128">
        <f t="shared" si="16"/>
        <v>0</v>
      </c>
      <c r="I130" s="137">
        <f t="shared" si="24"/>
        <v>0</v>
      </c>
      <c r="J130" s="67">
        <f t="shared" si="17"/>
        <v>0</v>
      </c>
      <c r="K130" s="67"/>
      <c r="L130" s="130"/>
      <c r="M130" s="67">
        <f t="shared" si="18"/>
        <v>0</v>
      </c>
      <c r="N130" s="130"/>
      <c r="O130" s="67">
        <f t="shared" si="19"/>
        <v>0</v>
      </c>
      <c r="P130" s="67">
        <f t="shared" si="20"/>
        <v>0</v>
      </c>
    </row>
    <row r="131" spans="2:16" ht="12.5">
      <c r="B131" t="str">
        <f t="shared" si="15"/>
        <v/>
      </c>
      <c r="C131" s="62">
        <f>IF(D94="","-",+C130+1)</f>
        <v>2049</v>
      </c>
      <c r="D131" s="63">
        <f>IF(F130+SUM(E$100:E130)=D$93,F130,D$93-SUM(E$100:E130))</f>
        <v>0</v>
      </c>
      <c r="E131" s="69">
        <f t="shared" si="21"/>
        <v>0</v>
      </c>
      <c r="F131" s="68">
        <f t="shared" si="22"/>
        <v>0</v>
      </c>
      <c r="G131" s="68">
        <f t="shared" si="23"/>
        <v>0</v>
      </c>
      <c r="H131" s="128">
        <f t="shared" si="16"/>
        <v>0</v>
      </c>
      <c r="I131" s="137">
        <f t="shared" si="24"/>
        <v>0</v>
      </c>
      <c r="J131" s="67">
        <f t="shared" si="17"/>
        <v>0</v>
      </c>
      <c r="K131" s="67"/>
      <c r="L131" s="130"/>
      <c r="M131" s="67">
        <f t="shared" si="18"/>
        <v>0</v>
      </c>
      <c r="N131" s="130"/>
      <c r="O131" s="67">
        <f t="shared" si="19"/>
        <v>0</v>
      </c>
      <c r="P131" s="67">
        <f t="shared" si="20"/>
        <v>0</v>
      </c>
    </row>
    <row r="132" spans="2:16" ht="12.5">
      <c r="B132" t="str">
        <f t="shared" si="15"/>
        <v/>
      </c>
      <c r="C132" s="62">
        <f>IF(D94="","-",+C131+1)</f>
        <v>2050</v>
      </c>
      <c r="D132" s="63">
        <f>IF(F131+SUM(E$100:E131)=D$93,F131,D$93-SUM(E$100:E131))</f>
        <v>0</v>
      </c>
      <c r="E132" s="69">
        <f t="shared" si="21"/>
        <v>0</v>
      </c>
      <c r="F132" s="68">
        <f t="shared" ref="F132:F155" si="25">+D132-E132</f>
        <v>0</v>
      </c>
      <c r="G132" s="68">
        <f t="shared" ref="G132:G155" si="26">+(F132+D132)/2</f>
        <v>0</v>
      </c>
      <c r="H132" s="128">
        <f t="shared" si="16"/>
        <v>0</v>
      </c>
      <c r="I132" s="137">
        <f t="shared" si="24"/>
        <v>0</v>
      </c>
      <c r="J132" s="67">
        <f t="shared" ref="J132:J155" si="27">+I542-H542</f>
        <v>0</v>
      </c>
      <c r="K132" s="67"/>
      <c r="L132" s="130"/>
      <c r="M132" s="67">
        <f t="shared" ref="M132:M155" si="28">IF(L542&lt;&gt;0,+H542-L542,0)</f>
        <v>0</v>
      </c>
      <c r="N132" s="130"/>
      <c r="O132" s="67">
        <f t="shared" ref="O132:O155" si="29">IF(N542&lt;&gt;0,+I542-N542,0)</f>
        <v>0</v>
      </c>
      <c r="P132" s="67">
        <f t="shared" ref="P132:P155" si="30">+O542-M542</f>
        <v>0</v>
      </c>
    </row>
    <row r="133" spans="2:16" ht="12.5">
      <c r="B133" t="str">
        <f t="shared" si="15"/>
        <v/>
      </c>
      <c r="C133" s="62">
        <f>IF(D94="","-",+C132+1)</f>
        <v>2051</v>
      </c>
      <c r="D133" s="63">
        <f>IF(F132+SUM(E$100:E132)=D$93,F132,D$93-SUM(E$100:E132))</f>
        <v>0</v>
      </c>
      <c r="E133" s="69">
        <f t="shared" ref="E133:E155" si="31">IF(+J$97&lt;F132,J$97,D133)</f>
        <v>0</v>
      </c>
      <c r="F133" s="68">
        <f t="shared" si="25"/>
        <v>0</v>
      </c>
      <c r="G133" s="68">
        <f t="shared" si="26"/>
        <v>0</v>
      </c>
      <c r="H133" s="128">
        <f t="shared" si="16"/>
        <v>0</v>
      </c>
      <c r="I133" s="137">
        <f t="shared" si="24"/>
        <v>0</v>
      </c>
      <c r="J133" s="67">
        <f t="shared" si="27"/>
        <v>0</v>
      </c>
      <c r="K133" s="67"/>
      <c r="L133" s="130"/>
      <c r="M133" s="67">
        <f t="shared" si="28"/>
        <v>0</v>
      </c>
      <c r="N133" s="130"/>
      <c r="O133" s="67">
        <f t="shared" si="29"/>
        <v>0</v>
      </c>
      <c r="P133" s="67">
        <f t="shared" si="30"/>
        <v>0</v>
      </c>
    </row>
    <row r="134" spans="2:16" ht="12.5">
      <c r="B134" t="str">
        <f t="shared" si="15"/>
        <v/>
      </c>
      <c r="C134" s="62">
        <f>IF(D94="","-",+C133+1)</f>
        <v>2052</v>
      </c>
      <c r="D134" s="63">
        <f>IF(F133+SUM(E$100:E133)=D$93,F133,D$93-SUM(E$100:E133))</f>
        <v>0</v>
      </c>
      <c r="E134" s="69">
        <f t="shared" si="31"/>
        <v>0</v>
      </c>
      <c r="F134" s="68">
        <f t="shared" si="25"/>
        <v>0</v>
      </c>
      <c r="G134" s="68">
        <f t="shared" si="26"/>
        <v>0</v>
      </c>
      <c r="H134" s="128">
        <f t="shared" si="16"/>
        <v>0</v>
      </c>
      <c r="I134" s="137">
        <f t="shared" si="24"/>
        <v>0</v>
      </c>
      <c r="J134" s="67">
        <f t="shared" si="27"/>
        <v>0</v>
      </c>
      <c r="K134" s="67"/>
      <c r="L134" s="130"/>
      <c r="M134" s="67">
        <f t="shared" si="28"/>
        <v>0</v>
      </c>
      <c r="N134" s="130"/>
      <c r="O134" s="67">
        <f t="shared" si="29"/>
        <v>0</v>
      </c>
      <c r="P134" s="67">
        <f t="shared" si="30"/>
        <v>0</v>
      </c>
    </row>
    <row r="135" spans="2:16" ht="12.5">
      <c r="B135" t="str">
        <f t="shared" si="15"/>
        <v/>
      </c>
      <c r="C135" s="62">
        <f>IF(D94="","-",+C134+1)</f>
        <v>2053</v>
      </c>
      <c r="D135" s="63">
        <f>IF(F134+SUM(E$100:E134)=D$93,F134,D$93-SUM(E$100:E134))</f>
        <v>0</v>
      </c>
      <c r="E135" s="69">
        <f t="shared" si="31"/>
        <v>0</v>
      </c>
      <c r="F135" s="68">
        <f t="shared" si="25"/>
        <v>0</v>
      </c>
      <c r="G135" s="68">
        <f t="shared" si="26"/>
        <v>0</v>
      </c>
      <c r="H135" s="128">
        <f t="shared" si="16"/>
        <v>0</v>
      </c>
      <c r="I135" s="137">
        <f t="shared" si="24"/>
        <v>0</v>
      </c>
      <c r="J135" s="67">
        <f t="shared" si="27"/>
        <v>0</v>
      </c>
      <c r="K135" s="67"/>
      <c r="L135" s="130"/>
      <c r="M135" s="67">
        <f t="shared" si="28"/>
        <v>0</v>
      </c>
      <c r="N135" s="130"/>
      <c r="O135" s="67">
        <f t="shared" si="29"/>
        <v>0</v>
      </c>
      <c r="P135" s="67">
        <f t="shared" si="30"/>
        <v>0</v>
      </c>
    </row>
    <row r="136" spans="2:16" ht="12.5">
      <c r="B136" t="str">
        <f t="shared" si="15"/>
        <v/>
      </c>
      <c r="C136" s="62">
        <f>IF(D94="","-",+C135+1)</f>
        <v>2054</v>
      </c>
      <c r="D136" s="63">
        <f>IF(F135+SUM(E$100:E135)=D$93,F135,D$93-SUM(E$100:E135))</f>
        <v>0</v>
      </c>
      <c r="E136" s="69">
        <f t="shared" si="31"/>
        <v>0</v>
      </c>
      <c r="F136" s="68">
        <f t="shared" si="25"/>
        <v>0</v>
      </c>
      <c r="G136" s="68">
        <f t="shared" si="26"/>
        <v>0</v>
      </c>
      <c r="H136" s="128">
        <f t="shared" si="16"/>
        <v>0</v>
      </c>
      <c r="I136" s="137">
        <f t="shared" si="24"/>
        <v>0</v>
      </c>
      <c r="J136" s="67">
        <f t="shared" si="27"/>
        <v>0</v>
      </c>
      <c r="K136" s="67"/>
      <c r="L136" s="130"/>
      <c r="M136" s="67">
        <f t="shared" si="28"/>
        <v>0</v>
      </c>
      <c r="N136" s="130"/>
      <c r="O136" s="67">
        <f t="shared" si="29"/>
        <v>0</v>
      </c>
      <c r="P136" s="67">
        <f t="shared" si="30"/>
        <v>0</v>
      </c>
    </row>
    <row r="137" spans="2:16" ht="12.5">
      <c r="B137" t="str">
        <f t="shared" si="15"/>
        <v/>
      </c>
      <c r="C137" s="62">
        <f>IF(D94="","-",+C136+1)</f>
        <v>2055</v>
      </c>
      <c r="D137" s="63">
        <f>IF(F136+SUM(E$100:E136)=D$93,F136,D$93-SUM(E$100:E136))</f>
        <v>0</v>
      </c>
      <c r="E137" s="69">
        <f t="shared" si="31"/>
        <v>0</v>
      </c>
      <c r="F137" s="68">
        <f t="shared" si="25"/>
        <v>0</v>
      </c>
      <c r="G137" s="68">
        <f t="shared" si="26"/>
        <v>0</v>
      </c>
      <c r="H137" s="128">
        <f t="shared" si="16"/>
        <v>0</v>
      </c>
      <c r="I137" s="137">
        <f t="shared" si="24"/>
        <v>0</v>
      </c>
      <c r="J137" s="67">
        <f t="shared" si="27"/>
        <v>0</v>
      </c>
      <c r="K137" s="67"/>
      <c r="L137" s="130"/>
      <c r="M137" s="67">
        <f t="shared" si="28"/>
        <v>0</v>
      </c>
      <c r="N137" s="130"/>
      <c r="O137" s="67">
        <f t="shared" si="29"/>
        <v>0</v>
      </c>
      <c r="P137" s="67">
        <f t="shared" si="30"/>
        <v>0</v>
      </c>
    </row>
    <row r="138" spans="2:16" ht="12.5">
      <c r="B138" t="str">
        <f t="shared" si="15"/>
        <v/>
      </c>
      <c r="C138" s="62">
        <f>IF(D94="","-",+C137+1)</f>
        <v>2056</v>
      </c>
      <c r="D138" s="63">
        <f>IF(F137+SUM(E$100:E137)=D$93,F137,D$93-SUM(E$100:E137))</f>
        <v>0</v>
      </c>
      <c r="E138" s="69">
        <f t="shared" si="31"/>
        <v>0</v>
      </c>
      <c r="F138" s="68">
        <f t="shared" si="25"/>
        <v>0</v>
      </c>
      <c r="G138" s="68">
        <f t="shared" si="26"/>
        <v>0</v>
      </c>
      <c r="H138" s="128">
        <f t="shared" si="16"/>
        <v>0</v>
      </c>
      <c r="I138" s="137">
        <f t="shared" si="24"/>
        <v>0</v>
      </c>
      <c r="J138" s="67">
        <f t="shared" si="27"/>
        <v>0</v>
      </c>
      <c r="K138" s="67"/>
      <c r="L138" s="130"/>
      <c r="M138" s="67">
        <f t="shared" si="28"/>
        <v>0</v>
      </c>
      <c r="N138" s="130"/>
      <c r="O138" s="67">
        <f t="shared" si="29"/>
        <v>0</v>
      </c>
      <c r="P138" s="67">
        <f t="shared" si="30"/>
        <v>0</v>
      </c>
    </row>
    <row r="139" spans="2:16" ht="12.5">
      <c r="B139" t="str">
        <f t="shared" si="15"/>
        <v/>
      </c>
      <c r="C139" s="62">
        <f>IF(D94="","-",+C138+1)</f>
        <v>2057</v>
      </c>
      <c r="D139" s="63">
        <f>IF(F138+SUM(E$100:E138)=D$93,F138,D$93-SUM(E$100:E138))</f>
        <v>0</v>
      </c>
      <c r="E139" s="69">
        <f t="shared" si="31"/>
        <v>0</v>
      </c>
      <c r="F139" s="68">
        <f t="shared" si="25"/>
        <v>0</v>
      </c>
      <c r="G139" s="68">
        <f t="shared" si="26"/>
        <v>0</v>
      </c>
      <c r="H139" s="128">
        <f t="shared" si="16"/>
        <v>0</v>
      </c>
      <c r="I139" s="137">
        <f t="shared" si="24"/>
        <v>0</v>
      </c>
      <c r="J139" s="67">
        <f t="shared" si="27"/>
        <v>0</v>
      </c>
      <c r="K139" s="67"/>
      <c r="L139" s="130"/>
      <c r="M139" s="67">
        <f t="shared" si="28"/>
        <v>0</v>
      </c>
      <c r="N139" s="130"/>
      <c r="O139" s="67">
        <f t="shared" si="29"/>
        <v>0</v>
      </c>
      <c r="P139" s="67">
        <f t="shared" si="30"/>
        <v>0</v>
      </c>
    </row>
    <row r="140" spans="2:16" ht="12.5">
      <c r="B140" t="str">
        <f t="shared" si="15"/>
        <v/>
      </c>
      <c r="C140" s="62">
        <f>IF(D94="","-",+C139+1)</f>
        <v>2058</v>
      </c>
      <c r="D140" s="63">
        <f>IF(F139+SUM(E$100:E139)=D$93,F139,D$93-SUM(E$100:E139))</f>
        <v>0</v>
      </c>
      <c r="E140" s="69">
        <f t="shared" si="31"/>
        <v>0</v>
      </c>
      <c r="F140" s="68">
        <f t="shared" si="25"/>
        <v>0</v>
      </c>
      <c r="G140" s="68">
        <f t="shared" si="26"/>
        <v>0</v>
      </c>
      <c r="H140" s="128">
        <f t="shared" si="16"/>
        <v>0</v>
      </c>
      <c r="I140" s="137">
        <f t="shared" si="24"/>
        <v>0</v>
      </c>
      <c r="J140" s="67">
        <f t="shared" si="27"/>
        <v>0</v>
      </c>
      <c r="K140" s="67"/>
      <c r="L140" s="130"/>
      <c r="M140" s="67">
        <f t="shared" si="28"/>
        <v>0</v>
      </c>
      <c r="N140" s="130"/>
      <c r="O140" s="67">
        <f t="shared" si="29"/>
        <v>0</v>
      </c>
      <c r="P140" s="67">
        <f t="shared" si="30"/>
        <v>0</v>
      </c>
    </row>
    <row r="141" spans="2:16" ht="12.5">
      <c r="B141" t="str">
        <f t="shared" si="15"/>
        <v/>
      </c>
      <c r="C141" s="62">
        <f>IF(D94="","-",+C140+1)</f>
        <v>2059</v>
      </c>
      <c r="D141" s="63">
        <f>IF(F140+SUM(E$100:E140)=D$93,F140,D$93-SUM(E$100:E140))</f>
        <v>0</v>
      </c>
      <c r="E141" s="69">
        <f t="shared" si="31"/>
        <v>0</v>
      </c>
      <c r="F141" s="68">
        <f t="shared" si="25"/>
        <v>0</v>
      </c>
      <c r="G141" s="68">
        <f t="shared" si="26"/>
        <v>0</v>
      </c>
      <c r="H141" s="128">
        <f t="shared" si="16"/>
        <v>0</v>
      </c>
      <c r="I141" s="137">
        <f t="shared" si="24"/>
        <v>0</v>
      </c>
      <c r="J141" s="67">
        <f t="shared" si="27"/>
        <v>0</v>
      </c>
      <c r="K141" s="67"/>
      <c r="L141" s="130"/>
      <c r="M141" s="67">
        <f t="shared" si="28"/>
        <v>0</v>
      </c>
      <c r="N141" s="130"/>
      <c r="O141" s="67">
        <f t="shared" si="29"/>
        <v>0</v>
      </c>
      <c r="P141" s="67">
        <f t="shared" si="30"/>
        <v>0</v>
      </c>
    </row>
    <row r="142" spans="2:16" ht="12.5">
      <c r="B142" t="str">
        <f t="shared" si="15"/>
        <v/>
      </c>
      <c r="C142" s="62">
        <f>IF(D94="","-",+C141+1)</f>
        <v>2060</v>
      </c>
      <c r="D142" s="63">
        <f>IF(F141+SUM(E$100:E141)=D$93,F141,D$93-SUM(E$100:E141))</f>
        <v>0</v>
      </c>
      <c r="E142" s="69">
        <f t="shared" si="31"/>
        <v>0</v>
      </c>
      <c r="F142" s="68">
        <f t="shared" si="25"/>
        <v>0</v>
      </c>
      <c r="G142" s="68">
        <f t="shared" si="26"/>
        <v>0</v>
      </c>
      <c r="H142" s="128">
        <f t="shared" si="16"/>
        <v>0</v>
      </c>
      <c r="I142" s="137">
        <f t="shared" si="24"/>
        <v>0</v>
      </c>
      <c r="J142" s="67">
        <f t="shared" si="27"/>
        <v>0</v>
      </c>
      <c r="K142" s="67"/>
      <c r="L142" s="130"/>
      <c r="M142" s="67">
        <f t="shared" si="28"/>
        <v>0</v>
      </c>
      <c r="N142" s="130"/>
      <c r="O142" s="67">
        <f t="shared" si="29"/>
        <v>0</v>
      </c>
      <c r="P142" s="67">
        <f t="shared" si="30"/>
        <v>0</v>
      </c>
    </row>
    <row r="143" spans="2:16" ht="12.5">
      <c r="B143" t="str">
        <f t="shared" si="15"/>
        <v/>
      </c>
      <c r="C143" s="62">
        <f>IF(D94="","-",+C142+1)</f>
        <v>2061</v>
      </c>
      <c r="D143" s="63">
        <f>IF(F142+SUM(E$100:E142)=D$93,F142,D$93-SUM(E$100:E142))</f>
        <v>0</v>
      </c>
      <c r="E143" s="69">
        <f t="shared" si="31"/>
        <v>0</v>
      </c>
      <c r="F143" s="68">
        <f t="shared" si="25"/>
        <v>0</v>
      </c>
      <c r="G143" s="68">
        <f t="shared" si="26"/>
        <v>0</v>
      </c>
      <c r="H143" s="128">
        <f t="shared" si="16"/>
        <v>0</v>
      </c>
      <c r="I143" s="137">
        <f t="shared" si="24"/>
        <v>0</v>
      </c>
      <c r="J143" s="67">
        <f t="shared" si="27"/>
        <v>0</v>
      </c>
      <c r="K143" s="67"/>
      <c r="L143" s="130"/>
      <c r="M143" s="67">
        <f t="shared" si="28"/>
        <v>0</v>
      </c>
      <c r="N143" s="130"/>
      <c r="O143" s="67">
        <f t="shared" si="29"/>
        <v>0</v>
      </c>
      <c r="P143" s="67">
        <f t="shared" si="30"/>
        <v>0</v>
      </c>
    </row>
    <row r="144" spans="2:16" ht="12.5">
      <c r="B144" t="str">
        <f t="shared" si="15"/>
        <v/>
      </c>
      <c r="C144" s="62">
        <f>IF(D94="","-",+C143+1)</f>
        <v>2062</v>
      </c>
      <c r="D144" s="63">
        <f>IF(F143+SUM(E$100:E143)=D$93,F143,D$93-SUM(E$100:E143))</f>
        <v>0</v>
      </c>
      <c r="E144" s="69">
        <f t="shared" si="31"/>
        <v>0</v>
      </c>
      <c r="F144" s="68">
        <f t="shared" si="25"/>
        <v>0</v>
      </c>
      <c r="G144" s="68">
        <f t="shared" si="26"/>
        <v>0</v>
      </c>
      <c r="H144" s="128">
        <f t="shared" si="16"/>
        <v>0</v>
      </c>
      <c r="I144" s="137">
        <f t="shared" si="24"/>
        <v>0</v>
      </c>
      <c r="J144" s="67">
        <f t="shared" si="27"/>
        <v>0</v>
      </c>
      <c r="K144" s="67"/>
      <c r="L144" s="130"/>
      <c r="M144" s="67">
        <f t="shared" si="28"/>
        <v>0</v>
      </c>
      <c r="N144" s="130"/>
      <c r="O144" s="67">
        <f t="shared" si="29"/>
        <v>0</v>
      </c>
      <c r="P144" s="67">
        <f t="shared" si="30"/>
        <v>0</v>
      </c>
    </row>
    <row r="145" spans="2:16" ht="12.5">
      <c r="B145" t="str">
        <f t="shared" si="15"/>
        <v/>
      </c>
      <c r="C145" s="62">
        <f>IF(D94="","-",+C144+1)</f>
        <v>2063</v>
      </c>
      <c r="D145" s="63">
        <f>IF(F144+SUM(E$100:E144)=D$93,F144,D$93-SUM(E$100:E144))</f>
        <v>0</v>
      </c>
      <c r="E145" s="69">
        <f t="shared" si="31"/>
        <v>0</v>
      </c>
      <c r="F145" s="68">
        <f t="shared" si="25"/>
        <v>0</v>
      </c>
      <c r="G145" s="68">
        <f t="shared" si="26"/>
        <v>0</v>
      </c>
      <c r="H145" s="128">
        <f t="shared" si="16"/>
        <v>0</v>
      </c>
      <c r="I145" s="137">
        <f t="shared" si="24"/>
        <v>0</v>
      </c>
      <c r="J145" s="67">
        <f t="shared" si="27"/>
        <v>0</v>
      </c>
      <c r="K145" s="67"/>
      <c r="L145" s="130"/>
      <c r="M145" s="67">
        <f t="shared" si="28"/>
        <v>0</v>
      </c>
      <c r="N145" s="130"/>
      <c r="O145" s="67">
        <f t="shared" si="29"/>
        <v>0</v>
      </c>
      <c r="P145" s="67">
        <f t="shared" si="30"/>
        <v>0</v>
      </c>
    </row>
    <row r="146" spans="2:16" ht="12.5">
      <c r="B146" t="str">
        <f t="shared" si="15"/>
        <v/>
      </c>
      <c r="C146" s="62">
        <f>IF(D94="","-",+C145+1)</f>
        <v>2064</v>
      </c>
      <c r="D146" s="63">
        <f>IF(F145+SUM(E$100:E145)=D$93,F145,D$93-SUM(E$100:E145))</f>
        <v>0</v>
      </c>
      <c r="E146" s="69">
        <f t="shared" si="31"/>
        <v>0</v>
      </c>
      <c r="F146" s="68">
        <f t="shared" si="25"/>
        <v>0</v>
      </c>
      <c r="G146" s="68">
        <f t="shared" si="26"/>
        <v>0</v>
      </c>
      <c r="H146" s="128">
        <f t="shared" si="16"/>
        <v>0</v>
      </c>
      <c r="I146" s="137">
        <f t="shared" si="24"/>
        <v>0</v>
      </c>
      <c r="J146" s="67">
        <f t="shared" si="27"/>
        <v>0</v>
      </c>
      <c r="K146" s="67"/>
      <c r="L146" s="130"/>
      <c r="M146" s="67">
        <f t="shared" si="28"/>
        <v>0</v>
      </c>
      <c r="N146" s="130"/>
      <c r="O146" s="67">
        <f t="shared" si="29"/>
        <v>0</v>
      </c>
      <c r="P146" s="67">
        <f t="shared" si="30"/>
        <v>0</v>
      </c>
    </row>
    <row r="147" spans="2:16" ht="12.5">
      <c r="B147" t="str">
        <f t="shared" si="15"/>
        <v/>
      </c>
      <c r="C147" s="62">
        <f>IF(D94="","-",+C146+1)</f>
        <v>2065</v>
      </c>
      <c r="D147" s="63">
        <f>IF(F146+SUM(E$100:E146)=D$93,F146,D$93-SUM(E$100:E146))</f>
        <v>0</v>
      </c>
      <c r="E147" s="69">
        <f t="shared" si="31"/>
        <v>0</v>
      </c>
      <c r="F147" s="68">
        <f t="shared" si="25"/>
        <v>0</v>
      </c>
      <c r="G147" s="68">
        <f t="shared" si="26"/>
        <v>0</v>
      </c>
      <c r="H147" s="128">
        <f t="shared" si="16"/>
        <v>0</v>
      </c>
      <c r="I147" s="137">
        <f t="shared" si="24"/>
        <v>0</v>
      </c>
      <c r="J147" s="67">
        <f t="shared" si="27"/>
        <v>0</v>
      </c>
      <c r="K147" s="67"/>
      <c r="L147" s="130"/>
      <c r="M147" s="67">
        <f t="shared" si="28"/>
        <v>0</v>
      </c>
      <c r="N147" s="130"/>
      <c r="O147" s="67">
        <f t="shared" si="29"/>
        <v>0</v>
      </c>
      <c r="P147" s="67">
        <f t="shared" si="30"/>
        <v>0</v>
      </c>
    </row>
    <row r="148" spans="2:16" ht="12.5">
      <c r="B148" t="str">
        <f t="shared" si="15"/>
        <v/>
      </c>
      <c r="C148" s="62">
        <f>IF(D94="","-",+C147+1)</f>
        <v>2066</v>
      </c>
      <c r="D148" s="63">
        <f>IF(F147+SUM(E$100:E147)=D$93,F147,D$93-SUM(E$100:E147))</f>
        <v>0</v>
      </c>
      <c r="E148" s="69">
        <f t="shared" si="31"/>
        <v>0</v>
      </c>
      <c r="F148" s="68">
        <f t="shared" si="25"/>
        <v>0</v>
      </c>
      <c r="G148" s="68">
        <f t="shared" si="26"/>
        <v>0</v>
      </c>
      <c r="H148" s="128">
        <f t="shared" si="16"/>
        <v>0</v>
      </c>
      <c r="I148" s="137">
        <f t="shared" si="24"/>
        <v>0</v>
      </c>
      <c r="J148" s="67">
        <f t="shared" si="27"/>
        <v>0</v>
      </c>
      <c r="K148" s="67"/>
      <c r="L148" s="130"/>
      <c r="M148" s="67">
        <f t="shared" si="28"/>
        <v>0</v>
      </c>
      <c r="N148" s="130"/>
      <c r="O148" s="67">
        <f t="shared" si="29"/>
        <v>0</v>
      </c>
      <c r="P148" s="67">
        <f t="shared" si="30"/>
        <v>0</v>
      </c>
    </row>
    <row r="149" spans="2:16" ht="12.5">
      <c r="B149" t="str">
        <f t="shared" si="15"/>
        <v/>
      </c>
      <c r="C149" s="62">
        <f>IF(D94="","-",+C148+1)</f>
        <v>2067</v>
      </c>
      <c r="D149" s="63">
        <f>IF(F148+SUM(E$100:E148)=D$93,F148,D$93-SUM(E$100:E148))</f>
        <v>0</v>
      </c>
      <c r="E149" s="69">
        <f t="shared" si="31"/>
        <v>0</v>
      </c>
      <c r="F149" s="68">
        <f t="shared" si="25"/>
        <v>0</v>
      </c>
      <c r="G149" s="68">
        <f t="shared" si="26"/>
        <v>0</v>
      </c>
      <c r="H149" s="128">
        <f t="shared" si="16"/>
        <v>0</v>
      </c>
      <c r="I149" s="137">
        <f t="shared" si="24"/>
        <v>0</v>
      </c>
      <c r="J149" s="67">
        <f t="shared" si="27"/>
        <v>0</v>
      </c>
      <c r="K149" s="67"/>
      <c r="L149" s="130"/>
      <c r="M149" s="67">
        <f t="shared" si="28"/>
        <v>0</v>
      </c>
      <c r="N149" s="130"/>
      <c r="O149" s="67">
        <f t="shared" si="29"/>
        <v>0</v>
      </c>
      <c r="P149" s="67">
        <f t="shared" si="30"/>
        <v>0</v>
      </c>
    </row>
    <row r="150" spans="2:16" ht="12.5">
      <c r="B150" t="str">
        <f t="shared" si="15"/>
        <v/>
      </c>
      <c r="C150" s="62">
        <f>IF(D94="","-",+C149+1)</f>
        <v>2068</v>
      </c>
      <c r="D150" s="63">
        <f>IF(F149+SUM(E$100:E149)=D$93,F149,D$93-SUM(E$100:E149))</f>
        <v>0</v>
      </c>
      <c r="E150" s="69">
        <f t="shared" si="31"/>
        <v>0</v>
      </c>
      <c r="F150" s="68">
        <f t="shared" si="25"/>
        <v>0</v>
      </c>
      <c r="G150" s="68">
        <f t="shared" si="26"/>
        <v>0</v>
      </c>
      <c r="H150" s="128">
        <f t="shared" si="16"/>
        <v>0</v>
      </c>
      <c r="I150" s="137">
        <f t="shared" si="24"/>
        <v>0</v>
      </c>
      <c r="J150" s="67">
        <f t="shared" si="27"/>
        <v>0</v>
      </c>
      <c r="K150" s="67"/>
      <c r="L150" s="130"/>
      <c r="M150" s="67">
        <f t="shared" si="28"/>
        <v>0</v>
      </c>
      <c r="N150" s="130"/>
      <c r="O150" s="67">
        <f t="shared" si="29"/>
        <v>0</v>
      </c>
      <c r="P150" s="67">
        <f t="shared" si="30"/>
        <v>0</v>
      </c>
    </row>
    <row r="151" spans="2:16" ht="12.5">
      <c r="B151" t="str">
        <f t="shared" si="15"/>
        <v/>
      </c>
      <c r="C151" s="62">
        <f>IF(D94="","-",+C150+1)</f>
        <v>2069</v>
      </c>
      <c r="D151" s="63">
        <f>IF(F150+SUM(E$100:E150)=D$93,F150,D$93-SUM(E$100:E150))</f>
        <v>0</v>
      </c>
      <c r="E151" s="69">
        <f t="shared" si="31"/>
        <v>0</v>
      </c>
      <c r="F151" s="68">
        <f t="shared" si="25"/>
        <v>0</v>
      </c>
      <c r="G151" s="68">
        <f t="shared" si="26"/>
        <v>0</v>
      </c>
      <c r="H151" s="128">
        <f t="shared" si="16"/>
        <v>0</v>
      </c>
      <c r="I151" s="137">
        <f t="shared" si="24"/>
        <v>0</v>
      </c>
      <c r="J151" s="67">
        <f t="shared" si="27"/>
        <v>0</v>
      </c>
      <c r="K151" s="67"/>
      <c r="L151" s="130"/>
      <c r="M151" s="67">
        <f t="shared" si="28"/>
        <v>0</v>
      </c>
      <c r="N151" s="130"/>
      <c r="O151" s="67">
        <f t="shared" si="29"/>
        <v>0</v>
      </c>
      <c r="P151" s="67">
        <f t="shared" si="30"/>
        <v>0</v>
      </c>
    </row>
    <row r="152" spans="2:16" ht="12.5">
      <c r="B152" t="str">
        <f t="shared" si="15"/>
        <v/>
      </c>
      <c r="C152" s="62">
        <f>IF(D94="","-",+C151+1)</f>
        <v>2070</v>
      </c>
      <c r="D152" s="63">
        <f>IF(F151+SUM(E$100:E151)=D$93,F151,D$93-SUM(E$100:E151))</f>
        <v>0</v>
      </c>
      <c r="E152" s="69">
        <f t="shared" si="31"/>
        <v>0</v>
      </c>
      <c r="F152" s="68">
        <f t="shared" si="25"/>
        <v>0</v>
      </c>
      <c r="G152" s="68">
        <f t="shared" si="26"/>
        <v>0</v>
      </c>
      <c r="H152" s="128">
        <f t="shared" si="16"/>
        <v>0</v>
      </c>
      <c r="I152" s="137">
        <f t="shared" si="24"/>
        <v>0</v>
      </c>
      <c r="J152" s="67">
        <f t="shared" si="27"/>
        <v>0</v>
      </c>
      <c r="K152" s="67"/>
      <c r="L152" s="130"/>
      <c r="M152" s="67">
        <f t="shared" si="28"/>
        <v>0</v>
      </c>
      <c r="N152" s="130"/>
      <c r="O152" s="67">
        <f t="shared" si="29"/>
        <v>0</v>
      </c>
      <c r="P152" s="67">
        <f t="shared" si="30"/>
        <v>0</v>
      </c>
    </row>
    <row r="153" spans="2:16" ht="12.5">
      <c r="B153" t="str">
        <f t="shared" si="15"/>
        <v/>
      </c>
      <c r="C153" s="62">
        <f>IF(D94="","-",+C152+1)</f>
        <v>2071</v>
      </c>
      <c r="D153" s="63">
        <f>IF(F152+SUM(E$100:E152)=D$93,F152,D$93-SUM(E$100:E152))</f>
        <v>0</v>
      </c>
      <c r="E153" s="69">
        <f t="shared" si="31"/>
        <v>0</v>
      </c>
      <c r="F153" s="68">
        <f t="shared" si="25"/>
        <v>0</v>
      </c>
      <c r="G153" s="68">
        <f t="shared" si="26"/>
        <v>0</v>
      </c>
      <c r="H153" s="128">
        <f t="shared" si="16"/>
        <v>0</v>
      </c>
      <c r="I153" s="137">
        <f t="shared" si="24"/>
        <v>0</v>
      </c>
      <c r="J153" s="67">
        <f t="shared" si="27"/>
        <v>0</v>
      </c>
      <c r="K153" s="67"/>
      <c r="L153" s="130"/>
      <c r="M153" s="67">
        <f t="shared" si="28"/>
        <v>0</v>
      </c>
      <c r="N153" s="130"/>
      <c r="O153" s="67">
        <f t="shared" si="29"/>
        <v>0</v>
      </c>
      <c r="P153" s="67">
        <f t="shared" si="30"/>
        <v>0</v>
      </c>
    </row>
    <row r="154" spans="2:16" ht="12.5">
      <c r="B154" t="str">
        <f t="shared" si="15"/>
        <v/>
      </c>
      <c r="C154" s="62">
        <f>IF(D94="","-",+C153+1)</f>
        <v>2072</v>
      </c>
      <c r="D154" s="63">
        <f>IF(F153+SUM(E$100:E153)=D$93,F153,D$93-SUM(E$100:E153))</f>
        <v>0</v>
      </c>
      <c r="E154" s="69">
        <f t="shared" si="31"/>
        <v>0</v>
      </c>
      <c r="F154" s="68">
        <f t="shared" si="25"/>
        <v>0</v>
      </c>
      <c r="G154" s="68">
        <f t="shared" si="26"/>
        <v>0</v>
      </c>
      <c r="H154" s="128">
        <f t="shared" si="16"/>
        <v>0</v>
      </c>
      <c r="I154" s="137">
        <f t="shared" si="24"/>
        <v>0</v>
      </c>
      <c r="J154" s="67">
        <f t="shared" si="27"/>
        <v>0</v>
      </c>
      <c r="K154" s="67"/>
      <c r="L154" s="130"/>
      <c r="M154" s="67">
        <f t="shared" si="28"/>
        <v>0</v>
      </c>
      <c r="N154" s="130"/>
      <c r="O154" s="67">
        <f t="shared" si="29"/>
        <v>0</v>
      </c>
      <c r="P154" s="67">
        <f t="shared" si="30"/>
        <v>0</v>
      </c>
    </row>
    <row r="155" spans="2:16" ht="13" thickBot="1">
      <c r="B155" t="str">
        <f t="shared" si="15"/>
        <v/>
      </c>
      <c r="C155" s="73">
        <f>IF(D94="","-",+C154+1)</f>
        <v>2073</v>
      </c>
      <c r="D155" s="99">
        <f>IF(F154+SUM(E$100:E154)=D$93,F154,D$93-SUM(E$100:E154))</f>
        <v>0</v>
      </c>
      <c r="E155" s="75">
        <f t="shared" si="31"/>
        <v>0</v>
      </c>
      <c r="F155" s="74">
        <f t="shared" si="25"/>
        <v>0</v>
      </c>
      <c r="G155" s="74">
        <f t="shared" si="26"/>
        <v>0</v>
      </c>
      <c r="H155" s="138">
        <f t="shared" si="16"/>
        <v>0</v>
      </c>
      <c r="I155" s="139">
        <f t="shared" si="24"/>
        <v>0</v>
      </c>
      <c r="J155" s="78">
        <f t="shared" si="27"/>
        <v>0</v>
      </c>
      <c r="K155" s="67"/>
      <c r="L155" s="131"/>
      <c r="M155" s="78">
        <f t="shared" si="28"/>
        <v>0</v>
      </c>
      <c r="N155" s="131"/>
      <c r="O155" s="78">
        <f t="shared" si="29"/>
        <v>0</v>
      </c>
      <c r="P155" s="78">
        <f t="shared" si="30"/>
        <v>0</v>
      </c>
    </row>
    <row r="156" spans="2:16" ht="12.5">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ht="12.5">
      <c r="C157" t="s">
        <v>90</v>
      </c>
      <c r="D157" s="2"/>
      <c r="E157" s="1"/>
      <c r="F157" s="1"/>
      <c r="G157" s="1"/>
      <c r="H157" s="1"/>
      <c r="I157" s="3"/>
      <c r="J157" s="3"/>
      <c r="K157" s="19"/>
      <c r="L157" s="3"/>
      <c r="M157" s="3"/>
      <c r="N157" s="3"/>
      <c r="O157" s="3"/>
      <c r="P157" s="1"/>
    </row>
    <row r="158" spans="2:16" ht="12.5">
      <c r="C158" s="100"/>
      <c r="D158" s="2"/>
      <c r="E158" s="1"/>
      <c r="F158" s="1"/>
      <c r="G158" s="1"/>
      <c r="H158" s="1"/>
      <c r="I158" s="3"/>
      <c r="J158" s="3"/>
      <c r="K158" s="19"/>
      <c r="L158" s="3"/>
      <c r="M158" s="3"/>
      <c r="N158" s="3"/>
      <c r="O158" s="3"/>
      <c r="P158" s="1"/>
    </row>
    <row r="159" spans="2:16" ht="13">
      <c r="C159" s="115" t="s">
        <v>130</v>
      </c>
      <c r="D159" s="2"/>
      <c r="E159" s="1"/>
      <c r="F159" s="1"/>
      <c r="G159" s="1"/>
      <c r="H159" s="1"/>
      <c r="I159" s="3"/>
      <c r="J159" s="3"/>
      <c r="K159" s="19"/>
      <c r="L159" s="3"/>
      <c r="M159" s="3"/>
      <c r="N159" s="3"/>
      <c r="O159" s="3"/>
      <c r="P159" s="1"/>
    </row>
    <row r="160" spans="2:16" ht="13">
      <c r="C160" s="31" t="s">
        <v>76</v>
      </c>
      <c r="D160" s="63"/>
      <c r="E160" s="63"/>
      <c r="F160" s="63"/>
      <c r="G160" s="63"/>
      <c r="H160" s="19"/>
      <c r="I160" s="19"/>
      <c r="J160" s="80"/>
      <c r="K160" s="80"/>
      <c r="L160" s="80"/>
      <c r="M160" s="80"/>
      <c r="N160" s="80"/>
      <c r="O160" s="80"/>
      <c r="P160" s="1"/>
    </row>
    <row r="161" spans="3:16" ht="13">
      <c r="C161" s="101" t="s">
        <v>77</v>
      </c>
      <c r="D161" s="63"/>
      <c r="E161" s="63"/>
      <c r="F161" s="63"/>
      <c r="G161" s="63"/>
      <c r="H161" s="19"/>
      <c r="I161" s="19"/>
      <c r="J161" s="80"/>
      <c r="K161" s="80"/>
      <c r="L161" s="80"/>
      <c r="M161" s="80"/>
      <c r="N161" s="80"/>
      <c r="O161" s="80"/>
      <c r="P161" s="1"/>
    </row>
    <row r="162" spans="3:16" ht="13">
      <c r="C162" s="101"/>
      <c r="D162" s="63"/>
      <c r="E162" s="63"/>
      <c r="F162" s="63"/>
      <c r="G162" s="63"/>
      <c r="H162" s="19"/>
      <c r="I162" s="19"/>
      <c r="J162" s="80"/>
      <c r="K162" s="80"/>
      <c r="L162" s="80"/>
      <c r="M162" s="80"/>
      <c r="N162" s="80"/>
      <c r="O162" s="80"/>
      <c r="P162" s="1"/>
    </row>
    <row r="163" spans="3:16" ht="17.5">
      <c r="C163" s="101"/>
      <c r="D163" s="63"/>
      <c r="E163" s="63"/>
      <c r="F163" s="63"/>
      <c r="G163" s="63"/>
      <c r="H163" s="19"/>
      <c r="I163" s="19"/>
      <c r="J163" s="80"/>
      <c r="K163" s="80"/>
      <c r="L163" s="80"/>
      <c r="M163" s="80"/>
      <c r="N163" s="80"/>
      <c r="P163" s="112" t="s">
        <v>129</v>
      </c>
    </row>
  </sheetData>
  <phoneticPr fontId="0" type="noConversion"/>
  <conditionalFormatting sqref="C17:C71 C73">
    <cfRule type="cellIs" dxfId="2" priority="2" stopIfTrue="1" operator="equal">
      <formula>$I$10</formula>
    </cfRule>
  </conditionalFormatting>
  <conditionalFormatting sqref="C100:C155">
    <cfRule type="cellIs" dxfId="1" priority="3" stopIfTrue="1" operator="equal">
      <formula>$J$93</formula>
    </cfRule>
  </conditionalFormatting>
  <conditionalFormatting sqref="C72">
    <cfRule type="cellIs" dxfId="0"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S137"/>
  <sheetViews>
    <sheetView topLeftCell="A49" zoomScale="80" zoomScaleNormal="80" zoomScaleSheetLayoutView="100" workbookViewId="0">
      <selection activeCell="F93" sqref="F93"/>
    </sheetView>
  </sheetViews>
  <sheetFormatPr defaultColWidth="8.7265625" defaultRowHeight="12.75" customHeight="1"/>
  <cols>
    <col min="1" max="1" width="4.7265625" style="145" customWidth="1"/>
    <col min="2" max="2" width="6.7265625" style="145" customWidth="1"/>
    <col min="3" max="3" width="20.7265625" style="145" customWidth="1"/>
    <col min="4" max="9" width="17.7265625" style="145" customWidth="1"/>
    <col min="10" max="10" width="17.7265625" style="145" bestFit="1" customWidth="1"/>
    <col min="11" max="11" width="2.1796875" style="145" customWidth="1"/>
    <col min="12" max="14" width="17.7265625" style="145" customWidth="1"/>
    <col min="15" max="15" width="20.81640625" style="145" customWidth="1"/>
    <col min="16" max="16" width="19.54296875" style="145" customWidth="1"/>
    <col min="17" max="17" width="2.1796875" style="145" customWidth="1"/>
    <col min="18" max="18" width="16.453125" style="145" customWidth="1"/>
    <col min="19" max="19" width="52.453125" style="145" customWidth="1"/>
    <col min="20" max="16384" width="8.7265625" style="145"/>
  </cols>
  <sheetData>
    <row r="1" spans="1:19" ht="17.5">
      <c r="A1" s="660" t="str">
        <f>OKT.WS.F.BPU.ATRR.Projected!A1</f>
        <v xml:space="preserve">AEP West SPP Member Companies </v>
      </c>
      <c r="B1" s="665"/>
      <c r="C1" s="665"/>
      <c r="D1" s="665"/>
      <c r="E1" s="665"/>
      <c r="F1" s="665"/>
      <c r="G1" s="665"/>
      <c r="H1" s="665"/>
      <c r="I1" s="665"/>
      <c r="J1" s="665"/>
      <c r="K1" s="665"/>
      <c r="Q1" s="220"/>
      <c r="R1" s="220"/>
    </row>
    <row r="2" spans="1:19" ht="17.5">
      <c r="A2" s="660" t="str">
        <f>OKT.WS.F.BPU.ATRR.Projected!A2</f>
        <v>2021 Cost of Service Formula Rate Projected on 2020 FF1 Balances</v>
      </c>
      <c r="B2" s="665"/>
      <c r="C2" s="665"/>
      <c r="D2" s="665"/>
      <c r="E2" s="665"/>
      <c r="F2" s="665"/>
      <c r="G2" s="665"/>
      <c r="H2" s="665"/>
      <c r="I2" s="665"/>
      <c r="J2" s="665"/>
      <c r="K2" s="665"/>
      <c r="Q2" s="232" t="s">
        <v>110</v>
      </c>
      <c r="R2" s="220"/>
    </row>
    <row r="3" spans="1:19" ht="18">
      <c r="A3" s="662" t="s">
        <v>125</v>
      </c>
      <c r="B3" s="663"/>
      <c r="C3" s="663"/>
      <c r="D3" s="663"/>
      <c r="E3" s="663"/>
      <c r="F3" s="663"/>
      <c r="G3" s="663"/>
      <c r="H3" s="663"/>
      <c r="I3" s="663"/>
      <c r="J3" s="663"/>
      <c r="K3" s="663"/>
      <c r="Q3" s="220"/>
      <c r="R3" s="220"/>
    </row>
    <row r="4" spans="1:19" ht="17.5">
      <c r="A4" s="663" t="str">
        <f>"Based on a Carrying Charge Derived from ""Trued-Up"" "&amp;M16&amp;" Data"</f>
        <v>Based on a Carrying Charge Derived from "Trued-Up" 2019 Data</v>
      </c>
      <c r="B4" s="663"/>
      <c r="C4" s="663"/>
      <c r="D4" s="663"/>
      <c r="E4" s="663"/>
      <c r="F4" s="663"/>
      <c r="G4" s="663"/>
      <c r="H4" s="663"/>
      <c r="I4" s="663"/>
      <c r="J4" s="663"/>
      <c r="K4" s="663"/>
      <c r="Q4" s="220"/>
      <c r="R4" s="220"/>
    </row>
    <row r="5" spans="1:19" ht="18">
      <c r="A5" s="666" t="str">
        <f>OKT.WS.F.BPU.ATRR.Projected!A5</f>
        <v>OKLAHOMA TRANSMISSION COMPANY</v>
      </c>
      <c r="B5" s="667"/>
      <c r="C5" s="667"/>
      <c r="D5" s="667"/>
      <c r="E5" s="667"/>
      <c r="F5" s="667"/>
      <c r="G5" s="667"/>
      <c r="H5" s="667"/>
      <c r="I5" s="667"/>
      <c r="J5" s="667"/>
      <c r="K5" s="667"/>
      <c r="Q5" s="220"/>
      <c r="R5" s="220"/>
    </row>
    <row r="6" spans="1:19" ht="20">
      <c r="A6" s="380"/>
      <c r="C6" s="305"/>
      <c r="D6" s="157"/>
      <c r="I6" s="212"/>
      <c r="K6" s="220"/>
      <c r="Q6" s="220"/>
      <c r="R6" s="220"/>
    </row>
    <row r="7" spans="1:19" ht="12.5">
      <c r="D7" s="157"/>
      <c r="I7" s="212"/>
      <c r="K7" s="220"/>
      <c r="Q7" s="220"/>
      <c r="R7" s="220"/>
    </row>
    <row r="8" spans="1:19" ht="39.75" customHeight="1">
      <c r="B8" s="233" t="s">
        <v>0</v>
      </c>
      <c r="C8" s="657" t="str">
        <f>"Calculate Return and Income Taxes with "&amp;F13&amp;" basis point ROE increase for Projects Qualified for Incentive."</f>
        <v>Calculate Return and Income Taxes with 0 basis point ROE increase for Projects Qualified for Incentive.</v>
      </c>
      <c r="D8" s="658"/>
      <c r="E8" s="658"/>
      <c r="F8" s="658"/>
      <c r="G8" s="658"/>
      <c r="H8" s="658"/>
      <c r="I8" s="658"/>
      <c r="K8" s="220"/>
      <c r="Q8" s="220"/>
      <c r="R8" s="220"/>
    </row>
    <row r="9" spans="1:19" ht="15.75" customHeight="1">
      <c r="C9" s="381"/>
      <c r="D9" s="381"/>
      <c r="E9" s="381"/>
      <c r="F9" s="381"/>
      <c r="G9" s="381"/>
      <c r="H9" s="381"/>
      <c r="I9" s="381"/>
      <c r="K9" s="220"/>
      <c r="Q9" s="220"/>
      <c r="R9" s="220"/>
    </row>
    <row r="10" spans="1:19" ht="15.5">
      <c r="C10" s="235" t="str">
        <f>"A.   Determine 'R' with hypothetical "&amp;F13&amp;" basis point increase in ROE for Identified Projects"</f>
        <v>A.   Determine 'R' with hypothetical 0 basis point increase in ROE for Identified Projects</v>
      </c>
      <c r="D10" s="157"/>
      <c r="I10" s="212"/>
      <c r="K10" s="220"/>
      <c r="Q10" s="220"/>
      <c r="R10" s="220"/>
    </row>
    <row r="11" spans="1:19" ht="12.5">
      <c r="D11" s="157"/>
      <c r="I11" s="212"/>
      <c r="K11" s="220"/>
      <c r="Q11" s="220"/>
      <c r="R11" s="220"/>
    </row>
    <row r="12" spans="1:19" ht="12.5">
      <c r="C12" s="236" t="str">
        <f>S105</f>
        <v xml:space="preserve">   ROE w/o incentives  (TCOS, ln 143)</v>
      </c>
      <c r="D12" s="157"/>
      <c r="E12" s="237"/>
      <c r="F12" s="238">
        <v>0.105</v>
      </c>
      <c r="G12" s="238"/>
      <c r="H12" s="239"/>
      <c r="I12" s="240"/>
      <c r="J12" s="241"/>
      <c r="K12" s="242"/>
      <c r="L12" s="241"/>
      <c r="M12" s="241"/>
      <c r="N12" s="241"/>
      <c r="O12" s="241"/>
      <c r="P12" s="241"/>
      <c r="Q12" s="242"/>
      <c r="R12" s="278"/>
      <c r="S12" s="243"/>
    </row>
    <row r="13" spans="1:19" ht="13" thickBot="1">
      <c r="C13" s="236" t="s">
        <v>1</v>
      </c>
      <c r="D13" s="157"/>
      <c r="E13" s="237"/>
      <c r="F13" s="245">
        <f>R106</f>
        <v>0</v>
      </c>
      <c r="G13" s="382" t="s">
        <v>133</v>
      </c>
      <c r="L13" s="241"/>
      <c r="M13" s="241"/>
      <c r="N13" s="241"/>
      <c r="O13" s="241"/>
      <c r="P13" s="241"/>
      <c r="Q13" s="242"/>
      <c r="R13" s="278"/>
      <c r="S13" s="243"/>
    </row>
    <row r="14" spans="1:19" ht="13">
      <c r="C14" s="236" t="str">
        <f>"   ROE with additional "&amp;F13&amp;" basis point incentive"</f>
        <v xml:space="preserve">   ROE with additional 0 basis point incentive</v>
      </c>
      <c r="D14" s="237"/>
      <c r="E14" s="237"/>
      <c r="F14" s="246">
        <f>IF((F12+(F13/10000)&gt;0.1245),"ERROR",F12+(F13/10000))</f>
        <v>0.105</v>
      </c>
      <c r="G14" s="247" t="s">
        <v>2</v>
      </c>
      <c r="I14" s="241"/>
      <c r="J14" s="241"/>
      <c r="K14" s="242"/>
      <c r="L14" s="383" t="s">
        <v>79</v>
      </c>
      <c r="M14" s="384"/>
      <c r="N14" s="384"/>
      <c r="O14" s="384"/>
      <c r="P14" s="385"/>
      <c r="Q14" s="242"/>
      <c r="R14" s="278"/>
      <c r="S14" s="243"/>
    </row>
    <row r="15" spans="1:19" ht="12.5">
      <c r="C15" s="236" t="s">
        <v>3</v>
      </c>
      <c r="D15" s="157"/>
      <c r="E15" s="237"/>
      <c r="F15" s="246"/>
      <c r="G15" s="246"/>
      <c r="H15" s="237"/>
      <c r="I15" s="241"/>
      <c r="J15" s="241"/>
      <c r="K15" s="242"/>
      <c r="L15" s="257"/>
      <c r="M15" s="242"/>
      <c r="N15" s="242" t="s">
        <v>9</v>
      </c>
      <c r="O15" s="242" t="s">
        <v>10</v>
      </c>
      <c r="P15" s="259" t="s">
        <v>11</v>
      </c>
      <c r="Q15" s="242"/>
      <c r="R15" s="278"/>
      <c r="S15" s="243"/>
    </row>
    <row r="16" spans="1:19" ht="12.5">
      <c r="C16" s="242"/>
      <c r="D16" s="249" t="s">
        <v>5</v>
      </c>
      <c r="E16" s="249" t="s">
        <v>6</v>
      </c>
      <c r="F16" s="250" t="s">
        <v>7</v>
      </c>
      <c r="G16" s="250"/>
      <c r="H16" s="237"/>
      <c r="I16" s="241"/>
      <c r="J16" s="241"/>
      <c r="K16" s="242"/>
      <c r="L16" s="257" t="s">
        <v>80</v>
      </c>
      <c r="M16" s="386">
        <v>2019</v>
      </c>
      <c r="N16" s="220"/>
      <c r="O16" s="220"/>
      <c r="P16" s="264"/>
      <c r="Q16" s="242"/>
      <c r="R16" s="278"/>
      <c r="S16" s="243"/>
    </row>
    <row r="17" spans="3:19" ht="12.5">
      <c r="C17" s="251" t="s">
        <v>8</v>
      </c>
      <c r="D17" s="252">
        <f>R107</f>
        <v>0.44194655758972329</v>
      </c>
      <c r="E17" s="387">
        <f>R108</f>
        <v>4.114257704572407E-2</v>
      </c>
      <c r="F17" s="388">
        <f>E17*D17</f>
        <v>1.8182820295727719E-2</v>
      </c>
      <c r="G17" s="388"/>
      <c r="H17" s="237"/>
      <c r="I17" s="241"/>
      <c r="J17" s="255"/>
      <c r="K17" s="256"/>
      <c r="L17" s="263"/>
      <c r="M17" s="389" t="s">
        <v>255</v>
      </c>
      <c r="N17" s="390">
        <f>SUM('OKT.001:OKT.xyz - blank'!M88)</f>
        <v>36715956.554148674</v>
      </c>
      <c r="O17" s="390">
        <f>SUM('OKT.001:OKT.xyz - blank'!N88)</f>
        <v>36715956.554148674</v>
      </c>
      <c r="P17" s="391">
        <f>+O17-N17</f>
        <v>0</v>
      </c>
      <c r="Q17" s="256"/>
      <c r="R17" s="278"/>
      <c r="S17" s="243"/>
    </row>
    <row r="18" spans="3:19" ht="13" thickBot="1">
      <c r="C18" s="251" t="s">
        <v>12</v>
      </c>
      <c r="D18" s="252">
        <f>R109</f>
        <v>0</v>
      </c>
      <c r="E18" s="387">
        <f>R110</f>
        <v>0</v>
      </c>
      <c r="F18" s="388">
        <f>E18*D18</f>
        <v>0</v>
      </c>
      <c r="G18" s="388"/>
      <c r="H18" s="260"/>
      <c r="I18" s="260"/>
      <c r="J18" s="261"/>
      <c r="K18" s="262"/>
      <c r="L18" s="263"/>
      <c r="M18" s="392" t="s">
        <v>256</v>
      </c>
      <c r="N18" s="393">
        <f>SUM('OKT.001:OKT.xyz - blank'!M89)</f>
        <v>39138830.897015929</v>
      </c>
      <c r="O18" s="393">
        <f>SUM('OKT.001:OKT.xyz - blank'!N89)</f>
        <v>39138830.897015929</v>
      </c>
      <c r="P18" s="270">
        <f>+O18-N18</f>
        <v>0</v>
      </c>
      <c r="Q18" s="262"/>
      <c r="R18" s="278"/>
      <c r="S18" s="243"/>
    </row>
    <row r="19" spans="3:19" ht="12.5">
      <c r="C19" s="265" t="s">
        <v>13</v>
      </c>
      <c r="D19" s="252">
        <f>R111</f>
        <v>0.55805344241027677</v>
      </c>
      <c r="E19" s="387">
        <f>+F14</f>
        <v>0.105</v>
      </c>
      <c r="F19" s="394">
        <f>E19*D19</f>
        <v>5.8595611453079059E-2</v>
      </c>
      <c r="G19" s="394"/>
      <c r="H19" s="260"/>
      <c r="I19" s="260"/>
      <c r="J19" s="246"/>
      <c r="K19" s="262"/>
      <c r="L19" s="263"/>
      <c r="M19" s="395" t="str">
        <f>"True-up Adjustment For "&amp;M16&amp;""</f>
        <v>True-up Adjustment For 2019</v>
      </c>
      <c r="N19" s="396">
        <f>ROUND(N18-N17,0)</f>
        <v>2422874</v>
      </c>
      <c r="O19" s="396">
        <f>ROUND(+O18-O17,0)</f>
        <v>2422874</v>
      </c>
      <c r="P19" s="396">
        <f>ROUND(+P18-P17,0)</f>
        <v>0</v>
      </c>
      <c r="Q19" s="262"/>
      <c r="R19" s="278"/>
      <c r="S19" s="243"/>
    </row>
    <row r="20" spans="3:19" ht="12.5">
      <c r="C20" s="236"/>
      <c r="D20" s="237"/>
      <c r="E20" s="289" t="s">
        <v>15</v>
      </c>
      <c r="F20" s="388">
        <f>SUM(F17:F19)</f>
        <v>7.6778431748806775E-2</v>
      </c>
      <c r="G20" s="388"/>
      <c r="H20" s="397"/>
      <c r="I20" s="260"/>
      <c r="J20" s="261"/>
      <c r="K20" s="262"/>
      <c r="L20" s="263"/>
      <c r="M20" s="220"/>
      <c r="N20" s="272" t="str">
        <f>IF(N19=ROUND(SUM('OKT.001:OKT.xyz - blank'!M90),0),"","ERROR")</f>
        <v/>
      </c>
      <c r="O20" s="272" t="str">
        <f>IF(O19=ROUND(SUM('OKT.001:OKT.xyz - blank'!N90),0),"","ERROR")</f>
        <v/>
      </c>
      <c r="P20" s="272" t="str">
        <f>IF(P19=ROUND(SUM('OKT.001:OKT.xyz - blank'!O90),0),"","ERROR")</f>
        <v/>
      </c>
      <c r="Q20" s="262"/>
      <c r="R20" s="278"/>
      <c r="S20" s="243"/>
    </row>
    <row r="21" spans="3:19" ht="13" thickBot="1">
      <c r="D21" s="273"/>
      <c r="E21" s="273"/>
      <c r="F21" s="260"/>
      <c r="G21" s="260"/>
      <c r="H21" s="260"/>
      <c r="I21" s="260"/>
      <c r="J21" s="260"/>
      <c r="K21" s="274"/>
      <c r="L21" s="398"/>
      <c r="M21" s="399"/>
      <c r="N21" s="400"/>
      <c r="O21" s="401"/>
      <c r="P21" s="270"/>
      <c r="Q21" s="274"/>
      <c r="R21" s="278"/>
      <c r="S21" s="243"/>
    </row>
    <row r="22" spans="3:19" ht="15.5">
      <c r="C22" s="235" t="str">
        <f>"B.   Determine Return using 'R' with hypothetical "&amp;F13&amp;" basis point ROE increase for Identified Projects."</f>
        <v>B.   Determine Return using 'R' with hypothetical 0 basis point ROE increase for Identified Projects.</v>
      </c>
      <c r="D22" s="273"/>
      <c r="E22" s="273"/>
      <c r="F22" s="275"/>
      <c r="G22" s="275"/>
      <c r="H22" s="260"/>
      <c r="I22" s="237"/>
      <c r="J22" s="260"/>
      <c r="K22" s="274"/>
      <c r="L22" s="260"/>
      <c r="M22" s="260"/>
      <c r="N22" s="260"/>
      <c r="O22" s="260"/>
      <c r="P22" s="260"/>
      <c r="Q22" s="274"/>
      <c r="R22" s="278"/>
      <c r="S22" s="243"/>
    </row>
    <row r="23" spans="3:19" ht="13">
      <c r="C23" s="242"/>
      <c r="D23" s="273"/>
      <c r="E23" s="273"/>
      <c r="F23" s="274"/>
      <c r="G23" s="274"/>
      <c r="H23" s="274"/>
      <c r="I23" s="274"/>
      <c r="J23" s="274"/>
      <c r="K23" s="274"/>
      <c r="L23" s="175" t="s">
        <v>16</v>
      </c>
      <c r="M23" s="274"/>
      <c r="N23" s="274"/>
      <c r="O23" s="274"/>
      <c r="P23" s="274"/>
      <c r="Q23" s="274"/>
      <c r="R23" s="278"/>
      <c r="S23" s="243"/>
    </row>
    <row r="24" spans="3:19" ht="12.5">
      <c r="C24" s="236" t="str">
        <f>S112</f>
        <v xml:space="preserve">   Rate Base  (TCOS, ln 63)</v>
      </c>
      <c r="D24" s="237"/>
      <c r="E24" s="279">
        <f>R112</f>
        <v>695216659.71242821</v>
      </c>
      <c r="F24" s="280"/>
      <c r="G24" s="280"/>
      <c r="H24" s="274"/>
      <c r="I24" s="274"/>
      <c r="J24" s="274"/>
      <c r="K24" s="274"/>
      <c r="L24" s="145" t="s">
        <v>17</v>
      </c>
      <c r="M24" s="274"/>
      <c r="N24" s="274"/>
      <c r="O24" s="274"/>
      <c r="P24" s="280"/>
      <c r="Q24" s="274"/>
      <c r="R24" s="278"/>
      <c r="S24" s="243"/>
    </row>
    <row r="25" spans="3:19" ht="12.5">
      <c r="C25" s="242" t="s">
        <v>18</v>
      </c>
      <c r="D25" s="239"/>
      <c r="E25" s="281">
        <f>F20</f>
        <v>7.6778431748806775E-2</v>
      </c>
      <c r="F25" s="274"/>
      <c r="G25" s="274"/>
      <c r="H25" s="274"/>
      <c r="I25" s="274"/>
      <c r="J25" s="274"/>
      <c r="K25" s="274"/>
      <c r="L25" s="274"/>
      <c r="M25" s="274"/>
      <c r="N25" s="274"/>
      <c r="O25" s="274"/>
      <c r="P25" s="274"/>
      <c r="Q25" s="274"/>
      <c r="R25" s="278"/>
      <c r="S25" s="243"/>
    </row>
    <row r="26" spans="3:19" ht="12.5">
      <c r="C26" s="283" t="s">
        <v>19</v>
      </c>
      <c r="D26" s="283"/>
      <c r="E26" s="261">
        <f>E24*E25</f>
        <v>53377644.85836409</v>
      </c>
      <c r="F26" s="274"/>
      <c r="G26" s="274"/>
      <c r="H26" s="274"/>
      <c r="I26" s="274"/>
      <c r="J26" s="262"/>
      <c r="K26" s="262"/>
      <c r="L26" s="262"/>
      <c r="M26" s="262"/>
      <c r="N26" s="262"/>
      <c r="O26" s="262"/>
      <c r="P26" s="274"/>
      <c r="Q26" s="262"/>
      <c r="R26" s="278"/>
      <c r="S26" s="243"/>
    </row>
    <row r="27" spans="3:19" ht="13" thickBot="1">
      <c r="C27" s="284"/>
      <c r="D27" s="241"/>
      <c r="E27" s="241"/>
      <c r="F27" s="274"/>
      <c r="G27" s="274"/>
      <c r="H27" s="274"/>
      <c r="I27" s="274"/>
      <c r="J27" s="262"/>
      <c r="K27" s="262"/>
      <c r="L27" s="262"/>
      <c r="M27" s="262"/>
      <c r="N27" s="402">
        <v>39804485.030792631</v>
      </c>
      <c r="O27" s="262"/>
      <c r="P27" s="274"/>
      <c r="Q27" s="262"/>
      <c r="R27" s="278"/>
      <c r="S27" s="243"/>
    </row>
    <row r="28" spans="3:19" ht="15.5">
      <c r="C28" s="235" t="str">
        <f>"C.   Determine Income Taxes using Return with hypothetical "&amp;F13&amp;" basis point ROE increase for Identified Projects."</f>
        <v>C.   Determine Income Taxes using Return with hypothetical 0 basis point ROE increase for Identified Projects.</v>
      </c>
      <c r="D28" s="285"/>
      <c r="E28" s="285"/>
      <c r="F28" s="286"/>
      <c r="G28" s="286"/>
      <c r="H28" s="286"/>
      <c r="I28" s="286"/>
      <c r="J28" s="287"/>
      <c r="K28" s="287"/>
      <c r="L28" s="287"/>
      <c r="M28" s="287"/>
      <c r="N28" s="287">
        <f>+N18</f>
        <v>39138830.897015929</v>
      </c>
      <c r="O28" s="403"/>
      <c r="P28" s="286"/>
      <c r="Q28" s="287"/>
      <c r="R28" s="278"/>
      <c r="S28" s="243"/>
    </row>
    <row r="29" spans="3:19" ht="12.5">
      <c r="C29" s="236"/>
      <c r="D29" s="241"/>
      <c r="E29" s="241"/>
      <c r="F29" s="274"/>
      <c r="G29" s="274"/>
      <c r="H29" s="274"/>
      <c r="I29" s="274"/>
      <c r="J29" s="262"/>
      <c r="K29" s="262"/>
      <c r="L29" s="262"/>
      <c r="M29" s="262"/>
      <c r="N29" s="404">
        <f>+N27-N28</f>
        <v>665654.13377670199</v>
      </c>
      <c r="O29" s="262"/>
      <c r="P29" s="274"/>
      <c r="Q29" s="262"/>
      <c r="R29" s="278"/>
      <c r="S29" s="243"/>
    </row>
    <row r="30" spans="3:19" ht="12.5">
      <c r="C30" s="242" t="s">
        <v>20</v>
      </c>
      <c r="D30" s="289"/>
      <c r="E30" s="290">
        <f>E26</f>
        <v>53377644.85836409</v>
      </c>
      <c r="F30" s="274"/>
      <c r="G30" s="274"/>
      <c r="H30" s="274"/>
      <c r="I30" s="274"/>
      <c r="J30" s="274"/>
      <c r="K30" s="274"/>
      <c r="L30" s="274"/>
      <c r="M30" s="274"/>
      <c r="N30" s="274"/>
      <c r="O30" s="274"/>
      <c r="P30" s="274"/>
      <c r="Q30" s="274"/>
      <c r="R30" s="278"/>
      <c r="S30" s="243"/>
    </row>
    <row r="31" spans="3:19" ht="12.5">
      <c r="C31" s="236" t="str">
        <f>S113</f>
        <v xml:space="preserve">   Tax Rate  (TCOS, ln 99)</v>
      </c>
      <c r="D31" s="289"/>
      <c r="E31" s="291">
        <f>R113</f>
        <v>0.254714</v>
      </c>
      <c r="F31" s="274"/>
      <c r="G31" s="274"/>
      <c r="H31" s="274"/>
      <c r="I31" s="274"/>
      <c r="J31" s="274"/>
      <c r="K31" s="274"/>
      <c r="L31" s="274"/>
      <c r="M31" s="274"/>
      <c r="N31" s="274"/>
      <c r="O31" s="274"/>
      <c r="P31" s="274"/>
      <c r="Q31" s="274"/>
      <c r="R31" s="278"/>
      <c r="S31" s="278"/>
    </row>
    <row r="32" spans="3:19" ht="12.5">
      <c r="C32" s="242" t="s">
        <v>21</v>
      </c>
      <c r="D32" s="292"/>
      <c r="E32" s="246">
        <f>IF(F17&gt;0,($E31/(1-$E31))*(1-$F17/$F20),0)</f>
        <v>0.26082889784827401</v>
      </c>
      <c r="F32" s="278"/>
      <c r="G32" s="278"/>
      <c r="H32" s="278"/>
      <c r="I32" s="294"/>
      <c r="J32" s="278"/>
      <c r="K32" s="278"/>
      <c r="L32" s="278"/>
      <c r="M32" s="278"/>
      <c r="N32" s="278"/>
      <c r="O32" s="278"/>
      <c r="P32" s="278"/>
      <c r="Q32" s="278"/>
      <c r="R32" s="278"/>
      <c r="S32" s="291"/>
    </row>
    <row r="33" spans="2:19" ht="12.5">
      <c r="C33" s="405" t="s">
        <v>22</v>
      </c>
      <c r="D33" s="406"/>
      <c r="E33" s="297">
        <f>E30*E32</f>
        <v>13922432.278143696</v>
      </c>
      <c r="F33" s="278"/>
      <c r="G33" s="278"/>
      <c r="H33" s="278"/>
      <c r="I33" s="294"/>
      <c r="J33" s="278"/>
      <c r="K33" s="278"/>
      <c r="L33" s="278"/>
      <c r="M33" s="278"/>
      <c r="N33" s="278"/>
      <c r="O33" s="278"/>
      <c r="P33" s="278"/>
      <c r="Q33" s="278"/>
      <c r="R33" s="278"/>
      <c r="S33" s="278"/>
    </row>
    <row r="34" spans="2:19" ht="15.5">
      <c r="C34" s="236" t="str">
        <f>S114</f>
        <v xml:space="preserve">   ITC Adjustment  (TCOS, ln 108)</v>
      </c>
      <c r="D34" s="300"/>
      <c r="E34" s="301">
        <f>R114</f>
        <v>0</v>
      </c>
      <c r="F34" s="278"/>
      <c r="G34" s="278"/>
      <c r="H34" s="278"/>
      <c r="I34" s="294"/>
      <c r="J34" s="278"/>
      <c r="K34" s="278"/>
      <c r="L34" s="278"/>
      <c r="M34" s="278"/>
      <c r="N34" s="278"/>
      <c r="O34" s="278"/>
      <c r="P34" s="278"/>
      <c r="Q34" s="278"/>
      <c r="R34" s="278"/>
      <c r="S34" s="278"/>
    </row>
    <row r="35" spans="2:19" ht="12.5">
      <c r="C35" s="407" t="s">
        <v>314</v>
      </c>
      <c r="D35" s="408"/>
      <c r="E35" s="409">
        <v>871276.53008375282</v>
      </c>
      <c r="F35" s="278"/>
      <c r="G35" s="278"/>
      <c r="H35" s="278"/>
      <c r="I35" s="294"/>
      <c r="J35" s="278"/>
      <c r="K35" s="278"/>
      <c r="L35" s="278"/>
      <c r="M35" s="278"/>
      <c r="N35" s="278"/>
      <c r="O35" s="278"/>
      <c r="P35" s="278"/>
      <c r="Q35" s="278"/>
      <c r="R35" s="278"/>
      <c r="S35" s="278"/>
    </row>
    <row r="36" spans="2:19" ht="15.5">
      <c r="C36" s="407" t="s">
        <v>315</v>
      </c>
      <c r="D36" s="300"/>
      <c r="E36" s="409">
        <v>237532.97391873723</v>
      </c>
      <c r="F36" s="300"/>
      <c r="G36" s="300"/>
      <c r="H36" s="300"/>
      <c r="I36" s="300"/>
      <c r="J36" s="300"/>
      <c r="K36" s="300"/>
      <c r="L36" s="300"/>
      <c r="M36" s="300"/>
      <c r="N36" s="300"/>
      <c r="O36" s="300"/>
      <c r="P36" s="302"/>
      <c r="Q36" s="300"/>
      <c r="R36" s="278"/>
      <c r="S36" s="278"/>
    </row>
    <row r="37" spans="2:19" ht="15.5">
      <c r="C37" s="405" t="s">
        <v>23</v>
      </c>
      <c r="D37" s="410"/>
      <c r="E37" s="411">
        <f>SUM(E33:E36)</f>
        <v>15031241.782146187</v>
      </c>
      <c r="F37" s="300"/>
      <c r="G37" s="300"/>
      <c r="H37" s="300"/>
      <c r="I37" s="300"/>
      <c r="J37" s="300"/>
      <c r="K37" s="300"/>
      <c r="L37" s="300"/>
      <c r="M37" s="300"/>
      <c r="N37" s="300"/>
      <c r="O37" s="300"/>
      <c r="P37" s="303"/>
      <c r="Q37" s="300"/>
      <c r="R37" s="278"/>
      <c r="S37" s="243"/>
    </row>
    <row r="38" spans="2:19" ht="12.75" customHeight="1">
      <c r="C38" s="304"/>
      <c r="D38" s="300"/>
      <c r="E38" s="300"/>
      <c r="F38" s="300"/>
      <c r="G38" s="300"/>
      <c r="H38" s="300"/>
      <c r="I38" s="300"/>
      <c r="J38" s="300"/>
      <c r="K38" s="300"/>
      <c r="L38" s="300"/>
      <c r="M38" s="300"/>
      <c r="N38" s="300"/>
      <c r="O38" s="300"/>
      <c r="P38" s="303"/>
      <c r="Q38" s="300"/>
      <c r="R38" s="278"/>
      <c r="S38" s="243"/>
    </row>
    <row r="39" spans="2:19" ht="18">
      <c r="B39" s="233" t="s">
        <v>24</v>
      </c>
      <c r="C39" s="305" t="str">
        <f>"Calculate Net Plant Carrying Charge Rate (Fixed Charge Rate or FCR) with hypothetical "&amp;F13&amp;" basis point"</f>
        <v>Calculate Net Plant Carrying Charge Rate (Fixed Charge Rate or FCR) with hypothetical 0 basis point</v>
      </c>
      <c r="D39" s="300"/>
      <c r="E39" s="300"/>
      <c r="F39" s="300"/>
      <c r="G39" s="300"/>
      <c r="H39" s="300"/>
      <c r="I39" s="300"/>
      <c r="J39" s="300"/>
      <c r="K39" s="300"/>
      <c r="L39" s="300"/>
      <c r="M39" s="300"/>
      <c r="N39" s="300"/>
      <c r="O39" s="300"/>
      <c r="P39" s="303"/>
      <c r="Q39" s="300"/>
      <c r="R39" s="278"/>
      <c r="S39" s="243"/>
    </row>
    <row r="40" spans="2:19" ht="18.75" customHeight="1">
      <c r="B40" s="233"/>
      <c r="C40" s="305" t="str">
        <f>"ROE increase."</f>
        <v>ROE increase.</v>
      </c>
      <c r="D40" s="300"/>
      <c r="E40" s="300"/>
      <c r="F40" s="300"/>
      <c r="G40" s="300"/>
      <c r="H40" s="300"/>
      <c r="I40" s="300"/>
      <c r="J40" s="300"/>
      <c r="K40" s="300"/>
      <c r="L40" s="300"/>
      <c r="M40" s="300"/>
      <c r="N40" s="300"/>
      <c r="O40" s="300"/>
      <c r="P40" s="303"/>
      <c r="Q40" s="300"/>
      <c r="R40" s="278"/>
      <c r="S40" s="243"/>
    </row>
    <row r="41" spans="2:19" ht="12.75" customHeight="1">
      <c r="C41" s="304"/>
      <c r="D41" s="300"/>
      <c r="E41" s="300"/>
      <c r="F41" s="300"/>
      <c r="G41" s="300"/>
      <c r="H41" s="300"/>
      <c r="I41" s="300"/>
      <c r="J41" s="300"/>
      <c r="K41" s="300"/>
      <c r="L41" s="300"/>
      <c r="M41" s="300"/>
      <c r="N41" s="300"/>
      <c r="O41" s="300"/>
      <c r="P41" s="303"/>
      <c r="Q41" s="300"/>
      <c r="R41" s="278"/>
      <c r="S41" s="243"/>
    </row>
    <row r="42" spans="2:19" ht="15.5">
      <c r="B42" s="243"/>
      <c r="C42" s="306" t="s">
        <v>240</v>
      </c>
      <c r="D42" s="307"/>
      <c r="E42" s="307"/>
      <c r="F42" s="307"/>
      <c r="G42" s="307"/>
      <c r="H42" s="307"/>
      <c r="I42" s="307"/>
      <c r="J42" s="307"/>
      <c r="K42" s="307"/>
      <c r="L42" s="307"/>
      <c r="M42" s="307"/>
      <c r="N42" s="307"/>
      <c r="O42" s="307"/>
      <c r="P42" s="301"/>
      <c r="Q42" s="307"/>
      <c r="R42" s="278"/>
      <c r="S42" s="243"/>
    </row>
    <row r="43" spans="2:19" ht="15.5">
      <c r="B43" s="243"/>
      <c r="C43" s="306"/>
      <c r="D43" s="307"/>
      <c r="E43" s="307"/>
      <c r="F43" s="307"/>
      <c r="G43" s="307"/>
      <c r="H43" s="307"/>
      <c r="I43" s="307"/>
      <c r="J43" s="307"/>
      <c r="K43" s="307"/>
      <c r="L43" s="307"/>
      <c r="M43" s="307"/>
      <c r="N43" s="307"/>
      <c r="O43" s="307"/>
      <c r="P43" s="301"/>
      <c r="Q43" s="307"/>
      <c r="R43" s="278"/>
      <c r="S43" s="243"/>
    </row>
    <row r="44" spans="2:19" ht="12.75" customHeight="1">
      <c r="B44" s="243"/>
      <c r="C44" s="236" t="str">
        <f>S117</f>
        <v xml:space="preserve">   Net Revenue Requirement  (TCOS, ln 117)</v>
      </c>
      <c r="D44" s="307"/>
      <c r="E44" s="307"/>
      <c r="F44" s="301">
        <f>R117</f>
        <v>118750671.40136826</v>
      </c>
      <c r="G44" s="301"/>
      <c r="H44" s="307"/>
      <c r="I44" s="307"/>
      <c r="J44" s="307"/>
      <c r="K44" s="307"/>
      <c r="L44" s="307"/>
      <c r="M44" s="307"/>
      <c r="N44" s="307"/>
      <c r="O44" s="307"/>
      <c r="P44" s="301"/>
      <c r="Q44" s="307"/>
      <c r="R44" s="278"/>
      <c r="S44" s="243"/>
    </row>
    <row r="45" spans="2:19" ht="12.5">
      <c r="B45" s="243"/>
      <c r="C45" s="236" t="str">
        <f>S118</f>
        <v xml:space="preserve">   Return  (TCOS, ln 112)</v>
      </c>
      <c r="D45" s="307"/>
      <c r="E45" s="307"/>
      <c r="F45" s="301">
        <f>R118</f>
        <v>53377644.85836409</v>
      </c>
      <c r="G45" s="308"/>
      <c r="H45" s="309"/>
      <c r="I45" s="309"/>
      <c r="J45" s="309"/>
      <c r="K45" s="309"/>
      <c r="L45" s="309"/>
      <c r="M45" s="309"/>
      <c r="N45" s="309"/>
      <c r="O45" s="309"/>
      <c r="P45" s="301"/>
      <c r="Q45" s="309"/>
      <c r="R45" s="278"/>
      <c r="S45" s="243"/>
    </row>
    <row r="46" spans="2:19" ht="12.5">
      <c r="B46" s="243"/>
      <c r="C46" s="236" t="str">
        <f>S119</f>
        <v xml:space="preserve">   Income Taxes  (TCOS, ln 111)</v>
      </c>
      <c r="D46" s="307"/>
      <c r="E46" s="307"/>
      <c r="F46" s="301">
        <f>R119</f>
        <v>14931225.278414734</v>
      </c>
      <c r="G46" s="301"/>
      <c r="H46" s="307"/>
      <c r="I46" s="307"/>
      <c r="J46" s="310"/>
      <c r="K46" s="310"/>
      <c r="L46" s="310"/>
      <c r="M46" s="310"/>
      <c r="N46" s="310"/>
      <c r="O46" s="310"/>
      <c r="P46" s="307"/>
      <c r="Q46" s="310"/>
      <c r="R46" s="278"/>
      <c r="S46" s="243"/>
    </row>
    <row r="47" spans="2:19" ht="12.5">
      <c r="B47" s="243"/>
      <c r="C47" s="236" t="str">
        <f>S120</f>
        <v xml:space="preserve">  Gross Margin Taxes  (TCOS, ln 116)</v>
      </c>
      <c r="D47" s="307"/>
      <c r="E47" s="307"/>
      <c r="F47" s="312">
        <f>R120</f>
        <v>0</v>
      </c>
      <c r="G47" s="301"/>
      <c r="H47" s="307"/>
      <c r="I47" s="307"/>
      <c r="J47" s="310"/>
      <c r="K47" s="310"/>
      <c r="L47" s="310"/>
      <c r="M47" s="310"/>
      <c r="N47" s="310"/>
      <c r="O47" s="310"/>
      <c r="P47" s="307"/>
      <c r="Q47" s="310"/>
      <c r="R47" s="278"/>
      <c r="S47" s="243"/>
    </row>
    <row r="48" spans="2:19" ht="12.5">
      <c r="B48" s="243"/>
      <c r="C48" s="248" t="s">
        <v>25</v>
      </c>
      <c r="D48" s="307"/>
      <c r="E48" s="307"/>
      <c r="F48" s="308">
        <f>F44-F45-F46-F47</f>
        <v>50441801.264589436</v>
      </c>
      <c r="G48" s="308"/>
      <c r="H48" s="313"/>
      <c r="I48" s="307"/>
      <c r="J48" s="313"/>
      <c r="K48" s="313"/>
      <c r="L48" s="313"/>
      <c r="M48" s="313"/>
      <c r="N48" s="313"/>
      <c r="O48" s="313"/>
      <c r="P48" s="313"/>
      <c r="Q48" s="313"/>
      <c r="R48" s="278"/>
      <c r="S48" s="243"/>
    </row>
    <row r="49" spans="2:19" ht="12.5">
      <c r="B49" s="243"/>
      <c r="C49" s="311"/>
      <c r="D49" s="307"/>
      <c r="E49" s="307"/>
      <c r="F49" s="301"/>
      <c r="G49" s="301"/>
      <c r="H49" s="314"/>
      <c r="I49" s="315"/>
      <c r="J49" s="315"/>
      <c r="K49" s="315"/>
      <c r="L49" s="315"/>
      <c r="M49" s="315"/>
      <c r="N49" s="315"/>
      <c r="O49" s="315"/>
      <c r="P49" s="315"/>
      <c r="Q49" s="315"/>
      <c r="R49" s="278"/>
      <c r="S49" s="243"/>
    </row>
    <row r="50" spans="2:19" ht="15.5">
      <c r="B50" s="243"/>
      <c r="C50" s="235" t="str">
        <f>"B.   Determine Net Revenue Requirement with hypothetical "&amp;F13&amp;" basis point increase in ROE."</f>
        <v>B.   Determine Net Revenue Requirement with hypothetical 0 basis point increase in ROE.</v>
      </c>
      <c r="D50" s="316"/>
      <c r="E50" s="316"/>
      <c r="F50" s="301"/>
      <c r="G50" s="301"/>
      <c r="H50" s="314"/>
      <c r="I50" s="315"/>
      <c r="J50" s="315"/>
      <c r="K50" s="315"/>
      <c r="L50" s="315"/>
      <c r="M50" s="315"/>
      <c r="N50" s="315"/>
      <c r="O50" s="315"/>
      <c r="P50" s="315"/>
      <c r="Q50" s="315"/>
      <c r="R50" s="278"/>
      <c r="S50" s="243"/>
    </row>
    <row r="51" spans="2:19" ht="12.5">
      <c r="B51" s="243"/>
      <c r="C51" s="311"/>
      <c r="D51" s="316"/>
      <c r="E51" s="316"/>
      <c r="F51" s="301"/>
      <c r="G51" s="301"/>
      <c r="H51" s="314"/>
      <c r="I51" s="315"/>
      <c r="J51" s="315"/>
      <c r="K51" s="315"/>
      <c r="L51" s="315"/>
      <c r="M51" s="315"/>
      <c r="N51" s="315"/>
      <c r="O51" s="315"/>
      <c r="P51" s="315"/>
      <c r="Q51" s="315"/>
      <c r="R51" s="278"/>
      <c r="S51" s="243"/>
    </row>
    <row r="52" spans="2:19" ht="13">
      <c r="B52" s="243"/>
      <c r="C52" s="311" t="str">
        <f>C48</f>
        <v xml:space="preserve">   Net Revenue Requirement, Less Return and Taxes</v>
      </c>
      <c r="D52" s="316"/>
      <c r="E52" s="316"/>
      <c r="F52" s="301">
        <f>F48</f>
        <v>50441801.264589436</v>
      </c>
      <c r="G52" s="301"/>
      <c r="H52" s="307"/>
      <c r="I52" s="307"/>
      <c r="J52" s="307"/>
      <c r="K52" s="307"/>
      <c r="L52" s="307"/>
      <c r="M52" s="307"/>
      <c r="N52" s="307"/>
      <c r="O52" s="307"/>
      <c r="P52" s="319"/>
      <c r="Q52" s="307"/>
      <c r="R52" s="278"/>
      <c r="S52" s="243"/>
    </row>
    <row r="53" spans="2:19" ht="13">
      <c r="B53" s="243"/>
      <c r="C53" s="242" t="s">
        <v>92</v>
      </c>
      <c r="D53" s="321"/>
      <c r="E53" s="248"/>
      <c r="F53" s="322">
        <f>E26</f>
        <v>53377644.85836409</v>
      </c>
      <c r="G53" s="322"/>
      <c r="H53" s="248"/>
      <c r="I53" s="323"/>
      <c r="J53" s="248"/>
      <c r="K53" s="248"/>
      <c r="L53" s="248"/>
      <c r="M53" s="248"/>
      <c r="N53" s="248"/>
      <c r="O53" s="248"/>
      <c r="P53" s="248"/>
      <c r="Q53" s="248"/>
      <c r="R53" s="278"/>
      <c r="S53" s="243"/>
    </row>
    <row r="54" spans="2:19" ht="12.75" customHeight="1">
      <c r="B54" s="243"/>
      <c r="C54" s="236" t="s">
        <v>26</v>
      </c>
      <c r="D54" s="307"/>
      <c r="E54" s="307"/>
      <c r="F54" s="412">
        <f>E37</f>
        <v>15031241.782146187</v>
      </c>
      <c r="G54" s="324"/>
      <c r="H54" s="243"/>
      <c r="I54" s="325"/>
      <c r="J54" s="243"/>
      <c r="K54" s="278"/>
      <c r="L54" s="243"/>
      <c r="M54" s="243"/>
      <c r="N54" s="243"/>
      <c r="O54" s="243"/>
      <c r="P54" s="243"/>
      <c r="Q54" s="278"/>
      <c r="R54" s="278"/>
      <c r="S54" s="243"/>
    </row>
    <row r="55" spans="2:19" ht="12.5">
      <c r="B55" s="243"/>
      <c r="C55" s="248" t="str">
        <f>"   Net Revenue Requirement, with "&amp;F13&amp;" Basis Point ROE increase"</f>
        <v xml:space="preserve">   Net Revenue Requirement, with 0 Basis Point ROE increase</v>
      </c>
      <c r="D55" s="292"/>
      <c r="E55" s="243"/>
      <c r="F55" s="326">
        <f>SUM(F52:F54)</f>
        <v>118850687.90509972</v>
      </c>
      <c r="G55" s="326"/>
      <c r="H55" s="243"/>
      <c r="I55" s="325"/>
      <c r="J55" s="243"/>
      <c r="K55" s="278"/>
      <c r="L55" s="243"/>
      <c r="M55" s="243"/>
      <c r="N55" s="243"/>
      <c r="O55" s="243"/>
      <c r="P55" s="243"/>
      <c r="Q55" s="278"/>
      <c r="R55" s="278"/>
      <c r="S55" s="243"/>
    </row>
    <row r="56" spans="2:19" ht="12.5">
      <c r="B56" s="243"/>
      <c r="C56" s="299" t="str">
        <f>"   Gross Margin Tax with "&amp;F13&amp;" Basis Point ROE Increase (II C. below)"</f>
        <v xml:space="preserve">   Gross Margin Tax with 0 Basis Point ROE Increase (II C. below)</v>
      </c>
      <c r="D56" s="327"/>
      <c r="E56" s="327"/>
      <c r="F56" s="328">
        <f>+F71</f>
        <v>0</v>
      </c>
      <c r="G56" s="322"/>
      <c r="H56" s="243"/>
      <c r="I56" s="325"/>
      <c r="J56" s="243"/>
      <c r="K56" s="278"/>
      <c r="L56" s="243"/>
      <c r="M56" s="243"/>
      <c r="N56" s="243"/>
      <c r="O56" s="243"/>
      <c r="P56" s="243"/>
      <c r="Q56" s="278"/>
      <c r="R56" s="278"/>
      <c r="S56" s="243"/>
    </row>
    <row r="57" spans="2:19" ht="12.5">
      <c r="B57" s="243"/>
      <c r="C57" s="248" t="s">
        <v>27</v>
      </c>
      <c r="D57" s="292"/>
      <c r="E57" s="243"/>
      <c r="F57" s="298">
        <f>+F55+F56</f>
        <v>118850687.90509972</v>
      </c>
      <c r="G57" s="298"/>
      <c r="H57" s="243"/>
      <c r="I57" s="325"/>
      <c r="J57" s="243"/>
      <c r="K57" s="278"/>
      <c r="L57" s="243"/>
      <c r="M57" s="243"/>
      <c r="N57" s="243"/>
      <c r="O57" s="243"/>
      <c r="P57" s="243"/>
      <c r="Q57" s="278"/>
      <c r="R57" s="278"/>
      <c r="S57" s="243"/>
    </row>
    <row r="58" spans="2:19" ht="12.5">
      <c r="B58" s="243"/>
      <c r="C58" s="236" t="str">
        <f>S121</f>
        <v xml:space="preserve">   Less: Depreciation  (TCOS, ln 86)</v>
      </c>
      <c r="D58" s="292"/>
      <c r="E58" s="243"/>
      <c r="F58" s="329">
        <f>R121</f>
        <v>27192293.600820702</v>
      </c>
      <c r="G58" s="329"/>
      <c r="H58" s="243"/>
      <c r="I58" s="325"/>
      <c r="J58" s="243"/>
      <c r="K58" s="278"/>
      <c r="L58" s="243"/>
      <c r="M58" s="243"/>
      <c r="N58" s="243"/>
      <c r="O58" s="243"/>
      <c r="P58" s="243"/>
      <c r="Q58" s="278"/>
      <c r="R58" s="278"/>
      <c r="S58" s="243"/>
    </row>
    <row r="59" spans="2:19" ht="12.5">
      <c r="B59" s="243"/>
      <c r="C59" s="248" t="str">
        <f>"   Net Rev. Req, w/"&amp;F13&amp;" Basis Point ROE increase, less Depreciation"</f>
        <v xml:space="preserve">   Net Rev. Req, w/0 Basis Point ROE increase, less Depreciation</v>
      </c>
      <c r="D59" s="292"/>
      <c r="E59" s="243"/>
      <c r="F59" s="326">
        <f>F57-F58</f>
        <v>91658394.304279014</v>
      </c>
      <c r="G59" s="326"/>
      <c r="H59" s="243"/>
      <c r="I59" s="325"/>
      <c r="J59" s="243"/>
      <c r="K59" s="278"/>
      <c r="L59" s="243"/>
      <c r="M59" s="243"/>
      <c r="N59" s="243"/>
      <c r="O59" s="243"/>
      <c r="P59" s="243"/>
      <c r="Q59" s="278"/>
      <c r="R59" s="278"/>
      <c r="S59" s="243"/>
    </row>
    <row r="60" spans="2:19" ht="12.5">
      <c r="B60" s="243"/>
      <c r="C60" s="243"/>
      <c r="D60" s="292"/>
      <c r="E60" s="243"/>
      <c r="F60" s="243"/>
      <c r="G60" s="243"/>
      <c r="H60" s="243"/>
      <c r="I60" s="325"/>
      <c r="J60" s="243"/>
      <c r="K60" s="278"/>
      <c r="L60" s="243"/>
      <c r="M60" s="243"/>
      <c r="N60" s="243"/>
      <c r="O60" s="243"/>
      <c r="P60" s="243"/>
      <c r="Q60" s="278"/>
      <c r="R60" s="278"/>
      <c r="S60" s="243"/>
    </row>
    <row r="61" spans="2:19" ht="15.5">
      <c r="B61" s="243"/>
      <c r="C61" s="306" t="str">
        <f>"C.   Determine Gross Margin Tax with hypothetical "&amp;F13&amp;" basis point increase in ROE."</f>
        <v>C.   Determine Gross Margin Tax with hypothetical 0 basis point increase in ROE.</v>
      </c>
      <c r="D61" s="330"/>
      <c r="E61" s="330"/>
      <c r="F61" s="331"/>
      <c r="G61" s="331"/>
      <c r="H61" s="244"/>
      <c r="I61" s="325"/>
      <c r="J61" s="243"/>
      <c r="K61" s="278"/>
      <c r="L61" s="243"/>
      <c r="M61" s="243"/>
      <c r="N61" s="243"/>
      <c r="O61" s="243"/>
      <c r="P61" s="243"/>
      <c r="Q61" s="278"/>
      <c r="R61" s="278"/>
      <c r="S61" s="243"/>
    </row>
    <row r="62" spans="2:19" ht="12.5">
      <c r="B62" s="243"/>
      <c r="C62" s="299" t="str">
        <f>"   Net Revenue Requirement before Gross Margin Taxes, with "&amp;F13&amp;" "</f>
        <v xml:space="preserve">   Net Revenue Requirement before Gross Margin Taxes, with 0 </v>
      </c>
      <c r="D62" s="330"/>
      <c r="E62" s="330"/>
      <c r="F62" s="331">
        <f>+F55</f>
        <v>118850687.90509972</v>
      </c>
      <c r="G62" s="331"/>
      <c r="H62" s="244"/>
      <c r="I62" s="325"/>
      <c r="J62" s="243"/>
      <c r="K62" s="278"/>
      <c r="L62" s="243"/>
      <c r="M62" s="243"/>
      <c r="N62" s="243"/>
      <c r="O62" s="243"/>
      <c r="P62" s="243"/>
      <c r="Q62" s="278"/>
      <c r="R62" s="278"/>
      <c r="S62" s="243"/>
    </row>
    <row r="63" spans="2:19" ht="12.5">
      <c r="B63" s="243"/>
      <c r="C63" s="299" t="s">
        <v>28</v>
      </c>
      <c r="D63" s="330"/>
      <c r="E63" s="330"/>
      <c r="F63" s="331"/>
      <c r="G63" s="331"/>
      <c r="H63" s="244"/>
      <c r="I63" s="325"/>
      <c r="J63" s="243"/>
      <c r="K63" s="278"/>
      <c r="L63" s="243"/>
      <c r="M63" s="243"/>
      <c r="N63" s="243"/>
      <c r="O63" s="243"/>
      <c r="P63" s="243"/>
      <c r="Q63" s="278"/>
      <c r="R63" s="278"/>
      <c r="S63" s="243"/>
    </row>
    <row r="64" spans="2:19" ht="12.5">
      <c r="B64" s="243"/>
      <c r="C64" s="248" t="str">
        <f>S120</f>
        <v xml:space="preserve">  Gross Margin Taxes  (TCOS, ln 116)</v>
      </c>
      <c r="D64" s="333"/>
      <c r="E64" s="244"/>
      <c r="F64" s="334">
        <f>R120</f>
        <v>0</v>
      </c>
      <c r="G64" s="413"/>
      <c r="H64" s="244"/>
      <c r="I64" s="325"/>
      <c r="J64" s="243"/>
      <c r="K64" s="278"/>
      <c r="L64" s="243"/>
      <c r="M64" s="243"/>
      <c r="N64" s="243"/>
      <c r="O64" s="243"/>
      <c r="P64" s="243"/>
      <c r="Q64" s="278"/>
      <c r="R64" s="278"/>
      <c r="S64" s="243"/>
    </row>
    <row r="65" spans="2:19" ht="12.5">
      <c r="B65" s="243"/>
      <c r="C65" s="248" t="s">
        <v>29</v>
      </c>
      <c r="D65" s="333"/>
      <c r="E65" s="244"/>
      <c r="F65" s="331">
        <f>+F64*F62</f>
        <v>0</v>
      </c>
      <c r="G65" s="331"/>
      <c r="H65" s="244"/>
      <c r="I65" s="325"/>
      <c r="J65" s="243"/>
      <c r="K65" s="278"/>
      <c r="L65" s="243"/>
      <c r="M65" s="243"/>
      <c r="N65" s="243"/>
      <c r="O65" s="243"/>
      <c r="P65" s="243"/>
      <c r="Q65" s="278"/>
      <c r="R65" s="278"/>
      <c r="S65" s="243"/>
    </row>
    <row r="66" spans="2:19" ht="12.5">
      <c r="B66" s="243"/>
      <c r="C66" s="248" t="str">
        <f>+OKT.WS.F.BPU.ATRR.Projected!C65</f>
        <v xml:space="preserve">       Taxable Percentage of Revenue (22%)</v>
      </c>
      <c r="D66" s="333"/>
      <c r="E66" s="244"/>
      <c r="F66" s="335">
        <f>+OKT.WS.F.BPU.ATRR.Projected!F65</f>
        <v>0.22</v>
      </c>
      <c r="G66" s="414"/>
      <c r="H66" s="244"/>
      <c r="I66" s="325"/>
      <c r="J66" s="243"/>
      <c r="K66" s="278"/>
      <c r="L66" s="243"/>
      <c r="M66" s="243"/>
      <c r="N66" s="243"/>
      <c r="O66" s="243"/>
      <c r="P66" s="243"/>
      <c r="Q66" s="278"/>
      <c r="R66" s="278"/>
      <c r="S66" s="243"/>
    </row>
    <row r="67" spans="2:19" ht="12.5">
      <c r="B67" s="243"/>
      <c r="C67" s="248" t="s">
        <v>30</v>
      </c>
      <c r="D67" s="333"/>
      <c r="E67" s="244"/>
      <c r="F67" s="331">
        <f>+F65*F66</f>
        <v>0</v>
      </c>
      <c r="G67" s="331"/>
      <c r="H67" s="244"/>
      <c r="I67" s="325"/>
      <c r="J67" s="243"/>
      <c r="K67" s="278"/>
      <c r="L67" s="243"/>
      <c r="M67" s="243"/>
      <c r="N67" s="243"/>
      <c r="O67" s="243"/>
      <c r="P67" s="243"/>
      <c r="Q67" s="278"/>
      <c r="R67" s="278"/>
      <c r="S67" s="243"/>
    </row>
    <row r="68" spans="2:19" ht="12.5">
      <c r="B68" s="243"/>
      <c r="C68" s="248" t="s">
        <v>31</v>
      </c>
      <c r="D68" s="333"/>
      <c r="E68" s="244"/>
      <c r="F68" s="335">
        <v>0.01</v>
      </c>
      <c r="G68" s="414"/>
      <c r="H68" s="244"/>
      <c r="I68" s="325"/>
      <c r="J68" s="243"/>
      <c r="K68" s="278"/>
      <c r="L68" s="243"/>
      <c r="M68" s="243"/>
      <c r="N68" s="243"/>
      <c r="O68" s="243"/>
      <c r="P68" s="243"/>
      <c r="Q68" s="278"/>
      <c r="R68" s="278"/>
      <c r="S68" s="243"/>
    </row>
    <row r="69" spans="2:19" ht="12.5">
      <c r="B69" s="243"/>
      <c r="C69" s="248" t="s">
        <v>32</v>
      </c>
      <c r="D69" s="333"/>
      <c r="E69" s="244"/>
      <c r="F69" s="331">
        <f>+F67*F68</f>
        <v>0</v>
      </c>
      <c r="G69" s="331"/>
      <c r="H69" s="244"/>
      <c r="I69" s="325"/>
      <c r="J69" s="243"/>
      <c r="K69" s="278"/>
      <c r="L69" s="243"/>
      <c r="M69" s="243"/>
      <c r="N69" s="243"/>
      <c r="O69" s="243"/>
      <c r="P69" s="243"/>
      <c r="Q69" s="278"/>
      <c r="R69" s="278"/>
      <c r="S69" s="243"/>
    </row>
    <row r="70" spans="2:19" ht="12.5">
      <c r="B70" s="243"/>
      <c r="C70" s="248" t="s">
        <v>33</v>
      </c>
      <c r="D70" s="333"/>
      <c r="E70" s="244"/>
      <c r="F70" s="336">
        <f>+ROUND((F69*F66*F64)/(1-F68)*F68,0)</f>
        <v>0</v>
      </c>
      <c r="G70" s="415"/>
      <c r="H70" s="244"/>
      <c r="I70" s="325"/>
      <c r="J70" s="243"/>
      <c r="K70" s="278"/>
      <c r="L70" s="243"/>
      <c r="M70" s="243"/>
      <c r="N70" s="243"/>
      <c r="O70" s="243"/>
      <c r="P70" s="243"/>
      <c r="Q70" s="278"/>
      <c r="R70" s="278"/>
      <c r="S70" s="243"/>
    </row>
    <row r="71" spans="2:19" ht="12.5">
      <c r="B71" s="243"/>
      <c r="C71" s="248" t="s">
        <v>34</v>
      </c>
      <c r="D71" s="333"/>
      <c r="E71" s="244"/>
      <c r="F71" s="331">
        <f>+F69+F70</f>
        <v>0</v>
      </c>
      <c r="G71" s="331"/>
      <c r="H71" s="244"/>
      <c r="I71" s="325"/>
      <c r="J71" s="243"/>
      <c r="K71" s="278"/>
      <c r="L71" s="243"/>
      <c r="M71" s="243"/>
      <c r="N71" s="243"/>
      <c r="O71" s="243"/>
      <c r="P71" s="243"/>
      <c r="Q71" s="278"/>
      <c r="R71" s="278"/>
      <c r="S71" s="243"/>
    </row>
    <row r="72" spans="2:19" ht="12.5">
      <c r="B72" s="243"/>
      <c r="C72" s="243"/>
      <c r="D72" s="292"/>
      <c r="E72" s="243"/>
      <c r="F72" s="243"/>
      <c r="G72" s="243"/>
      <c r="H72" s="243"/>
      <c r="I72" s="325"/>
      <c r="J72" s="243"/>
      <c r="K72" s="278"/>
      <c r="L72" s="243"/>
      <c r="M72" s="243"/>
      <c r="N72" s="243"/>
      <c r="O72" s="243"/>
      <c r="P72" s="243"/>
      <c r="Q72" s="278"/>
      <c r="R72" s="278"/>
      <c r="S72" s="243"/>
    </row>
    <row r="73" spans="2:19" ht="15.5">
      <c r="B73" s="243"/>
      <c r="C73" s="235" t="str">
        <f>"D.   Determine FCR with hypothetical "&amp;F13&amp;" basis point ROE increase."</f>
        <v>D.   Determine FCR with hypothetical 0 basis point ROE increase.</v>
      </c>
      <c r="D73" s="292"/>
      <c r="E73" s="243"/>
      <c r="F73" s="243"/>
      <c r="G73" s="243"/>
      <c r="H73" s="243"/>
      <c r="I73" s="212"/>
      <c r="J73" s="243"/>
      <c r="K73" s="278"/>
      <c r="L73" s="243"/>
      <c r="M73" s="243"/>
      <c r="N73" s="243"/>
      <c r="O73" s="243"/>
      <c r="P73" s="243"/>
      <c r="Q73" s="278"/>
      <c r="R73" s="278"/>
      <c r="S73" s="243"/>
    </row>
    <row r="74" spans="2:19" ht="12.5">
      <c r="B74" s="243"/>
      <c r="C74" s="243"/>
      <c r="D74" s="292"/>
      <c r="E74" s="243"/>
      <c r="F74" s="243"/>
      <c r="G74" s="243"/>
      <c r="H74" s="243"/>
      <c r="I74" s="325"/>
      <c r="J74" s="243"/>
      <c r="K74" s="278"/>
      <c r="L74" s="243"/>
      <c r="M74" s="243"/>
      <c r="N74" s="243"/>
      <c r="O74" s="243"/>
      <c r="P74" s="243"/>
      <c r="Q74" s="278"/>
      <c r="R74" s="278"/>
      <c r="S74" s="243"/>
    </row>
    <row r="75" spans="2:19" ht="12.5">
      <c r="B75" s="243"/>
      <c r="C75" s="311" t="str">
        <f>S123</f>
        <v xml:space="preserve">   Net Transmission Plant  (TCOS, ln 37)</v>
      </c>
      <c r="D75" s="292"/>
      <c r="E75" s="243"/>
      <c r="F75" s="326">
        <f>R123</f>
        <v>847690343.26246154</v>
      </c>
      <c r="G75" s="326"/>
      <c r="I75" s="212"/>
      <c r="J75" s="243"/>
      <c r="K75" s="278"/>
      <c r="L75" s="243"/>
      <c r="M75" s="243"/>
      <c r="N75" s="243"/>
      <c r="O75" s="243"/>
      <c r="P75" s="243"/>
      <c r="Q75" s="278"/>
      <c r="R75" s="278"/>
      <c r="S75" s="243"/>
    </row>
    <row r="76" spans="2:19" ht="14">
      <c r="B76" s="243"/>
      <c r="C76" s="248" t="str">
        <f>"   Net Revenue Requirement, with "&amp;F13&amp;" Basis Point ROE increase"</f>
        <v xml:space="preserve">   Net Revenue Requirement, with 0 Basis Point ROE increase</v>
      </c>
      <c r="D76" s="292"/>
      <c r="E76" s="243"/>
      <c r="F76" s="416">
        <f>+F57</f>
        <v>118850687.90509972</v>
      </c>
      <c r="G76" s="416"/>
      <c r="I76" s="212"/>
      <c r="J76" s="243"/>
      <c r="K76" s="278"/>
      <c r="L76" s="243"/>
      <c r="M76" s="243"/>
      <c r="N76" s="243"/>
      <c r="O76" s="243"/>
      <c r="P76" s="243"/>
      <c r="Q76" s="278"/>
      <c r="R76" s="278"/>
      <c r="S76" s="243"/>
    </row>
    <row r="77" spans="2:19" ht="12.5">
      <c r="B77" s="243"/>
      <c r="C77" s="248" t="str">
        <f>"   FCR with "&amp;F13&amp;" Basis Point increase in ROE"</f>
        <v xml:space="preserve">   FCR with 0 Basis Point increase in ROE</v>
      </c>
      <c r="D77" s="292"/>
      <c r="E77" s="243"/>
      <c r="F77" s="339">
        <f>IF(F75=0,0,F76/F75)</f>
        <v>0.14020531064172004</v>
      </c>
      <c r="G77" s="339"/>
      <c r="I77" s="212"/>
      <c r="J77" s="243"/>
      <c r="K77" s="278"/>
      <c r="L77" s="243"/>
      <c r="M77" s="243"/>
      <c r="N77" s="243"/>
      <c r="O77" s="243"/>
      <c r="P77" s="243"/>
      <c r="Q77" s="278"/>
      <c r="R77" s="278"/>
      <c r="S77" s="243"/>
    </row>
    <row r="78" spans="2:19" ht="12.5">
      <c r="B78" s="243"/>
      <c r="D78" s="292"/>
      <c r="E78" s="243"/>
      <c r="F78" s="244"/>
      <c r="G78" s="244"/>
      <c r="H78" s="417"/>
      <c r="I78" s="212"/>
      <c r="J78" s="243"/>
      <c r="K78" s="278"/>
      <c r="L78" s="243"/>
      <c r="M78" s="243"/>
      <c r="N78" s="243"/>
      <c r="O78" s="243"/>
      <c r="P78" s="243"/>
      <c r="Q78" s="278"/>
      <c r="R78" s="278"/>
      <c r="S78" s="243"/>
    </row>
    <row r="79" spans="2:19" ht="12.5">
      <c r="B79" s="243"/>
      <c r="C79" s="248" t="str">
        <f>"   Net Rev. Req, w / "&amp;F13&amp;" Basis Point ROE increase, less Dep."</f>
        <v xml:space="preserve">   Net Rev. Req, w / 0 Basis Point ROE increase, less Dep.</v>
      </c>
      <c r="D79" s="292"/>
      <c r="E79" s="243"/>
      <c r="F79" s="326">
        <f>+F59</f>
        <v>91658394.304279014</v>
      </c>
      <c r="G79" s="326"/>
      <c r="I79" s="212"/>
      <c r="J79" s="243"/>
      <c r="K79" s="278"/>
      <c r="L79" s="243"/>
      <c r="M79" s="243"/>
      <c r="N79" s="243"/>
      <c r="O79" s="243"/>
      <c r="P79" s="243"/>
      <c r="Q79" s="278"/>
      <c r="R79" s="278"/>
      <c r="S79" s="243"/>
    </row>
    <row r="80" spans="2:19" ht="12.5">
      <c r="B80" s="243"/>
      <c r="C80" s="248" t="str">
        <f>"   FCR with "&amp;F13&amp;" Basis Point ROE increase, less Depreciation"</f>
        <v xml:space="preserve">   FCR with 0 Basis Point ROE increase, less Depreciation</v>
      </c>
      <c r="D80" s="292"/>
      <c r="E80" s="243"/>
      <c r="F80" s="339">
        <f>IF(F75=0,0,F79/F75)</f>
        <v>0.10812721300034886</v>
      </c>
      <c r="G80" s="339"/>
      <c r="H80" s="337"/>
      <c r="I80" s="212"/>
      <c r="J80" s="243"/>
      <c r="K80" s="278"/>
      <c r="L80" s="243"/>
      <c r="M80" s="243"/>
      <c r="N80" s="243"/>
      <c r="O80" s="243"/>
      <c r="P80" s="243"/>
      <c r="Q80" s="278"/>
      <c r="R80" s="278"/>
      <c r="S80" s="243"/>
    </row>
    <row r="81" spans="2:19" ht="12.5">
      <c r="B81" s="243"/>
      <c r="C81" s="311" t="str">
        <f>S124</f>
        <v xml:space="preserve">   FCR less Depreciation  (TCOS, ln 10)</v>
      </c>
      <c r="D81" s="292"/>
      <c r="E81" s="243"/>
      <c r="F81" s="340">
        <f>R124</f>
        <v>0.10800922592579221</v>
      </c>
      <c r="G81" s="340"/>
      <c r="H81" s="418"/>
      <c r="I81" s="212"/>
      <c r="J81" s="243"/>
      <c r="K81" s="278"/>
      <c r="L81" s="243"/>
      <c r="M81" s="243"/>
      <c r="N81" s="243"/>
      <c r="O81" s="243"/>
      <c r="P81" s="243"/>
      <c r="Q81" s="278"/>
      <c r="R81" s="278"/>
      <c r="S81" s="243"/>
    </row>
    <row r="82" spans="2:19" ht="12.5">
      <c r="B82" s="243"/>
      <c r="C82" s="248" t="str">
        <f>"   Incremental FCR with "&amp;F13&amp;" Basis Point ROE increase, less Depreciation"</f>
        <v xml:space="preserve">   Incremental FCR with 0 Basis Point ROE increase, less Depreciation</v>
      </c>
      <c r="D82" s="292"/>
      <c r="E82" s="243"/>
      <c r="F82" s="339">
        <f>F80-F81</f>
        <v>1.1798707455665247E-4</v>
      </c>
      <c r="G82" s="339"/>
      <c r="I82" s="212"/>
      <c r="J82" s="243"/>
      <c r="K82" s="278"/>
      <c r="L82" s="243"/>
      <c r="M82" s="243"/>
      <c r="N82" s="243"/>
      <c r="O82" s="243"/>
      <c r="P82" s="243"/>
      <c r="Q82" s="278"/>
      <c r="R82" s="278"/>
      <c r="S82" s="243"/>
    </row>
    <row r="83" spans="2:19" ht="12.5">
      <c r="B83" s="243"/>
      <c r="C83" s="248"/>
      <c r="D83" s="292"/>
      <c r="E83" s="243"/>
      <c r="F83" s="339"/>
      <c r="G83" s="339"/>
      <c r="H83" s="243"/>
      <c r="I83" s="325"/>
      <c r="J83" s="243"/>
      <c r="K83" s="278"/>
      <c r="L83" s="243"/>
      <c r="M83" s="243"/>
      <c r="N83" s="243"/>
      <c r="O83" s="243"/>
      <c r="P83" s="243"/>
      <c r="Q83" s="278"/>
      <c r="R83" s="278"/>
      <c r="S83" s="243"/>
    </row>
    <row r="84" spans="2:19" ht="18">
      <c r="B84" s="233" t="s">
        <v>35</v>
      </c>
      <c r="C84" s="305" t="s">
        <v>36</v>
      </c>
      <c r="D84" s="292"/>
      <c r="E84" s="243"/>
      <c r="F84" s="339"/>
      <c r="G84" s="339"/>
      <c r="H84" s="243"/>
      <c r="I84" s="325"/>
      <c r="J84" s="243"/>
      <c r="K84" s="278"/>
      <c r="L84" s="243"/>
      <c r="M84" s="243"/>
      <c r="N84" s="243"/>
      <c r="O84" s="243"/>
      <c r="P84" s="243"/>
      <c r="Q84" s="278"/>
      <c r="R84" s="278"/>
      <c r="S84" s="243"/>
    </row>
    <row r="85" spans="2:19" ht="12.75" customHeight="1">
      <c r="B85" s="233"/>
      <c r="C85" s="305"/>
      <c r="D85" s="292"/>
      <c r="E85" s="243"/>
      <c r="F85" s="339"/>
      <c r="G85" s="339"/>
      <c r="H85" s="243"/>
      <c r="I85" s="325"/>
      <c r="J85" s="243"/>
      <c r="K85" s="278"/>
      <c r="L85" s="243"/>
      <c r="M85" s="243"/>
      <c r="N85" s="243"/>
      <c r="O85" s="243"/>
      <c r="P85" s="243"/>
      <c r="Q85" s="278"/>
      <c r="R85" s="278"/>
      <c r="S85" s="243"/>
    </row>
    <row r="86" spans="2:19" ht="12.75" customHeight="1">
      <c r="B86" s="233"/>
      <c r="C86" s="248" t="s">
        <v>37</v>
      </c>
      <c r="D86" s="292"/>
      <c r="F86" s="419">
        <v>849082429</v>
      </c>
      <c r="G86" s="243" t="s">
        <v>241</v>
      </c>
      <c r="I86" s="650" t="s">
        <v>259</v>
      </c>
      <c r="J86" s="650"/>
      <c r="K86" s="650"/>
      <c r="L86" s="650"/>
      <c r="M86" s="650"/>
      <c r="N86" s="650"/>
      <c r="O86" s="243"/>
      <c r="P86" s="243"/>
      <c r="Q86" s="278"/>
      <c r="R86" s="278"/>
      <c r="S86" s="243"/>
    </row>
    <row r="87" spans="2:19" ht="12.75" customHeight="1">
      <c r="B87" s="233"/>
      <c r="C87" s="248" t="s">
        <v>38</v>
      </c>
      <c r="D87" s="292"/>
      <c r="F87" s="420">
        <v>958546907</v>
      </c>
      <c r="G87" s="243" t="s">
        <v>241</v>
      </c>
      <c r="I87" s="650"/>
      <c r="J87" s="650"/>
      <c r="K87" s="650"/>
      <c r="L87" s="650"/>
      <c r="M87" s="650"/>
      <c r="N87" s="650"/>
      <c r="O87" s="243"/>
      <c r="P87" s="243"/>
      <c r="Q87" s="278"/>
      <c r="R87" s="278"/>
      <c r="S87" s="243"/>
    </row>
    <row r="88" spans="2:19" ht="12.75" customHeight="1">
      <c r="B88" s="233"/>
      <c r="C88" s="248"/>
      <c r="D88" s="292"/>
      <c r="F88" s="332">
        <f>SUM(F86:F87)</f>
        <v>1807629336</v>
      </c>
      <c r="G88" s="325"/>
      <c r="H88" s="243"/>
      <c r="I88" s="650"/>
      <c r="J88" s="650"/>
      <c r="K88" s="650"/>
      <c r="L88" s="650"/>
      <c r="M88" s="650"/>
      <c r="N88" s="650"/>
      <c r="O88" s="243"/>
      <c r="P88" s="243"/>
      <c r="Q88" s="278"/>
      <c r="R88" s="278"/>
      <c r="S88" s="243"/>
    </row>
    <row r="89" spans="2:19" ht="12.5">
      <c r="B89" s="243"/>
      <c r="C89" s="248" t="str">
        <f>+S125</f>
        <v>Transmission Plant @ Beginning of Period (P.206, ln 58)</v>
      </c>
      <c r="D89" s="333"/>
      <c r="E89" s="152"/>
      <c r="F89" s="342">
        <f>+F88/2</f>
        <v>903814668</v>
      </c>
      <c r="G89" s="323"/>
      <c r="I89" s="650"/>
      <c r="J89" s="650"/>
      <c r="K89" s="650"/>
      <c r="L89" s="650"/>
      <c r="M89" s="650"/>
      <c r="N89" s="650"/>
      <c r="O89" s="243"/>
      <c r="P89" s="243"/>
      <c r="Q89" s="278"/>
      <c r="R89" s="278"/>
      <c r="S89" s="243"/>
    </row>
    <row r="90" spans="2:19" ht="12.5">
      <c r="B90" s="243"/>
      <c r="C90" s="236" t="str">
        <f>S128</f>
        <v>Annual Depreciation Expense  (TCOS, ln 86)</v>
      </c>
      <c r="D90" s="333"/>
      <c r="E90" s="244"/>
      <c r="F90" s="342">
        <f>R128</f>
        <v>27192293.600820702</v>
      </c>
      <c r="G90" s="323"/>
      <c r="I90" s="650"/>
      <c r="J90" s="650"/>
      <c r="K90" s="650"/>
      <c r="L90" s="650"/>
      <c r="M90" s="650"/>
      <c r="N90" s="650"/>
      <c r="O90" s="243"/>
      <c r="P90" s="243"/>
      <c r="Q90" s="278"/>
      <c r="R90" s="278"/>
      <c r="S90" s="243"/>
    </row>
    <row r="91" spans="2:19" ht="12.5">
      <c r="B91" s="243"/>
      <c r="C91" s="248" t="s">
        <v>39</v>
      </c>
      <c r="D91" s="292"/>
      <c r="E91" s="243"/>
      <c r="F91" s="344">
        <f>F90/F89</f>
        <v>3.0086138855206876E-2</v>
      </c>
      <c r="G91" s="339"/>
      <c r="H91" s="243"/>
      <c r="I91" s="650"/>
      <c r="J91" s="650"/>
      <c r="K91" s="650"/>
      <c r="L91" s="650"/>
      <c r="M91" s="650"/>
      <c r="N91" s="650"/>
      <c r="O91" s="243"/>
      <c r="P91" s="243"/>
      <c r="Q91" s="278"/>
      <c r="R91" s="278"/>
      <c r="S91" s="243"/>
    </row>
    <row r="92" spans="2:19" ht="12.5">
      <c r="B92" s="243"/>
      <c r="C92" s="248" t="s">
        <v>40</v>
      </c>
      <c r="D92" s="292"/>
      <c r="E92" s="243"/>
      <c r="F92" s="346">
        <f>IF(F91=0,0,1/F91)</f>
        <v>33.237897518608783</v>
      </c>
      <c r="G92" s="346"/>
      <c r="H92" s="243"/>
      <c r="I92" s="325"/>
      <c r="J92" s="243"/>
      <c r="K92" s="278"/>
      <c r="L92" s="243"/>
      <c r="M92" s="243"/>
      <c r="N92" s="243"/>
      <c r="O92" s="243"/>
      <c r="P92" s="243"/>
      <c r="Q92" s="278"/>
      <c r="R92" s="278"/>
      <c r="S92" s="243"/>
    </row>
    <row r="93" spans="2:19" ht="12.5">
      <c r="B93" s="243"/>
      <c r="C93" s="248" t="s">
        <v>41</v>
      </c>
      <c r="D93" s="292"/>
      <c r="E93" s="243"/>
      <c r="F93" s="347">
        <f>ROUND(F92,0)</f>
        <v>33</v>
      </c>
      <c r="G93" s="347"/>
      <c r="H93" s="243"/>
      <c r="I93" s="325"/>
      <c r="J93" s="243"/>
      <c r="K93" s="278"/>
      <c r="L93" s="243"/>
      <c r="M93" s="243"/>
      <c r="N93" s="243"/>
      <c r="O93" s="243"/>
      <c r="P93" s="243"/>
      <c r="Q93" s="278"/>
      <c r="R93" s="278"/>
      <c r="S93" s="243"/>
    </row>
    <row r="94" spans="2:19" ht="12.5">
      <c r="B94" s="243"/>
      <c r="C94" s="248"/>
      <c r="D94" s="292"/>
      <c r="E94" s="243"/>
      <c r="F94" s="347"/>
      <c r="G94" s="347"/>
      <c r="H94" s="243"/>
      <c r="I94" s="325"/>
      <c r="J94" s="243"/>
      <c r="K94" s="278"/>
      <c r="L94" s="243"/>
      <c r="M94" s="243"/>
      <c r="N94" s="243"/>
      <c r="O94" s="243"/>
      <c r="P94" s="243"/>
      <c r="Q94" s="278"/>
      <c r="R94" s="278"/>
      <c r="S94" s="243"/>
    </row>
    <row r="95" spans="2:19" ht="12.5">
      <c r="B95" s="243"/>
      <c r="C95" s="248"/>
      <c r="D95" s="292"/>
      <c r="E95" s="243"/>
      <c r="F95" s="347"/>
      <c r="G95" s="347"/>
      <c r="H95" s="243"/>
      <c r="I95" s="325"/>
      <c r="J95" s="243"/>
      <c r="K95" s="278"/>
      <c r="L95" s="243"/>
      <c r="M95" s="243"/>
      <c r="N95" s="243"/>
      <c r="O95" s="243"/>
      <c r="P95" s="243"/>
      <c r="Q95" s="278"/>
      <c r="R95" s="278"/>
      <c r="S95" s="243"/>
    </row>
    <row r="96" spans="2:19" ht="12.5">
      <c r="B96" s="243"/>
      <c r="C96" s="248"/>
      <c r="D96" s="292"/>
      <c r="E96" s="243"/>
      <c r="F96" s="347"/>
      <c r="G96" s="347"/>
      <c r="H96" s="243"/>
      <c r="I96" s="325"/>
      <c r="J96" s="243"/>
      <c r="K96" s="278"/>
      <c r="L96" s="243"/>
      <c r="M96" s="243"/>
      <c r="N96" s="243"/>
      <c r="O96" s="243"/>
      <c r="P96" s="243"/>
      <c r="Q96" s="278"/>
      <c r="R96" s="278"/>
      <c r="S96" s="243"/>
    </row>
    <row r="97" spans="3:19" ht="13">
      <c r="C97" s="243"/>
      <c r="D97" s="292"/>
      <c r="E97" s="243"/>
      <c r="F97" s="243"/>
      <c r="G97" s="243"/>
      <c r="H97" s="243"/>
      <c r="I97" s="325"/>
      <c r="J97" s="243"/>
      <c r="K97" s="278"/>
      <c r="L97" s="243"/>
      <c r="M97" s="243"/>
      <c r="N97" s="243"/>
      <c r="O97" s="243"/>
      <c r="P97" s="243"/>
      <c r="Q97" s="278"/>
      <c r="R97" s="351" t="s">
        <v>111</v>
      </c>
      <c r="S97" s="352" t="s">
        <v>117</v>
      </c>
    </row>
    <row r="98" spans="3:19" ht="12.5">
      <c r="C98" s="243"/>
      <c r="D98" s="292"/>
      <c r="E98" s="243"/>
      <c r="F98" s="243"/>
      <c r="G98" s="243"/>
      <c r="H98" s="243"/>
      <c r="I98" s="325"/>
      <c r="J98" s="243"/>
      <c r="K98" s="278"/>
      <c r="L98" s="243"/>
      <c r="M98" s="243"/>
      <c r="N98" s="243"/>
      <c r="O98" s="243"/>
      <c r="P98" s="243"/>
      <c r="Q98" s="278"/>
    </row>
    <row r="99" spans="3:19" ht="13">
      <c r="C99" s="232" t="s">
        <v>108</v>
      </c>
      <c r="J99" s="220"/>
      <c r="L99" s="232" t="s">
        <v>107</v>
      </c>
      <c r="N99" s="243"/>
      <c r="O99" s="243"/>
      <c r="P99" s="243"/>
      <c r="Q99" s="278"/>
    </row>
    <row r="100" spans="3:19" ht="12.5">
      <c r="C100" s="243"/>
      <c r="D100" s="292"/>
      <c r="E100" s="243"/>
      <c r="F100" s="243"/>
      <c r="G100" s="243"/>
      <c r="H100" s="243"/>
      <c r="I100" s="325"/>
      <c r="J100" s="243"/>
      <c r="K100" s="278"/>
      <c r="L100" s="243"/>
      <c r="M100" s="243"/>
      <c r="N100" s="243"/>
      <c r="O100" s="243"/>
      <c r="P100" s="243"/>
      <c r="Q100" s="278"/>
      <c r="S100" s="352" t="s">
        <v>105</v>
      </c>
    </row>
    <row r="101" spans="3:19" ht="13">
      <c r="C101" s="243"/>
      <c r="D101" s="292"/>
      <c r="E101" s="243"/>
      <c r="F101" s="243"/>
      <c r="G101" s="243"/>
      <c r="H101" s="243"/>
      <c r="I101" s="325"/>
      <c r="J101" s="243"/>
      <c r="K101" s="278"/>
      <c r="L101" s="243"/>
      <c r="M101" s="243"/>
      <c r="N101" s="243"/>
      <c r="O101" s="243"/>
      <c r="P101" s="243"/>
      <c r="Q101" s="278"/>
      <c r="R101" s="351" t="s">
        <v>102</v>
      </c>
      <c r="S101" s="200" t="s">
        <v>119</v>
      </c>
    </row>
    <row r="102" spans="3:19" ht="13.5" thickBot="1">
      <c r="C102" s="243"/>
      <c r="D102" s="292"/>
      <c r="E102" s="243"/>
      <c r="F102" s="243"/>
      <c r="G102" s="243"/>
      <c r="H102" s="243"/>
      <c r="I102" s="325"/>
      <c r="J102" s="243"/>
      <c r="K102" s="278"/>
      <c r="L102" s="243"/>
      <c r="M102" s="243"/>
      <c r="N102" s="243"/>
      <c r="O102" s="243"/>
      <c r="Q102" s="278"/>
      <c r="R102" s="353" t="s">
        <v>186</v>
      </c>
    </row>
    <row r="103" spans="3:19" ht="12.5">
      <c r="C103" s="243"/>
      <c r="D103" s="292"/>
      <c r="E103" s="243"/>
      <c r="F103" s="243"/>
      <c r="G103" s="243"/>
      <c r="H103" s="243"/>
      <c r="I103" s="325"/>
      <c r="J103" s="243"/>
      <c r="K103" s="278"/>
      <c r="L103" s="243"/>
      <c r="M103" s="243"/>
      <c r="N103" s="243"/>
      <c r="O103" s="243"/>
      <c r="Q103" s="278"/>
      <c r="R103" s="421" t="s">
        <v>178</v>
      </c>
      <c r="S103" s="422" t="s">
        <v>127</v>
      </c>
    </row>
    <row r="104" spans="3:19" ht="12.5">
      <c r="C104" s="243"/>
      <c r="D104" s="292"/>
      <c r="E104" s="243"/>
      <c r="F104" s="243"/>
      <c r="G104" s="243"/>
      <c r="H104" s="243"/>
      <c r="I104" s="325"/>
      <c r="J104" s="243"/>
      <c r="K104" s="278"/>
      <c r="L104" s="243"/>
      <c r="M104" s="243"/>
      <c r="N104" s="243"/>
      <c r="O104" s="243"/>
      <c r="Q104" s="278"/>
      <c r="R104" s="356">
        <v>2019</v>
      </c>
      <c r="S104" s="423" t="s">
        <v>84</v>
      </c>
    </row>
    <row r="105" spans="3:19" ht="12.5">
      <c r="C105" s="243"/>
      <c r="D105" s="292"/>
      <c r="E105" s="243"/>
      <c r="F105" s="243"/>
      <c r="G105" s="243"/>
      <c r="H105" s="243"/>
      <c r="I105" s="325"/>
      <c r="J105" s="243"/>
      <c r="K105" s="278"/>
      <c r="L105" s="243"/>
      <c r="M105" s="243"/>
      <c r="N105" s="243"/>
      <c r="O105" s="243"/>
      <c r="Q105" s="278"/>
      <c r="R105" s="424">
        <v>0.105</v>
      </c>
      <c r="S105" s="423" t="s">
        <v>270</v>
      </c>
    </row>
    <row r="106" spans="3:19" ht="12.5">
      <c r="C106" s="243"/>
      <c r="D106" s="292"/>
      <c r="E106" s="243"/>
      <c r="F106" s="243"/>
      <c r="G106" s="243"/>
      <c r="H106" s="243"/>
      <c r="I106" s="325"/>
      <c r="J106" s="243"/>
      <c r="K106" s="278"/>
      <c r="L106" s="243"/>
      <c r="M106" s="243"/>
      <c r="N106" s="243"/>
      <c r="O106" s="243"/>
      <c r="Q106" s="278"/>
      <c r="R106" s="425">
        <v>0</v>
      </c>
      <c r="S106" s="423" t="s">
        <v>1</v>
      </c>
    </row>
    <row r="107" spans="3:19" ht="12.5">
      <c r="C107" s="243"/>
      <c r="D107" s="292"/>
      <c r="E107" s="243"/>
      <c r="F107" s="243"/>
      <c r="G107" s="243"/>
      <c r="H107" s="243"/>
      <c r="I107" s="325"/>
      <c r="J107" s="243"/>
      <c r="K107" s="278"/>
      <c r="L107" s="243"/>
      <c r="M107" s="243"/>
      <c r="N107" s="243"/>
      <c r="O107" s="243"/>
      <c r="Q107" s="278"/>
      <c r="R107" s="424">
        <v>0.44194655758972329</v>
      </c>
      <c r="S107" s="426" t="s">
        <v>97</v>
      </c>
    </row>
    <row r="108" spans="3:19" ht="12.5">
      <c r="C108" s="243"/>
      <c r="D108" s="292"/>
      <c r="E108" s="243"/>
      <c r="F108" s="243"/>
      <c r="G108" s="243"/>
      <c r="H108" s="243"/>
      <c r="I108" s="325"/>
      <c r="J108" s="243"/>
      <c r="K108" s="278"/>
      <c r="L108" s="243"/>
      <c r="M108" s="243"/>
      <c r="N108" s="243"/>
      <c r="O108" s="243"/>
      <c r="Q108" s="278"/>
      <c r="R108" s="427">
        <v>4.114257704572407E-2</v>
      </c>
      <c r="S108" s="426" t="s">
        <v>98</v>
      </c>
    </row>
    <row r="109" spans="3:19" ht="12.5">
      <c r="C109" s="243"/>
      <c r="D109" s="292"/>
      <c r="E109" s="243"/>
      <c r="F109" s="243"/>
      <c r="G109" s="243"/>
      <c r="H109" s="243"/>
      <c r="I109" s="325"/>
      <c r="J109" s="243"/>
      <c r="K109" s="278"/>
      <c r="L109" s="243"/>
      <c r="M109" s="243"/>
      <c r="N109" s="243"/>
      <c r="O109" s="243"/>
      <c r="Q109" s="278"/>
      <c r="R109" s="424">
        <v>0</v>
      </c>
      <c r="S109" s="426" t="s">
        <v>99</v>
      </c>
    </row>
    <row r="110" spans="3:19" ht="12.5">
      <c r="C110" s="243"/>
      <c r="D110" s="292"/>
      <c r="E110" s="243"/>
      <c r="F110" s="243"/>
      <c r="G110" s="243"/>
      <c r="H110" s="243"/>
      <c r="I110" s="325"/>
      <c r="J110" s="243"/>
      <c r="K110" s="278"/>
      <c r="L110" s="243"/>
      <c r="M110" s="243"/>
      <c r="N110" s="243"/>
      <c r="O110" s="243"/>
      <c r="Q110" s="278"/>
      <c r="R110" s="427">
        <v>0</v>
      </c>
      <c r="S110" s="426" t="s">
        <v>100</v>
      </c>
    </row>
    <row r="111" spans="3:19" ht="12.5">
      <c r="C111" s="243"/>
      <c r="D111" s="292"/>
      <c r="E111" s="243"/>
      <c r="F111" s="243"/>
      <c r="G111" s="243"/>
      <c r="H111" s="243"/>
      <c r="I111" s="325"/>
      <c r="J111" s="243"/>
      <c r="K111" s="278"/>
      <c r="L111" s="243"/>
      <c r="M111" s="243"/>
      <c r="N111" s="243"/>
      <c r="O111" s="243"/>
      <c r="Q111" s="278"/>
      <c r="R111" s="424">
        <v>0.55805344241027677</v>
      </c>
      <c r="S111" s="428" t="s">
        <v>101</v>
      </c>
    </row>
    <row r="112" spans="3:19" ht="12.5">
      <c r="C112" s="243"/>
      <c r="D112" s="292"/>
      <c r="E112" s="243"/>
      <c r="F112" s="243"/>
      <c r="G112" s="243"/>
      <c r="H112" s="243"/>
      <c r="I112" s="325"/>
      <c r="J112" s="243"/>
      <c r="K112" s="278"/>
      <c r="L112" s="243"/>
      <c r="M112" s="243"/>
      <c r="N112" s="243"/>
      <c r="O112" s="243"/>
      <c r="Q112" s="278"/>
      <c r="R112" s="429">
        <v>695216659.71242821</v>
      </c>
      <c r="S112" s="430" t="s">
        <v>271</v>
      </c>
    </row>
    <row r="113" spans="3:19" ht="12.5">
      <c r="C113" s="243"/>
      <c r="D113" s="292"/>
      <c r="E113" s="243"/>
      <c r="F113" s="243"/>
      <c r="G113" s="243"/>
      <c r="H113" s="243"/>
      <c r="I113" s="325"/>
      <c r="J113" s="243"/>
      <c r="K113" s="278"/>
      <c r="L113" s="243"/>
      <c r="M113" s="243"/>
      <c r="N113" s="243"/>
      <c r="O113" s="243"/>
      <c r="Q113" s="278"/>
      <c r="R113" s="365">
        <v>0.254714</v>
      </c>
      <c r="S113" s="423" t="s">
        <v>272</v>
      </c>
    </row>
    <row r="114" spans="3:19" ht="12.5">
      <c r="C114" s="243"/>
      <c r="D114" s="292"/>
      <c r="E114" s="243"/>
      <c r="F114" s="243"/>
      <c r="G114" s="243"/>
      <c r="H114" s="243"/>
      <c r="I114" s="325"/>
      <c r="J114" s="243"/>
      <c r="K114" s="278"/>
      <c r="L114" s="243"/>
      <c r="M114" s="243"/>
      <c r="N114" s="243"/>
      <c r="O114" s="243"/>
      <c r="Q114" s="278"/>
      <c r="R114" s="429">
        <v>0</v>
      </c>
      <c r="S114" s="423" t="s">
        <v>273</v>
      </c>
    </row>
    <row r="115" spans="3:19" ht="12.5">
      <c r="C115" s="243"/>
      <c r="D115" s="292"/>
      <c r="E115" s="243"/>
      <c r="F115" s="243"/>
      <c r="G115" s="243"/>
      <c r="H115" s="243"/>
      <c r="I115" s="325"/>
      <c r="J115" s="243"/>
      <c r="K115" s="278"/>
      <c r="L115" s="243"/>
      <c r="M115" s="243"/>
      <c r="N115" s="243"/>
      <c r="O115" s="243"/>
      <c r="Q115" s="278"/>
      <c r="R115" s="429">
        <v>726117.49046674673</v>
      </c>
      <c r="S115" s="423" t="s">
        <v>274</v>
      </c>
    </row>
    <row r="116" spans="3:19" ht="12.5">
      <c r="C116" s="243"/>
      <c r="D116" s="292"/>
      <c r="E116" s="243"/>
      <c r="F116" s="243"/>
      <c r="G116" s="243"/>
      <c r="H116" s="243"/>
      <c r="I116" s="325"/>
      <c r="J116" s="243"/>
      <c r="K116" s="278"/>
      <c r="L116" s="243"/>
      <c r="M116" s="243"/>
      <c r="N116" s="243"/>
      <c r="O116" s="243"/>
      <c r="Q116" s="278"/>
      <c r="R116" s="429">
        <v>282675.5098042899</v>
      </c>
      <c r="S116" s="423" t="s">
        <v>275</v>
      </c>
    </row>
    <row r="117" spans="3:19" ht="12.5">
      <c r="C117" s="243"/>
      <c r="D117" s="292"/>
      <c r="E117" s="243"/>
      <c r="F117" s="243"/>
      <c r="G117" s="243"/>
      <c r="H117" s="243"/>
      <c r="I117" s="325"/>
      <c r="J117" s="243"/>
      <c r="K117" s="278"/>
      <c r="L117" s="243"/>
      <c r="M117" s="243"/>
      <c r="N117" s="243"/>
      <c r="O117" s="243"/>
      <c r="Q117" s="278"/>
      <c r="R117" s="429">
        <v>118750671.40136826</v>
      </c>
      <c r="S117" s="423" t="s">
        <v>276</v>
      </c>
    </row>
    <row r="118" spans="3:19" ht="12.5">
      <c r="C118" s="243"/>
      <c r="D118" s="292"/>
      <c r="E118" s="243"/>
      <c r="F118" s="243"/>
      <c r="G118" s="243"/>
      <c r="H118" s="243"/>
      <c r="I118" s="325"/>
      <c r="J118" s="243"/>
      <c r="K118" s="278"/>
      <c r="L118" s="243"/>
      <c r="M118" s="243"/>
      <c r="N118" s="243"/>
      <c r="O118" s="243"/>
      <c r="Q118" s="278"/>
      <c r="R118" s="429">
        <v>53377644.85836409</v>
      </c>
      <c r="S118" s="423" t="s">
        <v>277</v>
      </c>
    </row>
    <row r="119" spans="3:19" ht="12.5">
      <c r="C119" s="243"/>
      <c r="D119" s="292"/>
      <c r="E119" s="243"/>
      <c r="F119" s="243"/>
      <c r="G119" s="243"/>
      <c r="H119" s="243"/>
      <c r="I119" s="325"/>
      <c r="J119" s="243"/>
      <c r="K119" s="278"/>
      <c r="L119" s="243"/>
      <c r="M119" s="243"/>
      <c r="N119" s="243"/>
      <c r="O119" s="243"/>
      <c r="Q119" s="278"/>
      <c r="R119" s="429">
        <v>14931225.278414734</v>
      </c>
      <c r="S119" s="423" t="s">
        <v>278</v>
      </c>
    </row>
    <row r="120" spans="3:19" ht="12.5">
      <c r="C120" s="243"/>
      <c r="D120" s="292"/>
      <c r="E120" s="243"/>
      <c r="F120" s="243"/>
      <c r="G120" s="243"/>
      <c r="H120" s="243"/>
      <c r="I120" s="325"/>
      <c r="J120" s="243"/>
      <c r="K120" s="278"/>
      <c r="L120" s="243"/>
      <c r="M120" s="243"/>
      <c r="N120" s="243"/>
      <c r="O120" s="243"/>
      <c r="Q120" s="278"/>
      <c r="R120" s="429">
        <v>0</v>
      </c>
      <c r="S120" s="423" t="s">
        <v>279</v>
      </c>
    </row>
    <row r="121" spans="3:19" ht="12.5">
      <c r="C121" s="243"/>
      <c r="D121" s="292"/>
      <c r="E121" s="243"/>
      <c r="F121" s="243"/>
      <c r="G121" s="243"/>
      <c r="H121" s="243"/>
      <c r="I121" s="325"/>
      <c r="J121" s="243"/>
      <c r="K121" s="278"/>
      <c r="L121" s="243"/>
      <c r="M121" s="243"/>
      <c r="N121" s="243"/>
      <c r="O121" s="243"/>
      <c r="Q121" s="278"/>
      <c r="R121" s="429">
        <v>27192293.600820702</v>
      </c>
      <c r="S121" s="423" t="s">
        <v>280</v>
      </c>
    </row>
    <row r="122" spans="3:19" ht="12.5">
      <c r="C122" s="243"/>
      <c r="D122" s="292"/>
      <c r="E122" s="243"/>
      <c r="F122" s="243"/>
      <c r="G122" s="243"/>
      <c r="H122" s="243"/>
      <c r="I122" s="325"/>
      <c r="J122" s="243"/>
      <c r="K122" s="278"/>
      <c r="L122" s="243"/>
      <c r="M122" s="243"/>
      <c r="N122" s="243"/>
      <c r="O122" s="243"/>
      <c r="Q122" s="278"/>
      <c r="R122" s="365">
        <v>0</v>
      </c>
      <c r="S122" s="423" t="s">
        <v>104</v>
      </c>
    </row>
    <row r="123" spans="3:19" ht="12.5">
      <c r="C123" s="243"/>
      <c r="D123" s="292"/>
      <c r="E123" s="243"/>
      <c r="F123" s="243"/>
      <c r="G123" s="243"/>
      <c r="H123" s="243"/>
      <c r="I123" s="325"/>
      <c r="J123" s="243"/>
      <c r="K123" s="278"/>
      <c r="L123" s="243"/>
      <c r="M123" s="243"/>
      <c r="N123" s="243"/>
      <c r="O123" s="243"/>
      <c r="Q123" s="278"/>
      <c r="R123" s="429">
        <v>847690343.26246154</v>
      </c>
      <c r="S123" s="423" t="s">
        <v>281</v>
      </c>
    </row>
    <row r="124" spans="3:19" ht="12.5">
      <c r="C124" s="243"/>
      <c r="D124" s="292"/>
      <c r="E124" s="243"/>
      <c r="F124" s="243"/>
      <c r="G124" s="243"/>
      <c r="H124" s="243"/>
      <c r="I124" s="325"/>
      <c r="J124" s="243"/>
      <c r="K124" s="278"/>
      <c r="L124" s="243"/>
      <c r="M124" s="243"/>
      <c r="N124" s="243"/>
      <c r="O124" s="243"/>
      <c r="Q124" s="278"/>
      <c r="R124" s="365">
        <v>0.10800922592579221</v>
      </c>
      <c r="S124" s="431" t="s">
        <v>282</v>
      </c>
    </row>
    <row r="125" spans="3:19" ht="12.5">
      <c r="C125" s="243"/>
      <c r="D125" s="292"/>
      <c r="E125" s="243"/>
      <c r="F125" s="243"/>
      <c r="G125" s="243"/>
      <c r="H125" s="243"/>
      <c r="I125" s="325"/>
      <c r="J125" s="243"/>
      <c r="K125" s="278"/>
      <c r="L125" s="243"/>
      <c r="M125" s="243"/>
      <c r="N125" s="243"/>
      <c r="O125" s="243"/>
      <c r="Q125" s="278"/>
      <c r="R125" s="432">
        <v>958546907</v>
      </c>
      <c r="S125" s="248" t="s">
        <v>37</v>
      </c>
    </row>
    <row r="126" spans="3:19" ht="12.5">
      <c r="C126" s="243"/>
      <c r="D126" s="292"/>
      <c r="E126" s="243"/>
      <c r="F126" s="243"/>
      <c r="G126" s="243"/>
      <c r="H126" s="243"/>
      <c r="I126" s="325"/>
      <c r="J126" s="243"/>
      <c r="K126" s="278"/>
      <c r="L126" s="243"/>
      <c r="M126" s="243"/>
      <c r="N126" s="243"/>
      <c r="O126" s="243"/>
      <c r="Q126" s="278"/>
      <c r="R126" s="432">
        <v>1056374505</v>
      </c>
      <c r="S126" s="248" t="s">
        <v>38</v>
      </c>
    </row>
    <row r="127" spans="3:19" ht="12.5">
      <c r="C127" s="243"/>
      <c r="D127" s="292"/>
      <c r="E127" s="243"/>
      <c r="F127" s="243"/>
      <c r="G127" s="243"/>
      <c r="H127" s="243"/>
      <c r="I127" s="325"/>
      <c r="J127" s="243"/>
      <c r="K127" s="278"/>
      <c r="L127" s="243"/>
      <c r="M127" s="243"/>
      <c r="N127" s="243"/>
      <c r="O127" s="243"/>
      <c r="Q127" s="278"/>
      <c r="R127" s="432">
        <v>997294681.76923072</v>
      </c>
      <c r="S127" s="372" t="s">
        <v>284</v>
      </c>
    </row>
    <row r="128" spans="3:19" ht="13" thickBot="1">
      <c r="C128" s="243"/>
      <c r="D128" s="292"/>
      <c r="E128" s="243"/>
      <c r="F128" s="243"/>
      <c r="G128" s="243"/>
      <c r="H128" s="243"/>
      <c r="I128" s="325"/>
      <c r="J128" s="243"/>
      <c r="K128" s="278"/>
      <c r="L128" s="243"/>
      <c r="M128" s="243"/>
      <c r="N128" s="243"/>
      <c r="O128" s="243"/>
      <c r="Q128" s="278"/>
      <c r="R128" s="433">
        <v>27192293.600820702</v>
      </c>
      <c r="S128" s="434" t="s">
        <v>283</v>
      </c>
    </row>
    <row r="129" spans="3:19" ht="12.5">
      <c r="C129" s="243"/>
      <c r="D129" s="292"/>
      <c r="E129" s="243"/>
      <c r="F129" s="243"/>
      <c r="G129" s="243"/>
      <c r="H129" s="243"/>
      <c r="I129" s="325"/>
      <c r="J129" s="243"/>
      <c r="K129" s="278"/>
      <c r="L129" s="243"/>
      <c r="M129" s="243"/>
      <c r="N129" s="243"/>
      <c r="O129" s="243"/>
      <c r="Q129" s="278"/>
      <c r="R129" s="243"/>
      <c r="S129" s="243"/>
    </row>
    <row r="130" spans="3:19" ht="13">
      <c r="C130" s="243"/>
      <c r="D130" s="292"/>
      <c r="E130" s="243"/>
      <c r="F130" s="243"/>
      <c r="G130" s="243"/>
      <c r="H130" s="243"/>
      <c r="I130" s="325"/>
      <c r="J130" s="243"/>
      <c r="K130" s="278"/>
      <c r="L130" s="243"/>
      <c r="M130" s="243"/>
      <c r="N130" s="243"/>
      <c r="O130" s="243"/>
      <c r="Q130" s="278"/>
      <c r="R130" s="351" t="s">
        <v>103</v>
      </c>
      <c r="S130" s="243" t="s">
        <v>115</v>
      </c>
    </row>
    <row r="131" spans="3:19" ht="13.5" thickBot="1">
      <c r="C131" s="243"/>
      <c r="D131" s="292"/>
      <c r="E131" s="243"/>
      <c r="F131" s="243"/>
      <c r="G131" s="243"/>
      <c r="H131" s="243"/>
      <c r="I131" s="325"/>
      <c r="J131" s="243"/>
      <c r="K131" s="278"/>
      <c r="L131" s="243"/>
      <c r="M131" s="243"/>
      <c r="N131" s="243"/>
      <c r="O131" s="243"/>
      <c r="Q131" s="278"/>
      <c r="R131" s="353" t="s">
        <v>187</v>
      </c>
      <c r="S131" s="243"/>
    </row>
    <row r="132" spans="3:19" ht="12.5">
      <c r="C132" s="243"/>
      <c r="D132" s="292"/>
      <c r="E132" s="243"/>
      <c r="F132" s="243"/>
      <c r="G132" s="243"/>
      <c r="H132" s="243"/>
      <c r="I132" s="325"/>
      <c r="J132" s="243"/>
      <c r="K132" s="278"/>
      <c r="L132" s="243"/>
      <c r="M132" s="243"/>
      <c r="N132" s="243"/>
      <c r="O132" s="243"/>
      <c r="Q132" s="278"/>
      <c r="R132" s="377">
        <f>+N17</f>
        <v>36715956.554148674</v>
      </c>
      <c r="S132" s="145" t="s">
        <v>120</v>
      </c>
    </row>
    <row r="133" spans="3:19" ht="12.5">
      <c r="C133" s="243"/>
      <c r="D133" s="292"/>
      <c r="E133" s="243"/>
      <c r="F133" s="243"/>
      <c r="G133" s="243"/>
      <c r="H133" s="243"/>
      <c r="I133" s="325"/>
      <c r="J133" s="243"/>
      <c r="K133" s="278"/>
      <c r="L133" s="243"/>
      <c r="M133" s="243"/>
      <c r="N133" s="243"/>
      <c r="O133" s="243"/>
      <c r="Q133" s="278"/>
      <c r="R133" s="378">
        <f>+O17</f>
        <v>36715956.554148674</v>
      </c>
      <c r="S133" s="145" t="s">
        <v>121</v>
      </c>
    </row>
    <row r="134" spans="3:19" ht="12.5">
      <c r="C134" s="243"/>
      <c r="D134" s="292"/>
      <c r="E134" s="243"/>
      <c r="F134" s="243"/>
      <c r="G134" s="243"/>
      <c r="H134" s="243"/>
      <c r="I134" s="325"/>
      <c r="J134" s="243"/>
      <c r="K134" s="278"/>
      <c r="L134" s="243"/>
      <c r="M134" s="243"/>
      <c r="N134" s="243"/>
      <c r="O134" s="243"/>
      <c r="Q134" s="278"/>
      <c r="R134" s="435">
        <f>+N18</f>
        <v>39138830.897015929</v>
      </c>
      <c r="S134" s="145" t="s">
        <v>122</v>
      </c>
    </row>
    <row r="135" spans="3:19" ht="13" thickBot="1">
      <c r="C135" s="243"/>
      <c r="D135" s="292"/>
      <c r="E135" s="243"/>
      <c r="F135" s="243"/>
      <c r="G135" s="243"/>
      <c r="H135" s="243"/>
      <c r="I135" s="325"/>
      <c r="J135" s="243"/>
      <c r="K135" s="278"/>
      <c r="L135" s="243"/>
      <c r="M135" s="243"/>
      <c r="N135" s="243"/>
      <c r="O135" s="243"/>
      <c r="Q135" s="278"/>
      <c r="R135" s="436">
        <f>+O18</f>
        <v>39138830.897015929</v>
      </c>
      <c r="S135" s="145" t="s">
        <v>123</v>
      </c>
    </row>
    <row r="136" spans="3:19" ht="12.5">
      <c r="C136" s="243"/>
      <c r="D136" s="292"/>
      <c r="E136" s="243"/>
      <c r="F136" s="243"/>
      <c r="G136" s="243"/>
      <c r="H136" s="243"/>
      <c r="I136" s="325"/>
      <c r="J136" s="243"/>
      <c r="K136" s="278"/>
      <c r="L136" s="243"/>
      <c r="M136" s="243"/>
      <c r="N136" s="243"/>
      <c r="O136" s="243"/>
      <c r="Q136" s="278"/>
      <c r="R136" s="243"/>
      <c r="S136" s="243"/>
    </row>
    <row r="137" spans="3:19" ht="13">
      <c r="C137" s="243"/>
      <c r="D137" s="292"/>
      <c r="E137" s="243"/>
      <c r="F137" s="243"/>
      <c r="G137" s="243"/>
      <c r="H137" s="243"/>
      <c r="I137" s="325"/>
      <c r="J137" s="243"/>
      <c r="K137" s="278"/>
      <c r="L137" s="243"/>
      <c r="M137" s="243"/>
      <c r="N137" s="243"/>
      <c r="O137" s="243"/>
      <c r="Q137" s="278"/>
      <c r="R137" s="351" t="s">
        <v>113</v>
      </c>
      <c r="S137" s="352" t="s">
        <v>118</v>
      </c>
    </row>
  </sheetData>
  <mergeCells count="7">
    <mergeCell ref="I86:N91"/>
    <mergeCell ref="C8:I8"/>
    <mergeCell ref="A1:K1"/>
    <mergeCell ref="A2:K2"/>
    <mergeCell ref="A3:K3"/>
    <mergeCell ref="A4:K4"/>
    <mergeCell ref="A5:K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&amp;R&amp;16AEPTCo - SPP Formula Rate
&amp;A TCOS - WS G
Page: &amp;P of &amp;N
</oddHeader>
    <oddFooter xml:space="preserve">&amp;C &amp;R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U163"/>
  <sheetViews>
    <sheetView view="pageBreakPreview" zoomScale="90" zoomScaleNormal="100" zoomScaleSheetLayoutView="90"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179687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1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t="str">
        <f>RIGHT(N3,3)</f>
        <v/>
      </c>
      <c r="P3" s="442">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84115.442190341273</v>
      </c>
      <c r="P5" s="243"/>
      <c r="R5" s="243"/>
      <c r="S5" s="243"/>
      <c r="T5" s="243"/>
      <c r="U5" s="243"/>
    </row>
    <row r="6" spans="1:21" ht="15.5">
      <c r="C6" s="235"/>
      <c r="D6" s="292"/>
      <c r="E6" s="243"/>
      <c r="F6" s="243"/>
      <c r="G6" s="243"/>
      <c r="H6" s="449"/>
      <c r="I6" s="449"/>
      <c r="J6" s="450"/>
      <c r="K6" s="451" t="s">
        <v>243</v>
      </c>
      <c r="L6" s="452"/>
      <c r="M6" s="278"/>
      <c r="N6" s="453">
        <f>VLOOKUP(I10,C17:I73,6)</f>
        <v>84115.442190341273</v>
      </c>
      <c r="O6" s="243"/>
      <c r="P6" s="243"/>
      <c r="R6" s="243"/>
      <c r="S6" s="243"/>
      <c r="T6" s="243"/>
      <c r="U6" s="243"/>
    </row>
    <row r="7" spans="1:21" ht="13.5" thickBot="1">
      <c r="C7" s="454" t="s">
        <v>46</v>
      </c>
      <c r="D7" s="455" t="s">
        <v>191</v>
      </c>
      <c r="E7" s="330"/>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196</v>
      </c>
      <c r="E9" s="647" t="s">
        <v>312</v>
      </c>
      <c r="F9" s="465"/>
      <c r="G9" s="465"/>
      <c r="H9" s="465"/>
      <c r="I9" s="466"/>
      <c r="J9" s="467"/>
      <c r="O9" s="468"/>
      <c r="P9" s="278"/>
      <c r="R9" s="243"/>
      <c r="S9" s="243"/>
      <c r="T9" s="243"/>
      <c r="U9" s="243"/>
    </row>
    <row r="10" spans="1:21" ht="13">
      <c r="C10" s="469" t="s">
        <v>49</v>
      </c>
      <c r="D10" s="470">
        <v>723818</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2010</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12</v>
      </c>
      <c r="E12" s="472" t="s">
        <v>55</v>
      </c>
      <c r="F12" s="408"/>
      <c r="G12" s="220"/>
      <c r="H12" s="220"/>
      <c r="I12" s="476">
        <f>OKT.WS.F.BPU.ATRR.Projected!$F$79</f>
        <v>0.10818506718567715</v>
      </c>
      <c r="J12" s="413"/>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c r="E14" s="278" t="s">
        <v>62</v>
      </c>
      <c r="F14" s="408"/>
      <c r="G14" s="220"/>
      <c r="H14" s="220"/>
      <c r="I14" s="477">
        <f>IF(D10=0,0,D10/D13)</f>
        <v>23348.967741935485</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IF(D17=F16,"","IU")</f>
        <v>IU</v>
      </c>
      <c r="C17" s="495">
        <f>IF(D11= "","-",D11)</f>
        <v>2010</v>
      </c>
      <c r="D17" s="496">
        <v>767749</v>
      </c>
      <c r="E17" s="497">
        <v>0</v>
      </c>
      <c r="F17" s="496">
        <v>767749</v>
      </c>
      <c r="G17" s="498">
        <v>92753.205799400443</v>
      </c>
      <c r="H17" s="499">
        <v>92753.205799400443</v>
      </c>
      <c r="I17" s="500">
        <f t="shared" ref="I17:I49" si="0">H17-G17</f>
        <v>0</v>
      </c>
      <c r="J17" s="500"/>
      <c r="K17" s="501">
        <f t="shared" ref="K17:K22" si="1">G17</f>
        <v>92753.205799400443</v>
      </c>
      <c r="L17" s="502">
        <f t="shared" ref="L17:L49" si="2">IF(K17&lt;&gt;0,+G17-K17,0)</f>
        <v>0</v>
      </c>
      <c r="M17" s="501">
        <f t="shared" ref="M17:M22" si="3">H17</f>
        <v>92753.205799400443</v>
      </c>
      <c r="N17" s="503">
        <f t="shared" ref="N17:N49" si="4">IF(M17&lt;&gt;0,+H17-M17,0)</f>
        <v>0</v>
      </c>
      <c r="O17" s="504">
        <f t="shared" ref="O17:O49" si="5">+N17-L17</f>
        <v>0</v>
      </c>
      <c r="P17" s="278"/>
      <c r="R17" s="243"/>
      <c r="S17" s="243"/>
      <c r="T17" s="243"/>
      <c r="U17" s="243"/>
    </row>
    <row r="18" spans="2:21" ht="12.5">
      <c r="B18" s="145" t="str">
        <f>IF(D18=F17,"","IU")</f>
        <v/>
      </c>
      <c r="C18" s="495">
        <f>IF(D11="","-",+C17+1)</f>
        <v>2011</v>
      </c>
      <c r="D18" s="505">
        <v>767749</v>
      </c>
      <c r="E18" s="498">
        <v>10981.365584860865</v>
      </c>
      <c r="F18" s="505">
        <v>756767.63441513909</v>
      </c>
      <c r="G18" s="498">
        <v>109365.67160279222</v>
      </c>
      <c r="H18" s="499">
        <v>109365.67160279222</v>
      </c>
      <c r="I18" s="500">
        <f t="shared" si="0"/>
        <v>0</v>
      </c>
      <c r="J18" s="500"/>
      <c r="K18" s="506">
        <f t="shared" si="1"/>
        <v>109365.67160279222</v>
      </c>
      <c r="L18" s="507">
        <f t="shared" si="2"/>
        <v>0</v>
      </c>
      <c r="M18" s="506">
        <f t="shared" si="3"/>
        <v>109365.67160279222</v>
      </c>
      <c r="N18" s="504">
        <f t="shared" si="4"/>
        <v>0</v>
      </c>
      <c r="O18" s="504">
        <f t="shared" si="5"/>
        <v>0</v>
      </c>
      <c r="P18" s="278"/>
      <c r="R18" s="243"/>
      <c r="S18" s="243"/>
      <c r="T18" s="243"/>
      <c r="U18" s="243"/>
    </row>
    <row r="19" spans="2:21" ht="12.5">
      <c r="B19" s="145" t="str">
        <f t="shared" ref="B19:B73" si="6">IF(D19=F18,"","IU")</f>
        <v/>
      </c>
      <c r="C19" s="495">
        <f>IF(D11="","-",+C18+1)</f>
        <v>2012</v>
      </c>
      <c r="D19" s="505">
        <v>756767.63441513909</v>
      </c>
      <c r="E19" s="498">
        <v>12221.81530625035</v>
      </c>
      <c r="F19" s="505">
        <v>744545.81910888874</v>
      </c>
      <c r="G19" s="498">
        <v>84179.959434377466</v>
      </c>
      <c r="H19" s="499">
        <v>84179.959434377466</v>
      </c>
      <c r="I19" s="500">
        <v>0</v>
      </c>
      <c r="J19" s="500"/>
      <c r="K19" s="506">
        <f t="shared" si="1"/>
        <v>84179.959434377466</v>
      </c>
      <c r="L19" s="504">
        <f t="shared" si="2"/>
        <v>0</v>
      </c>
      <c r="M19" s="506">
        <f t="shared" si="3"/>
        <v>84179.959434377466</v>
      </c>
      <c r="N19" s="504">
        <f t="shared" si="4"/>
        <v>0</v>
      </c>
      <c r="O19" s="504">
        <f t="shared" si="5"/>
        <v>0</v>
      </c>
      <c r="P19" s="278"/>
      <c r="R19" s="243"/>
      <c r="S19" s="243"/>
      <c r="T19" s="243"/>
      <c r="U19" s="243"/>
    </row>
    <row r="20" spans="2:21" ht="12.5">
      <c r="B20" s="145" t="str">
        <f t="shared" si="6"/>
        <v>IU</v>
      </c>
      <c r="C20" s="495">
        <f>IF(D11="","-",+C19+1)</f>
        <v>2013</v>
      </c>
      <c r="D20" s="505">
        <v>700614.81910888874</v>
      </c>
      <c r="E20" s="498">
        <v>12521.479662412485</v>
      </c>
      <c r="F20" s="505">
        <v>688093.33944647631</v>
      </c>
      <c r="G20" s="498">
        <v>87689.629791132116</v>
      </c>
      <c r="H20" s="499">
        <v>87689.629791132116</v>
      </c>
      <c r="I20" s="500">
        <v>0</v>
      </c>
      <c r="J20" s="500"/>
      <c r="K20" s="506">
        <f t="shared" si="1"/>
        <v>87689.629791132116</v>
      </c>
      <c r="L20" s="504">
        <f t="shared" ref="L20:L25" si="7">IF(K20&lt;&gt;0,+G20-K20,0)</f>
        <v>0</v>
      </c>
      <c r="M20" s="506">
        <f t="shared" si="3"/>
        <v>87689.629791132116</v>
      </c>
      <c r="N20" s="504">
        <f>IF(M20&lt;&gt;0,+H20-M20,0)</f>
        <v>0</v>
      </c>
      <c r="O20" s="504">
        <f>+N20-L20</f>
        <v>0</v>
      </c>
      <c r="P20" s="278"/>
      <c r="R20" s="243"/>
      <c r="S20" s="243"/>
      <c r="T20" s="243"/>
      <c r="U20" s="243"/>
    </row>
    <row r="21" spans="2:21" ht="12.5">
      <c r="B21" s="145" t="str">
        <f t="shared" si="6"/>
        <v/>
      </c>
      <c r="C21" s="495">
        <f>IF(D12="","-",+C20+1)</f>
        <v>2014</v>
      </c>
      <c r="D21" s="505">
        <v>688093.33944647631</v>
      </c>
      <c r="E21" s="498">
        <v>12521.479662412485</v>
      </c>
      <c r="F21" s="505">
        <v>675571.85978406388</v>
      </c>
      <c r="G21" s="498">
        <v>86852.845850246973</v>
      </c>
      <c r="H21" s="499">
        <v>86852.845850246973</v>
      </c>
      <c r="I21" s="500">
        <v>0</v>
      </c>
      <c r="J21" s="500"/>
      <c r="K21" s="506">
        <f t="shared" si="1"/>
        <v>86852.845850246973</v>
      </c>
      <c r="L21" s="504">
        <f t="shared" si="7"/>
        <v>0</v>
      </c>
      <c r="M21" s="506">
        <f t="shared" si="3"/>
        <v>86852.845850246973</v>
      </c>
      <c r="N21" s="504">
        <f>IF(M21&lt;&gt;0,+H21-M21,0)</f>
        <v>0</v>
      </c>
      <c r="O21" s="504">
        <f>+N21-L21</f>
        <v>0</v>
      </c>
      <c r="P21" s="278"/>
      <c r="R21" s="243"/>
      <c r="S21" s="243"/>
      <c r="T21" s="243"/>
      <c r="U21" s="243"/>
    </row>
    <row r="22" spans="2:21" ht="12.5">
      <c r="B22" s="145" t="str">
        <f t="shared" si="6"/>
        <v/>
      </c>
      <c r="C22" s="495">
        <f>IF(D11="","-",+C21+1)</f>
        <v>2015</v>
      </c>
      <c r="D22" s="505">
        <v>675571.85978406388</v>
      </c>
      <c r="E22" s="498">
        <v>12521.479662412485</v>
      </c>
      <c r="F22" s="505">
        <v>663050.38012165145</v>
      </c>
      <c r="G22" s="498">
        <v>80859.057608604737</v>
      </c>
      <c r="H22" s="499">
        <v>80859.057608604737</v>
      </c>
      <c r="I22" s="500">
        <f t="shared" si="0"/>
        <v>0</v>
      </c>
      <c r="J22" s="500"/>
      <c r="K22" s="506">
        <f t="shared" si="1"/>
        <v>80859.057608604737</v>
      </c>
      <c r="L22" s="504">
        <f t="shared" si="7"/>
        <v>0</v>
      </c>
      <c r="M22" s="506">
        <f t="shared" si="3"/>
        <v>80859.057608604737</v>
      </c>
      <c r="N22" s="504">
        <f>IF(M22&lt;&gt;0,+H22-M22,0)</f>
        <v>0</v>
      </c>
      <c r="O22" s="504">
        <f>+N22-L22</f>
        <v>0</v>
      </c>
      <c r="P22" s="278"/>
      <c r="R22" s="243"/>
      <c r="S22" s="243"/>
      <c r="T22" s="243"/>
      <c r="U22" s="243"/>
    </row>
    <row r="23" spans="2:21" ht="12.5">
      <c r="B23" s="145" t="str">
        <f t="shared" si="6"/>
        <v/>
      </c>
      <c r="C23" s="495">
        <f>IF(D11="","-",+C22+1)</f>
        <v>2016</v>
      </c>
      <c r="D23" s="505">
        <v>663050.38012165145</v>
      </c>
      <c r="E23" s="498">
        <v>15040.542945521509</v>
      </c>
      <c r="F23" s="505">
        <v>648009.83717612992</v>
      </c>
      <c r="G23" s="498">
        <v>84948.083991581108</v>
      </c>
      <c r="H23" s="499">
        <v>84948.083991581108</v>
      </c>
      <c r="I23" s="500">
        <f t="shared" si="0"/>
        <v>0</v>
      </c>
      <c r="J23" s="500"/>
      <c r="K23" s="506">
        <f>G23</f>
        <v>84948.083991581108</v>
      </c>
      <c r="L23" s="504">
        <f t="shared" si="7"/>
        <v>0</v>
      </c>
      <c r="M23" s="506">
        <f>H23</f>
        <v>84948.083991581108</v>
      </c>
      <c r="N23" s="504">
        <f t="shared" si="4"/>
        <v>0</v>
      </c>
      <c r="O23" s="504">
        <f t="shared" si="5"/>
        <v>0</v>
      </c>
      <c r="P23" s="278"/>
      <c r="R23" s="243"/>
      <c r="S23" s="243"/>
      <c r="T23" s="243"/>
      <c r="U23" s="243"/>
    </row>
    <row r="24" spans="2:21" ht="12.5">
      <c r="B24" s="145" t="str">
        <f t="shared" si="6"/>
        <v/>
      </c>
      <c r="C24" s="495">
        <f>IF(D11="","-",+C23+1)</f>
        <v>2017</v>
      </c>
      <c r="D24" s="505">
        <v>648009.83717612992</v>
      </c>
      <c r="E24" s="498">
        <v>14231.694883080969</v>
      </c>
      <c r="F24" s="505">
        <v>633778.14229304891</v>
      </c>
      <c r="G24" s="498">
        <v>84691.562397354341</v>
      </c>
      <c r="H24" s="499">
        <v>84691.562397354341</v>
      </c>
      <c r="I24" s="500">
        <f t="shared" si="0"/>
        <v>0</v>
      </c>
      <c r="J24" s="500"/>
      <c r="K24" s="506">
        <f>G24</f>
        <v>84691.562397354341</v>
      </c>
      <c r="L24" s="504">
        <f t="shared" si="7"/>
        <v>0</v>
      </c>
      <c r="M24" s="506">
        <f>H24</f>
        <v>84691.562397354341</v>
      </c>
      <c r="N24" s="504">
        <f>IF(M24&lt;&gt;0,+H24-M24,0)</f>
        <v>0</v>
      </c>
      <c r="O24" s="504">
        <f>+N24-L24</f>
        <v>0</v>
      </c>
      <c r="P24" s="278"/>
      <c r="R24" s="243"/>
      <c r="S24" s="243"/>
      <c r="T24" s="243"/>
      <c r="U24" s="243"/>
    </row>
    <row r="25" spans="2:21" ht="12.5">
      <c r="B25" s="145" t="str">
        <f t="shared" si="6"/>
        <v/>
      </c>
      <c r="C25" s="495">
        <f>IF(D11="","-",+C24+1)</f>
        <v>2018</v>
      </c>
      <c r="D25" s="505">
        <v>633778.14229304891</v>
      </c>
      <c r="E25" s="498">
        <v>17751.333847969061</v>
      </c>
      <c r="F25" s="505">
        <v>616026.80844507983</v>
      </c>
      <c r="G25" s="498">
        <v>81256.204053950511</v>
      </c>
      <c r="H25" s="499">
        <v>81256.204053950511</v>
      </c>
      <c r="I25" s="500">
        <f t="shared" si="0"/>
        <v>0</v>
      </c>
      <c r="J25" s="500"/>
      <c r="K25" s="506">
        <f>G25</f>
        <v>81256.204053950511</v>
      </c>
      <c r="L25" s="504">
        <f t="shared" si="7"/>
        <v>0</v>
      </c>
      <c r="M25" s="506">
        <f>H25</f>
        <v>81256.204053950511</v>
      </c>
      <c r="N25" s="504">
        <f>IF(M25&lt;&gt;0,+H25-M25,0)</f>
        <v>0</v>
      </c>
      <c r="O25" s="504">
        <f>+N25-L25</f>
        <v>0</v>
      </c>
      <c r="P25" s="278"/>
      <c r="R25" s="243"/>
      <c r="S25" s="243"/>
      <c r="T25" s="243"/>
      <c r="U25" s="243"/>
    </row>
    <row r="26" spans="2:21" ht="12.5">
      <c r="B26" s="145" t="str">
        <f t="shared" si="6"/>
        <v/>
      </c>
      <c r="C26" s="495">
        <f>IF(D11="","-",+C25+1)</f>
        <v>2019</v>
      </c>
      <c r="D26" s="505">
        <v>616026.80844507983</v>
      </c>
      <c r="E26" s="498">
        <v>21467.607261508991</v>
      </c>
      <c r="F26" s="505">
        <v>594559.2011835709</v>
      </c>
      <c r="G26" s="498">
        <v>84379.319531027868</v>
      </c>
      <c r="H26" s="499">
        <v>84379.319531027868</v>
      </c>
      <c r="I26" s="500">
        <f t="shared" si="0"/>
        <v>0</v>
      </c>
      <c r="J26" s="500"/>
      <c r="K26" s="506">
        <f>G26</f>
        <v>84379.319531027868</v>
      </c>
      <c r="L26" s="504">
        <f t="shared" ref="L26" si="8">IF(K26&lt;&gt;0,+G26-K26,0)</f>
        <v>0</v>
      </c>
      <c r="M26" s="506">
        <f>H26</f>
        <v>84379.319531027868</v>
      </c>
      <c r="N26" s="504">
        <f>IF(M26&lt;&gt;0,+H26-M26,0)</f>
        <v>0</v>
      </c>
      <c r="O26" s="504">
        <f>+N26-L26</f>
        <v>0</v>
      </c>
      <c r="P26" s="278"/>
      <c r="R26" s="243"/>
      <c r="S26" s="243"/>
      <c r="T26" s="243"/>
      <c r="U26" s="243"/>
    </row>
    <row r="27" spans="2:21" ht="12.5">
      <c r="B27" s="145" t="str">
        <f t="shared" si="6"/>
        <v>IU</v>
      </c>
      <c r="C27" s="495">
        <f>IF(D11="","-",+C26+1)</f>
        <v>2020</v>
      </c>
      <c r="D27" s="505">
        <v>598275.47459711076</v>
      </c>
      <c r="E27" s="498">
        <v>21194.679776158337</v>
      </c>
      <c r="F27" s="505">
        <v>577080.79482095246</v>
      </c>
      <c r="G27" s="498">
        <v>82861.19585201345</v>
      </c>
      <c r="H27" s="499">
        <v>82861.19585201345</v>
      </c>
      <c r="I27" s="500">
        <f t="shared" si="0"/>
        <v>0</v>
      </c>
      <c r="J27" s="500"/>
      <c r="K27" s="506">
        <f>G27</f>
        <v>82861.19585201345</v>
      </c>
      <c r="L27" s="504">
        <f t="shared" ref="L27" si="9">IF(K27&lt;&gt;0,+G27-K27,0)</f>
        <v>0</v>
      </c>
      <c r="M27" s="506">
        <f>H27</f>
        <v>82861.19585201345</v>
      </c>
      <c r="N27" s="504">
        <f>IF(M27&lt;&gt;0,+H27-M27,0)</f>
        <v>0</v>
      </c>
      <c r="O27" s="504">
        <f>+N27-L27</f>
        <v>0</v>
      </c>
      <c r="P27" s="278"/>
      <c r="R27" s="243"/>
      <c r="S27" s="243"/>
      <c r="T27" s="243"/>
      <c r="U27" s="243"/>
    </row>
    <row r="28" spans="2:21" ht="12.5">
      <c r="B28" s="145" t="str">
        <f t="shared" si="6"/>
        <v>IU</v>
      </c>
      <c r="C28" s="495">
        <f>IF(D11="","-",+C27+1)</f>
        <v>2021</v>
      </c>
      <c r="D28" s="508">
        <f>IF(F27+SUM(E$17:E27)=D$10,F27,D$10-SUM(E$17:E27))</f>
        <v>573364.52140741248</v>
      </c>
      <c r="E28" s="509">
        <f>IF(+I14&lt;F27,I14,D28)</f>
        <v>23348.967741935485</v>
      </c>
      <c r="F28" s="510">
        <f t="shared" ref="F28:F49" si="10">+D28-E28</f>
        <v>550015.55366547697</v>
      </c>
      <c r="G28" s="511">
        <f t="shared" ref="G28:G73" si="11">(D28+F28)/2*I$12+E28</f>
        <v>84115.442190341273</v>
      </c>
      <c r="H28" s="477">
        <f t="shared" ref="H28:H73" si="12">+(D28+F28)/2*I$13+E28</f>
        <v>84115.442190341273</v>
      </c>
      <c r="I28" s="500">
        <f t="shared" si="0"/>
        <v>0</v>
      </c>
      <c r="J28" s="500"/>
      <c r="K28" s="512"/>
      <c r="L28" s="504">
        <f t="shared" si="2"/>
        <v>0</v>
      </c>
      <c r="M28" s="512"/>
      <c r="N28" s="504">
        <f t="shared" si="4"/>
        <v>0</v>
      </c>
      <c r="O28" s="504">
        <f t="shared" si="5"/>
        <v>0</v>
      </c>
      <c r="P28" s="278"/>
      <c r="R28" s="243"/>
      <c r="S28" s="243"/>
      <c r="T28" s="243"/>
      <c r="U28" s="243"/>
    </row>
    <row r="29" spans="2:21" ht="12.5">
      <c r="B29" s="145" t="str">
        <f t="shared" si="6"/>
        <v/>
      </c>
      <c r="C29" s="495">
        <f>IF(D11="","-",+C28+1)</f>
        <v>2022</v>
      </c>
      <c r="D29" s="508">
        <f>IF(F28+SUM(E$17:E28)=D$10,F28,D$10-SUM(E$17:E28))</f>
        <v>550015.55366547697</v>
      </c>
      <c r="E29" s="509">
        <f>IF(+I14&lt;F28,I14,D29)</f>
        <v>23348.967741935485</v>
      </c>
      <c r="F29" s="510">
        <f t="shared" si="10"/>
        <v>526666.58592354145</v>
      </c>
      <c r="G29" s="511">
        <f t="shared" si="11"/>
        <v>81589.432546463766</v>
      </c>
      <c r="H29" s="477">
        <f t="shared" si="12"/>
        <v>81589.432546463766</v>
      </c>
      <c r="I29" s="500">
        <f t="shared" si="0"/>
        <v>0</v>
      </c>
      <c r="J29" s="500"/>
      <c r="K29" s="512"/>
      <c r="L29" s="504">
        <f t="shared" si="2"/>
        <v>0</v>
      </c>
      <c r="M29" s="512"/>
      <c r="N29" s="504">
        <f t="shared" si="4"/>
        <v>0</v>
      </c>
      <c r="O29" s="504">
        <f t="shared" si="5"/>
        <v>0</v>
      </c>
      <c r="P29" s="278"/>
      <c r="R29" s="243"/>
      <c r="S29" s="243"/>
      <c r="T29" s="243"/>
      <c r="U29" s="243"/>
    </row>
    <row r="30" spans="2:21" ht="12.5">
      <c r="B30" s="145" t="str">
        <f t="shared" si="6"/>
        <v/>
      </c>
      <c r="C30" s="495">
        <f>IF(D11="","-",+C29+1)</f>
        <v>2023</v>
      </c>
      <c r="D30" s="508">
        <f>IF(F29+SUM(E$17:E29)=D$10,F29,D$10-SUM(E$17:E29))</f>
        <v>526666.58592354145</v>
      </c>
      <c r="E30" s="509">
        <f>IF(+I14&lt;F29,I14,D30)</f>
        <v>23348.967741935485</v>
      </c>
      <c r="F30" s="510">
        <f t="shared" si="10"/>
        <v>503317.61818160594</v>
      </c>
      <c r="G30" s="511">
        <f t="shared" si="11"/>
        <v>79063.422902586273</v>
      </c>
      <c r="H30" s="477">
        <f t="shared" si="12"/>
        <v>79063.422902586273</v>
      </c>
      <c r="I30" s="500">
        <f t="shared" si="0"/>
        <v>0</v>
      </c>
      <c r="J30" s="500"/>
      <c r="K30" s="512"/>
      <c r="L30" s="504">
        <f t="shared" si="2"/>
        <v>0</v>
      </c>
      <c r="M30" s="512"/>
      <c r="N30" s="504">
        <f t="shared" si="4"/>
        <v>0</v>
      </c>
      <c r="O30" s="504">
        <f t="shared" si="5"/>
        <v>0</v>
      </c>
      <c r="P30" s="278"/>
      <c r="R30" s="243"/>
      <c r="S30" s="243"/>
      <c r="T30" s="243"/>
      <c r="U30" s="243"/>
    </row>
    <row r="31" spans="2:21" ht="12.5">
      <c r="B31" s="145" t="str">
        <f t="shared" si="6"/>
        <v/>
      </c>
      <c r="C31" s="495">
        <f>IF(D11="","-",+C30+1)</f>
        <v>2024</v>
      </c>
      <c r="D31" s="508">
        <f>IF(F30+SUM(E$17:E30)=D$10,F30,D$10-SUM(E$17:E30))</f>
        <v>503317.61818160594</v>
      </c>
      <c r="E31" s="509">
        <f>IF(+I14&lt;F30,I14,D31)</f>
        <v>23348.967741935485</v>
      </c>
      <c r="F31" s="510">
        <f t="shared" si="10"/>
        <v>479968.65043967043</v>
      </c>
      <c r="G31" s="511">
        <f t="shared" si="11"/>
        <v>76537.413258708781</v>
      </c>
      <c r="H31" s="477">
        <f t="shared" si="12"/>
        <v>76537.413258708781</v>
      </c>
      <c r="I31" s="500">
        <f t="shared" si="0"/>
        <v>0</v>
      </c>
      <c r="J31" s="500"/>
      <c r="K31" s="512"/>
      <c r="L31" s="504">
        <f t="shared" si="2"/>
        <v>0</v>
      </c>
      <c r="M31" s="512"/>
      <c r="N31" s="504">
        <f t="shared" si="4"/>
        <v>0</v>
      </c>
      <c r="O31" s="504">
        <f t="shared" si="5"/>
        <v>0</v>
      </c>
      <c r="P31" s="278"/>
      <c r="Q31" s="220"/>
      <c r="R31" s="278"/>
      <c r="S31" s="278"/>
      <c r="T31" s="278"/>
      <c r="U31" s="243"/>
    </row>
    <row r="32" spans="2:21" ht="12.5">
      <c r="C32" s="495">
        <f>IF(D12="","-",+C31+1)</f>
        <v>2025</v>
      </c>
      <c r="D32" s="508">
        <f>IF(F31+SUM(E$17:E31)=D$10,F31,D$10-SUM(E$17:E31))</f>
        <v>479968.65043967043</v>
      </c>
      <c r="E32" s="509">
        <f>IF(+I14&lt;F31,I14,D32)</f>
        <v>23348.967741935485</v>
      </c>
      <c r="F32" s="510">
        <f>+D32-E32</f>
        <v>456619.68269773491</v>
      </c>
      <c r="G32" s="511">
        <f t="shared" si="11"/>
        <v>74011.403614831273</v>
      </c>
      <c r="H32" s="477">
        <f t="shared" si="12"/>
        <v>74011.403614831273</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IF(D33=F31,"","IU")</f>
        <v/>
      </c>
      <c r="C33" s="495">
        <f>IF(D13="","-",+C32+1)</f>
        <v>2026</v>
      </c>
      <c r="D33" s="508">
        <f>IF(F31+SUM(E$17:E31)=D$10,F31,D$10-SUM(E$17:E31))</f>
        <v>479968.65043967043</v>
      </c>
      <c r="E33" s="509">
        <f>IF(+I14&lt;F31,I14,D33)</f>
        <v>23348.967741935485</v>
      </c>
      <c r="F33" s="510">
        <f t="shared" si="10"/>
        <v>456619.68269773491</v>
      </c>
      <c r="G33" s="511">
        <f t="shared" si="11"/>
        <v>74011.403614831273</v>
      </c>
      <c r="H33" s="477">
        <f t="shared" si="12"/>
        <v>74011.403614831273</v>
      </c>
      <c r="I33" s="500">
        <f t="shared" si="0"/>
        <v>0</v>
      </c>
      <c r="J33" s="500"/>
      <c r="K33" s="512"/>
      <c r="L33" s="504">
        <f t="shared" si="2"/>
        <v>0</v>
      </c>
      <c r="M33" s="512"/>
      <c r="N33" s="504">
        <f t="shared" si="4"/>
        <v>0</v>
      </c>
      <c r="O33" s="504">
        <f t="shared" si="5"/>
        <v>0</v>
      </c>
      <c r="P33" s="278"/>
      <c r="R33" s="243"/>
      <c r="S33" s="243"/>
      <c r="T33" s="243"/>
      <c r="U33" s="243"/>
    </row>
    <row r="34" spans="2:21" ht="12.5">
      <c r="B34" s="145" t="str">
        <f>IF(D34=F33,"","IU")</f>
        <v>IU</v>
      </c>
      <c r="C34" s="513">
        <f>IF(D11="","-",+C33+1)</f>
        <v>2027</v>
      </c>
      <c r="D34" s="514">
        <f>IF(F33+SUM(E$17:E33)=D$10,F33,D$10-SUM(E$17:E33))</f>
        <v>433270.71495579951</v>
      </c>
      <c r="E34" s="515">
        <f>IF(+I14&lt;F33,I14,D34)</f>
        <v>23348.967741935485</v>
      </c>
      <c r="F34" s="516">
        <f t="shared" si="10"/>
        <v>409921.747213864</v>
      </c>
      <c r="G34" s="517">
        <f t="shared" si="11"/>
        <v>68959.384327076288</v>
      </c>
      <c r="H34" s="518">
        <f t="shared" si="12"/>
        <v>68959.384327076288</v>
      </c>
      <c r="I34" s="519">
        <f t="shared" si="0"/>
        <v>0</v>
      </c>
      <c r="J34" s="519"/>
      <c r="K34" s="520"/>
      <c r="L34" s="521">
        <f t="shared" si="2"/>
        <v>0</v>
      </c>
      <c r="M34" s="520"/>
      <c r="N34" s="521">
        <f t="shared" si="4"/>
        <v>0</v>
      </c>
      <c r="O34" s="521">
        <f t="shared" si="5"/>
        <v>0</v>
      </c>
      <c r="P34" s="522"/>
      <c r="Q34" s="216"/>
      <c r="R34" s="522"/>
      <c r="S34" s="522"/>
      <c r="T34" s="522"/>
      <c r="U34" s="243"/>
    </row>
    <row r="35" spans="2:21" ht="12.5">
      <c r="B35" s="145" t="str">
        <f t="shared" si="6"/>
        <v/>
      </c>
      <c r="C35" s="495">
        <f>IF(D11="","-",+C34+1)</f>
        <v>2028</v>
      </c>
      <c r="D35" s="508">
        <f>IF(F34+SUM(E$17:E34)=D$10,F34,D$10-SUM(E$17:E34))</f>
        <v>409921.747213864</v>
      </c>
      <c r="E35" s="509">
        <f>IF(+I14&lt;F34,I14,D35)</f>
        <v>23348.967741935485</v>
      </c>
      <c r="F35" s="510">
        <f t="shared" si="10"/>
        <v>386572.77947192849</v>
      </c>
      <c r="G35" s="511">
        <f t="shared" si="11"/>
        <v>66433.374683198781</v>
      </c>
      <c r="H35" s="477">
        <f t="shared" si="12"/>
        <v>66433.374683198781</v>
      </c>
      <c r="I35" s="500">
        <f t="shared" si="0"/>
        <v>0</v>
      </c>
      <c r="J35" s="500"/>
      <c r="K35" s="512"/>
      <c r="L35" s="504">
        <f t="shared" si="2"/>
        <v>0</v>
      </c>
      <c r="M35" s="512"/>
      <c r="N35" s="504">
        <f t="shared" si="4"/>
        <v>0</v>
      </c>
      <c r="O35" s="504">
        <f t="shared" si="5"/>
        <v>0</v>
      </c>
      <c r="P35" s="278"/>
      <c r="R35" s="243"/>
      <c r="S35" s="243"/>
      <c r="T35" s="243"/>
      <c r="U35" s="243"/>
    </row>
    <row r="36" spans="2:21" ht="12.5">
      <c r="B36" s="145" t="str">
        <f t="shared" si="6"/>
        <v/>
      </c>
      <c r="C36" s="495">
        <f>IF(D11="","-",+C35+1)</f>
        <v>2029</v>
      </c>
      <c r="D36" s="508">
        <f>IF(F35+SUM(E$17:E35)=D$10,F35,D$10-SUM(E$17:E35))</f>
        <v>386572.77947192849</v>
      </c>
      <c r="E36" s="509">
        <f>IF(+I14&lt;F35,I14,D36)</f>
        <v>23348.967741935485</v>
      </c>
      <c r="F36" s="510">
        <f t="shared" si="10"/>
        <v>363223.81172999297</v>
      </c>
      <c r="G36" s="511">
        <f t="shared" si="11"/>
        <v>63907.365039321274</v>
      </c>
      <c r="H36" s="477">
        <f t="shared" si="12"/>
        <v>63907.365039321274</v>
      </c>
      <c r="I36" s="500">
        <f t="shared" si="0"/>
        <v>0</v>
      </c>
      <c r="J36" s="500"/>
      <c r="K36" s="512"/>
      <c r="L36" s="504">
        <f t="shared" si="2"/>
        <v>0</v>
      </c>
      <c r="M36" s="512"/>
      <c r="N36" s="504">
        <f t="shared" si="4"/>
        <v>0</v>
      </c>
      <c r="O36" s="504">
        <f t="shared" si="5"/>
        <v>0</v>
      </c>
      <c r="P36" s="278"/>
      <c r="R36" s="243"/>
      <c r="S36" s="243"/>
      <c r="T36" s="243"/>
      <c r="U36" s="243"/>
    </row>
    <row r="37" spans="2:21" ht="12.5">
      <c r="B37" s="145" t="str">
        <f t="shared" si="6"/>
        <v/>
      </c>
      <c r="C37" s="495">
        <f>IF(D11="","-",+C36+1)</f>
        <v>2030</v>
      </c>
      <c r="D37" s="508">
        <f>IF(F36+SUM(E$17:E36)=D$10,F36,D$10-SUM(E$17:E36))</f>
        <v>363223.81172999297</v>
      </c>
      <c r="E37" s="509">
        <f>IF(+I14&lt;F36,I14,D37)</f>
        <v>23348.967741935485</v>
      </c>
      <c r="F37" s="510">
        <f t="shared" si="10"/>
        <v>339874.84398805746</v>
      </c>
      <c r="G37" s="511">
        <f t="shared" si="11"/>
        <v>61381.355395443774</v>
      </c>
      <c r="H37" s="477">
        <f t="shared" si="12"/>
        <v>61381.355395443774</v>
      </c>
      <c r="I37" s="500">
        <f t="shared" si="0"/>
        <v>0</v>
      </c>
      <c r="J37" s="500"/>
      <c r="K37" s="512"/>
      <c r="L37" s="504">
        <f t="shared" si="2"/>
        <v>0</v>
      </c>
      <c r="M37" s="512"/>
      <c r="N37" s="504">
        <f t="shared" si="4"/>
        <v>0</v>
      </c>
      <c r="O37" s="504">
        <f t="shared" si="5"/>
        <v>0</v>
      </c>
      <c r="P37" s="278"/>
      <c r="R37" s="243"/>
      <c r="S37" s="243"/>
      <c r="T37" s="243"/>
      <c r="U37" s="243"/>
    </row>
    <row r="38" spans="2:21" ht="12.5">
      <c r="B38" s="145" t="str">
        <f t="shared" si="6"/>
        <v/>
      </c>
      <c r="C38" s="495">
        <f>IF(D11="","-",+C37+1)</f>
        <v>2031</v>
      </c>
      <c r="D38" s="508">
        <f>IF(F37+SUM(E$17:E37)=D$10,F37,D$10-SUM(E$17:E37))</f>
        <v>339874.84398805746</v>
      </c>
      <c r="E38" s="509">
        <f>IF(+I14&lt;F37,I14,D38)</f>
        <v>23348.967741935485</v>
      </c>
      <c r="F38" s="510">
        <f t="shared" si="10"/>
        <v>316525.87624612194</v>
      </c>
      <c r="G38" s="511">
        <f t="shared" si="11"/>
        <v>58855.345751566267</v>
      </c>
      <c r="H38" s="477">
        <f t="shared" si="12"/>
        <v>58855.345751566267</v>
      </c>
      <c r="I38" s="500">
        <f t="shared" si="0"/>
        <v>0</v>
      </c>
      <c r="J38" s="500"/>
      <c r="K38" s="512"/>
      <c r="L38" s="504">
        <f t="shared" si="2"/>
        <v>0</v>
      </c>
      <c r="M38" s="512"/>
      <c r="N38" s="504">
        <f t="shared" si="4"/>
        <v>0</v>
      </c>
      <c r="O38" s="504">
        <f t="shared" si="5"/>
        <v>0</v>
      </c>
      <c r="P38" s="278"/>
      <c r="R38" s="243"/>
      <c r="S38" s="243"/>
      <c r="T38" s="243"/>
      <c r="U38" s="243"/>
    </row>
    <row r="39" spans="2:21" ht="12.5">
      <c r="B39" s="145" t="str">
        <f t="shared" si="6"/>
        <v/>
      </c>
      <c r="C39" s="495">
        <f>IF(D11="","-",+C38+1)</f>
        <v>2032</v>
      </c>
      <c r="D39" s="508">
        <f>IF(F38+SUM(E$17:E38)=D$10,F38,D$10-SUM(E$17:E38))</f>
        <v>316525.87624612194</v>
      </c>
      <c r="E39" s="509">
        <f>IF(+I14&lt;F38,I14,D39)</f>
        <v>23348.967741935485</v>
      </c>
      <c r="F39" s="510">
        <f t="shared" si="10"/>
        <v>293176.90850418643</v>
      </c>
      <c r="G39" s="511">
        <f t="shared" si="11"/>
        <v>56329.336107688767</v>
      </c>
      <c r="H39" s="477">
        <f t="shared" si="12"/>
        <v>56329.336107688767</v>
      </c>
      <c r="I39" s="500">
        <f t="shared" si="0"/>
        <v>0</v>
      </c>
      <c r="J39" s="500"/>
      <c r="K39" s="512"/>
      <c r="L39" s="504">
        <f t="shared" si="2"/>
        <v>0</v>
      </c>
      <c r="M39" s="512"/>
      <c r="N39" s="504">
        <f t="shared" si="4"/>
        <v>0</v>
      </c>
      <c r="O39" s="504">
        <f t="shared" si="5"/>
        <v>0</v>
      </c>
      <c r="P39" s="278"/>
      <c r="R39" s="243"/>
      <c r="S39" s="243"/>
      <c r="T39" s="243"/>
      <c r="U39" s="243"/>
    </row>
    <row r="40" spans="2:21" ht="12.5">
      <c r="B40" s="145" t="str">
        <f t="shared" si="6"/>
        <v/>
      </c>
      <c r="C40" s="495">
        <f>IF(D11="","-",+C39+1)</f>
        <v>2033</v>
      </c>
      <c r="D40" s="508">
        <f>IF(F39+SUM(E$17:E39)=D$10,F39,D$10-SUM(E$17:E39))</f>
        <v>293176.90850418643</v>
      </c>
      <c r="E40" s="509">
        <f>IF(+I14&lt;F39,I14,D40)</f>
        <v>23348.967741935485</v>
      </c>
      <c r="F40" s="510">
        <f t="shared" si="10"/>
        <v>269827.94076225092</v>
      </c>
      <c r="G40" s="511">
        <f t="shared" si="11"/>
        <v>53803.326463811267</v>
      </c>
      <c r="H40" s="477">
        <f t="shared" si="12"/>
        <v>53803.326463811267</v>
      </c>
      <c r="I40" s="500">
        <f t="shared" si="0"/>
        <v>0</v>
      </c>
      <c r="J40" s="500"/>
      <c r="K40" s="512"/>
      <c r="L40" s="504">
        <f t="shared" si="2"/>
        <v>0</v>
      </c>
      <c r="M40" s="512"/>
      <c r="N40" s="504">
        <f t="shared" si="4"/>
        <v>0</v>
      </c>
      <c r="O40" s="504">
        <f t="shared" si="5"/>
        <v>0</v>
      </c>
      <c r="P40" s="278"/>
      <c r="R40" s="243"/>
      <c r="S40" s="243"/>
      <c r="T40" s="243"/>
      <c r="U40" s="243"/>
    </row>
    <row r="41" spans="2:21" ht="12.5">
      <c r="B41" s="145" t="str">
        <f t="shared" si="6"/>
        <v/>
      </c>
      <c r="C41" s="495">
        <f>IF(D12="","-",+C40+1)</f>
        <v>2034</v>
      </c>
      <c r="D41" s="508">
        <f>IF(F40+SUM(E$17:E40)=D$10,F40,D$10-SUM(E$17:E40))</f>
        <v>269827.94076225092</v>
      </c>
      <c r="E41" s="509">
        <f>IF(+I14&lt;F40,I14,D41)</f>
        <v>23348.967741935485</v>
      </c>
      <c r="F41" s="510">
        <f t="shared" si="10"/>
        <v>246478.97302031543</v>
      </c>
      <c r="G41" s="511">
        <f t="shared" si="11"/>
        <v>51277.316819933767</v>
      </c>
      <c r="H41" s="477">
        <f t="shared" si="12"/>
        <v>51277.316819933767</v>
      </c>
      <c r="I41" s="500">
        <f t="shared" si="0"/>
        <v>0</v>
      </c>
      <c r="J41" s="500"/>
      <c r="K41" s="512"/>
      <c r="L41" s="504">
        <f t="shared" si="2"/>
        <v>0</v>
      </c>
      <c r="M41" s="512"/>
      <c r="N41" s="504">
        <f t="shared" si="4"/>
        <v>0</v>
      </c>
      <c r="O41" s="504">
        <f t="shared" si="5"/>
        <v>0</v>
      </c>
      <c r="P41" s="278"/>
      <c r="R41" s="243"/>
      <c r="S41" s="243"/>
      <c r="T41" s="243"/>
      <c r="U41" s="243"/>
    </row>
    <row r="42" spans="2:21" ht="12.5">
      <c r="B42" s="145" t="str">
        <f t="shared" si="6"/>
        <v/>
      </c>
      <c r="C42" s="495">
        <f>IF(D13="","-",+C41+1)</f>
        <v>2035</v>
      </c>
      <c r="D42" s="508">
        <f>IF(F41+SUM(E$17:E41)=D$10,F41,D$10-SUM(E$17:E41))</f>
        <v>246478.97302031543</v>
      </c>
      <c r="E42" s="509">
        <f>IF(+I14&lt;F41,I14,D42)</f>
        <v>23348.967741935485</v>
      </c>
      <c r="F42" s="510">
        <f t="shared" si="10"/>
        <v>223130.00527837995</v>
      </c>
      <c r="G42" s="511">
        <f t="shared" si="11"/>
        <v>48751.307176056267</v>
      </c>
      <c r="H42" s="477">
        <f t="shared" si="12"/>
        <v>48751.307176056267</v>
      </c>
      <c r="I42" s="500">
        <f t="shared" si="0"/>
        <v>0</v>
      </c>
      <c r="J42" s="500"/>
      <c r="K42" s="512"/>
      <c r="L42" s="504">
        <f t="shared" si="2"/>
        <v>0</v>
      </c>
      <c r="M42" s="512"/>
      <c r="N42" s="504">
        <f t="shared" si="4"/>
        <v>0</v>
      </c>
      <c r="O42" s="504">
        <f t="shared" si="5"/>
        <v>0</v>
      </c>
      <c r="P42" s="278"/>
      <c r="R42" s="243"/>
      <c r="S42" s="243"/>
      <c r="T42" s="243"/>
      <c r="U42" s="243"/>
    </row>
    <row r="43" spans="2:21" ht="12.5">
      <c r="B43" s="145" t="str">
        <f t="shared" si="6"/>
        <v/>
      </c>
      <c r="C43" s="495">
        <f>IF(D11="","-",+C42+1)</f>
        <v>2036</v>
      </c>
      <c r="D43" s="508">
        <f>IF(F42+SUM(E$17:E42)=D$10,F42,D$10-SUM(E$17:E42))</f>
        <v>223130.00527837995</v>
      </c>
      <c r="E43" s="509">
        <f>IF(+I14&lt;F42,I14,D43)</f>
        <v>23348.967741935485</v>
      </c>
      <c r="F43" s="510">
        <f t="shared" si="10"/>
        <v>199781.03753644446</v>
      </c>
      <c r="G43" s="511">
        <f t="shared" si="11"/>
        <v>46225.297532178767</v>
      </c>
      <c r="H43" s="477">
        <f t="shared" si="12"/>
        <v>46225.297532178767</v>
      </c>
      <c r="I43" s="500">
        <f t="shared" si="0"/>
        <v>0</v>
      </c>
      <c r="J43" s="500"/>
      <c r="K43" s="512"/>
      <c r="L43" s="504">
        <f t="shared" si="2"/>
        <v>0</v>
      </c>
      <c r="M43" s="512"/>
      <c r="N43" s="504">
        <f t="shared" si="4"/>
        <v>0</v>
      </c>
      <c r="O43" s="504">
        <f t="shared" si="5"/>
        <v>0</v>
      </c>
      <c r="P43" s="278"/>
      <c r="R43" s="243"/>
      <c r="S43" s="243"/>
      <c r="T43" s="243"/>
      <c r="U43" s="243"/>
    </row>
    <row r="44" spans="2:21" ht="12.5">
      <c r="B44" s="145" t="str">
        <f t="shared" si="6"/>
        <v/>
      </c>
      <c r="C44" s="495">
        <f>IF(D11="","-",+C43+1)</f>
        <v>2037</v>
      </c>
      <c r="D44" s="508">
        <f>IF(F43+SUM(E$17:E43)=D$10,F43,D$10-SUM(E$17:E43))</f>
        <v>199781.03753644446</v>
      </c>
      <c r="E44" s="509">
        <f>IF(+I14&lt;F43,I14,D44)</f>
        <v>23348.967741935485</v>
      </c>
      <c r="F44" s="510">
        <f t="shared" si="10"/>
        <v>176432.06979450898</v>
      </c>
      <c r="G44" s="511">
        <f t="shared" si="11"/>
        <v>43699.287888301275</v>
      </c>
      <c r="H44" s="477">
        <f t="shared" si="12"/>
        <v>43699.287888301275</v>
      </c>
      <c r="I44" s="500">
        <f t="shared" si="0"/>
        <v>0</v>
      </c>
      <c r="J44" s="500"/>
      <c r="K44" s="512"/>
      <c r="L44" s="504">
        <f t="shared" si="2"/>
        <v>0</v>
      </c>
      <c r="M44" s="512"/>
      <c r="N44" s="504">
        <f t="shared" si="4"/>
        <v>0</v>
      </c>
      <c r="O44" s="504">
        <f t="shared" si="5"/>
        <v>0</v>
      </c>
      <c r="P44" s="278"/>
      <c r="R44" s="243"/>
      <c r="S44" s="243"/>
      <c r="T44" s="243"/>
      <c r="U44" s="243"/>
    </row>
    <row r="45" spans="2:21" ht="12.5">
      <c r="B45" s="145" t="str">
        <f t="shared" si="6"/>
        <v/>
      </c>
      <c r="C45" s="495">
        <f>IF(D11="","-",+C44+1)</f>
        <v>2038</v>
      </c>
      <c r="D45" s="508">
        <f>IF(F44+SUM(E$17:E44)=D$10,F44,D$10-SUM(E$17:E44))</f>
        <v>176432.06979450898</v>
      </c>
      <c r="E45" s="509">
        <f>IF(+I14&lt;F44,I14,D45)</f>
        <v>23348.967741935485</v>
      </c>
      <c r="F45" s="510">
        <f t="shared" si="10"/>
        <v>153083.10205257349</v>
      </c>
      <c r="G45" s="511">
        <f t="shared" si="11"/>
        <v>41173.278244423767</v>
      </c>
      <c r="H45" s="477">
        <f t="shared" si="12"/>
        <v>41173.278244423767</v>
      </c>
      <c r="I45" s="500">
        <f t="shared" si="0"/>
        <v>0</v>
      </c>
      <c r="J45" s="500"/>
      <c r="K45" s="512"/>
      <c r="L45" s="504">
        <f t="shared" si="2"/>
        <v>0</v>
      </c>
      <c r="M45" s="512"/>
      <c r="N45" s="504">
        <f t="shared" si="4"/>
        <v>0</v>
      </c>
      <c r="O45" s="504">
        <f t="shared" si="5"/>
        <v>0</v>
      </c>
      <c r="P45" s="278"/>
      <c r="R45" s="243"/>
      <c r="S45" s="243"/>
      <c r="T45" s="243"/>
      <c r="U45" s="243"/>
    </row>
    <row r="46" spans="2:21" ht="12.5">
      <c r="B46" s="145" t="str">
        <f t="shared" si="6"/>
        <v/>
      </c>
      <c r="C46" s="495">
        <f>IF(D11="","-",+C45+1)</f>
        <v>2039</v>
      </c>
      <c r="D46" s="508">
        <f>IF(F45+SUM(E$17:E45)=D$10,F45,D$10-SUM(E$17:E45))</f>
        <v>153083.10205257349</v>
      </c>
      <c r="E46" s="509">
        <f>IF(+I14&lt;F45,I14,D46)</f>
        <v>23348.967741935485</v>
      </c>
      <c r="F46" s="510">
        <f t="shared" si="10"/>
        <v>129734.13431063801</v>
      </c>
      <c r="G46" s="511">
        <f t="shared" si="11"/>
        <v>38647.268600546275</v>
      </c>
      <c r="H46" s="477">
        <f t="shared" si="12"/>
        <v>38647.268600546275</v>
      </c>
      <c r="I46" s="500">
        <f t="shared" si="0"/>
        <v>0</v>
      </c>
      <c r="J46" s="500"/>
      <c r="K46" s="512"/>
      <c r="L46" s="504">
        <f t="shared" si="2"/>
        <v>0</v>
      </c>
      <c r="M46" s="512"/>
      <c r="N46" s="504">
        <f t="shared" si="4"/>
        <v>0</v>
      </c>
      <c r="O46" s="504">
        <f t="shared" si="5"/>
        <v>0</v>
      </c>
      <c r="P46" s="278"/>
      <c r="R46" s="243"/>
      <c r="S46" s="243"/>
      <c r="T46" s="243"/>
      <c r="U46" s="243"/>
    </row>
    <row r="47" spans="2:21" ht="12.5">
      <c r="B47" s="145" t="str">
        <f t="shared" si="6"/>
        <v/>
      </c>
      <c r="C47" s="495">
        <f>IF(D11="","-",+C46+1)</f>
        <v>2040</v>
      </c>
      <c r="D47" s="508">
        <f>IF(F46+SUM(E$17:E46)=D$10,F46,D$10-SUM(E$17:E46))</f>
        <v>129734.13431063801</v>
      </c>
      <c r="E47" s="509">
        <f>IF(+I14&lt;F46,I14,D47)</f>
        <v>23348.967741935485</v>
      </c>
      <c r="F47" s="510">
        <f t="shared" si="10"/>
        <v>106385.16656870252</v>
      </c>
      <c r="G47" s="511">
        <f t="shared" si="11"/>
        <v>36121.258956668767</v>
      </c>
      <c r="H47" s="477">
        <f t="shared" si="12"/>
        <v>36121.258956668767</v>
      </c>
      <c r="I47" s="500">
        <f t="shared" si="0"/>
        <v>0</v>
      </c>
      <c r="J47" s="500"/>
      <c r="K47" s="512"/>
      <c r="L47" s="504">
        <f t="shared" si="2"/>
        <v>0</v>
      </c>
      <c r="M47" s="512"/>
      <c r="N47" s="504">
        <f t="shared" si="4"/>
        <v>0</v>
      </c>
      <c r="O47" s="504">
        <f t="shared" si="5"/>
        <v>0</v>
      </c>
      <c r="P47" s="278"/>
      <c r="R47" s="243"/>
      <c r="S47" s="243"/>
      <c r="T47" s="243"/>
      <c r="U47" s="243"/>
    </row>
    <row r="48" spans="2:21" ht="12.5">
      <c r="B48" s="145" t="str">
        <f t="shared" si="6"/>
        <v/>
      </c>
      <c r="C48" s="495">
        <f>IF(D11="","-",+C47+1)</f>
        <v>2041</v>
      </c>
      <c r="D48" s="508">
        <f>IF(F47+SUM(E$17:E47)=D$10,F47,D$10-SUM(E$17:E47))</f>
        <v>106385.16656870252</v>
      </c>
      <c r="E48" s="509">
        <f>IF(+I14&lt;F47,I14,D48)</f>
        <v>23348.967741935485</v>
      </c>
      <c r="F48" s="510">
        <f t="shared" si="10"/>
        <v>83036.198826767039</v>
      </c>
      <c r="G48" s="511">
        <f t="shared" si="11"/>
        <v>33595.249312791275</v>
      </c>
      <c r="H48" s="477">
        <f t="shared" si="12"/>
        <v>33595.249312791275</v>
      </c>
      <c r="I48" s="500">
        <f t="shared" si="0"/>
        <v>0</v>
      </c>
      <c r="J48" s="500"/>
      <c r="K48" s="512"/>
      <c r="L48" s="504">
        <f t="shared" si="2"/>
        <v>0</v>
      </c>
      <c r="M48" s="512"/>
      <c r="N48" s="504">
        <f t="shared" si="4"/>
        <v>0</v>
      </c>
      <c r="O48" s="504">
        <f t="shared" si="5"/>
        <v>0</v>
      </c>
      <c r="P48" s="278"/>
      <c r="R48" s="243"/>
      <c r="S48" s="243"/>
      <c r="T48" s="243"/>
      <c r="U48" s="243"/>
    </row>
    <row r="49" spans="2:21" ht="12.5">
      <c r="B49" s="145" t="str">
        <f t="shared" si="6"/>
        <v/>
      </c>
      <c r="C49" s="495">
        <f>IF(D11="","-",+C48+1)</f>
        <v>2042</v>
      </c>
      <c r="D49" s="508">
        <f>IF(F48+SUM(E$17:E48)=D$10,F48,D$10-SUM(E$17:E48))</f>
        <v>83036.198826767039</v>
      </c>
      <c r="E49" s="509">
        <f>IF(+I14&lt;F48,I14,D49)</f>
        <v>23348.967741935485</v>
      </c>
      <c r="F49" s="510">
        <f t="shared" si="10"/>
        <v>59687.231084831554</v>
      </c>
      <c r="G49" s="511">
        <f t="shared" si="11"/>
        <v>31069.239668913775</v>
      </c>
      <c r="H49" s="477">
        <f t="shared" si="12"/>
        <v>31069.239668913775</v>
      </c>
      <c r="I49" s="500">
        <f t="shared" si="0"/>
        <v>0</v>
      </c>
      <c r="J49" s="500"/>
      <c r="K49" s="512"/>
      <c r="L49" s="504">
        <f t="shared" si="2"/>
        <v>0</v>
      </c>
      <c r="M49" s="512"/>
      <c r="N49" s="504">
        <f t="shared" si="4"/>
        <v>0</v>
      </c>
      <c r="O49" s="504">
        <f t="shared" si="5"/>
        <v>0</v>
      </c>
      <c r="P49" s="278"/>
      <c r="R49" s="243"/>
      <c r="S49" s="243"/>
      <c r="T49" s="243"/>
      <c r="U49" s="243"/>
    </row>
    <row r="50" spans="2:21" ht="12.5">
      <c r="B50" s="145" t="str">
        <f t="shared" si="6"/>
        <v/>
      </c>
      <c r="C50" s="495">
        <f>IF(D11="","-",+C49+1)</f>
        <v>2043</v>
      </c>
      <c r="D50" s="508">
        <f>IF(F49+SUM(E$17:E49)=D$10,F49,D$10-SUM(E$17:E49))</f>
        <v>59687.231084831554</v>
      </c>
      <c r="E50" s="509">
        <f>IF(+I14&lt;F49,I14,D50)</f>
        <v>23348.967741935485</v>
      </c>
      <c r="F50" s="510">
        <f t="shared" ref="F50:F73" si="13">+D50-E50</f>
        <v>36338.263342896069</v>
      </c>
      <c r="G50" s="511">
        <f t="shared" si="11"/>
        <v>28543.230025036275</v>
      </c>
      <c r="H50" s="477">
        <f t="shared" si="12"/>
        <v>28543.230025036275</v>
      </c>
      <c r="I50" s="500">
        <f t="shared" ref="I50:I73" si="14">H50-G50</f>
        <v>0</v>
      </c>
      <c r="J50" s="500"/>
      <c r="K50" s="512"/>
      <c r="L50" s="504">
        <f t="shared" ref="L50:L73" si="15">IF(K50&lt;&gt;0,+G50-K50,0)</f>
        <v>0</v>
      </c>
      <c r="M50" s="512"/>
      <c r="N50" s="504">
        <f t="shared" ref="N50:N73" si="16">IF(M50&lt;&gt;0,+H50-M50,0)</f>
        <v>0</v>
      </c>
      <c r="O50" s="504">
        <f t="shared" ref="O50:O73" si="17">+N50-L50</f>
        <v>0</v>
      </c>
      <c r="P50" s="278"/>
      <c r="R50" s="243"/>
      <c r="S50" s="243"/>
      <c r="T50" s="243"/>
      <c r="U50" s="243"/>
    </row>
    <row r="51" spans="2:21" ht="12.5">
      <c r="B51" s="145" t="str">
        <f t="shared" si="6"/>
        <v/>
      </c>
      <c r="C51" s="495">
        <f>IF(D11="","-",+C50+1)</f>
        <v>2044</v>
      </c>
      <c r="D51" s="508">
        <f>IF(F50+SUM(E$17:E50)=D$10,F50,D$10-SUM(E$17:E50))</f>
        <v>36338.263342896069</v>
      </c>
      <c r="E51" s="509">
        <f>IF(+I14&lt;F50,I14,D51)</f>
        <v>23348.967741935485</v>
      </c>
      <c r="F51" s="510">
        <f t="shared" si="13"/>
        <v>12989.295600960584</v>
      </c>
      <c r="G51" s="511">
        <f t="shared" si="11"/>
        <v>26017.220381158775</v>
      </c>
      <c r="H51" s="477">
        <f t="shared" si="12"/>
        <v>26017.220381158775</v>
      </c>
      <c r="I51" s="500">
        <f t="shared" si="14"/>
        <v>0</v>
      </c>
      <c r="J51" s="500"/>
      <c r="K51" s="512"/>
      <c r="L51" s="504">
        <f t="shared" si="15"/>
        <v>0</v>
      </c>
      <c r="M51" s="512"/>
      <c r="N51" s="504">
        <f t="shared" si="16"/>
        <v>0</v>
      </c>
      <c r="O51" s="504">
        <f t="shared" si="17"/>
        <v>0</v>
      </c>
      <c r="P51" s="278"/>
      <c r="R51" s="243"/>
      <c r="S51" s="243"/>
      <c r="T51" s="243"/>
      <c r="U51" s="243"/>
    </row>
    <row r="52" spans="2:21" ht="12.5">
      <c r="B52" s="145" t="str">
        <f t="shared" si="6"/>
        <v/>
      </c>
      <c r="C52" s="495">
        <f>IF(D11="","-",+C51+1)</f>
        <v>2045</v>
      </c>
      <c r="D52" s="508">
        <f>IF(F51+SUM(E$17:E51)=D$10,F51,D$10-SUM(E$17:E51))</f>
        <v>12989.295600960584</v>
      </c>
      <c r="E52" s="509">
        <f>IF(+I14&lt;F51,I14,D52)</f>
        <v>12989.295600960584</v>
      </c>
      <c r="F52" s="510">
        <f t="shared" si="13"/>
        <v>0</v>
      </c>
      <c r="G52" s="511">
        <f t="shared" si="11"/>
        <v>13691.919509602854</v>
      </c>
      <c r="H52" s="477">
        <f t="shared" si="12"/>
        <v>13691.919509602854</v>
      </c>
      <c r="I52" s="500">
        <f t="shared" si="14"/>
        <v>0</v>
      </c>
      <c r="J52" s="500"/>
      <c r="K52" s="512"/>
      <c r="L52" s="504">
        <f t="shared" si="15"/>
        <v>0</v>
      </c>
      <c r="M52" s="512"/>
      <c r="N52" s="504">
        <f t="shared" si="16"/>
        <v>0</v>
      </c>
      <c r="O52" s="504">
        <f t="shared" si="17"/>
        <v>0</v>
      </c>
      <c r="P52" s="278"/>
      <c r="R52" s="243"/>
      <c r="S52" s="243"/>
      <c r="T52" s="243"/>
      <c r="U52" s="243"/>
    </row>
    <row r="53" spans="2:21" ht="12.5">
      <c r="B53" s="145" t="str">
        <f t="shared" si="6"/>
        <v/>
      </c>
      <c r="C53" s="495">
        <f>IF(D11="","-",+C52+1)</f>
        <v>2046</v>
      </c>
      <c r="D53" s="508">
        <f>IF(F52+SUM(E$17:E52)=D$10,F52,D$10-SUM(E$17:E52))</f>
        <v>0</v>
      </c>
      <c r="E53" s="509">
        <f>IF(+I14&lt;F52,I14,D53)</f>
        <v>0</v>
      </c>
      <c r="F53" s="510">
        <f t="shared" si="13"/>
        <v>0</v>
      </c>
      <c r="G53" s="511">
        <f t="shared" si="11"/>
        <v>0</v>
      </c>
      <c r="H53" s="477">
        <f t="shared" si="12"/>
        <v>0</v>
      </c>
      <c r="I53" s="500">
        <f t="shared" si="14"/>
        <v>0</v>
      </c>
      <c r="J53" s="500"/>
      <c r="K53" s="512"/>
      <c r="L53" s="504">
        <f t="shared" si="15"/>
        <v>0</v>
      </c>
      <c r="M53" s="512"/>
      <c r="N53" s="504">
        <f t="shared" si="16"/>
        <v>0</v>
      </c>
      <c r="O53" s="504">
        <f t="shared" si="17"/>
        <v>0</v>
      </c>
      <c r="P53" s="278"/>
      <c r="R53" s="243"/>
      <c r="S53" s="243"/>
      <c r="T53" s="243"/>
      <c r="U53" s="243"/>
    </row>
    <row r="54" spans="2:21" ht="12.5">
      <c r="B54" s="145" t="str">
        <f t="shared" si="6"/>
        <v/>
      </c>
      <c r="C54" s="495">
        <f>IF(D11="","-",+C53+1)</f>
        <v>2047</v>
      </c>
      <c r="D54" s="508">
        <f>IF(F53+SUM(E$17:E53)=D$10,F53,D$10-SUM(E$17:E53))</f>
        <v>0</v>
      </c>
      <c r="E54" s="509">
        <f>IF(+I14&lt;F53,I14,D54)</f>
        <v>0</v>
      </c>
      <c r="F54" s="510">
        <f t="shared" si="13"/>
        <v>0</v>
      </c>
      <c r="G54" s="511">
        <f t="shared" si="11"/>
        <v>0</v>
      </c>
      <c r="H54" s="477">
        <f t="shared" si="12"/>
        <v>0</v>
      </c>
      <c r="I54" s="500">
        <f t="shared" si="14"/>
        <v>0</v>
      </c>
      <c r="J54" s="500"/>
      <c r="K54" s="512"/>
      <c r="L54" s="504">
        <f t="shared" si="15"/>
        <v>0</v>
      </c>
      <c r="M54" s="512"/>
      <c r="N54" s="504">
        <f t="shared" si="16"/>
        <v>0</v>
      </c>
      <c r="O54" s="504">
        <f t="shared" si="17"/>
        <v>0</v>
      </c>
      <c r="P54" s="278"/>
      <c r="R54" s="243"/>
      <c r="S54" s="243"/>
      <c r="T54" s="243"/>
      <c r="U54" s="243"/>
    </row>
    <row r="55" spans="2:21" ht="12.5">
      <c r="B55" s="145" t="str">
        <f t="shared" si="6"/>
        <v/>
      </c>
      <c r="C55" s="495">
        <f>IF(D11="","-",+C54+1)</f>
        <v>2048</v>
      </c>
      <c r="D55" s="508">
        <f>IF(F54+SUM(E$17:E54)=D$10,F54,D$10-SUM(E$17:E54))</f>
        <v>0</v>
      </c>
      <c r="E55" s="509">
        <f>IF(+I14&lt;F54,I14,D55)</f>
        <v>0</v>
      </c>
      <c r="F55" s="510">
        <f t="shared" si="13"/>
        <v>0</v>
      </c>
      <c r="G55" s="511">
        <f t="shared" si="11"/>
        <v>0</v>
      </c>
      <c r="H55" s="477">
        <f t="shared" si="12"/>
        <v>0</v>
      </c>
      <c r="I55" s="500">
        <f t="shared" si="14"/>
        <v>0</v>
      </c>
      <c r="J55" s="500"/>
      <c r="K55" s="512"/>
      <c r="L55" s="504">
        <f t="shared" si="15"/>
        <v>0</v>
      </c>
      <c r="M55" s="512"/>
      <c r="N55" s="504">
        <f t="shared" si="16"/>
        <v>0</v>
      </c>
      <c r="O55" s="504">
        <f t="shared" si="17"/>
        <v>0</v>
      </c>
      <c r="P55" s="278"/>
      <c r="R55" s="243"/>
      <c r="S55" s="243"/>
      <c r="T55" s="243"/>
      <c r="U55" s="243"/>
    </row>
    <row r="56" spans="2:21" ht="12.5">
      <c r="B56" s="145" t="str">
        <f t="shared" si="6"/>
        <v/>
      </c>
      <c r="C56" s="495">
        <f>IF(D11="","-",+C55+1)</f>
        <v>2049</v>
      </c>
      <c r="D56" s="508">
        <f>IF(F55+SUM(E$17:E55)=D$10,F55,D$10-SUM(E$17:E55))</f>
        <v>0</v>
      </c>
      <c r="E56" s="509">
        <f>IF(+I14&lt;F55,I14,D56)</f>
        <v>0</v>
      </c>
      <c r="F56" s="510">
        <f t="shared" si="13"/>
        <v>0</v>
      </c>
      <c r="G56" s="511">
        <f t="shared" si="11"/>
        <v>0</v>
      </c>
      <c r="H56" s="477">
        <f t="shared" si="12"/>
        <v>0</v>
      </c>
      <c r="I56" s="500">
        <f t="shared" si="14"/>
        <v>0</v>
      </c>
      <c r="J56" s="500"/>
      <c r="K56" s="512"/>
      <c r="L56" s="504">
        <f t="shared" si="15"/>
        <v>0</v>
      </c>
      <c r="M56" s="512"/>
      <c r="N56" s="504">
        <f t="shared" si="16"/>
        <v>0</v>
      </c>
      <c r="O56" s="504">
        <f t="shared" si="17"/>
        <v>0</v>
      </c>
      <c r="P56" s="278"/>
      <c r="R56" s="243"/>
      <c r="S56" s="243"/>
      <c r="T56" s="243"/>
      <c r="U56" s="243"/>
    </row>
    <row r="57" spans="2:21" ht="12.5">
      <c r="B57" s="145" t="str">
        <f t="shared" si="6"/>
        <v/>
      </c>
      <c r="C57" s="495">
        <f>IF(D11="","-",+C56+1)</f>
        <v>2050</v>
      </c>
      <c r="D57" s="508">
        <f>IF(F56+SUM(E$17:E56)=D$10,F56,D$10-SUM(E$17:E56))</f>
        <v>0</v>
      </c>
      <c r="E57" s="509">
        <f>IF(+I14&lt;F56,I14,D57)</f>
        <v>0</v>
      </c>
      <c r="F57" s="510">
        <f t="shared" si="13"/>
        <v>0</v>
      </c>
      <c r="G57" s="511">
        <f t="shared" si="11"/>
        <v>0</v>
      </c>
      <c r="H57" s="477">
        <f t="shared" si="12"/>
        <v>0</v>
      </c>
      <c r="I57" s="500">
        <f t="shared" si="14"/>
        <v>0</v>
      </c>
      <c r="J57" s="500"/>
      <c r="K57" s="512"/>
      <c r="L57" s="504">
        <f t="shared" si="15"/>
        <v>0</v>
      </c>
      <c r="M57" s="512"/>
      <c r="N57" s="504">
        <f t="shared" si="16"/>
        <v>0</v>
      </c>
      <c r="O57" s="504">
        <f t="shared" si="17"/>
        <v>0</v>
      </c>
      <c r="P57" s="278"/>
      <c r="R57" s="243"/>
      <c r="S57" s="243"/>
      <c r="T57" s="243"/>
      <c r="U57" s="243"/>
    </row>
    <row r="58" spans="2:21" ht="12.5">
      <c r="B58" s="145" t="str">
        <f t="shared" si="6"/>
        <v/>
      </c>
      <c r="C58" s="495">
        <f>IF(D11="","-",+C57+1)</f>
        <v>2051</v>
      </c>
      <c r="D58" s="508">
        <f>IF(F57+SUM(E$17:E57)=D$10,F57,D$10-SUM(E$17:E57))</f>
        <v>0</v>
      </c>
      <c r="E58" s="509">
        <f>IF(+I14&lt;F57,I14,D58)</f>
        <v>0</v>
      </c>
      <c r="F58" s="510">
        <f t="shared" si="13"/>
        <v>0</v>
      </c>
      <c r="G58" s="511">
        <f t="shared" si="11"/>
        <v>0</v>
      </c>
      <c r="H58" s="477">
        <f t="shared" si="12"/>
        <v>0</v>
      </c>
      <c r="I58" s="500">
        <f t="shared" si="14"/>
        <v>0</v>
      </c>
      <c r="J58" s="500"/>
      <c r="K58" s="512"/>
      <c r="L58" s="504">
        <f t="shared" si="15"/>
        <v>0</v>
      </c>
      <c r="M58" s="512"/>
      <c r="N58" s="504">
        <f t="shared" si="16"/>
        <v>0</v>
      </c>
      <c r="O58" s="504">
        <f t="shared" si="17"/>
        <v>0</v>
      </c>
      <c r="P58" s="278"/>
      <c r="R58" s="243"/>
      <c r="S58" s="243"/>
      <c r="T58" s="243"/>
      <c r="U58" s="243"/>
    </row>
    <row r="59" spans="2:21" ht="12.5">
      <c r="B59" s="145" t="str">
        <f t="shared" si="6"/>
        <v/>
      </c>
      <c r="C59" s="495">
        <f>IF(D11="","-",+C58+1)</f>
        <v>2052</v>
      </c>
      <c r="D59" s="508">
        <f>IF(F58+SUM(E$17:E58)=D$10,F58,D$10-SUM(E$17:E58))</f>
        <v>0</v>
      </c>
      <c r="E59" s="509">
        <f>IF(+I14&lt;F58,I14,D59)</f>
        <v>0</v>
      </c>
      <c r="F59" s="510">
        <f t="shared" si="13"/>
        <v>0</v>
      </c>
      <c r="G59" s="511">
        <f t="shared" si="11"/>
        <v>0</v>
      </c>
      <c r="H59" s="477">
        <f t="shared" si="12"/>
        <v>0</v>
      </c>
      <c r="I59" s="500">
        <f t="shared" si="14"/>
        <v>0</v>
      </c>
      <c r="J59" s="500"/>
      <c r="K59" s="512"/>
      <c r="L59" s="504">
        <f t="shared" si="15"/>
        <v>0</v>
      </c>
      <c r="M59" s="512"/>
      <c r="N59" s="504">
        <f t="shared" si="16"/>
        <v>0</v>
      </c>
      <c r="O59" s="504">
        <f t="shared" si="17"/>
        <v>0</v>
      </c>
      <c r="P59" s="278"/>
      <c r="R59" s="243"/>
      <c r="S59" s="243"/>
      <c r="T59" s="243"/>
      <c r="U59" s="243"/>
    </row>
    <row r="60" spans="2:21" ht="12.5">
      <c r="B60" s="145" t="str">
        <f t="shared" si="6"/>
        <v/>
      </c>
      <c r="C60" s="495">
        <f>IF(D11="","-",+C59+1)</f>
        <v>2053</v>
      </c>
      <c r="D60" s="508">
        <f>IF(F59+SUM(E$17:E59)=D$10,F59,D$10-SUM(E$17:E59))</f>
        <v>0</v>
      </c>
      <c r="E60" s="509">
        <f>IF(+I14&lt;F59,I14,D60)</f>
        <v>0</v>
      </c>
      <c r="F60" s="510">
        <f t="shared" si="13"/>
        <v>0</v>
      </c>
      <c r="G60" s="511">
        <f t="shared" si="11"/>
        <v>0</v>
      </c>
      <c r="H60" s="477">
        <f t="shared" si="12"/>
        <v>0</v>
      </c>
      <c r="I60" s="500">
        <f t="shared" si="14"/>
        <v>0</v>
      </c>
      <c r="J60" s="500"/>
      <c r="K60" s="512"/>
      <c r="L60" s="504">
        <f t="shared" si="15"/>
        <v>0</v>
      </c>
      <c r="M60" s="512"/>
      <c r="N60" s="504">
        <f t="shared" si="16"/>
        <v>0</v>
      </c>
      <c r="O60" s="504">
        <f t="shared" si="17"/>
        <v>0</v>
      </c>
      <c r="P60" s="278"/>
      <c r="R60" s="243"/>
      <c r="S60" s="243"/>
      <c r="T60" s="243"/>
      <c r="U60" s="243"/>
    </row>
    <row r="61" spans="2:21" ht="12.5">
      <c r="B61" s="145" t="str">
        <f t="shared" si="6"/>
        <v/>
      </c>
      <c r="C61" s="495">
        <f>IF(D11="","-",+C60+1)</f>
        <v>2054</v>
      </c>
      <c r="D61" s="508">
        <f>IF(F60+SUM(E$17:E60)=D$10,F60,D$10-SUM(E$17:E60))</f>
        <v>0</v>
      </c>
      <c r="E61" s="509">
        <f>IF(+I14&lt;F60,I14,D61)</f>
        <v>0</v>
      </c>
      <c r="F61" s="510">
        <f t="shared" si="13"/>
        <v>0</v>
      </c>
      <c r="G61" s="511">
        <f t="shared" si="11"/>
        <v>0</v>
      </c>
      <c r="H61" s="477">
        <f t="shared" si="12"/>
        <v>0</v>
      </c>
      <c r="I61" s="500">
        <f t="shared" si="14"/>
        <v>0</v>
      </c>
      <c r="J61" s="500"/>
      <c r="K61" s="512"/>
      <c r="L61" s="504">
        <f t="shared" si="15"/>
        <v>0</v>
      </c>
      <c r="M61" s="512"/>
      <c r="N61" s="504">
        <f t="shared" si="16"/>
        <v>0</v>
      </c>
      <c r="O61" s="504">
        <f t="shared" si="17"/>
        <v>0</v>
      </c>
      <c r="P61" s="278"/>
      <c r="R61" s="243"/>
      <c r="S61" s="243"/>
      <c r="T61" s="243"/>
      <c r="U61" s="243"/>
    </row>
    <row r="62" spans="2:21" ht="12.5">
      <c r="B62" s="145" t="str">
        <f t="shared" si="6"/>
        <v/>
      </c>
      <c r="C62" s="495">
        <f>IF(D11="","-",+C61+1)</f>
        <v>2055</v>
      </c>
      <c r="D62" s="508">
        <f>IF(F61+SUM(E$17:E61)=D$10,F61,D$10-SUM(E$17:E61))</f>
        <v>0</v>
      </c>
      <c r="E62" s="509">
        <f>IF(+I14&lt;F61,I14,D62)</f>
        <v>0</v>
      </c>
      <c r="F62" s="510">
        <f t="shared" si="13"/>
        <v>0</v>
      </c>
      <c r="G62" s="523">
        <f t="shared" si="11"/>
        <v>0</v>
      </c>
      <c r="H62" s="477">
        <f t="shared" si="12"/>
        <v>0</v>
      </c>
      <c r="I62" s="500">
        <f t="shared" si="14"/>
        <v>0</v>
      </c>
      <c r="J62" s="500"/>
      <c r="K62" s="512"/>
      <c r="L62" s="504">
        <f t="shared" si="15"/>
        <v>0</v>
      </c>
      <c r="M62" s="512"/>
      <c r="N62" s="504">
        <f t="shared" si="16"/>
        <v>0</v>
      </c>
      <c r="O62" s="504">
        <f t="shared" si="17"/>
        <v>0</v>
      </c>
      <c r="P62" s="278"/>
      <c r="R62" s="243"/>
      <c r="S62" s="243"/>
      <c r="T62" s="243"/>
      <c r="U62" s="243"/>
    </row>
    <row r="63" spans="2:21" ht="12.5">
      <c r="B63" s="145" t="str">
        <f t="shared" si="6"/>
        <v/>
      </c>
      <c r="C63" s="495">
        <f>IF(D11="","-",+C62+1)</f>
        <v>2056</v>
      </c>
      <c r="D63" s="508">
        <f>IF(F62+SUM(E$17:E62)=D$10,F62,D$10-SUM(E$17:E62))</f>
        <v>0</v>
      </c>
      <c r="E63" s="509">
        <f>IF(+I14&lt;F62,I14,D63)</f>
        <v>0</v>
      </c>
      <c r="F63" s="510">
        <f t="shared" si="13"/>
        <v>0</v>
      </c>
      <c r="G63" s="523">
        <f t="shared" si="11"/>
        <v>0</v>
      </c>
      <c r="H63" s="477">
        <f t="shared" si="12"/>
        <v>0</v>
      </c>
      <c r="I63" s="500">
        <f t="shared" si="14"/>
        <v>0</v>
      </c>
      <c r="J63" s="500"/>
      <c r="K63" s="512"/>
      <c r="L63" s="504">
        <f t="shared" si="15"/>
        <v>0</v>
      </c>
      <c r="M63" s="512"/>
      <c r="N63" s="504">
        <f t="shared" si="16"/>
        <v>0</v>
      </c>
      <c r="O63" s="504">
        <f t="shared" si="17"/>
        <v>0</v>
      </c>
      <c r="P63" s="278"/>
      <c r="R63" s="243"/>
      <c r="S63" s="243"/>
      <c r="T63" s="243"/>
      <c r="U63" s="243"/>
    </row>
    <row r="64" spans="2:21" ht="12.5">
      <c r="B64" s="145" t="str">
        <f t="shared" si="6"/>
        <v/>
      </c>
      <c r="C64" s="495">
        <f>IF(D11="","-",+C63+1)</f>
        <v>2057</v>
      </c>
      <c r="D64" s="508">
        <f>IF(F63+SUM(E$17:E63)=D$10,F63,D$10-SUM(E$17:E63))</f>
        <v>0</v>
      </c>
      <c r="E64" s="509">
        <f>IF(+I14&lt;F63,I14,D64)</f>
        <v>0</v>
      </c>
      <c r="F64" s="510">
        <f t="shared" si="13"/>
        <v>0</v>
      </c>
      <c r="G64" s="523">
        <f t="shared" si="11"/>
        <v>0</v>
      </c>
      <c r="H64" s="477">
        <f t="shared" si="12"/>
        <v>0</v>
      </c>
      <c r="I64" s="500">
        <f t="shared" si="14"/>
        <v>0</v>
      </c>
      <c r="J64" s="500"/>
      <c r="K64" s="512"/>
      <c r="L64" s="504">
        <f t="shared" si="15"/>
        <v>0</v>
      </c>
      <c r="M64" s="512"/>
      <c r="N64" s="504">
        <f t="shared" si="16"/>
        <v>0</v>
      </c>
      <c r="O64" s="504">
        <f t="shared" si="17"/>
        <v>0</v>
      </c>
      <c r="P64" s="278"/>
      <c r="R64" s="243"/>
      <c r="S64" s="243"/>
      <c r="T64" s="243"/>
      <c r="U64" s="243"/>
    </row>
    <row r="65" spans="1:21" ht="12.5">
      <c r="B65" s="145" t="str">
        <f t="shared" si="6"/>
        <v/>
      </c>
      <c r="C65" s="495">
        <f>IF(D11="","-",+C64+1)</f>
        <v>2058</v>
      </c>
      <c r="D65" s="508">
        <f>IF(F64+SUM(E$17:E64)=D$10,F64,D$10-SUM(E$17:E64))</f>
        <v>0</v>
      </c>
      <c r="E65" s="509">
        <f>IF(+I14&lt;F64,I14,D65)</f>
        <v>0</v>
      </c>
      <c r="F65" s="510">
        <f t="shared" si="13"/>
        <v>0</v>
      </c>
      <c r="G65" s="523">
        <f t="shared" si="11"/>
        <v>0</v>
      </c>
      <c r="H65" s="477">
        <f t="shared" si="12"/>
        <v>0</v>
      </c>
      <c r="I65" s="500">
        <f t="shared" si="14"/>
        <v>0</v>
      </c>
      <c r="J65" s="500"/>
      <c r="K65" s="512"/>
      <c r="L65" s="504">
        <f t="shared" si="15"/>
        <v>0</v>
      </c>
      <c r="M65" s="512"/>
      <c r="N65" s="504">
        <f t="shared" si="16"/>
        <v>0</v>
      </c>
      <c r="O65" s="504">
        <f t="shared" si="17"/>
        <v>0</v>
      </c>
      <c r="P65" s="278"/>
      <c r="R65" s="243"/>
      <c r="S65" s="243"/>
      <c r="T65" s="243"/>
      <c r="U65" s="243"/>
    </row>
    <row r="66" spans="1:21" ht="12.5">
      <c r="B66" s="145" t="str">
        <f t="shared" si="6"/>
        <v/>
      </c>
      <c r="C66" s="495">
        <f>IF(D11="","-",+C65+1)</f>
        <v>2059</v>
      </c>
      <c r="D66" s="508">
        <f>IF(F65+SUM(E$17:E65)=D$10,F65,D$10-SUM(E$17:E65))</f>
        <v>0</v>
      </c>
      <c r="E66" s="509">
        <f>IF(+I14&lt;F65,I14,D66)</f>
        <v>0</v>
      </c>
      <c r="F66" s="510">
        <f t="shared" si="13"/>
        <v>0</v>
      </c>
      <c r="G66" s="523">
        <f t="shared" si="11"/>
        <v>0</v>
      </c>
      <c r="H66" s="477">
        <f t="shared" si="12"/>
        <v>0</v>
      </c>
      <c r="I66" s="500">
        <f t="shared" si="14"/>
        <v>0</v>
      </c>
      <c r="J66" s="500"/>
      <c r="K66" s="512"/>
      <c r="L66" s="504">
        <f t="shared" si="15"/>
        <v>0</v>
      </c>
      <c r="M66" s="512"/>
      <c r="N66" s="504">
        <f t="shared" si="16"/>
        <v>0</v>
      </c>
      <c r="O66" s="504">
        <f t="shared" si="17"/>
        <v>0</v>
      </c>
      <c r="P66" s="278"/>
      <c r="R66" s="243"/>
      <c r="S66" s="243"/>
      <c r="T66" s="243"/>
      <c r="U66" s="243"/>
    </row>
    <row r="67" spans="1:21" ht="12.5">
      <c r="B67" s="145" t="str">
        <f t="shared" si="6"/>
        <v/>
      </c>
      <c r="C67" s="495">
        <f>IF(D11="","-",+C66+1)</f>
        <v>2060</v>
      </c>
      <c r="D67" s="508">
        <f>IF(F66+SUM(E$17:E66)=D$10,F66,D$10-SUM(E$17:E66))</f>
        <v>0</v>
      </c>
      <c r="E67" s="509">
        <f>IF(+I14&lt;F66,I14,D67)</f>
        <v>0</v>
      </c>
      <c r="F67" s="510">
        <f t="shared" si="13"/>
        <v>0</v>
      </c>
      <c r="G67" s="523">
        <f t="shared" si="11"/>
        <v>0</v>
      </c>
      <c r="H67" s="477">
        <f t="shared" si="12"/>
        <v>0</v>
      </c>
      <c r="I67" s="500">
        <f t="shared" si="14"/>
        <v>0</v>
      </c>
      <c r="J67" s="500"/>
      <c r="K67" s="512"/>
      <c r="L67" s="504">
        <f t="shared" si="15"/>
        <v>0</v>
      </c>
      <c r="M67" s="512"/>
      <c r="N67" s="504">
        <f t="shared" si="16"/>
        <v>0</v>
      </c>
      <c r="O67" s="504">
        <f t="shared" si="17"/>
        <v>0</v>
      </c>
      <c r="P67" s="278"/>
      <c r="R67" s="243"/>
      <c r="S67" s="243"/>
      <c r="T67" s="243"/>
      <c r="U67" s="243"/>
    </row>
    <row r="68" spans="1:21" ht="12.5">
      <c r="B68" s="145" t="str">
        <f t="shared" si="6"/>
        <v/>
      </c>
      <c r="C68" s="495">
        <f>IF(D11="","-",+C67+1)</f>
        <v>2061</v>
      </c>
      <c r="D68" s="508">
        <f>IF(F67+SUM(E$17:E67)=D$10,F67,D$10-SUM(E$17:E67))</f>
        <v>0</v>
      </c>
      <c r="E68" s="509">
        <f>IF(+I14&lt;F67,I14,D68)</f>
        <v>0</v>
      </c>
      <c r="F68" s="510">
        <f t="shared" si="13"/>
        <v>0</v>
      </c>
      <c r="G68" s="523">
        <f t="shared" si="11"/>
        <v>0</v>
      </c>
      <c r="H68" s="477">
        <f t="shared" si="12"/>
        <v>0</v>
      </c>
      <c r="I68" s="500">
        <f t="shared" si="14"/>
        <v>0</v>
      </c>
      <c r="J68" s="500"/>
      <c r="K68" s="512"/>
      <c r="L68" s="504">
        <f t="shared" si="15"/>
        <v>0</v>
      </c>
      <c r="M68" s="512"/>
      <c r="N68" s="504">
        <f t="shared" si="16"/>
        <v>0</v>
      </c>
      <c r="O68" s="504">
        <f t="shared" si="17"/>
        <v>0</v>
      </c>
      <c r="P68" s="278"/>
      <c r="R68" s="243"/>
      <c r="S68" s="243"/>
      <c r="T68" s="243"/>
      <c r="U68" s="243"/>
    </row>
    <row r="69" spans="1:21" ht="12.5">
      <c r="B69" s="145" t="str">
        <f t="shared" si="6"/>
        <v/>
      </c>
      <c r="C69" s="495">
        <f>IF(D11="","-",+C68+1)</f>
        <v>2062</v>
      </c>
      <c r="D69" s="508">
        <f>IF(F68+SUM(E$17:E68)=D$10,F68,D$10-SUM(E$17:E68))</f>
        <v>0</v>
      </c>
      <c r="E69" s="509">
        <f>IF(+I14&lt;F68,I14,D69)</f>
        <v>0</v>
      </c>
      <c r="F69" s="510">
        <f t="shared" si="13"/>
        <v>0</v>
      </c>
      <c r="G69" s="523">
        <f t="shared" si="11"/>
        <v>0</v>
      </c>
      <c r="H69" s="477">
        <f t="shared" si="12"/>
        <v>0</v>
      </c>
      <c r="I69" s="500">
        <f t="shared" si="14"/>
        <v>0</v>
      </c>
      <c r="J69" s="500"/>
      <c r="K69" s="512"/>
      <c r="L69" s="504">
        <f t="shared" si="15"/>
        <v>0</v>
      </c>
      <c r="M69" s="512"/>
      <c r="N69" s="504">
        <f t="shared" si="16"/>
        <v>0</v>
      </c>
      <c r="O69" s="504">
        <f t="shared" si="17"/>
        <v>0</v>
      </c>
      <c r="P69" s="278"/>
      <c r="R69" s="243"/>
      <c r="S69" s="243"/>
      <c r="T69" s="243"/>
      <c r="U69" s="243"/>
    </row>
    <row r="70" spans="1:21" ht="12.5">
      <c r="B70" s="145" t="str">
        <f t="shared" si="6"/>
        <v/>
      </c>
      <c r="C70" s="495">
        <f>IF(D11="","-",+C69+1)</f>
        <v>2063</v>
      </c>
      <c r="D70" s="508">
        <f>IF(F69+SUM(E$17:E69)=D$10,F69,D$10-SUM(E$17:E69))</f>
        <v>0</v>
      </c>
      <c r="E70" s="509">
        <f>IF(+I14&lt;F69,I14,D70)</f>
        <v>0</v>
      </c>
      <c r="F70" s="510">
        <f t="shared" si="13"/>
        <v>0</v>
      </c>
      <c r="G70" s="523">
        <f t="shared" si="11"/>
        <v>0</v>
      </c>
      <c r="H70" s="477">
        <f t="shared" si="12"/>
        <v>0</v>
      </c>
      <c r="I70" s="500">
        <f t="shared" si="14"/>
        <v>0</v>
      </c>
      <c r="J70" s="500"/>
      <c r="K70" s="512"/>
      <c r="L70" s="504">
        <f t="shared" si="15"/>
        <v>0</v>
      </c>
      <c r="M70" s="512"/>
      <c r="N70" s="504">
        <f t="shared" si="16"/>
        <v>0</v>
      </c>
      <c r="O70" s="504">
        <f t="shared" si="17"/>
        <v>0</v>
      </c>
      <c r="P70" s="278"/>
      <c r="R70" s="243"/>
      <c r="S70" s="243"/>
      <c r="T70" s="243"/>
      <c r="U70" s="243"/>
    </row>
    <row r="71" spans="1:21" ht="12.5">
      <c r="B71" s="145" t="str">
        <f t="shared" si="6"/>
        <v/>
      </c>
      <c r="C71" s="495">
        <f>IF(D11="","-",+C70+1)</f>
        <v>2064</v>
      </c>
      <c r="D71" s="508">
        <f>IF(F70+SUM(E$17:E70)=D$10,F70,D$10-SUM(E$17:E70))</f>
        <v>0</v>
      </c>
      <c r="E71" s="509">
        <f>IF(+I14&lt;F70,I14,D71)</f>
        <v>0</v>
      </c>
      <c r="F71" s="510">
        <f t="shared" si="13"/>
        <v>0</v>
      </c>
      <c r="G71" s="523">
        <f t="shared" si="11"/>
        <v>0</v>
      </c>
      <c r="H71" s="477">
        <f t="shared" si="12"/>
        <v>0</v>
      </c>
      <c r="I71" s="500">
        <f t="shared" si="14"/>
        <v>0</v>
      </c>
      <c r="J71" s="500"/>
      <c r="K71" s="512"/>
      <c r="L71" s="504">
        <f t="shared" si="15"/>
        <v>0</v>
      </c>
      <c r="M71" s="512"/>
      <c r="N71" s="504">
        <f t="shared" si="16"/>
        <v>0</v>
      </c>
      <c r="O71" s="504">
        <f t="shared" si="17"/>
        <v>0</v>
      </c>
      <c r="P71" s="278"/>
      <c r="R71" s="243"/>
      <c r="S71" s="243"/>
      <c r="T71" s="243"/>
      <c r="U71" s="243"/>
    </row>
    <row r="72" spans="1:21" ht="12.5">
      <c r="B72" s="145" t="str">
        <f t="shared" si="6"/>
        <v/>
      </c>
      <c r="C72" s="495">
        <f>IF(D11="","-",+C71+1)</f>
        <v>2065</v>
      </c>
      <c r="D72" s="508">
        <f>IF(F71+SUM(E$17:E71)=D$10,F71,D$10-SUM(E$17:E71))</f>
        <v>0</v>
      </c>
      <c r="E72" s="509">
        <f>IF(+I14&lt;F71,I14,D72)</f>
        <v>0</v>
      </c>
      <c r="F72" s="510">
        <f t="shared" si="13"/>
        <v>0</v>
      </c>
      <c r="G72" s="523">
        <f t="shared" si="11"/>
        <v>0</v>
      </c>
      <c r="H72" s="477">
        <f t="shared" si="12"/>
        <v>0</v>
      </c>
      <c r="I72" s="500">
        <f t="shared" si="14"/>
        <v>0</v>
      </c>
      <c r="J72" s="500"/>
      <c r="K72" s="512"/>
      <c r="L72" s="504">
        <f t="shared" si="15"/>
        <v>0</v>
      </c>
      <c r="M72" s="512"/>
      <c r="N72" s="504">
        <f t="shared" si="16"/>
        <v>0</v>
      </c>
      <c r="O72" s="504">
        <f t="shared" si="17"/>
        <v>0</v>
      </c>
      <c r="P72" s="278"/>
      <c r="R72" s="243"/>
      <c r="S72" s="243"/>
      <c r="T72" s="243"/>
      <c r="U72" s="243"/>
    </row>
    <row r="73" spans="1:21" ht="13" thickBot="1">
      <c r="B73" s="145" t="str">
        <f t="shared" si="6"/>
        <v/>
      </c>
      <c r="C73" s="524">
        <f>IF(D11="","-",+C72+1)</f>
        <v>2066</v>
      </c>
      <c r="D73" s="525">
        <f>IF(F72+SUM(E$17:E72)=D$10,F72,D$10-SUM(E$17:E72))</f>
        <v>0</v>
      </c>
      <c r="E73" s="526">
        <f>IF(+I14&lt;F72,I14,D73)</f>
        <v>0</v>
      </c>
      <c r="F73" s="527">
        <f t="shared" si="13"/>
        <v>0</v>
      </c>
      <c r="G73" s="528">
        <f t="shared" si="11"/>
        <v>0</v>
      </c>
      <c r="H73" s="458">
        <f t="shared" si="12"/>
        <v>0</v>
      </c>
      <c r="I73" s="529">
        <f t="shared" si="14"/>
        <v>0</v>
      </c>
      <c r="J73" s="500"/>
      <c r="K73" s="530"/>
      <c r="L73" s="531">
        <f t="shared" si="15"/>
        <v>0</v>
      </c>
      <c r="M73" s="530"/>
      <c r="N73" s="531">
        <f t="shared" si="16"/>
        <v>0</v>
      </c>
      <c r="O73" s="531">
        <f t="shared" si="17"/>
        <v>0</v>
      </c>
      <c r="P73" s="278"/>
      <c r="R73" s="243"/>
      <c r="S73" s="243"/>
      <c r="T73" s="243"/>
      <c r="U73" s="243"/>
    </row>
    <row r="74" spans="1:21" ht="12.5">
      <c r="C74" s="349" t="s">
        <v>75</v>
      </c>
      <c r="D74" s="294"/>
      <c r="E74" s="294">
        <f>SUM(E17:E73)</f>
        <v>723818.00000000035</v>
      </c>
      <c r="F74" s="294"/>
      <c r="G74" s="294">
        <f>SUM(G17:G73)</f>
        <v>2297646.6159239616</v>
      </c>
      <c r="H74" s="294">
        <f>SUM(H17:H73)</f>
        <v>2297646.6159239616</v>
      </c>
      <c r="I74" s="294">
        <f>SUM(I17:I73)</f>
        <v>0</v>
      </c>
      <c r="J74" s="294"/>
      <c r="K74" s="294"/>
      <c r="L74" s="294"/>
      <c r="M74" s="294"/>
      <c r="N74" s="294"/>
      <c r="O74" s="278"/>
      <c r="P74" s="278"/>
      <c r="R74" s="243"/>
      <c r="S74" s="243"/>
      <c r="T74" s="243"/>
      <c r="U74" s="243"/>
    </row>
    <row r="75" spans="1:21" ht="12.5">
      <c r="D75" s="292"/>
      <c r="E75" s="243"/>
      <c r="F75" s="243"/>
      <c r="G75" s="243"/>
      <c r="H75" s="325"/>
      <c r="I75" s="325"/>
      <c r="J75" s="294"/>
      <c r="K75" s="325"/>
      <c r="L75" s="325"/>
      <c r="M75" s="325"/>
      <c r="N75" s="325"/>
      <c r="O75" s="243"/>
      <c r="P75" s="243"/>
      <c r="R75" s="243"/>
      <c r="S75" s="243"/>
      <c r="T75" s="243"/>
      <c r="U75" s="243"/>
    </row>
    <row r="76" spans="1:21" ht="13">
      <c r="C76" s="532" t="s">
        <v>95</v>
      </c>
      <c r="D76" s="292"/>
      <c r="E76" s="243"/>
      <c r="F76" s="243"/>
      <c r="G76" s="243"/>
      <c r="H76" s="325"/>
      <c r="I76" s="325"/>
      <c r="J76" s="294"/>
      <c r="K76" s="325"/>
      <c r="L76" s="325"/>
      <c r="M76" s="325"/>
      <c r="N76" s="325"/>
      <c r="O76" s="243"/>
      <c r="P76" s="243"/>
      <c r="R76" s="243"/>
      <c r="S76" s="243"/>
      <c r="T76" s="243"/>
      <c r="U76" s="243"/>
    </row>
    <row r="77" spans="1:21" ht="13">
      <c r="C77" s="454" t="s">
        <v>76</v>
      </c>
      <c r="D77" s="292"/>
      <c r="E77" s="243"/>
      <c r="F77" s="243"/>
      <c r="G77" s="243"/>
      <c r="H77" s="325"/>
      <c r="I77" s="325"/>
      <c r="J77" s="294"/>
      <c r="K77" s="325"/>
      <c r="L77" s="325"/>
      <c r="M77" s="325"/>
      <c r="N77" s="325"/>
      <c r="O77" s="278"/>
      <c r="P77" s="278"/>
      <c r="R77" s="243"/>
      <c r="S77" s="243"/>
      <c r="T77" s="243"/>
      <c r="U77" s="243"/>
    </row>
    <row r="78" spans="1:21" ht="17.5">
      <c r="C78" s="454" t="s">
        <v>77</v>
      </c>
      <c r="D78" s="349"/>
      <c r="E78" s="349"/>
      <c r="F78" s="349"/>
      <c r="G78" s="294"/>
      <c r="H78" s="294"/>
      <c r="I78" s="350"/>
      <c r="J78" s="350"/>
      <c r="K78" s="350"/>
      <c r="L78" s="350"/>
      <c r="M78" s="350"/>
      <c r="N78" s="350"/>
      <c r="O78" s="533"/>
      <c r="P78" s="278"/>
      <c r="R78" s="243"/>
      <c r="S78" s="243"/>
      <c r="T78" s="243"/>
      <c r="U78" s="243"/>
    </row>
    <row r="79" spans="1:21" ht="13">
      <c r="C79" s="454"/>
      <c r="D79" s="349"/>
      <c r="E79" s="349"/>
      <c r="F79" s="349"/>
      <c r="G79" s="294"/>
      <c r="H79" s="294"/>
      <c r="I79" s="350"/>
      <c r="J79" s="350"/>
      <c r="K79" s="350"/>
      <c r="L79" s="350"/>
      <c r="M79" s="350"/>
      <c r="N79" s="350"/>
      <c r="O79" s="278"/>
      <c r="P79" s="243"/>
      <c r="R79" s="243"/>
      <c r="S79" s="243"/>
      <c r="T79" s="243"/>
      <c r="U79" s="243"/>
    </row>
    <row r="80" spans="1:21" ht="15.5">
      <c r="A80" s="534"/>
      <c r="B80" s="243"/>
      <c r="C80" s="248"/>
      <c r="D80" s="292"/>
      <c r="E80" s="243"/>
      <c r="F80" s="347"/>
      <c r="G80" s="243"/>
      <c r="H80" s="325"/>
      <c r="I80" s="243"/>
      <c r="J80" s="278"/>
      <c r="K80" s="243"/>
      <c r="L80" s="243"/>
      <c r="M80" s="243"/>
      <c r="N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535"/>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1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84379.319531027868</v>
      </c>
      <c r="N88" s="544">
        <f>IF(J93&lt;D11,0,VLOOKUP(J93,C17:O73,11))</f>
        <v>84379.319531027868</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86281.205012066392</v>
      </c>
      <c r="N89" s="548">
        <f>IF(J93&lt;D11,0,VLOOKUP(J93,C100:P155,7))</f>
        <v>86281.205012066392</v>
      </c>
      <c r="O89" s="549">
        <f>+N89-M89</f>
        <v>0</v>
      </c>
      <c r="P89" s="243"/>
      <c r="Q89" s="243"/>
      <c r="R89" s="243"/>
      <c r="S89" s="243"/>
      <c r="T89" s="243"/>
      <c r="U89" s="243"/>
    </row>
    <row r="90" spans="1:21" ht="13.5" thickBot="1">
      <c r="C90" s="454" t="s">
        <v>82</v>
      </c>
      <c r="D90" s="550" t="str">
        <f>+D7</f>
        <v>Snyder 138 kV Terminal Addition</v>
      </c>
      <c r="E90" s="243"/>
      <c r="F90" s="243"/>
      <c r="G90" s="243"/>
      <c r="H90" s="243"/>
      <c r="I90" s="325"/>
      <c r="J90" s="325"/>
      <c r="K90" s="551"/>
      <c r="L90" s="552" t="s">
        <v>135</v>
      </c>
      <c r="M90" s="553">
        <f>+M89-M88</f>
        <v>1901.8854810385237</v>
      </c>
      <c r="N90" s="553">
        <f>+N89-N88</f>
        <v>1901.8854810385237</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TP2009013</v>
      </c>
      <c r="E92" s="558"/>
      <c r="F92" s="558"/>
      <c r="G92" s="558"/>
      <c r="H92" s="558"/>
      <c r="I92" s="558"/>
      <c r="J92" s="559"/>
      <c r="K92" s="560"/>
      <c r="P92" s="468"/>
      <c r="Q92" s="243"/>
      <c r="R92" s="243"/>
      <c r="S92" s="243"/>
      <c r="T92" s="243"/>
      <c r="U92" s="243"/>
    </row>
    <row r="93" spans="1:21" ht="13">
      <c r="C93" s="472" t="s">
        <v>49</v>
      </c>
      <c r="D93" s="470">
        <f>IF(D11=I10,0,D10)</f>
        <v>723818</v>
      </c>
      <c r="E93" s="248" t="s">
        <v>84</v>
      </c>
      <c r="H93" s="408"/>
      <c r="I93" s="408"/>
      <c r="J93" s="471">
        <f>+'OKT.WS.G.BPU.ATRR.True-up'!M16</f>
        <v>2019</v>
      </c>
      <c r="K93" s="467"/>
      <c r="L93" s="294" t="s">
        <v>85</v>
      </c>
      <c r="P93" s="278"/>
      <c r="Q93" s="243"/>
      <c r="R93" s="243"/>
      <c r="S93" s="243"/>
      <c r="T93" s="243"/>
      <c r="U93" s="243"/>
    </row>
    <row r="94" spans="1:21" ht="12.5">
      <c r="C94" s="472" t="s">
        <v>52</v>
      </c>
      <c r="D94" s="561">
        <f>D11</f>
        <v>2010</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D12</f>
        <v>12</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f>+D14</f>
        <v>0</v>
      </c>
      <c r="E97" s="563" t="s">
        <v>62</v>
      </c>
      <c r="F97" s="564"/>
      <c r="G97" s="564"/>
      <c r="H97" s="565"/>
      <c r="I97" s="565"/>
      <c r="J97" s="458">
        <f>IF(D93=0,0,D93/D96)</f>
        <v>21933.878787878788</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IF(D100=F99,"","IU")</f>
        <v>IU</v>
      </c>
      <c r="C100" s="495">
        <f>IF(D94= "","-",D94)</f>
        <v>2010</v>
      </c>
      <c r="D100" s="496">
        <v>0</v>
      </c>
      <c r="E100" s="498">
        <v>0</v>
      </c>
      <c r="F100" s="505">
        <v>634790</v>
      </c>
      <c r="G100" s="571">
        <v>317395</v>
      </c>
      <c r="H100" s="571">
        <v>107896.39563165967</v>
      </c>
      <c r="I100" s="571">
        <v>107896.39563165967</v>
      </c>
      <c r="J100" s="504">
        <f t="shared" ref="J100:J131" si="18">+I100-H100</f>
        <v>0</v>
      </c>
      <c r="K100" s="504"/>
      <c r="L100" s="506">
        <f t="shared" ref="L100:L105" si="19">H100</f>
        <v>107896.39563165967</v>
      </c>
      <c r="M100" s="507">
        <f>IF(L100&lt;&gt;0,+H100-L100,0)</f>
        <v>0</v>
      </c>
      <c r="N100" s="506">
        <f t="shared" ref="N100:N105" si="20">I100</f>
        <v>107896.39563165967</v>
      </c>
      <c r="O100" s="503">
        <f t="shared" ref="O100:O131" si="21">IF(N100&lt;&gt;0,+I100-N100,0)</f>
        <v>0</v>
      </c>
      <c r="P100" s="503">
        <f t="shared" ref="P100:P131" si="22">+O100-M100</f>
        <v>0</v>
      </c>
      <c r="Q100" s="243"/>
      <c r="R100" s="243"/>
      <c r="S100" s="243"/>
      <c r="T100" s="243"/>
      <c r="U100" s="243"/>
    </row>
    <row r="101" spans="1:21" ht="12.5">
      <c r="B101" s="145" t="str">
        <f t="shared" ref="B101:B155" si="23">IF(D101=F100,"","IU")</f>
        <v/>
      </c>
      <c r="C101" s="495">
        <f>IF(D94="","-",+C100+1)</f>
        <v>2011</v>
      </c>
      <c r="D101" s="496">
        <v>634790</v>
      </c>
      <c r="E101" s="498">
        <v>12180.958103448274</v>
      </c>
      <c r="F101" s="505">
        <v>622609.04189655173</v>
      </c>
      <c r="G101" s="505">
        <v>628699.52094827592</v>
      </c>
      <c r="H101" s="498">
        <v>58926.291922257748</v>
      </c>
      <c r="I101" s="499">
        <v>58926.291922257748</v>
      </c>
      <c r="J101" s="504">
        <v>0</v>
      </c>
      <c r="K101" s="504"/>
      <c r="L101" s="506">
        <f t="shared" si="19"/>
        <v>58926.291922257748</v>
      </c>
      <c r="M101" s="504">
        <f t="shared" ref="M101:M131" si="24">IF(L101&lt;&gt;0,+H101-L101,0)</f>
        <v>0</v>
      </c>
      <c r="N101" s="506">
        <f t="shared" si="20"/>
        <v>58926.291922257748</v>
      </c>
      <c r="O101" s="504">
        <f t="shared" si="21"/>
        <v>0</v>
      </c>
      <c r="P101" s="504">
        <f t="shared" si="22"/>
        <v>0</v>
      </c>
      <c r="Q101" s="243"/>
      <c r="R101" s="243"/>
      <c r="S101" s="243"/>
      <c r="T101" s="243"/>
      <c r="U101" s="243"/>
    </row>
    <row r="102" spans="1:21" ht="12.5">
      <c r="B102" s="145" t="str">
        <f t="shared" si="23"/>
        <v>IU</v>
      </c>
      <c r="C102" s="495">
        <f>IF(D94="","-",+C101+1)</f>
        <v>2012</v>
      </c>
      <c r="D102" s="496">
        <v>711637.04189655173</v>
      </c>
      <c r="E102" s="498">
        <v>12479.620689655172</v>
      </c>
      <c r="F102" s="505">
        <v>699157.42120689654</v>
      </c>
      <c r="G102" s="505">
        <v>705397.23155172414</v>
      </c>
      <c r="H102" s="498">
        <v>83971.238209738236</v>
      </c>
      <c r="I102" s="499">
        <v>83971.238209738236</v>
      </c>
      <c r="J102" s="504">
        <v>0</v>
      </c>
      <c r="K102" s="504"/>
      <c r="L102" s="506">
        <f t="shared" si="19"/>
        <v>83971.238209738236</v>
      </c>
      <c r="M102" s="504">
        <f t="shared" ref="M102:M107" si="25">IF(L102&lt;&gt;0,+H102-L102,0)</f>
        <v>0</v>
      </c>
      <c r="N102" s="506">
        <f t="shared" si="20"/>
        <v>83971.238209738236</v>
      </c>
      <c r="O102" s="504">
        <f>IF(N102&lt;&gt;0,+I102-N102,0)</f>
        <v>0</v>
      </c>
      <c r="P102" s="504">
        <f>+O102-M102</f>
        <v>0</v>
      </c>
      <c r="Q102" s="243"/>
      <c r="R102" s="243"/>
      <c r="S102" s="243"/>
      <c r="T102" s="243"/>
      <c r="U102" s="243"/>
    </row>
    <row r="103" spans="1:21" ht="12.5">
      <c r="B103" s="145" t="str">
        <f t="shared" si="23"/>
        <v/>
      </c>
      <c r="C103" s="495">
        <f>IF(D94="","-",+C102+1)</f>
        <v>2013</v>
      </c>
      <c r="D103" s="496">
        <v>699157.42120689654</v>
      </c>
      <c r="E103" s="498">
        <v>12479.620689655172</v>
      </c>
      <c r="F103" s="505">
        <v>686677.80051724135</v>
      </c>
      <c r="G103" s="505">
        <v>692917.61086206895</v>
      </c>
      <c r="H103" s="498">
        <v>91236.605288625666</v>
      </c>
      <c r="I103" s="499">
        <v>91236.605288625666</v>
      </c>
      <c r="J103" s="504">
        <v>0</v>
      </c>
      <c r="K103" s="504"/>
      <c r="L103" s="506">
        <f t="shared" si="19"/>
        <v>91236.605288625666</v>
      </c>
      <c r="M103" s="504">
        <f t="shared" si="25"/>
        <v>0</v>
      </c>
      <c r="N103" s="506">
        <f t="shared" si="20"/>
        <v>91236.605288625666</v>
      </c>
      <c r="O103" s="504">
        <f>IF(N103&lt;&gt;0,+I103-N103,0)</f>
        <v>0</v>
      </c>
      <c r="P103" s="504">
        <f>+O103-M103</f>
        <v>0</v>
      </c>
      <c r="Q103" s="243"/>
      <c r="R103" s="243"/>
      <c r="S103" s="243"/>
      <c r="T103" s="243"/>
      <c r="U103" s="243"/>
    </row>
    <row r="104" spans="1:21" ht="12.5">
      <c r="B104" s="145" t="str">
        <f t="shared" si="23"/>
        <v/>
      </c>
      <c r="C104" s="495">
        <f>IF(D94="","-",+C103+1)</f>
        <v>2014</v>
      </c>
      <c r="D104" s="496">
        <v>686677.80051724135</v>
      </c>
      <c r="E104" s="498">
        <v>12479.620689655172</v>
      </c>
      <c r="F104" s="505">
        <v>674198.17982758617</v>
      </c>
      <c r="G104" s="505">
        <v>680437.99017241376</v>
      </c>
      <c r="H104" s="498">
        <v>85656.254524456934</v>
      </c>
      <c r="I104" s="499">
        <v>85656.254524456934</v>
      </c>
      <c r="J104" s="504">
        <v>0</v>
      </c>
      <c r="K104" s="504"/>
      <c r="L104" s="506">
        <f t="shared" si="19"/>
        <v>85656.254524456934</v>
      </c>
      <c r="M104" s="504">
        <f t="shared" si="25"/>
        <v>0</v>
      </c>
      <c r="N104" s="506">
        <f t="shared" si="20"/>
        <v>85656.254524456934</v>
      </c>
      <c r="O104" s="504">
        <f>IF(N104&lt;&gt;0,+I104-N104,0)</f>
        <v>0</v>
      </c>
      <c r="P104" s="504">
        <f>+O104-M104</f>
        <v>0</v>
      </c>
      <c r="Q104" s="243"/>
      <c r="R104" s="243"/>
      <c r="S104" s="243"/>
      <c r="T104" s="243"/>
      <c r="U104" s="243"/>
    </row>
    <row r="105" spans="1:21" ht="12.5">
      <c r="B105" s="145" t="str">
        <f t="shared" si="23"/>
        <v/>
      </c>
      <c r="C105" s="495">
        <f>IF(D94="","-",+C104+1)</f>
        <v>2015</v>
      </c>
      <c r="D105" s="496">
        <v>674198.17982758617</v>
      </c>
      <c r="E105" s="498">
        <v>15079.541666666666</v>
      </c>
      <c r="F105" s="505">
        <v>659118.63816091954</v>
      </c>
      <c r="G105" s="505">
        <v>666658.40899425279</v>
      </c>
      <c r="H105" s="498">
        <v>89298.24140660846</v>
      </c>
      <c r="I105" s="499">
        <v>89298.24140660846</v>
      </c>
      <c r="J105" s="504">
        <f t="shared" si="18"/>
        <v>0</v>
      </c>
      <c r="K105" s="504"/>
      <c r="L105" s="506">
        <f t="shared" si="19"/>
        <v>89298.24140660846</v>
      </c>
      <c r="M105" s="504">
        <f t="shared" si="25"/>
        <v>0</v>
      </c>
      <c r="N105" s="506">
        <f t="shared" si="20"/>
        <v>89298.24140660846</v>
      </c>
      <c r="O105" s="504">
        <f t="shared" si="21"/>
        <v>0</v>
      </c>
      <c r="P105" s="504">
        <f t="shared" si="22"/>
        <v>0</v>
      </c>
      <c r="Q105" s="243"/>
      <c r="R105" s="243"/>
      <c r="S105" s="243"/>
      <c r="T105" s="243"/>
      <c r="U105" s="243"/>
    </row>
    <row r="106" spans="1:21" ht="12.5">
      <c r="B106" s="145" t="str">
        <f t="shared" si="23"/>
        <v/>
      </c>
      <c r="C106" s="495">
        <f>IF(D94="","-",+C105+1)</f>
        <v>2016</v>
      </c>
      <c r="D106" s="496">
        <v>659118.63816091954</v>
      </c>
      <c r="E106" s="498">
        <v>14192.509803921568</v>
      </c>
      <c r="F106" s="505">
        <v>644926.12835699797</v>
      </c>
      <c r="G106" s="505">
        <v>652022.38325895881</v>
      </c>
      <c r="H106" s="498">
        <v>84851.823004071382</v>
      </c>
      <c r="I106" s="499">
        <v>84851.823004071382</v>
      </c>
      <c r="J106" s="504">
        <f t="shared" si="18"/>
        <v>0</v>
      </c>
      <c r="K106" s="504"/>
      <c r="L106" s="506">
        <f>H106</f>
        <v>84851.823004071382</v>
      </c>
      <c r="M106" s="504">
        <f t="shared" si="25"/>
        <v>0</v>
      </c>
      <c r="N106" s="506">
        <f>I106</f>
        <v>84851.823004071382</v>
      </c>
      <c r="O106" s="504">
        <f>IF(N106&lt;&gt;0,+I106-N106,0)</f>
        <v>0</v>
      </c>
      <c r="P106" s="504">
        <f>+O106-M106</f>
        <v>0</v>
      </c>
      <c r="Q106" s="243"/>
      <c r="R106" s="243"/>
      <c r="S106" s="243"/>
      <c r="T106" s="243"/>
      <c r="U106" s="243"/>
    </row>
    <row r="107" spans="1:21" ht="12.5">
      <c r="B107" s="145" t="str">
        <f t="shared" si="23"/>
        <v/>
      </c>
      <c r="C107" s="495">
        <f>IF(D94="","-",+C106+1)</f>
        <v>2017</v>
      </c>
      <c r="D107" s="496">
        <v>644926.12835699797</v>
      </c>
      <c r="E107" s="498">
        <v>18095.45</v>
      </c>
      <c r="F107" s="505">
        <v>626830.67835699802</v>
      </c>
      <c r="G107" s="505">
        <v>635878.40335699799</v>
      </c>
      <c r="H107" s="498">
        <v>92706.791991345061</v>
      </c>
      <c r="I107" s="499">
        <v>92706.791991345061</v>
      </c>
      <c r="J107" s="504">
        <f t="shared" si="18"/>
        <v>0</v>
      </c>
      <c r="K107" s="504"/>
      <c r="L107" s="506">
        <f>H107</f>
        <v>92706.791991345061</v>
      </c>
      <c r="M107" s="504">
        <f t="shared" si="25"/>
        <v>0</v>
      </c>
      <c r="N107" s="506">
        <f>I107</f>
        <v>92706.791991345061</v>
      </c>
      <c r="O107" s="504">
        <f>IF(N107&lt;&gt;0,+I107-N107,0)</f>
        <v>0</v>
      </c>
      <c r="P107" s="504">
        <f>+O107-M107</f>
        <v>0</v>
      </c>
      <c r="Q107" s="243"/>
      <c r="R107" s="243"/>
      <c r="S107" s="243"/>
      <c r="T107" s="243"/>
      <c r="U107" s="243"/>
    </row>
    <row r="108" spans="1:21" ht="12.5">
      <c r="B108" s="145" t="str">
        <f t="shared" si="23"/>
        <v/>
      </c>
      <c r="C108" s="495">
        <f>IF(D94="","-",+C107+1)</f>
        <v>2018</v>
      </c>
      <c r="D108" s="496">
        <v>626830.67835699802</v>
      </c>
      <c r="E108" s="498">
        <v>20106.055555555555</v>
      </c>
      <c r="F108" s="505">
        <v>606724.62280144251</v>
      </c>
      <c r="G108" s="505">
        <v>616777.65057922027</v>
      </c>
      <c r="H108" s="498">
        <v>85214.614900276356</v>
      </c>
      <c r="I108" s="499">
        <v>85214.614900276356</v>
      </c>
      <c r="J108" s="504">
        <f t="shared" si="18"/>
        <v>0</v>
      </c>
      <c r="K108" s="504"/>
      <c r="L108" s="506">
        <f>H108</f>
        <v>85214.614900276356</v>
      </c>
      <c r="M108" s="504">
        <f t="shared" ref="M108" si="26">IF(L108&lt;&gt;0,+H108-L108,0)</f>
        <v>0</v>
      </c>
      <c r="N108" s="506">
        <f>I108</f>
        <v>85214.614900276356</v>
      </c>
      <c r="O108" s="504">
        <f>IF(N108&lt;&gt;0,+I108-N108,0)</f>
        <v>0</v>
      </c>
      <c r="P108" s="504">
        <f>+O108-M108</f>
        <v>0</v>
      </c>
      <c r="Q108" s="243"/>
      <c r="R108" s="243"/>
      <c r="S108" s="243"/>
      <c r="T108" s="243"/>
      <c r="U108" s="243"/>
    </row>
    <row r="109" spans="1:21" ht="12.5">
      <c r="B109" s="145" t="str">
        <f t="shared" si="23"/>
        <v/>
      </c>
      <c r="C109" s="495">
        <f>IF(D94="","-",+C108+1)</f>
        <v>2019</v>
      </c>
      <c r="D109" s="349">
        <f>IF(F108+SUM(E$100:E108)=D$93,F108,D$93-SUM(E$100:E108))</f>
        <v>606724.62280144251</v>
      </c>
      <c r="E109" s="509">
        <f>IF(+J97&lt;F108,J97,D109)</f>
        <v>21933.878787878788</v>
      </c>
      <c r="F109" s="510">
        <f t="shared" ref="F109:F131" si="27">+D109-E109</f>
        <v>584790.74401356373</v>
      </c>
      <c r="G109" s="510">
        <f t="shared" ref="G109:G131" si="28">+(F109+D109)/2</f>
        <v>595757.68340750318</v>
      </c>
      <c r="H109" s="523">
        <f t="shared" ref="H109:H132" si="29">+J$95*G109+E109</f>
        <v>86281.205012066392</v>
      </c>
      <c r="I109" s="572">
        <f t="shared" ref="I109:I132" si="30">+J$96*G109+E109</f>
        <v>86281.205012066392</v>
      </c>
      <c r="J109" s="504">
        <f t="shared" si="18"/>
        <v>0</v>
      </c>
      <c r="K109" s="504"/>
      <c r="L109" s="512"/>
      <c r="M109" s="504">
        <f t="shared" si="24"/>
        <v>0</v>
      </c>
      <c r="N109" s="512"/>
      <c r="O109" s="504">
        <f t="shared" si="21"/>
        <v>0</v>
      </c>
      <c r="P109" s="504">
        <f t="shared" si="22"/>
        <v>0</v>
      </c>
      <c r="Q109" s="243"/>
      <c r="R109" s="243"/>
      <c r="S109" s="243"/>
      <c r="T109" s="243"/>
      <c r="U109" s="243"/>
    </row>
    <row r="110" spans="1:21" ht="12.5">
      <c r="B110" s="145" t="str">
        <f t="shared" si="23"/>
        <v/>
      </c>
      <c r="C110" s="495">
        <f>IF(D94="","-",+C109+1)</f>
        <v>2020</v>
      </c>
      <c r="D110" s="349">
        <f>IF(F109+SUM(E$100:E109)=D$93,F109,D$93-SUM(E$100:E109))</f>
        <v>584790.74401356373</v>
      </c>
      <c r="E110" s="509">
        <f>IF(+J97&lt;F109,J97,D110)</f>
        <v>21933.878787878788</v>
      </c>
      <c r="F110" s="510">
        <f t="shared" si="27"/>
        <v>562856.86522568495</v>
      </c>
      <c r="G110" s="510">
        <f t="shared" si="28"/>
        <v>573823.80461962428</v>
      </c>
      <c r="H110" s="523">
        <f t="shared" si="29"/>
        <v>83912.143742637432</v>
      </c>
      <c r="I110" s="572">
        <f t="shared" si="30"/>
        <v>83912.143742637432</v>
      </c>
      <c r="J110" s="504">
        <f t="shared" si="18"/>
        <v>0</v>
      </c>
      <c r="K110" s="504"/>
      <c r="L110" s="512"/>
      <c r="M110" s="504">
        <f t="shared" si="24"/>
        <v>0</v>
      </c>
      <c r="N110" s="512"/>
      <c r="O110" s="504">
        <f t="shared" si="21"/>
        <v>0</v>
      </c>
      <c r="P110" s="504">
        <f t="shared" si="22"/>
        <v>0</v>
      </c>
      <c r="Q110" s="243"/>
      <c r="R110" s="243"/>
      <c r="S110" s="243"/>
      <c r="T110" s="243"/>
      <c r="U110" s="243"/>
    </row>
    <row r="111" spans="1:21" ht="12.5">
      <c r="B111" s="145" t="str">
        <f t="shared" si="23"/>
        <v/>
      </c>
      <c r="C111" s="495">
        <f>IF(D94="","-",+C110+1)</f>
        <v>2021</v>
      </c>
      <c r="D111" s="349">
        <f>IF(F110+SUM(E$100:E110)=D$93,F110,D$93-SUM(E$100:E110))</f>
        <v>562856.86522568495</v>
      </c>
      <c r="E111" s="509">
        <f>IF(+J97&lt;F110,J97,D111)</f>
        <v>21933.878787878788</v>
      </c>
      <c r="F111" s="510">
        <f t="shared" si="27"/>
        <v>540922.98643780616</v>
      </c>
      <c r="G111" s="510">
        <f t="shared" si="28"/>
        <v>551889.92583174561</v>
      </c>
      <c r="H111" s="523">
        <f t="shared" si="29"/>
        <v>81543.082473208502</v>
      </c>
      <c r="I111" s="572">
        <f t="shared" si="30"/>
        <v>81543.082473208502</v>
      </c>
      <c r="J111" s="504">
        <f t="shared" si="18"/>
        <v>0</v>
      </c>
      <c r="K111" s="504"/>
      <c r="L111" s="512"/>
      <c r="M111" s="504">
        <f t="shared" si="24"/>
        <v>0</v>
      </c>
      <c r="N111" s="512"/>
      <c r="O111" s="504">
        <f t="shared" si="21"/>
        <v>0</v>
      </c>
      <c r="P111" s="504">
        <f t="shared" si="22"/>
        <v>0</v>
      </c>
      <c r="Q111" s="243"/>
      <c r="R111" s="243"/>
      <c r="S111" s="243"/>
      <c r="T111" s="243"/>
      <c r="U111" s="243"/>
    </row>
    <row r="112" spans="1:21" ht="12.5">
      <c r="B112" s="145" t="str">
        <f t="shared" si="23"/>
        <v/>
      </c>
      <c r="C112" s="495">
        <f>IF(D94="","-",+C111+1)</f>
        <v>2022</v>
      </c>
      <c r="D112" s="349">
        <f>IF(F111+SUM(E$100:E111)=D$93,F111,D$93-SUM(E$100:E111))</f>
        <v>540922.98643780616</v>
      </c>
      <c r="E112" s="509">
        <f>IF(+J97&lt;F111,J97,D112)</f>
        <v>21933.878787878788</v>
      </c>
      <c r="F112" s="510">
        <f t="shared" si="27"/>
        <v>518989.10764992738</v>
      </c>
      <c r="G112" s="510">
        <f t="shared" si="28"/>
        <v>529956.04704386671</v>
      </c>
      <c r="H112" s="523">
        <f t="shared" si="29"/>
        <v>79174.021203779557</v>
      </c>
      <c r="I112" s="572">
        <f t="shared" si="30"/>
        <v>79174.021203779557</v>
      </c>
      <c r="J112" s="504">
        <f t="shared" si="18"/>
        <v>0</v>
      </c>
      <c r="K112" s="504"/>
      <c r="L112" s="512"/>
      <c r="M112" s="504">
        <f t="shared" si="24"/>
        <v>0</v>
      </c>
      <c r="N112" s="512"/>
      <c r="O112" s="504">
        <f t="shared" si="21"/>
        <v>0</v>
      </c>
      <c r="P112" s="504">
        <f t="shared" si="22"/>
        <v>0</v>
      </c>
      <c r="Q112" s="243"/>
      <c r="R112" s="243"/>
      <c r="S112" s="243"/>
      <c r="T112" s="243"/>
      <c r="U112" s="243"/>
    </row>
    <row r="113" spans="2:21" ht="12.5">
      <c r="B113" s="145" t="str">
        <f t="shared" si="23"/>
        <v/>
      </c>
      <c r="C113" s="495">
        <f>IF(D94="","-",+C112+1)</f>
        <v>2023</v>
      </c>
      <c r="D113" s="349">
        <f>IF(F112+SUM(E$100:E112)=D$93,F112,D$93-SUM(E$100:E112))</f>
        <v>518989.10764992738</v>
      </c>
      <c r="E113" s="509">
        <f>IF(+J97&lt;F112,J97,D113)</f>
        <v>21933.878787878788</v>
      </c>
      <c r="F113" s="510">
        <f t="shared" si="27"/>
        <v>497055.22886204859</v>
      </c>
      <c r="G113" s="510">
        <f t="shared" si="28"/>
        <v>508022.16825598798</v>
      </c>
      <c r="H113" s="523">
        <f t="shared" si="29"/>
        <v>76804.959934350612</v>
      </c>
      <c r="I113" s="572">
        <f t="shared" si="30"/>
        <v>76804.959934350612</v>
      </c>
      <c r="J113" s="504">
        <f t="shared" si="18"/>
        <v>0</v>
      </c>
      <c r="K113" s="504"/>
      <c r="L113" s="512"/>
      <c r="M113" s="504">
        <f t="shared" si="24"/>
        <v>0</v>
      </c>
      <c r="N113" s="512"/>
      <c r="O113" s="504">
        <f t="shared" si="21"/>
        <v>0</v>
      </c>
      <c r="P113" s="504">
        <f t="shared" si="22"/>
        <v>0</v>
      </c>
      <c r="Q113" s="243"/>
      <c r="R113" s="243"/>
      <c r="S113" s="243"/>
      <c r="T113" s="243"/>
      <c r="U113" s="243"/>
    </row>
    <row r="114" spans="2:21" ht="12.5">
      <c r="B114" s="145" t="str">
        <f t="shared" si="23"/>
        <v/>
      </c>
      <c r="C114" s="495">
        <f>IF(D94="","-",+C113+1)</f>
        <v>2024</v>
      </c>
      <c r="D114" s="349">
        <f>IF(F113+SUM(E$100:E113)=D$93,F113,D$93-SUM(E$100:E113))</f>
        <v>497055.22886204859</v>
      </c>
      <c r="E114" s="509">
        <f>IF(+J97&lt;F113,J97,D114)</f>
        <v>21933.878787878788</v>
      </c>
      <c r="F114" s="510">
        <f t="shared" si="27"/>
        <v>475121.35007416981</v>
      </c>
      <c r="G114" s="510">
        <f t="shared" si="28"/>
        <v>486088.2894681092</v>
      </c>
      <c r="H114" s="523">
        <f t="shared" si="29"/>
        <v>74435.898664921682</v>
      </c>
      <c r="I114" s="572">
        <f t="shared" si="30"/>
        <v>74435.898664921682</v>
      </c>
      <c r="J114" s="504">
        <f t="shared" si="18"/>
        <v>0</v>
      </c>
      <c r="K114" s="504"/>
      <c r="L114" s="512"/>
      <c r="M114" s="504">
        <f t="shared" si="24"/>
        <v>0</v>
      </c>
      <c r="N114" s="512"/>
      <c r="O114" s="504">
        <f t="shared" si="21"/>
        <v>0</v>
      </c>
      <c r="P114" s="504">
        <f t="shared" si="22"/>
        <v>0</v>
      </c>
      <c r="Q114" s="243"/>
      <c r="R114" s="243"/>
      <c r="S114" s="243"/>
      <c r="T114" s="243"/>
      <c r="U114" s="243"/>
    </row>
    <row r="115" spans="2:21" ht="12.5">
      <c r="B115" s="145" t="str">
        <f t="shared" si="23"/>
        <v/>
      </c>
      <c r="C115" s="495">
        <f>IF(D94="","-",+C114+1)</f>
        <v>2025</v>
      </c>
      <c r="D115" s="349">
        <f>IF(F114+SUM(E$100:E114)=D$93,F114,D$93-SUM(E$100:E114))</f>
        <v>475121.35007416981</v>
      </c>
      <c r="E115" s="509">
        <f>IF(+J97&lt;F114,J97,D115)</f>
        <v>21933.878787878788</v>
      </c>
      <c r="F115" s="510">
        <f t="shared" si="27"/>
        <v>453187.47128629102</v>
      </c>
      <c r="G115" s="510">
        <f t="shared" si="28"/>
        <v>464154.41068023042</v>
      </c>
      <c r="H115" s="523">
        <f t="shared" si="29"/>
        <v>72066.837395492737</v>
      </c>
      <c r="I115" s="572">
        <f t="shared" si="30"/>
        <v>72066.837395492737</v>
      </c>
      <c r="J115" s="504">
        <f t="shared" si="18"/>
        <v>0</v>
      </c>
      <c r="K115" s="504"/>
      <c r="L115" s="512"/>
      <c r="M115" s="504">
        <f t="shared" si="24"/>
        <v>0</v>
      </c>
      <c r="N115" s="512"/>
      <c r="O115" s="504">
        <f t="shared" si="21"/>
        <v>0</v>
      </c>
      <c r="P115" s="504">
        <f t="shared" si="22"/>
        <v>0</v>
      </c>
      <c r="Q115" s="243"/>
      <c r="R115" s="243"/>
      <c r="S115" s="243"/>
      <c r="T115" s="243"/>
      <c r="U115" s="243"/>
    </row>
    <row r="116" spans="2:21" ht="12.5">
      <c r="B116" s="145" t="str">
        <f t="shared" si="23"/>
        <v/>
      </c>
      <c r="C116" s="495">
        <f>IF(D94="","-",+C115+1)</f>
        <v>2026</v>
      </c>
      <c r="D116" s="349">
        <f>IF(F115+SUM(E$100:E115)=D$93,F115,D$93-SUM(E$100:E115))</f>
        <v>453187.47128629102</v>
      </c>
      <c r="E116" s="509">
        <f>IF(+J97&lt;F115,J97,D116)</f>
        <v>21933.878787878788</v>
      </c>
      <c r="F116" s="510">
        <f t="shared" si="27"/>
        <v>431253.59249841224</v>
      </c>
      <c r="G116" s="510">
        <f t="shared" si="28"/>
        <v>442220.53189235163</v>
      </c>
      <c r="H116" s="523">
        <f t="shared" si="29"/>
        <v>69697.776126063793</v>
      </c>
      <c r="I116" s="572">
        <f t="shared" si="30"/>
        <v>69697.776126063793</v>
      </c>
      <c r="J116" s="504">
        <f t="shared" si="18"/>
        <v>0</v>
      </c>
      <c r="K116" s="504"/>
      <c r="L116" s="512"/>
      <c r="M116" s="504">
        <f t="shared" si="24"/>
        <v>0</v>
      </c>
      <c r="N116" s="512"/>
      <c r="O116" s="504">
        <f t="shared" si="21"/>
        <v>0</v>
      </c>
      <c r="P116" s="504">
        <f t="shared" si="22"/>
        <v>0</v>
      </c>
      <c r="Q116" s="243"/>
      <c r="R116" s="243"/>
      <c r="S116" s="243"/>
      <c r="T116" s="243"/>
      <c r="U116" s="243"/>
    </row>
    <row r="117" spans="2:21" ht="12.5">
      <c r="B117" s="145" t="str">
        <f t="shared" si="23"/>
        <v/>
      </c>
      <c r="C117" s="495">
        <f>IF(D94="","-",+C116+1)</f>
        <v>2027</v>
      </c>
      <c r="D117" s="349">
        <f>IF(F116+SUM(E$100:E116)=D$93,F116,D$93-SUM(E$100:E116))</f>
        <v>431253.59249841224</v>
      </c>
      <c r="E117" s="509">
        <f>IF(+J97&lt;F116,J97,D117)</f>
        <v>21933.878787878788</v>
      </c>
      <c r="F117" s="510">
        <f t="shared" si="27"/>
        <v>409319.71371053346</v>
      </c>
      <c r="G117" s="510">
        <f t="shared" si="28"/>
        <v>420286.65310447285</v>
      </c>
      <c r="H117" s="523">
        <f t="shared" si="29"/>
        <v>67328.714856634848</v>
      </c>
      <c r="I117" s="572">
        <f t="shared" si="30"/>
        <v>67328.714856634848</v>
      </c>
      <c r="J117" s="504">
        <f t="shared" si="18"/>
        <v>0</v>
      </c>
      <c r="K117" s="504"/>
      <c r="L117" s="512"/>
      <c r="M117" s="504">
        <f t="shared" si="24"/>
        <v>0</v>
      </c>
      <c r="N117" s="512"/>
      <c r="O117" s="504">
        <f t="shared" si="21"/>
        <v>0</v>
      </c>
      <c r="P117" s="504">
        <f t="shared" si="22"/>
        <v>0</v>
      </c>
      <c r="Q117" s="243"/>
      <c r="R117" s="243"/>
      <c r="S117" s="243"/>
      <c r="T117" s="243"/>
      <c r="U117" s="243"/>
    </row>
    <row r="118" spans="2:21" ht="12.5">
      <c r="B118" s="145" t="str">
        <f t="shared" si="23"/>
        <v/>
      </c>
      <c r="C118" s="495">
        <f>IF(D94="","-",+C117+1)</f>
        <v>2028</v>
      </c>
      <c r="D118" s="349">
        <f>IF(F117+SUM(E$100:E117)=D$93,F117,D$93-SUM(E$100:E117))</f>
        <v>409319.71371053346</v>
      </c>
      <c r="E118" s="509">
        <f>IF(+J97&lt;F117,J97,D118)</f>
        <v>21933.878787878788</v>
      </c>
      <c r="F118" s="510">
        <f t="shared" si="27"/>
        <v>387385.83492265467</v>
      </c>
      <c r="G118" s="510">
        <f t="shared" si="28"/>
        <v>398352.77431659406</v>
      </c>
      <c r="H118" s="523">
        <f t="shared" si="29"/>
        <v>64959.653587205918</v>
      </c>
      <c r="I118" s="572">
        <f t="shared" si="30"/>
        <v>64959.653587205918</v>
      </c>
      <c r="J118" s="504">
        <f t="shared" si="18"/>
        <v>0</v>
      </c>
      <c r="K118" s="504"/>
      <c r="L118" s="512"/>
      <c r="M118" s="504">
        <f t="shared" si="24"/>
        <v>0</v>
      </c>
      <c r="N118" s="512"/>
      <c r="O118" s="504">
        <f t="shared" si="21"/>
        <v>0</v>
      </c>
      <c r="P118" s="504">
        <f t="shared" si="22"/>
        <v>0</v>
      </c>
      <c r="Q118" s="243"/>
      <c r="R118" s="243"/>
      <c r="S118" s="243"/>
      <c r="T118" s="243"/>
      <c r="U118" s="243"/>
    </row>
    <row r="119" spans="2:21" ht="12.5">
      <c r="B119" s="145" t="str">
        <f t="shared" si="23"/>
        <v/>
      </c>
      <c r="C119" s="495">
        <f>IF(D94="","-",+C118+1)</f>
        <v>2029</v>
      </c>
      <c r="D119" s="349">
        <f>IF(F118+SUM(E$100:E118)=D$93,F118,D$93-SUM(E$100:E118))</f>
        <v>387385.83492265467</v>
      </c>
      <c r="E119" s="509">
        <f>IF(+J97&lt;F118,J97,D119)</f>
        <v>21933.878787878788</v>
      </c>
      <c r="F119" s="510">
        <f t="shared" si="27"/>
        <v>365451.95613477589</v>
      </c>
      <c r="G119" s="510">
        <f t="shared" si="28"/>
        <v>376418.89552871528</v>
      </c>
      <c r="H119" s="523">
        <f t="shared" si="29"/>
        <v>62590.592317776973</v>
      </c>
      <c r="I119" s="572">
        <f t="shared" si="30"/>
        <v>62590.592317776973</v>
      </c>
      <c r="J119" s="504">
        <f t="shared" si="18"/>
        <v>0</v>
      </c>
      <c r="K119" s="504"/>
      <c r="L119" s="512"/>
      <c r="M119" s="504">
        <f t="shared" si="24"/>
        <v>0</v>
      </c>
      <c r="N119" s="512"/>
      <c r="O119" s="504">
        <f t="shared" si="21"/>
        <v>0</v>
      </c>
      <c r="P119" s="504">
        <f t="shared" si="22"/>
        <v>0</v>
      </c>
      <c r="Q119" s="243"/>
      <c r="R119" s="243"/>
      <c r="S119" s="243"/>
      <c r="T119" s="243"/>
      <c r="U119" s="243"/>
    </row>
    <row r="120" spans="2:21" ht="12.5">
      <c r="B120" s="145" t="str">
        <f t="shared" si="23"/>
        <v/>
      </c>
      <c r="C120" s="495">
        <f>IF(D94="","-",+C119+1)</f>
        <v>2030</v>
      </c>
      <c r="D120" s="349">
        <f>IF(F119+SUM(E$100:E119)=D$93,F119,D$93-SUM(E$100:E119))</f>
        <v>365451.95613477589</v>
      </c>
      <c r="E120" s="509">
        <f>IF(+J97&lt;F119,J97,D120)</f>
        <v>21933.878787878788</v>
      </c>
      <c r="F120" s="510">
        <f t="shared" si="27"/>
        <v>343518.0773468971</v>
      </c>
      <c r="G120" s="510">
        <f t="shared" si="28"/>
        <v>354485.01674083649</v>
      </c>
      <c r="H120" s="523">
        <f t="shared" si="29"/>
        <v>60221.531048348028</v>
      </c>
      <c r="I120" s="572">
        <f t="shared" si="30"/>
        <v>60221.531048348028</v>
      </c>
      <c r="J120" s="504">
        <f t="shared" si="18"/>
        <v>0</v>
      </c>
      <c r="K120" s="504"/>
      <c r="L120" s="512"/>
      <c r="M120" s="504">
        <f t="shared" si="24"/>
        <v>0</v>
      </c>
      <c r="N120" s="512"/>
      <c r="O120" s="504">
        <f t="shared" si="21"/>
        <v>0</v>
      </c>
      <c r="P120" s="504">
        <f t="shared" si="22"/>
        <v>0</v>
      </c>
      <c r="Q120" s="243"/>
      <c r="R120" s="243"/>
      <c r="S120" s="243"/>
      <c r="T120" s="243"/>
      <c r="U120" s="243"/>
    </row>
    <row r="121" spans="2:21" ht="12.5">
      <c r="B121" s="145" t="str">
        <f t="shared" si="23"/>
        <v/>
      </c>
      <c r="C121" s="495">
        <f>IF(D94="","-",+C120+1)</f>
        <v>2031</v>
      </c>
      <c r="D121" s="349">
        <f>IF(F120+SUM(E$100:E120)=D$93,F120,D$93-SUM(E$100:E120))</f>
        <v>343518.0773468971</v>
      </c>
      <c r="E121" s="509">
        <f>IF(+J97&lt;F120,J97,D121)</f>
        <v>21933.878787878788</v>
      </c>
      <c r="F121" s="510">
        <f t="shared" si="27"/>
        <v>321584.19855901832</v>
      </c>
      <c r="G121" s="510">
        <f t="shared" si="28"/>
        <v>332551.13795295771</v>
      </c>
      <c r="H121" s="523">
        <f t="shared" si="29"/>
        <v>57852.469778919083</v>
      </c>
      <c r="I121" s="572">
        <f t="shared" si="30"/>
        <v>57852.469778919083</v>
      </c>
      <c r="J121" s="504">
        <f t="shared" si="18"/>
        <v>0</v>
      </c>
      <c r="K121" s="504"/>
      <c r="L121" s="512"/>
      <c r="M121" s="504">
        <f t="shared" si="24"/>
        <v>0</v>
      </c>
      <c r="N121" s="512"/>
      <c r="O121" s="504">
        <f t="shared" si="21"/>
        <v>0</v>
      </c>
      <c r="P121" s="504">
        <f t="shared" si="22"/>
        <v>0</v>
      </c>
      <c r="Q121" s="243"/>
      <c r="R121" s="243"/>
      <c r="S121" s="243"/>
      <c r="T121" s="243"/>
      <c r="U121" s="243"/>
    </row>
    <row r="122" spans="2:21" ht="12.5">
      <c r="B122" s="145" t="str">
        <f t="shared" si="23"/>
        <v/>
      </c>
      <c r="C122" s="495">
        <f>IF(D94="","-",+C121+1)</f>
        <v>2032</v>
      </c>
      <c r="D122" s="349">
        <f>IF(F121+SUM(E$100:E121)=D$93,F121,D$93-SUM(E$100:E121))</f>
        <v>321584.19855901832</v>
      </c>
      <c r="E122" s="509">
        <f>IF(+J97&lt;F121,J97,D122)</f>
        <v>21933.878787878788</v>
      </c>
      <c r="F122" s="510">
        <f t="shared" si="27"/>
        <v>299650.31977113953</v>
      </c>
      <c r="G122" s="510">
        <f t="shared" si="28"/>
        <v>310617.25916507893</v>
      </c>
      <c r="H122" s="523">
        <f t="shared" si="29"/>
        <v>55483.408509490153</v>
      </c>
      <c r="I122" s="572">
        <f t="shared" si="30"/>
        <v>55483.408509490153</v>
      </c>
      <c r="J122" s="504">
        <f t="shared" si="18"/>
        <v>0</v>
      </c>
      <c r="K122" s="504"/>
      <c r="L122" s="512"/>
      <c r="M122" s="504">
        <f t="shared" si="24"/>
        <v>0</v>
      </c>
      <c r="N122" s="512"/>
      <c r="O122" s="504">
        <f t="shared" si="21"/>
        <v>0</v>
      </c>
      <c r="P122" s="504">
        <f t="shared" si="22"/>
        <v>0</v>
      </c>
      <c r="Q122" s="243"/>
      <c r="R122" s="243"/>
      <c r="S122" s="243"/>
      <c r="T122" s="243"/>
      <c r="U122" s="243"/>
    </row>
    <row r="123" spans="2:21" ht="12.5">
      <c r="B123" s="145" t="str">
        <f t="shared" si="23"/>
        <v/>
      </c>
      <c r="C123" s="495">
        <f>IF(D94="","-",+C122+1)</f>
        <v>2033</v>
      </c>
      <c r="D123" s="349">
        <f>IF(F122+SUM(E$100:E122)=D$93,F122,D$93-SUM(E$100:E122))</f>
        <v>299650.31977113953</v>
      </c>
      <c r="E123" s="509">
        <f>IF(+J97&lt;F122,J97,D123)</f>
        <v>21933.878787878788</v>
      </c>
      <c r="F123" s="510">
        <f t="shared" si="27"/>
        <v>277716.44098326075</v>
      </c>
      <c r="G123" s="510">
        <f t="shared" si="28"/>
        <v>288683.38037720014</v>
      </c>
      <c r="H123" s="523">
        <f t="shared" si="29"/>
        <v>53114.347240061208</v>
      </c>
      <c r="I123" s="572">
        <f t="shared" si="30"/>
        <v>53114.347240061208</v>
      </c>
      <c r="J123" s="504">
        <f t="shared" si="18"/>
        <v>0</v>
      </c>
      <c r="K123" s="504"/>
      <c r="L123" s="512"/>
      <c r="M123" s="504">
        <f t="shared" si="24"/>
        <v>0</v>
      </c>
      <c r="N123" s="512"/>
      <c r="O123" s="504">
        <f t="shared" si="21"/>
        <v>0</v>
      </c>
      <c r="P123" s="504">
        <f t="shared" si="22"/>
        <v>0</v>
      </c>
      <c r="Q123" s="243"/>
      <c r="R123" s="243"/>
      <c r="S123" s="243"/>
      <c r="T123" s="243"/>
      <c r="U123" s="243"/>
    </row>
    <row r="124" spans="2:21" ht="12.5">
      <c r="B124" s="145" t="str">
        <f t="shared" si="23"/>
        <v/>
      </c>
      <c r="C124" s="495">
        <f>IF(D94="","-",+C123+1)</f>
        <v>2034</v>
      </c>
      <c r="D124" s="349">
        <f>IF(F123+SUM(E$100:E123)=D$93,F123,D$93-SUM(E$100:E123))</f>
        <v>277716.44098326075</v>
      </c>
      <c r="E124" s="509">
        <f>IF(+J97&lt;F123,J97,D124)</f>
        <v>21933.878787878788</v>
      </c>
      <c r="F124" s="510">
        <f t="shared" si="27"/>
        <v>255782.56219538196</v>
      </c>
      <c r="G124" s="510">
        <f t="shared" si="28"/>
        <v>266749.50158932136</v>
      </c>
      <c r="H124" s="523">
        <f t="shared" si="29"/>
        <v>50745.285970632263</v>
      </c>
      <c r="I124" s="572">
        <f t="shared" si="30"/>
        <v>50745.285970632263</v>
      </c>
      <c r="J124" s="504">
        <f t="shared" si="18"/>
        <v>0</v>
      </c>
      <c r="K124" s="504"/>
      <c r="L124" s="512"/>
      <c r="M124" s="504">
        <f t="shared" si="24"/>
        <v>0</v>
      </c>
      <c r="N124" s="512"/>
      <c r="O124" s="504">
        <f t="shared" si="21"/>
        <v>0</v>
      </c>
      <c r="P124" s="504">
        <f t="shared" si="22"/>
        <v>0</v>
      </c>
      <c r="Q124" s="243"/>
      <c r="R124" s="243"/>
      <c r="S124" s="243"/>
      <c r="T124" s="243"/>
      <c r="U124" s="243"/>
    </row>
    <row r="125" spans="2:21" ht="12.5">
      <c r="B125" s="145" t="str">
        <f t="shared" si="23"/>
        <v/>
      </c>
      <c r="C125" s="495">
        <f>IF(D94="","-",+C124+1)</f>
        <v>2035</v>
      </c>
      <c r="D125" s="349">
        <f>IF(F124+SUM(E$100:E124)=D$93,F124,D$93-SUM(E$100:E124))</f>
        <v>255782.56219538196</v>
      </c>
      <c r="E125" s="509">
        <f>IF(+J97&lt;F124,J97,D125)</f>
        <v>21933.878787878788</v>
      </c>
      <c r="F125" s="510">
        <f t="shared" si="27"/>
        <v>233848.68340750318</v>
      </c>
      <c r="G125" s="510">
        <f t="shared" si="28"/>
        <v>244815.62280144257</v>
      </c>
      <c r="H125" s="523">
        <f t="shared" si="29"/>
        <v>48376.224701203326</v>
      </c>
      <c r="I125" s="572">
        <f t="shared" si="30"/>
        <v>48376.224701203326</v>
      </c>
      <c r="J125" s="504">
        <f t="shared" si="18"/>
        <v>0</v>
      </c>
      <c r="K125" s="504"/>
      <c r="L125" s="512"/>
      <c r="M125" s="504">
        <f t="shared" si="24"/>
        <v>0</v>
      </c>
      <c r="N125" s="512"/>
      <c r="O125" s="504">
        <f t="shared" si="21"/>
        <v>0</v>
      </c>
      <c r="P125" s="504">
        <f t="shared" si="22"/>
        <v>0</v>
      </c>
      <c r="Q125" s="243"/>
      <c r="R125" s="243"/>
      <c r="S125" s="243"/>
      <c r="T125" s="243"/>
      <c r="U125" s="243"/>
    </row>
    <row r="126" spans="2:21" ht="12.5">
      <c r="B126" s="145" t="str">
        <f t="shared" si="23"/>
        <v/>
      </c>
      <c r="C126" s="495">
        <f>IF(D94="","-",+C125+1)</f>
        <v>2036</v>
      </c>
      <c r="D126" s="349">
        <f>IF(F125+SUM(E$100:E125)=D$93,F125,D$93-SUM(E$100:E125))</f>
        <v>233848.68340750318</v>
      </c>
      <c r="E126" s="509">
        <f>IF(+J97&lt;F125,J97,D126)</f>
        <v>21933.878787878788</v>
      </c>
      <c r="F126" s="510">
        <f t="shared" si="27"/>
        <v>211914.8046196244</v>
      </c>
      <c r="G126" s="510">
        <f t="shared" si="28"/>
        <v>222881.74401356379</v>
      </c>
      <c r="H126" s="523">
        <f t="shared" si="29"/>
        <v>46007.163431774388</v>
      </c>
      <c r="I126" s="572">
        <f t="shared" si="30"/>
        <v>46007.163431774388</v>
      </c>
      <c r="J126" s="504">
        <f t="shared" si="18"/>
        <v>0</v>
      </c>
      <c r="K126" s="504"/>
      <c r="L126" s="512"/>
      <c r="M126" s="504">
        <f t="shared" si="24"/>
        <v>0</v>
      </c>
      <c r="N126" s="512"/>
      <c r="O126" s="504">
        <f t="shared" si="21"/>
        <v>0</v>
      </c>
      <c r="P126" s="504">
        <f t="shared" si="22"/>
        <v>0</v>
      </c>
      <c r="Q126" s="243"/>
      <c r="R126" s="243"/>
      <c r="S126" s="243"/>
      <c r="T126" s="243"/>
      <c r="U126" s="243"/>
    </row>
    <row r="127" spans="2:21" ht="12.5">
      <c r="B127" s="145" t="str">
        <f t="shared" si="23"/>
        <v/>
      </c>
      <c r="C127" s="495">
        <f>IF(D94="","-",+C126+1)</f>
        <v>2037</v>
      </c>
      <c r="D127" s="349">
        <f>IF(F126+SUM(E$100:E126)=D$93,F126,D$93-SUM(E$100:E126))</f>
        <v>211914.8046196244</v>
      </c>
      <c r="E127" s="509">
        <f>IF(+J97&lt;F126,J97,D127)</f>
        <v>21933.878787878788</v>
      </c>
      <c r="F127" s="510">
        <f t="shared" si="27"/>
        <v>189980.92583174561</v>
      </c>
      <c r="G127" s="510">
        <f t="shared" si="28"/>
        <v>200947.865225685</v>
      </c>
      <c r="H127" s="523">
        <f t="shared" si="29"/>
        <v>43638.102162345444</v>
      </c>
      <c r="I127" s="572">
        <f t="shared" si="30"/>
        <v>43638.102162345444</v>
      </c>
      <c r="J127" s="504">
        <f t="shared" si="18"/>
        <v>0</v>
      </c>
      <c r="K127" s="504"/>
      <c r="L127" s="512"/>
      <c r="M127" s="504">
        <f t="shared" si="24"/>
        <v>0</v>
      </c>
      <c r="N127" s="512"/>
      <c r="O127" s="504">
        <f t="shared" si="21"/>
        <v>0</v>
      </c>
      <c r="P127" s="504">
        <f t="shared" si="22"/>
        <v>0</v>
      </c>
      <c r="Q127" s="243"/>
      <c r="R127" s="243"/>
      <c r="S127" s="243"/>
      <c r="T127" s="243"/>
      <c r="U127" s="243"/>
    </row>
    <row r="128" spans="2:21" ht="12.5">
      <c r="B128" s="145" t="str">
        <f t="shared" si="23"/>
        <v/>
      </c>
      <c r="C128" s="495">
        <f>IF(D94="","-",+C127+1)</f>
        <v>2038</v>
      </c>
      <c r="D128" s="349">
        <f>IF(F127+SUM(E$100:E127)=D$93,F127,D$93-SUM(E$100:E127))</f>
        <v>189980.92583174561</v>
      </c>
      <c r="E128" s="509">
        <f>IF(+J97&lt;F127,J97,D128)</f>
        <v>21933.878787878788</v>
      </c>
      <c r="F128" s="510">
        <f t="shared" si="27"/>
        <v>168047.04704386683</v>
      </c>
      <c r="G128" s="510">
        <f t="shared" si="28"/>
        <v>179013.98643780622</v>
      </c>
      <c r="H128" s="523">
        <f t="shared" si="29"/>
        <v>41269.040892916499</v>
      </c>
      <c r="I128" s="572">
        <f t="shared" si="30"/>
        <v>41269.040892916499</v>
      </c>
      <c r="J128" s="504">
        <f t="shared" si="18"/>
        <v>0</v>
      </c>
      <c r="K128" s="504"/>
      <c r="L128" s="512"/>
      <c r="M128" s="504">
        <f t="shared" si="24"/>
        <v>0</v>
      </c>
      <c r="N128" s="512"/>
      <c r="O128" s="504">
        <f t="shared" si="21"/>
        <v>0</v>
      </c>
      <c r="P128" s="504">
        <f t="shared" si="22"/>
        <v>0</v>
      </c>
      <c r="Q128" s="243"/>
      <c r="R128" s="243"/>
      <c r="S128" s="243"/>
      <c r="T128" s="243"/>
      <c r="U128" s="243"/>
    </row>
    <row r="129" spans="2:21" ht="12.5">
      <c r="B129" s="145" t="str">
        <f t="shared" si="23"/>
        <v/>
      </c>
      <c r="C129" s="495">
        <f>IF(D94="","-",+C128+1)</f>
        <v>2039</v>
      </c>
      <c r="D129" s="349">
        <f>IF(F128+SUM(E$100:E128)=D$93,F128,D$93-SUM(E$100:E128))</f>
        <v>168047.04704386683</v>
      </c>
      <c r="E129" s="509">
        <f>IF(+J97&lt;F128,J97,D129)</f>
        <v>21933.878787878788</v>
      </c>
      <c r="F129" s="510">
        <f t="shared" si="27"/>
        <v>146113.16825598804</v>
      </c>
      <c r="G129" s="510">
        <f t="shared" si="28"/>
        <v>157080.10764992743</v>
      </c>
      <c r="H129" s="523">
        <f t="shared" si="29"/>
        <v>38899.979623487561</v>
      </c>
      <c r="I129" s="572">
        <f t="shared" si="30"/>
        <v>38899.979623487561</v>
      </c>
      <c r="J129" s="504">
        <f t="shared" si="18"/>
        <v>0</v>
      </c>
      <c r="K129" s="504"/>
      <c r="L129" s="512"/>
      <c r="M129" s="504">
        <f t="shared" si="24"/>
        <v>0</v>
      </c>
      <c r="N129" s="512"/>
      <c r="O129" s="504">
        <f t="shared" si="21"/>
        <v>0</v>
      </c>
      <c r="P129" s="504">
        <f t="shared" si="22"/>
        <v>0</v>
      </c>
      <c r="Q129" s="243"/>
      <c r="R129" s="243"/>
      <c r="S129" s="243"/>
      <c r="T129" s="243"/>
      <c r="U129" s="243"/>
    </row>
    <row r="130" spans="2:21" ht="12.5">
      <c r="B130" s="145" t="str">
        <f t="shared" si="23"/>
        <v/>
      </c>
      <c r="C130" s="495">
        <f>IF(D94="","-",+C129+1)</f>
        <v>2040</v>
      </c>
      <c r="D130" s="349">
        <f>IF(F129+SUM(E$100:E129)=D$93,F129,D$93-SUM(E$100:E129))</f>
        <v>146113.16825598804</v>
      </c>
      <c r="E130" s="509">
        <f>IF(+J97&lt;F129,J97,D130)</f>
        <v>21933.878787878788</v>
      </c>
      <c r="F130" s="510">
        <f t="shared" si="27"/>
        <v>124179.28946810926</v>
      </c>
      <c r="G130" s="510">
        <f t="shared" si="28"/>
        <v>135146.22886204865</v>
      </c>
      <c r="H130" s="523">
        <f t="shared" si="29"/>
        <v>36530.918354058624</v>
      </c>
      <c r="I130" s="572">
        <f t="shared" si="30"/>
        <v>36530.918354058624</v>
      </c>
      <c r="J130" s="504">
        <f t="shared" si="18"/>
        <v>0</v>
      </c>
      <c r="K130" s="504"/>
      <c r="L130" s="512"/>
      <c r="M130" s="504">
        <f t="shared" si="24"/>
        <v>0</v>
      </c>
      <c r="N130" s="512"/>
      <c r="O130" s="504">
        <f t="shared" si="21"/>
        <v>0</v>
      </c>
      <c r="P130" s="504">
        <f t="shared" si="22"/>
        <v>0</v>
      </c>
      <c r="Q130" s="243"/>
      <c r="R130" s="243"/>
      <c r="S130" s="243"/>
      <c r="T130" s="243"/>
      <c r="U130" s="243"/>
    </row>
    <row r="131" spans="2:21" ht="12.5">
      <c r="B131" s="145" t="str">
        <f t="shared" si="23"/>
        <v/>
      </c>
      <c r="C131" s="495">
        <f>IF(D94="","-",+C130+1)</f>
        <v>2041</v>
      </c>
      <c r="D131" s="349">
        <f>IF(F130+SUM(E$100:E130)=D$93,F130,D$93-SUM(E$100:E130))</f>
        <v>124179.28946810926</v>
      </c>
      <c r="E131" s="509">
        <f>IF(+J97&lt;F130,J97,D131)</f>
        <v>21933.878787878788</v>
      </c>
      <c r="F131" s="510">
        <f t="shared" si="27"/>
        <v>102245.41068023047</v>
      </c>
      <c r="G131" s="510">
        <f t="shared" si="28"/>
        <v>113212.35007416987</v>
      </c>
      <c r="H131" s="523">
        <f t="shared" si="29"/>
        <v>34161.857084629679</v>
      </c>
      <c r="I131" s="572">
        <f t="shared" si="30"/>
        <v>34161.857084629679</v>
      </c>
      <c r="J131" s="504">
        <f t="shared" si="18"/>
        <v>0</v>
      </c>
      <c r="K131" s="504"/>
      <c r="L131" s="512"/>
      <c r="M131" s="504">
        <f t="shared" si="24"/>
        <v>0</v>
      </c>
      <c r="N131" s="512"/>
      <c r="O131" s="504">
        <f t="shared" si="21"/>
        <v>0</v>
      </c>
      <c r="P131" s="504">
        <f t="shared" si="22"/>
        <v>0</v>
      </c>
      <c r="Q131" s="243"/>
      <c r="R131" s="243"/>
      <c r="S131" s="243"/>
      <c r="T131" s="243"/>
      <c r="U131" s="243"/>
    </row>
    <row r="132" spans="2:21" ht="12.5">
      <c r="B132" s="145" t="str">
        <f t="shared" si="23"/>
        <v/>
      </c>
      <c r="C132" s="495">
        <f>IF(D94="","-",+C131+1)</f>
        <v>2042</v>
      </c>
      <c r="D132" s="349">
        <f>IF(F131+SUM(E$100:E131)=D$93,F131,D$93-SUM(E$100:E131))</f>
        <v>102245.41068023047</v>
      </c>
      <c r="E132" s="509">
        <f>IF(+J97&lt;F131,J97,D132)</f>
        <v>21933.878787878788</v>
      </c>
      <c r="F132" s="510">
        <f t="shared" ref="F132:F155" si="31">+D132-E132</f>
        <v>80311.53189235169</v>
      </c>
      <c r="G132" s="510">
        <f t="shared" ref="G132:G155" si="32">+(F132+D132)/2</f>
        <v>91278.471286291082</v>
      </c>
      <c r="H132" s="523">
        <f t="shared" si="29"/>
        <v>31792.795815200738</v>
      </c>
      <c r="I132" s="572">
        <f t="shared" si="30"/>
        <v>31792.795815200738</v>
      </c>
      <c r="J132" s="504">
        <f t="shared" ref="J132:J155" si="33">+I132-H132</f>
        <v>0</v>
      </c>
      <c r="K132" s="504"/>
      <c r="L132" s="512"/>
      <c r="M132" s="504">
        <f t="shared" ref="M132:M155" si="34">IF(L132&lt;&gt;0,+H132-L132,0)</f>
        <v>0</v>
      </c>
      <c r="N132" s="512"/>
      <c r="O132" s="504">
        <f t="shared" ref="O132:O155" si="35">IF(N132&lt;&gt;0,+I132-N132,0)</f>
        <v>0</v>
      </c>
      <c r="P132" s="504">
        <f t="shared" ref="P132:P155" si="36">+O132-M132</f>
        <v>0</v>
      </c>
      <c r="Q132" s="243"/>
      <c r="R132" s="243"/>
      <c r="S132" s="243"/>
      <c r="T132" s="243"/>
      <c r="U132" s="243"/>
    </row>
    <row r="133" spans="2:21" ht="12.5">
      <c r="B133" s="145" t="str">
        <f t="shared" si="23"/>
        <v/>
      </c>
      <c r="C133" s="495">
        <f>IF(D94="","-",+C132+1)</f>
        <v>2043</v>
      </c>
      <c r="D133" s="349">
        <f>IF(F132+SUM(E$100:E132)=D$93,F132,D$93-SUM(E$100:E132))</f>
        <v>80311.53189235169</v>
      </c>
      <c r="E133" s="509">
        <f>IF(+J97&lt;F132,J97,D133)</f>
        <v>21933.878787878788</v>
      </c>
      <c r="F133" s="510">
        <f t="shared" si="31"/>
        <v>58377.653104472905</v>
      </c>
      <c r="G133" s="510">
        <f t="shared" si="32"/>
        <v>69344.592498412298</v>
      </c>
      <c r="H133" s="523">
        <f t="shared" ref="H133:H155" si="37">+J$95*G133+E133</f>
        <v>29423.734545771797</v>
      </c>
      <c r="I133" s="572">
        <f t="shared" ref="I133:I155" si="38">+J$96*G133+E133</f>
        <v>29423.734545771797</v>
      </c>
      <c r="J133" s="504">
        <f t="shared" si="33"/>
        <v>0</v>
      </c>
      <c r="K133" s="504"/>
      <c r="L133" s="512"/>
      <c r="M133" s="504">
        <f t="shared" si="34"/>
        <v>0</v>
      </c>
      <c r="N133" s="512"/>
      <c r="O133" s="504">
        <f t="shared" si="35"/>
        <v>0</v>
      </c>
      <c r="P133" s="504">
        <f t="shared" si="36"/>
        <v>0</v>
      </c>
      <c r="Q133" s="243"/>
      <c r="R133" s="243"/>
      <c r="S133" s="243"/>
      <c r="T133" s="243"/>
      <c r="U133" s="243"/>
    </row>
    <row r="134" spans="2:21" ht="12.5">
      <c r="B134" s="145" t="str">
        <f t="shared" si="23"/>
        <v/>
      </c>
      <c r="C134" s="495">
        <f>IF(D94="","-",+C133+1)</f>
        <v>2044</v>
      </c>
      <c r="D134" s="349">
        <f>IF(F133+SUM(E$100:E133)=D$93,F133,D$93-SUM(E$100:E133))</f>
        <v>58377.653104472905</v>
      </c>
      <c r="E134" s="509">
        <f>IF(+J97&lt;F133,J97,D134)</f>
        <v>21933.878787878788</v>
      </c>
      <c r="F134" s="510">
        <f t="shared" si="31"/>
        <v>36443.774316594121</v>
      </c>
      <c r="G134" s="510">
        <f t="shared" si="32"/>
        <v>47410.713710533513</v>
      </c>
      <c r="H134" s="523">
        <f t="shared" si="37"/>
        <v>27054.673276342855</v>
      </c>
      <c r="I134" s="572">
        <f t="shared" si="38"/>
        <v>27054.673276342855</v>
      </c>
      <c r="J134" s="504">
        <f t="shared" si="33"/>
        <v>0</v>
      </c>
      <c r="K134" s="504"/>
      <c r="L134" s="512"/>
      <c r="M134" s="504">
        <f t="shared" si="34"/>
        <v>0</v>
      </c>
      <c r="N134" s="512"/>
      <c r="O134" s="504">
        <f t="shared" si="35"/>
        <v>0</v>
      </c>
      <c r="P134" s="504">
        <f t="shared" si="36"/>
        <v>0</v>
      </c>
      <c r="Q134" s="243"/>
      <c r="R134" s="243"/>
      <c r="S134" s="243"/>
      <c r="T134" s="243"/>
      <c r="U134" s="243"/>
    </row>
    <row r="135" spans="2:21" ht="12.5">
      <c r="B135" s="145" t="str">
        <f t="shared" si="23"/>
        <v/>
      </c>
      <c r="C135" s="495">
        <f>IF(D94="","-",+C134+1)</f>
        <v>2045</v>
      </c>
      <c r="D135" s="349">
        <f>IF(F134+SUM(E$100:E134)=D$93,F134,D$93-SUM(E$100:E134))</f>
        <v>36443.774316594121</v>
      </c>
      <c r="E135" s="509">
        <f>IF(+J97&lt;F134,J97,D135)</f>
        <v>21933.878787878788</v>
      </c>
      <c r="F135" s="510">
        <f t="shared" si="31"/>
        <v>14509.895528715333</v>
      </c>
      <c r="G135" s="510">
        <f t="shared" si="32"/>
        <v>25476.834922654729</v>
      </c>
      <c r="H135" s="523">
        <f t="shared" si="37"/>
        <v>24685.612006913914</v>
      </c>
      <c r="I135" s="572">
        <f t="shared" si="38"/>
        <v>24685.612006913914</v>
      </c>
      <c r="J135" s="504">
        <f t="shared" si="33"/>
        <v>0</v>
      </c>
      <c r="K135" s="504"/>
      <c r="L135" s="512"/>
      <c r="M135" s="504">
        <f t="shared" si="34"/>
        <v>0</v>
      </c>
      <c r="N135" s="512"/>
      <c r="O135" s="504">
        <f t="shared" si="35"/>
        <v>0</v>
      </c>
      <c r="P135" s="504">
        <f t="shared" si="36"/>
        <v>0</v>
      </c>
      <c r="Q135" s="243"/>
      <c r="R135" s="243"/>
      <c r="S135" s="243"/>
      <c r="T135" s="243"/>
      <c r="U135" s="243"/>
    </row>
    <row r="136" spans="2:21" ht="12.5">
      <c r="B136" s="145" t="str">
        <f t="shared" si="23"/>
        <v/>
      </c>
      <c r="C136" s="495">
        <f>IF(D94="","-",+C135+1)</f>
        <v>2046</v>
      </c>
      <c r="D136" s="349">
        <f>IF(F135+SUM(E$100:E135)=D$93,F135,D$93-SUM(E$100:E135))</f>
        <v>14509.895528715333</v>
      </c>
      <c r="E136" s="509">
        <f>IF(+J97&lt;F135,J97,D136)</f>
        <v>14509.895528715333</v>
      </c>
      <c r="F136" s="510">
        <f t="shared" si="31"/>
        <v>0</v>
      </c>
      <c r="G136" s="510">
        <f t="shared" si="32"/>
        <v>7254.9477643576665</v>
      </c>
      <c r="H136" s="523">
        <f t="shared" si="37"/>
        <v>15293.496820875662</v>
      </c>
      <c r="I136" s="572">
        <f t="shared" si="38"/>
        <v>15293.496820875662</v>
      </c>
      <c r="J136" s="504">
        <f t="shared" si="33"/>
        <v>0</v>
      </c>
      <c r="K136" s="504"/>
      <c r="L136" s="512"/>
      <c r="M136" s="504">
        <f t="shared" si="34"/>
        <v>0</v>
      </c>
      <c r="N136" s="512"/>
      <c r="O136" s="504">
        <f t="shared" si="35"/>
        <v>0</v>
      </c>
      <c r="P136" s="504">
        <f t="shared" si="36"/>
        <v>0</v>
      </c>
      <c r="Q136" s="243"/>
      <c r="R136" s="243"/>
      <c r="S136" s="243"/>
      <c r="T136" s="243"/>
      <c r="U136" s="243"/>
    </row>
    <row r="137" spans="2:21" ht="12.5">
      <c r="B137" s="145" t="str">
        <f t="shared" si="23"/>
        <v/>
      </c>
      <c r="C137" s="495">
        <f>IF(D94="","-",+C136+1)</f>
        <v>2047</v>
      </c>
      <c r="D137" s="349">
        <f>IF(F136+SUM(E$100:E136)=D$93,F136,D$93-SUM(E$100:E136))</f>
        <v>0</v>
      </c>
      <c r="E137" s="509">
        <f>IF(+J97&lt;F136,J97,D137)</f>
        <v>0</v>
      </c>
      <c r="F137" s="510">
        <f t="shared" si="31"/>
        <v>0</v>
      </c>
      <c r="G137" s="510">
        <f t="shared" si="32"/>
        <v>0</v>
      </c>
      <c r="H137" s="523">
        <f t="shared" si="37"/>
        <v>0</v>
      </c>
      <c r="I137" s="572">
        <f t="shared" si="38"/>
        <v>0</v>
      </c>
      <c r="J137" s="504">
        <f t="shared" si="33"/>
        <v>0</v>
      </c>
      <c r="K137" s="504"/>
      <c r="L137" s="512"/>
      <c r="M137" s="504">
        <f t="shared" si="34"/>
        <v>0</v>
      </c>
      <c r="N137" s="512"/>
      <c r="O137" s="504">
        <f t="shared" si="35"/>
        <v>0</v>
      </c>
      <c r="P137" s="504">
        <f t="shared" si="36"/>
        <v>0</v>
      </c>
      <c r="Q137" s="243"/>
      <c r="R137" s="243"/>
      <c r="S137" s="243"/>
      <c r="T137" s="243"/>
      <c r="U137" s="243"/>
    </row>
    <row r="138" spans="2:21" ht="12.5">
      <c r="B138" s="145" t="str">
        <f t="shared" si="23"/>
        <v/>
      </c>
      <c r="C138" s="495">
        <f>IF(D94="","-",+C137+1)</f>
        <v>2048</v>
      </c>
      <c r="D138" s="349">
        <f>IF(F137+SUM(E$100:E137)=D$93,F137,D$93-SUM(E$100:E137))</f>
        <v>0</v>
      </c>
      <c r="E138" s="509">
        <f>IF(+J97&lt;F137,J97,D138)</f>
        <v>0</v>
      </c>
      <c r="F138" s="510">
        <f t="shared" si="31"/>
        <v>0</v>
      </c>
      <c r="G138" s="510">
        <f t="shared" si="32"/>
        <v>0</v>
      </c>
      <c r="H138" s="523">
        <f t="shared" si="37"/>
        <v>0</v>
      </c>
      <c r="I138" s="572">
        <f t="shared" si="38"/>
        <v>0</v>
      </c>
      <c r="J138" s="504">
        <f t="shared" si="33"/>
        <v>0</v>
      </c>
      <c r="K138" s="504"/>
      <c r="L138" s="512"/>
      <c r="M138" s="504">
        <f t="shared" si="34"/>
        <v>0</v>
      </c>
      <c r="N138" s="512"/>
      <c r="O138" s="504">
        <f t="shared" si="35"/>
        <v>0</v>
      </c>
      <c r="P138" s="504">
        <f t="shared" si="36"/>
        <v>0</v>
      </c>
      <c r="Q138" s="243"/>
      <c r="R138" s="243"/>
      <c r="S138" s="243"/>
      <c r="T138" s="243"/>
      <c r="U138" s="243"/>
    </row>
    <row r="139" spans="2:21" ht="12.5">
      <c r="B139" s="145" t="str">
        <f t="shared" si="23"/>
        <v/>
      </c>
      <c r="C139" s="495">
        <f>IF(D94="","-",+C138+1)</f>
        <v>2049</v>
      </c>
      <c r="D139" s="349">
        <f>IF(F138+SUM(E$100:E138)=D$93,F138,D$93-SUM(E$100:E138))</f>
        <v>0</v>
      </c>
      <c r="E139" s="509">
        <f>IF(+J97&lt;F138,J97,D139)</f>
        <v>0</v>
      </c>
      <c r="F139" s="510">
        <f t="shared" si="31"/>
        <v>0</v>
      </c>
      <c r="G139" s="510">
        <f t="shared" si="32"/>
        <v>0</v>
      </c>
      <c r="H139" s="523">
        <f t="shared" si="37"/>
        <v>0</v>
      </c>
      <c r="I139" s="572">
        <f t="shared" si="38"/>
        <v>0</v>
      </c>
      <c r="J139" s="504">
        <f t="shared" si="33"/>
        <v>0</v>
      </c>
      <c r="K139" s="504"/>
      <c r="L139" s="512"/>
      <c r="M139" s="504">
        <f t="shared" si="34"/>
        <v>0</v>
      </c>
      <c r="N139" s="512"/>
      <c r="O139" s="504">
        <f t="shared" si="35"/>
        <v>0</v>
      </c>
      <c r="P139" s="504">
        <f t="shared" si="36"/>
        <v>0</v>
      </c>
      <c r="Q139" s="243"/>
      <c r="R139" s="243"/>
      <c r="S139" s="243"/>
      <c r="T139" s="243"/>
      <c r="U139" s="243"/>
    </row>
    <row r="140" spans="2:21" ht="12.5">
      <c r="B140" s="145" t="str">
        <f t="shared" si="23"/>
        <v/>
      </c>
      <c r="C140" s="495">
        <f>IF(D94="","-",+C139+1)</f>
        <v>2050</v>
      </c>
      <c r="D140" s="349">
        <f>IF(F139+SUM(E$100:E139)=D$93,F139,D$93-SUM(E$100:E139))</f>
        <v>0</v>
      </c>
      <c r="E140" s="509">
        <f>IF(+J97&lt;F139,J97,D140)</f>
        <v>0</v>
      </c>
      <c r="F140" s="510">
        <f t="shared" si="31"/>
        <v>0</v>
      </c>
      <c r="G140" s="510">
        <f t="shared" si="32"/>
        <v>0</v>
      </c>
      <c r="H140" s="523">
        <f t="shared" si="37"/>
        <v>0</v>
      </c>
      <c r="I140" s="572">
        <f t="shared" si="38"/>
        <v>0</v>
      </c>
      <c r="J140" s="504">
        <f t="shared" si="33"/>
        <v>0</v>
      </c>
      <c r="K140" s="504"/>
      <c r="L140" s="512"/>
      <c r="M140" s="504">
        <f t="shared" si="34"/>
        <v>0</v>
      </c>
      <c r="N140" s="512"/>
      <c r="O140" s="504">
        <f t="shared" si="35"/>
        <v>0</v>
      </c>
      <c r="P140" s="504">
        <f t="shared" si="36"/>
        <v>0</v>
      </c>
      <c r="Q140" s="243"/>
      <c r="R140" s="243"/>
      <c r="S140" s="243"/>
      <c r="T140" s="243"/>
      <c r="U140" s="243"/>
    </row>
    <row r="141" spans="2:21" ht="12.5">
      <c r="B141" s="145" t="str">
        <f t="shared" si="23"/>
        <v/>
      </c>
      <c r="C141" s="495">
        <f>IF(D94="","-",+C140+1)</f>
        <v>2051</v>
      </c>
      <c r="D141" s="349">
        <f>IF(F140+SUM(E$100:E140)=D$93,F140,D$93-SUM(E$100:E140))</f>
        <v>0</v>
      </c>
      <c r="E141" s="509">
        <f>IF(+J97&lt;F140,J97,D141)</f>
        <v>0</v>
      </c>
      <c r="F141" s="510">
        <f t="shared" si="31"/>
        <v>0</v>
      </c>
      <c r="G141" s="510">
        <f t="shared" si="32"/>
        <v>0</v>
      </c>
      <c r="H141" s="523">
        <f t="shared" si="37"/>
        <v>0</v>
      </c>
      <c r="I141" s="572">
        <f t="shared" si="38"/>
        <v>0</v>
      </c>
      <c r="J141" s="504">
        <f t="shared" si="33"/>
        <v>0</v>
      </c>
      <c r="K141" s="504"/>
      <c r="L141" s="512"/>
      <c r="M141" s="504">
        <f t="shared" si="34"/>
        <v>0</v>
      </c>
      <c r="N141" s="512"/>
      <c r="O141" s="504">
        <f t="shared" si="35"/>
        <v>0</v>
      </c>
      <c r="P141" s="504">
        <f t="shared" si="36"/>
        <v>0</v>
      </c>
      <c r="Q141" s="243"/>
      <c r="R141" s="243"/>
      <c r="S141" s="243"/>
      <c r="T141" s="243"/>
      <c r="U141" s="243"/>
    </row>
    <row r="142" spans="2:21" ht="12.5">
      <c r="B142" s="145" t="str">
        <f t="shared" si="23"/>
        <v/>
      </c>
      <c r="C142" s="495">
        <f>IF(D94="","-",+C141+1)</f>
        <v>2052</v>
      </c>
      <c r="D142" s="349">
        <f>IF(F141+SUM(E$100:E141)=D$93,F141,D$93-SUM(E$100:E141))</f>
        <v>0</v>
      </c>
      <c r="E142" s="509">
        <f>IF(+J97&lt;F141,J97,D142)</f>
        <v>0</v>
      </c>
      <c r="F142" s="510">
        <f t="shared" si="31"/>
        <v>0</v>
      </c>
      <c r="G142" s="510">
        <f t="shared" si="32"/>
        <v>0</v>
      </c>
      <c r="H142" s="523">
        <f t="shared" si="37"/>
        <v>0</v>
      </c>
      <c r="I142" s="572">
        <f t="shared" si="38"/>
        <v>0</v>
      </c>
      <c r="J142" s="504">
        <f t="shared" si="33"/>
        <v>0</v>
      </c>
      <c r="K142" s="504"/>
      <c r="L142" s="512"/>
      <c r="M142" s="504">
        <f t="shared" si="34"/>
        <v>0</v>
      </c>
      <c r="N142" s="512"/>
      <c r="O142" s="504">
        <f t="shared" si="35"/>
        <v>0</v>
      </c>
      <c r="P142" s="504">
        <f t="shared" si="36"/>
        <v>0</v>
      </c>
      <c r="Q142" s="243"/>
      <c r="R142" s="243"/>
      <c r="S142" s="243"/>
      <c r="T142" s="243"/>
      <c r="U142" s="243"/>
    </row>
    <row r="143" spans="2:21" ht="12.5">
      <c r="B143" s="145" t="str">
        <f t="shared" si="23"/>
        <v/>
      </c>
      <c r="C143" s="495">
        <f>IF(D94="","-",+C142+1)</f>
        <v>2053</v>
      </c>
      <c r="D143" s="349">
        <f>IF(F142+SUM(E$100:E142)=D$93,F142,D$93-SUM(E$100:E142))</f>
        <v>0</v>
      </c>
      <c r="E143" s="509">
        <f>IF(+J97&lt;F142,J97,D143)</f>
        <v>0</v>
      </c>
      <c r="F143" s="510">
        <f t="shared" si="31"/>
        <v>0</v>
      </c>
      <c r="G143" s="510">
        <f t="shared" si="32"/>
        <v>0</v>
      </c>
      <c r="H143" s="523">
        <f t="shared" si="37"/>
        <v>0</v>
      </c>
      <c r="I143" s="572">
        <f t="shared" si="38"/>
        <v>0</v>
      </c>
      <c r="J143" s="504">
        <f t="shared" si="33"/>
        <v>0</v>
      </c>
      <c r="K143" s="504"/>
      <c r="L143" s="512"/>
      <c r="M143" s="504">
        <f t="shared" si="34"/>
        <v>0</v>
      </c>
      <c r="N143" s="512"/>
      <c r="O143" s="504">
        <f t="shared" si="35"/>
        <v>0</v>
      </c>
      <c r="P143" s="504">
        <f t="shared" si="36"/>
        <v>0</v>
      </c>
      <c r="Q143" s="243"/>
      <c r="R143" s="243"/>
      <c r="S143" s="243"/>
      <c r="T143" s="243"/>
      <c r="U143" s="243"/>
    </row>
    <row r="144" spans="2:21" ht="12.5">
      <c r="B144" s="145" t="str">
        <f t="shared" si="23"/>
        <v/>
      </c>
      <c r="C144" s="495">
        <f>IF(D94="","-",+C143+1)</f>
        <v>2054</v>
      </c>
      <c r="D144" s="349">
        <f>IF(F143+SUM(E$100:E143)=D$93,F143,D$93-SUM(E$100:E143))</f>
        <v>0</v>
      </c>
      <c r="E144" s="509">
        <f>IF(+J97&lt;F143,J97,D144)</f>
        <v>0</v>
      </c>
      <c r="F144" s="510">
        <f t="shared" si="31"/>
        <v>0</v>
      </c>
      <c r="G144" s="510">
        <f t="shared" si="32"/>
        <v>0</v>
      </c>
      <c r="H144" s="523">
        <f t="shared" si="37"/>
        <v>0</v>
      </c>
      <c r="I144" s="572">
        <f t="shared" si="38"/>
        <v>0</v>
      </c>
      <c r="J144" s="504">
        <f t="shared" si="33"/>
        <v>0</v>
      </c>
      <c r="K144" s="504"/>
      <c r="L144" s="512"/>
      <c r="M144" s="504">
        <f t="shared" si="34"/>
        <v>0</v>
      </c>
      <c r="N144" s="512"/>
      <c r="O144" s="504">
        <f t="shared" si="35"/>
        <v>0</v>
      </c>
      <c r="P144" s="504">
        <f t="shared" si="36"/>
        <v>0</v>
      </c>
      <c r="Q144" s="243"/>
      <c r="R144" s="243"/>
      <c r="S144" s="243"/>
      <c r="T144" s="243"/>
      <c r="U144" s="243"/>
    </row>
    <row r="145" spans="2:21" ht="12.5">
      <c r="B145" s="145" t="str">
        <f t="shared" si="23"/>
        <v/>
      </c>
      <c r="C145" s="495">
        <f>IF(D94="","-",+C144+1)</f>
        <v>2055</v>
      </c>
      <c r="D145" s="349">
        <f>IF(F144+SUM(E$100:E144)=D$93,F144,D$93-SUM(E$100:E144))</f>
        <v>0</v>
      </c>
      <c r="E145" s="509">
        <f>IF(+J97&lt;F144,J97,D145)</f>
        <v>0</v>
      </c>
      <c r="F145" s="510">
        <f t="shared" si="31"/>
        <v>0</v>
      </c>
      <c r="G145" s="510">
        <f t="shared" si="32"/>
        <v>0</v>
      </c>
      <c r="H145" s="523">
        <f t="shared" si="37"/>
        <v>0</v>
      </c>
      <c r="I145" s="572">
        <f t="shared" si="38"/>
        <v>0</v>
      </c>
      <c r="J145" s="504">
        <f t="shared" si="33"/>
        <v>0</v>
      </c>
      <c r="K145" s="504"/>
      <c r="L145" s="512"/>
      <c r="M145" s="504">
        <f t="shared" si="34"/>
        <v>0</v>
      </c>
      <c r="N145" s="512"/>
      <c r="O145" s="504">
        <f t="shared" si="35"/>
        <v>0</v>
      </c>
      <c r="P145" s="504">
        <f t="shared" si="36"/>
        <v>0</v>
      </c>
      <c r="Q145" s="243"/>
      <c r="R145" s="243"/>
      <c r="S145" s="243"/>
      <c r="T145" s="243"/>
      <c r="U145" s="243"/>
    </row>
    <row r="146" spans="2:21" ht="12.5">
      <c r="B146" s="145" t="str">
        <f t="shared" si="23"/>
        <v/>
      </c>
      <c r="C146" s="495">
        <f>IF(D94="","-",+C145+1)</f>
        <v>2056</v>
      </c>
      <c r="D146" s="349">
        <f>IF(F145+SUM(E$100:E145)=D$93,F145,D$93-SUM(E$100:E145))</f>
        <v>0</v>
      </c>
      <c r="E146" s="509">
        <f>IF(+J97&lt;F145,J97,D146)</f>
        <v>0</v>
      </c>
      <c r="F146" s="510">
        <f t="shared" si="31"/>
        <v>0</v>
      </c>
      <c r="G146" s="510">
        <f t="shared" si="32"/>
        <v>0</v>
      </c>
      <c r="H146" s="523">
        <f t="shared" si="37"/>
        <v>0</v>
      </c>
      <c r="I146" s="572">
        <f t="shared" si="38"/>
        <v>0</v>
      </c>
      <c r="J146" s="504">
        <f t="shared" si="33"/>
        <v>0</v>
      </c>
      <c r="K146" s="504"/>
      <c r="L146" s="512"/>
      <c r="M146" s="504">
        <f t="shared" si="34"/>
        <v>0</v>
      </c>
      <c r="N146" s="512"/>
      <c r="O146" s="504">
        <f t="shared" si="35"/>
        <v>0</v>
      </c>
      <c r="P146" s="504">
        <f t="shared" si="36"/>
        <v>0</v>
      </c>
      <c r="Q146" s="243"/>
      <c r="R146" s="243"/>
      <c r="S146" s="243"/>
      <c r="T146" s="243"/>
      <c r="U146" s="243"/>
    </row>
    <row r="147" spans="2:21" ht="12.5">
      <c r="B147" s="145" t="str">
        <f t="shared" si="23"/>
        <v/>
      </c>
      <c r="C147" s="495">
        <f>IF(D94="","-",+C146+1)</f>
        <v>2057</v>
      </c>
      <c r="D147" s="349">
        <f>IF(F146+SUM(E$100:E146)=D$93,F146,D$93-SUM(E$100:E146))</f>
        <v>0</v>
      </c>
      <c r="E147" s="509">
        <f>IF(+J97&lt;F146,J97,D147)</f>
        <v>0</v>
      </c>
      <c r="F147" s="510">
        <f t="shared" si="31"/>
        <v>0</v>
      </c>
      <c r="G147" s="510">
        <f t="shared" si="32"/>
        <v>0</v>
      </c>
      <c r="H147" s="523">
        <f t="shared" si="37"/>
        <v>0</v>
      </c>
      <c r="I147" s="572">
        <f t="shared" si="38"/>
        <v>0</v>
      </c>
      <c r="J147" s="504">
        <f t="shared" si="33"/>
        <v>0</v>
      </c>
      <c r="K147" s="504"/>
      <c r="L147" s="512"/>
      <c r="M147" s="504">
        <f t="shared" si="34"/>
        <v>0</v>
      </c>
      <c r="N147" s="512"/>
      <c r="O147" s="504">
        <f t="shared" si="35"/>
        <v>0</v>
      </c>
      <c r="P147" s="504">
        <f t="shared" si="36"/>
        <v>0</v>
      </c>
      <c r="Q147" s="243"/>
      <c r="R147" s="243"/>
      <c r="S147" s="243"/>
      <c r="T147" s="243"/>
      <c r="U147" s="243"/>
    </row>
    <row r="148" spans="2:21" ht="12.5">
      <c r="B148" s="145" t="str">
        <f t="shared" si="23"/>
        <v/>
      </c>
      <c r="C148" s="495">
        <f>IF(D94="","-",+C147+1)</f>
        <v>2058</v>
      </c>
      <c r="D148" s="349">
        <f>IF(F147+SUM(E$100:E147)=D$93,F147,D$93-SUM(E$100:E147))</f>
        <v>0</v>
      </c>
      <c r="E148" s="509">
        <f>IF(+J97&lt;F147,J97,D148)</f>
        <v>0</v>
      </c>
      <c r="F148" s="510">
        <f t="shared" si="31"/>
        <v>0</v>
      </c>
      <c r="G148" s="510">
        <f t="shared" si="32"/>
        <v>0</v>
      </c>
      <c r="H148" s="523">
        <f t="shared" si="37"/>
        <v>0</v>
      </c>
      <c r="I148" s="572">
        <f t="shared" si="38"/>
        <v>0</v>
      </c>
      <c r="J148" s="504">
        <f t="shared" si="33"/>
        <v>0</v>
      </c>
      <c r="K148" s="504"/>
      <c r="L148" s="512"/>
      <c r="M148" s="504">
        <f t="shared" si="34"/>
        <v>0</v>
      </c>
      <c r="N148" s="512"/>
      <c r="O148" s="504">
        <f t="shared" si="35"/>
        <v>0</v>
      </c>
      <c r="P148" s="504">
        <f t="shared" si="36"/>
        <v>0</v>
      </c>
      <c r="Q148" s="243"/>
      <c r="R148" s="243"/>
      <c r="S148" s="243"/>
      <c r="T148" s="243"/>
      <c r="U148" s="243"/>
    </row>
    <row r="149" spans="2:21" ht="12.5">
      <c r="B149" s="145" t="str">
        <f t="shared" si="23"/>
        <v/>
      </c>
      <c r="C149" s="495">
        <f>IF(D94="","-",+C148+1)</f>
        <v>2059</v>
      </c>
      <c r="D149" s="349">
        <f>IF(F148+SUM(E$100:E148)=D$93,F148,D$93-SUM(E$100:E148))</f>
        <v>0</v>
      </c>
      <c r="E149" s="509">
        <f>IF(+J97&lt;F148,J97,D149)</f>
        <v>0</v>
      </c>
      <c r="F149" s="510">
        <f t="shared" si="31"/>
        <v>0</v>
      </c>
      <c r="G149" s="510">
        <f t="shared" si="32"/>
        <v>0</v>
      </c>
      <c r="H149" s="523">
        <f t="shared" si="37"/>
        <v>0</v>
      </c>
      <c r="I149" s="572">
        <f t="shared" si="38"/>
        <v>0</v>
      </c>
      <c r="J149" s="504">
        <f t="shared" si="33"/>
        <v>0</v>
      </c>
      <c r="K149" s="504"/>
      <c r="L149" s="512"/>
      <c r="M149" s="504">
        <f t="shared" si="34"/>
        <v>0</v>
      </c>
      <c r="N149" s="512"/>
      <c r="O149" s="504">
        <f t="shared" si="35"/>
        <v>0</v>
      </c>
      <c r="P149" s="504">
        <f t="shared" si="36"/>
        <v>0</v>
      </c>
      <c r="Q149" s="243"/>
      <c r="R149" s="243"/>
      <c r="S149" s="243"/>
      <c r="T149" s="243"/>
      <c r="U149" s="243"/>
    </row>
    <row r="150" spans="2:21" ht="12.5">
      <c r="B150" s="145" t="str">
        <f t="shared" si="23"/>
        <v/>
      </c>
      <c r="C150" s="495">
        <f>IF(D94="","-",+C149+1)</f>
        <v>2060</v>
      </c>
      <c r="D150" s="349">
        <f>IF(F149+SUM(E$100:E149)=D$93,F149,D$93-SUM(E$100:E149))</f>
        <v>0</v>
      </c>
      <c r="E150" s="509">
        <f>IF(+J97&lt;F149,J97,D150)</f>
        <v>0</v>
      </c>
      <c r="F150" s="510">
        <f t="shared" si="31"/>
        <v>0</v>
      </c>
      <c r="G150" s="510">
        <f t="shared" si="32"/>
        <v>0</v>
      </c>
      <c r="H150" s="523">
        <f t="shared" si="37"/>
        <v>0</v>
      </c>
      <c r="I150" s="572">
        <f t="shared" si="38"/>
        <v>0</v>
      </c>
      <c r="J150" s="504">
        <f t="shared" si="33"/>
        <v>0</v>
      </c>
      <c r="K150" s="504"/>
      <c r="L150" s="512"/>
      <c r="M150" s="504">
        <f t="shared" si="34"/>
        <v>0</v>
      </c>
      <c r="N150" s="512"/>
      <c r="O150" s="504">
        <f t="shared" si="35"/>
        <v>0</v>
      </c>
      <c r="P150" s="504">
        <f t="shared" si="36"/>
        <v>0</v>
      </c>
      <c r="Q150" s="243"/>
      <c r="R150" s="243"/>
      <c r="S150" s="243"/>
      <c r="T150" s="243"/>
      <c r="U150" s="243"/>
    </row>
    <row r="151" spans="2:21" ht="12.5">
      <c r="B151" s="145" t="str">
        <f t="shared" si="23"/>
        <v/>
      </c>
      <c r="C151" s="495">
        <f>IF(D94="","-",+C150+1)</f>
        <v>2061</v>
      </c>
      <c r="D151" s="349">
        <f>IF(F150+SUM(E$100:E150)=D$93,F150,D$93-SUM(E$100:E150))</f>
        <v>0</v>
      </c>
      <c r="E151" s="509">
        <f>IF(+J97&lt;F150,J97,D151)</f>
        <v>0</v>
      </c>
      <c r="F151" s="510">
        <f t="shared" si="31"/>
        <v>0</v>
      </c>
      <c r="G151" s="510">
        <f t="shared" si="32"/>
        <v>0</v>
      </c>
      <c r="H151" s="523">
        <f t="shared" si="37"/>
        <v>0</v>
      </c>
      <c r="I151" s="572">
        <f t="shared" si="38"/>
        <v>0</v>
      </c>
      <c r="J151" s="504">
        <f t="shared" si="33"/>
        <v>0</v>
      </c>
      <c r="K151" s="504"/>
      <c r="L151" s="512"/>
      <c r="M151" s="504">
        <f t="shared" si="34"/>
        <v>0</v>
      </c>
      <c r="N151" s="512"/>
      <c r="O151" s="504">
        <f t="shared" si="35"/>
        <v>0</v>
      </c>
      <c r="P151" s="504">
        <f t="shared" si="36"/>
        <v>0</v>
      </c>
      <c r="Q151" s="243"/>
      <c r="R151" s="243"/>
      <c r="S151" s="243"/>
      <c r="T151" s="243"/>
      <c r="U151" s="243"/>
    </row>
    <row r="152" spans="2:21" ht="12.5">
      <c r="B152" s="145" t="str">
        <f t="shared" si="23"/>
        <v/>
      </c>
      <c r="C152" s="495">
        <f>IF(D94="","-",+C151+1)</f>
        <v>2062</v>
      </c>
      <c r="D152" s="349">
        <f>IF(F151+SUM(E$100:E151)=D$93,F151,D$93-SUM(E$100:E151))</f>
        <v>0</v>
      </c>
      <c r="E152" s="509">
        <f>IF(+J97&lt;F151,J97,D152)</f>
        <v>0</v>
      </c>
      <c r="F152" s="510">
        <f t="shared" si="31"/>
        <v>0</v>
      </c>
      <c r="G152" s="510">
        <f t="shared" si="32"/>
        <v>0</v>
      </c>
      <c r="H152" s="523">
        <f t="shared" si="37"/>
        <v>0</v>
      </c>
      <c r="I152" s="572">
        <f t="shared" si="38"/>
        <v>0</v>
      </c>
      <c r="J152" s="504">
        <f t="shared" si="33"/>
        <v>0</v>
      </c>
      <c r="K152" s="504"/>
      <c r="L152" s="512"/>
      <c r="M152" s="504">
        <f t="shared" si="34"/>
        <v>0</v>
      </c>
      <c r="N152" s="512"/>
      <c r="O152" s="504">
        <f t="shared" si="35"/>
        <v>0</v>
      </c>
      <c r="P152" s="504">
        <f t="shared" si="36"/>
        <v>0</v>
      </c>
      <c r="Q152" s="243"/>
      <c r="R152" s="243"/>
      <c r="S152" s="243"/>
      <c r="T152" s="243"/>
      <c r="U152" s="243"/>
    </row>
    <row r="153" spans="2:21" ht="12.5">
      <c r="B153" s="145" t="str">
        <f t="shared" si="23"/>
        <v/>
      </c>
      <c r="C153" s="495">
        <f>IF(D94="","-",+C152+1)</f>
        <v>2063</v>
      </c>
      <c r="D153" s="349">
        <f>IF(F152+SUM(E$100:E152)=D$93,F152,D$93-SUM(E$100:E152))</f>
        <v>0</v>
      </c>
      <c r="E153" s="509">
        <f>IF(+J97&lt;F152,J97,D153)</f>
        <v>0</v>
      </c>
      <c r="F153" s="510">
        <f t="shared" si="31"/>
        <v>0</v>
      </c>
      <c r="G153" s="510">
        <f t="shared" si="32"/>
        <v>0</v>
      </c>
      <c r="H153" s="523">
        <f t="shared" si="37"/>
        <v>0</v>
      </c>
      <c r="I153" s="572">
        <f t="shared" si="38"/>
        <v>0</v>
      </c>
      <c r="J153" s="504">
        <f t="shared" si="33"/>
        <v>0</v>
      </c>
      <c r="K153" s="504"/>
      <c r="L153" s="512"/>
      <c r="M153" s="504">
        <f t="shared" si="34"/>
        <v>0</v>
      </c>
      <c r="N153" s="512"/>
      <c r="O153" s="504">
        <f t="shared" si="35"/>
        <v>0</v>
      </c>
      <c r="P153" s="504">
        <f t="shared" si="36"/>
        <v>0</v>
      </c>
      <c r="Q153" s="243"/>
      <c r="R153" s="243"/>
      <c r="S153" s="243"/>
      <c r="T153" s="243"/>
      <c r="U153" s="243"/>
    </row>
    <row r="154" spans="2:21" ht="12.5">
      <c r="B154" s="145" t="str">
        <f t="shared" si="23"/>
        <v/>
      </c>
      <c r="C154" s="495">
        <f>IF(D94="","-",+C153+1)</f>
        <v>2064</v>
      </c>
      <c r="D154" s="349">
        <f>IF(F153+SUM(E$100:E153)=D$93,F153,D$93-SUM(E$100:E153))</f>
        <v>0</v>
      </c>
      <c r="E154" s="509">
        <f>IF(+J97&lt;F153,J97,D154)</f>
        <v>0</v>
      </c>
      <c r="F154" s="510">
        <f t="shared" si="31"/>
        <v>0</v>
      </c>
      <c r="G154" s="510">
        <f t="shared" si="32"/>
        <v>0</v>
      </c>
      <c r="H154" s="523">
        <f t="shared" si="37"/>
        <v>0</v>
      </c>
      <c r="I154" s="572">
        <f t="shared" si="38"/>
        <v>0</v>
      </c>
      <c r="J154" s="504">
        <f t="shared" si="33"/>
        <v>0</v>
      </c>
      <c r="K154" s="504"/>
      <c r="L154" s="512"/>
      <c r="M154" s="504">
        <f t="shared" si="34"/>
        <v>0</v>
      </c>
      <c r="N154" s="512"/>
      <c r="O154" s="504">
        <f t="shared" si="35"/>
        <v>0</v>
      </c>
      <c r="P154" s="504">
        <f t="shared" si="36"/>
        <v>0</v>
      </c>
      <c r="Q154" s="243"/>
      <c r="R154" s="243"/>
      <c r="S154" s="243"/>
      <c r="T154" s="243"/>
      <c r="U154" s="243"/>
    </row>
    <row r="155" spans="2:21" ht="13" thickBot="1">
      <c r="B155" s="145" t="str">
        <f t="shared" si="23"/>
        <v/>
      </c>
      <c r="C155" s="524">
        <f>IF(D94="","-",+C154+1)</f>
        <v>2065</v>
      </c>
      <c r="D155" s="527">
        <f>IF(F154+SUM(E$100:E154)=D$93,F154,D$93-SUM(E$100:E154))</f>
        <v>0</v>
      </c>
      <c r="E155" s="526">
        <f>IF(+J97&lt;F154,J97,D155)</f>
        <v>0</v>
      </c>
      <c r="F155" s="527">
        <f t="shared" si="31"/>
        <v>0</v>
      </c>
      <c r="G155" s="527">
        <f t="shared" si="32"/>
        <v>0</v>
      </c>
      <c r="H155" s="528">
        <f t="shared" si="37"/>
        <v>0</v>
      </c>
      <c r="I155" s="573">
        <f t="shared" si="38"/>
        <v>0</v>
      </c>
      <c r="J155" s="531">
        <f t="shared" si="33"/>
        <v>0</v>
      </c>
      <c r="K155" s="504"/>
      <c r="L155" s="530"/>
      <c r="M155" s="531">
        <f t="shared" si="34"/>
        <v>0</v>
      </c>
      <c r="N155" s="530"/>
      <c r="O155" s="531">
        <f t="shared" si="35"/>
        <v>0</v>
      </c>
      <c r="P155" s="531">
        <f t="shared" si="36"/>
        <v>0</v>
      </c>
      <c r="Q155" s="243"/>
      <c r="R155" s="243"/>
      <c r="S155" s="243"/>
      <c r="T155" s="243"/>
      <c r="U155" s="243"/>
    </row>
    <row r="156" spans="2:21" ht="12.5">
      <c r="C156" s="349" t="s">
        <v>75</v>
      </c>
      <c r="D156" s="294"/>
      <c r="E156" s="294">
        <f>SUM(E100:E155)</f>
        <v>723818.00000000012</v>
      </c>
      <c r="F156" s="294"/>
      <c r="G156" s="294"/>
      <c r="H156" s="294">
        <f>SUM(H100:H155)</f>
        <v>2293103.7834561486</v>
      </c>
      <c r="I156" s="294">
        <f>SUM(I100:I155)</f>
        <v>2293103.7834561486</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76" t="s">
        <v>129</v>
      </c>
      <c r="Q163" s="243"/>
      <c r="R163" s="243"/>
      <c r="S163" s="243"/>
      <c r="T163" s="243"/>
      <c r="U163" s="243"/>
    </row>
  </sheetData>
  <phoneticPr fontId="0" type="noConversion"/>
  <conditionalFormatting sqref="C17:C29 C34:C73">
    <cfRule type="cellIs" dxfId="51" priority="2" stopIfTrue="1" operator="equal">
      <formula>$I$10</formula>
    </cfRule>
  </conditionalFormatting>
  <conditionalFormatting sqref="C100:C155">
    <cfRule type="cellIs" dxfId="50" priority="3" stopIfTrue="1" operator="equal">
      <formula>$J$93</formula>
    </cfRule>
  </conditionalFormatting>
  <conditionalFormatting sqref="C30:C33">
    <cfRule type="cellIs" dxfId="49"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U163"/>
  <sheetViews>
    <sheetView view="pageBreakPreview" zoomScale="85" zoomScaleNormal="100"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2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113358.4397541738</v>
      </c>
      <c r="P5" s="243"/>
      <c r="R5" s="243"/>
      <c r="S5" s="243"/>
      <c r="T5" s="243"/>
      <c r="U5" s="243"/>
    </row>
    <row r="6" spans="1:21" ht="15.5">
      <c r="C6" s="235"/>
      <c r="D6" s="292"/>
      <c r="E6" s="243"/>
      <c r="F6" s="243"/>
      <c r="G6" s="243"/>
      <c r="H6" s="449"/>
      <c r="I6" s="449"/>
      <c r="J6" s="450"/>
      <c r="K6" s="451" t="s">
        <v>243</v>
      </c>
      <c r="L6" s="452"/>
      <c r="M6" s="278"/>
      <c r="N6" s="453">
        <f>VLOOKUP(I10,C17:I73,6)</f>
        <v>113358.4397541738</v>
      </c>
      <c r="O6" s="243"/>
      <c r="P6" s="243"/>
      <c r="R6" s="243"/>
      <c r="S6" s="243"/>
      <c r="T6" s="243"/>
      <c r="U6" s="243"/>
    </row>
    <row r="7" spans="1:21" ht="13.5" thickBot="1">
      <c r="C7" s="454" t="s">
        <v>46</v>
      </c>
      <c r="D7" s="455" t="s">
        <v>192</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197</v>
      </c>
      <c r="E9" s="647" t="s">
        <v>311</v>
      </c>
      <c r="F9" s="465"/>
      <c r="G9" s="465"/>
      <c r="H9" s="465"/>
      <c r="I9" s="466"/>
      <c r="J9" s="467"/>
      <c r="O9" s="468"/>
      <c r="P9" s="278"/>
      <c r="R9" s="243"/>
      <c r="S9" s="243"/>
      <c r="T9" s="243"/>
      <c r="U9" s="243"/>
    </row>
    <row r="10" spans="1:21" ht="13">
      <c r="C10" s="469" t="s">
        <v>49</v>
      </c>
      <c r="D10" s="470">
        <v>985777.34</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2010</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6</v>
      </c>
      <c r="E12" s="472" t="s">
        <v>55</v>
      </c>
      <c r="F12" s="408"/>
      <c r="G12" s="220"/>
      <c r="H12" s="220"/>
      <c r="I12" s="476">
        <f>OKT.WS.F.BPU.ATRR.Projected!$F$79</f>
        <v>0.10818506718567715</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31799.269032258064</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IF(D17=F16,"","IU")</f>
        <v>IU</v>
      </c>
      <c r="C17" s="580">
        <f>IF(D11= "","-",D11)</f>
        <v>2010</v>
      </c>
      <c r="D17" s="496">
        <v>1000000</v>
      </c>
      <c r="E17" s="497">
        <v>8649.6050543178571</v>
      </c>
      <c r="F17" s="496">
        <v>991350.39494568214</v>
      </c>
      <c r="G17" s="498">
        <v>128416.51741983544</v>
      </c>
      <c r="H17" s="499">
        <v>128416.51741983544</v>
      </c>
      <c r="I17" s="500">
        <f t="shared" ref="I17:I49" si="0">H17-G17</f>
        <v>0</v>
      </c>
      <c r="J17" s="500"/>
      <c r="K17" s="501">
        <f t="shared" ref="K17:K22" si="1">G17</f>
        <v>128416.51741983544</v>
      </c>
      <c r="L17" s="502">
        <f t="shared" ref="L17:L49" si="2">IF(K17&lt;&gt;0,+G17-K17,0)</f>
        <v>0</v>
      </c>
      <c r="M17" s="501">
        <f t="shared" ref="M17:M22" si="3">H17</f>
        <v>128416.51741983544</v>
      </c>
      <c r="N17" s="503">
        <f t="shared" ref="N17:N49" si="4">IF(M17&lt;&gt;0,+H17-M17,0)</f>
        <v>0</v>
      </c>
      <c r="O17" s="504">
        <f t="shared" ref="O17:O49" si="5">+N17-L17</f>
        <v>0</v>
      </c>
      <c r="P17" s="278"/>
      <c r="R17" s="243"/>
      <c r="S17" s="243"/>
      <c r="T17" s="243"/>
      <c r="U17" s="243"/>
    </row>
    <row r="18" spans="2:21" ht="12.5">
      <c r="B18" s="145" t="str">
        <f>IF(D18=F17,"","IU")</f>
        <v/>
      </c>
      <c r="C18" s="495">
        <f>IF(D11="","-",+C17+1)</f>
        <v>2011</v>
      </c>
      <c r="D18" s="505">
        <v>991350.39494568214</v>
      </c>
      <c r="E18" s="498">
        <v>16985.402437265064</v>
      </c>
      <c r="F18" s="505">
        <v>974364.99250841711</v>
      </c>
      <c r="G18" s="498">
        <v>143658.66281023776</v>
      </c>
      <c r="H18" s="499">
        <v>143658.66281023776</v>
      </c>
      <c r="I18" s="500">
        <f t="shared" si="0"/>
        <v>0</v>
      </c>
      <c r="J18" s="500"/>
      <c r="K18" s="506">
        <f t="shared" si="1"/>
        <v>143658.66281023776</v>
      </c>
      <c r="L18" s="507">
        <f t="shared" si="2"/>
        <v>0</v>
      </c>
      <c r="M18" s="506">
        <f t="shared" si="3"/>
        <v>143658.66281023776</v>
      </c>
      <c r="N18" s="504">
        <f t="shared" si="4"/>
        <v>0</v>
      </c>
      <c r="O18" s="504">
        <f t="shared" si="5"/>
        <v>0</v>
      </c>
      <c r="P18" s="278"/>
      <c r="R18" s="243"/>
      <c r="S18" s="243"/>
      <c r="T18" s="243"/>
      <c r="U18" s="243"/>
    </row>
    <row r="19" spans="2:21" ht="12.5">
      <c r="B19" s="145" t="str">
        <f t="shared" ref="B19:B73" si="6">IF(D19=F18,"","IU")</f>
        <v/>
      </c>
      <c r="C19" s="495">
        <f>IF(D11="","-",+C18+1)</f>
        <v>2012</v>
      </c>
      <c r="D19" s="505">
        <v>974364.99250841711</v>
      </c>
      <c r="E19" s="498">
        <v>17053.169324992024</v>
      </c>
      <c r="F19" s="505">
        <v>957311.82318342512</v>
      </c>
      <c r="G19" s="498">
        <v>109574.51640694846</v>
      </c>
      <c r="H19" s="499">
        <v>109574.51640694846</v>
      </c>
      <c r="I19" s="500">
        <v>0</v>
      </c>
      <c r="J19" s="500"/>
      <c r="K19" s="506">
        <f t="shared" si="1"/>
        <v>109574.51640694846</v>
      </c>
      <c r="L19" s="504">
        <f t="shared" si="2"/>
        <v>0</v>
      </c>
      <c r="M19" s="506">
        <f t="shared" si="3"/>
        <v>109574.51640694846</v>
      </c>
      <c r="N19" s="504">
        <f t="shared" si="4"/>
        <v>0</v>
      </c>
      <c r="O19" s="504">
        <f t="shared" si="5"/>
        <v>0</v>
      </c>
      <c r="P19" s="278"/>
      <c r="R19" s="243"/>
      <c r="S19" s="243"/>
      <c r="T19" s="243"/>
      <c r="U19" s="243"/>
    </row>
    <row r="20" spans="2:21" ht="12.5">
      <c r="B20" s="145" t="str">
        <f t="shared" si="6"/>
        <v>IU</v>
      </c>
      <c r="C20" s="495">
        <f>IF(D11="","-",+C19+1)</f>
        <v>2013</v>
      </c>
      <c r="D20" s="505">
        <v>943089.16318342497</v>
      </c>
      <c r="E20" s="498">
        <v>17053.169324992024</v>
      </c>
      <c r="F20" s="505">
        <v>926035.99385843298</v>
      </c>
      <c r="G20" s="498">
        <v>118214.46332464613</v>
      </c>
      <c r="H20" s="499">
        <v>118214.46332464613</v>
      </c>
      <c r="I20" s="500">
        <v>0</v>
      </c>
      <c r="J20" s="500"/>
      <c r="K20" s="506">
        <f t="shared" si="1"/>
        <v>118214.46332464613</v>
      </c>
      <c r="L20" s="504">
        <f t="shared" ref="L20:L25" si="7">IF(K20&lt;&gt;0,+G20-K20,0)</f>
        <v>0</v>
      </c>
      <c r="M20" s="506">
        <f t="shared" si="3"/>
        <v>118214.46332464613</v>
      </c>
      <c r="N20" s="504">
        <f>IF(M20&lt;&gt;0,+H20-M20,0)</f>
        <v>0</v>
      </c>
      <c r="O20" s="504">
        <f>+N20-L20</f>
        <v>0</v>
      </c>
      <c r="P20" s="278"/>
      <c r="R20" s="243"/>
      <c r="S20" s="243"/>
      <c r="T20" s="243"/>
      <c r="U20" s="243"/>
    </row>
    <row r="21" spans="2:21" ht="12.5">
      <c r="B21" s="145" t="str">
        <f t="shared" si="6"/>
        <v/>
      </c>
      <c r="C21" s="495">
        <f>IF(D12="","-",+C20+1)</f>
        <v>2014</v>
      </c>
      <c r="D21" s="505">
        <v>926035.99385843298</v>
      </c>
      <c r="E21" s="498">
        <v>17053.169324992024</v>
      </c>
      <c r="F21" s="505">
        <v>908982.82453344099</v>
      </c>
      <c r="G21" s="498">
        <v>117066.12014630614</v>
      </c>
      <c r="H21" s="499">
        <v>117066.12014630614</v>
      </c>
      <c r="I21" s="500">
        <v>0</v>
      </c>
      <c r="J21" s="500"/>
      <c r="K21" s="506">
        <f t="shared" si="1"/>
        <v>117066.12014630614</v>
      </c>
      <c r="L21" s="504">
        <f t="shared" si="7"/>
        <v>0</v>
      </c>
      <c r="M21" s="506">
        <f t="shared" si="3"/>
        <v>117066.12014630614</v>
      </c>
      <c r="N21" s="504">
        <f>IF(M21&lt;&gt;0,+H21-M21,0)</f>
        <v>0</v>
      </c>
      <c r="O21" s="504">
        <f>+N21-L21</f>
        <v>0</v>
      </c>
      <c r="P21" s="278"/>
      <c r="R21" s="243"/>
      <c r="S21" s="243"/>
      <c r="T21" s="243"/>
      <c r="U21" s="243"/>
    </row>
    <row r="22" spans="2:21" ht="12.5">
      <c r="B22" s="145" t="str">
        <f t="shared" si="6"/>
        <v/>
      </c>
      <c r="C22" s="495">
        <f>IF(D11="","-",+C21+1)</f>
        <v>2015</v>
      </c>
      <c r="D22" s="505">
        <v>908982.82453344099</v>
      </c>
      <c r="E22" s="498">
        <v>17053.169324992024</v>
      </c>
      <c r="F22" s="505">
        <v>891929.655208449</v>
      </c>
      <c r="G22" s="498">
        <v>108980.29004264352</v>
      </c>
      <c r="H22" s="499">
        <v>108980.29004264352</v>
      </c>
      <c r="I22" s="500">
        <v>0</v>
      </c>
      <c r="J22" s="500"/>
      <c r="K22" s="506">
        <f t="shared" si="1"/>
        <v>108980.29004264352</v>
      </c>
      <c r="L22" s="504">
        <f t="shared" si="7"/>
        <v>0</v>
      </c>
      <c r="M22" s="506">
        <f t="shared" si="3"/>
        <v>108980.29004264352</v>
      </c>
      <c r="N22" s="504">
        <f>IF(M22&lt;&gt;0,+H22-M22,0)</f>
        <v>0</v>
      </c>
      <c r="O22" s="504">
        <f>+N22-L22</f>
        <v>0</v>
      </c>
      <c r="P22" s="278"/>
      <c r="R22" s="243"/>
      <c r="S22" s="243"/>
      <c r="T22" s="243"/>
      <c r="U22" s="243"/>
    </row>
    <row r="23" spans="2:21" ht="12.5">
      <c r="B23" s="145" t="str">
        <f t="shared" si="6"/>
        <v/>
      </c>
      <c r="C23" s="495">
        <f>IF(D11="","-",+C22+1)</f>
        <v>2016</v>
      </c>
      <c r="D23" s="505">
        <v>891929.655208449</v>
      </c>
      <c r="E23" s="498">
        <v>20483.915040786436</v>
      </c>
      <c r="F23" s="505">
        <v>871445.7401676625</v>
      </c>
      <c r="G23" s="498">
        <v>114495.80398935861</v>
      </c>
      <c r="H23" s="499">
        <v>114495.80398935861</v>
      </c>
      <c r="I23" s="500">
        <f t="shared" si="0"/>
        <v>0</v>
      </c>
      <c r="J23" s="500"/>
      <c r="K23" s="506">
        <f>G23</f>
        <v>114495.80398935861</v>
      </c>
      <c r="L23" s="504">
        <f t="shared" si="7"/>
        <v>0</v>
      </c>
      <c r="M23" s="506">
        <f>H23</f>
        <v>114495.80398935861</v>
      </c>
      <c r="N23" s="504">
        <f t="shared" si="4"/>
        <v>0</v>
      </c>
      <c r="O23" s="504">
        <f t="shared" si="5"/>
        <v>0</v>
      </c>
      <c r="P23" s="278"/>
      <c r="R23" s="243"/>
      <c r="S23" s="243"/>
      <c r="T23" s="243"/>
      <c r="U23" s="243"/>
    </row>
    <row r="24" spans="2:21" ht="12.5">
      <c r="B24" s="145" t="str">
        <f t="shared" si="6"/>
        <v/>
      </c>
      <c r="C24" s="495">
        <f>IF(D11="","-",+C23+1)</f>
        <v>2017</v>
      </c>
      <c r="D24" s="505">
        <v>871445.7401676625</v>
      </c>
      <c r="E24" s="498">
        <v>19382.334130313378</v>
      </c>
      <c r="F24" s="505">
        <v>852063.40603734914</v>
      </c>
      <c r="G24" s="498">
        <v>114123.60807449113</v>
      </c>
      <c r="H24" s="499">
        <v>114123.60807449113</v>
      </c>
      <c r="I24" s="500">
        <f t="shared" si="0"/>
        <v>0</v>
      </c>
      <c r="J24" s="500"/>
      <c r="K24" s="506">
        <f>G24</f>
        <v>114123.60807449113</v>
      </c>
      <c r="L24" s="504">
        <f t="shared" si="7"/>
        <v>0</v>
      </c>
      <c r="M24" s="506">
        <f>H24</f>
        <v>114123.60807449113</v>
      </c>
      <c r="N24" s="504">
        <f>IF(M24&lt;&gt;0,+H24-M24,0)</f>
        <v>0</v>
      </c>
      <c r="O24" s="504">
        <f>+N24-L24</f>
        <v>0</v>
      </c>
      <c r="P24" s="278"/>
      <c r="R24" s="243"/>
      <c r="S24" s="243"/>
      <c r="T24" s="243"/>
      <c r="U24" s="243"/>
    </row>
    <row r="25" spans="2:21" ht="12.5">
      <c r="B25" s="145" t="str">
        <f t="shared" si="6"/>
        <v/>
      </c>
      <c r="C25" s="495">
        <f>IF(D11="","-",+C24+1)</f>
        <v>2018</v>
      </c>
      <c r="D25" s="505">
        <v>852063.40603734914</v>
      </c>
      <c r="E25" s="498">
        <v>24175.777145778226</v>
      </c>
      <c r="F25" s="505">
        <v>827887.62889157096</v>
      </c>
      <c r="G25" s="498">
        <v>109537.1548251974</v>
      </c>
      <c r="H25" s="499">
        <v>109537.1548251974</v>
      </c>
      <c r="I25" s="500">
        <f t="shared" si="0"/>
        <v>0</v>
      </c>
      <c r="J25" s="500"/>
      <c r="K25" s="506">
        <f>G25</f>
        <v>109537.1548251974</v>
      </c>
      <c r="L25" s="504">
        <f t="shared" si="7"/>
        <v>0</v>
      </c>
      <c r="M25" s="506">
        <f>H25</f>
        <v>109537.1548251974</v>
      </c>
      <c r="N25" s="504">
        <f>IF(M25&lt;&gt;0,+H25-M25,0)</f>
        <v>0</v>
      </c>
      <c r="O25" s="504">
        <f>+N25-L25</f>
        <v>0</v>
      </c>
      <c r="P25" s="278"/>
      <c r="R25" s="243"/>
      <c r="S25" s="243"/>
      <c r="T25" s="243"/>
      <c r="U25" s="243"/>
    </row>
    <row r="26" spans="2:21" ht="12.5">
      <c r="B26" s="145" t="str">
        <f t="shared" si="6"/>
        <v/>
      </c>
      <c r="C26" s="495">
        <f>IF(D11="","-",+C25+1)</f>
        <v>2019</v>
      </c>
      <c r="D26" s="505">
        <v>827887.62889157096</v>
      </c>
      <c r="E26" s="498">
        <v>29237.019226400858</v>
      </c>
      <c r="F26" s="505">
        <v>798650.60966517008</v>
      </c>
      <c r="G26" s="498">
        <v>113764.92954880837</v>
      </c>
      <c r="H26" s="499">
        <v>113764.92954880837</v>
      </c>
      <c r="I26" s="500">
        <f t="shared" si="0"/>
        <v>0</v>
      </c>
      <c r="J26" s="500"/>
      <c r="K26" s="506">
        <f>G26</f>
        <v>113764.92954880837</v>
      </c>
      <c r="L26" s="504">
        <f t="shared" ref="L26" si="8">IF(K26&lt;&gt;0,+G26-K26,0)</f>
        <v>0</v>
      </c>
      <c r="M26" s="506">
        <f>H26</f>
        <v>113764.92954880837</v>
      </c>
      <c r="N26" s="504">
        <f>IF(M26&lt;&gt;0,+H26-M26,0)</f>
        <v>0</v>
      </c>
      <c r="O26" s="504">
        <f>+N26-L26</f>
        <v>0</v>
      </c>
      <c r="P26" s="278"/>
      <c r="R26" s="243"/>
      <c r="S26" s="243"/>
      <c r="T26" s="243"/>
      <c r="U26" s="243"/>
    </row>
    <row r="27" spans="2:21" ht="12.5">
      <c r="B27" s="145" t="str">
        <f t="shared" si="6"/>
        <v>IU</v>
      </c>
      <c r="C27" s="495">
        <f>IF(D11="","-",+C26+1)</f>
        <v>2020</v>
      </c>
      <c r="D27" s="505">
        <v>803711.85174579278</v>
      </c>
      <c r="E27" s="498">
        <v>28865.315662076879</v>
      </c>
      <c r="F27" s="505">
        <v>774846.53608371585</v>
      </c>
      <c r="G27" s="498">
        <v>111686.32809259798</v>
      </c>
      <c r="H27" s="499">
        <v>111686.32809259798</v>
      </c>
      <c r="I27" s="500">
        <f t="shared" si="0"/>
        <v>0</v>
      </c>
      <c r="J27" s="500"/>
      <c r="K27" s="506">
        <f>G27</f>
        <v>111686.32809259798</v>
      </c>
      <c r="L27" s="504">
        <f t="shared" ref="L27" si="9">IF(K27&lt;&gt;0,+G27-K27,0)</f>
        <v>0</v>
      </c>
      <c r="M27" s="506">
        <f>H27</f>
        <v>111686.32809259798</v>
      </c>
      <c r="N27" s="504">
        <f>IF(M27&lt;&gt;0,+H27-M27,0)</f>
        <v>0</v>
      </c>
      <c r="O27" s="504">
        <f>+N27-L27</f>
        <v>0</v>
      </c>
      <c r="P27" s="278"/>
      <c r="R27" s="243"/>
      <c r="S27" s="243"/>
      <c r="T27" s="243"/>
      <c r="U27" s="243"/>
    </row>
    <row r="28" spans="2:21" ht="12.5">
      <c r="B28" s="145" t="str">
        <f t="shared" si="6"/>
        <v>IU</v>
      </c>
      <c r="C28" s="495">
        <f>IF(D11="","-",+C27+1)</f>
        <v>2021</v>
      </c>
      <c r="D28" s="508">
        <f>IF(F27+SUM(E$17:E27)=D$10,F27,D$10-SUM(E$17:E27))</f>
        <v>769785.29400309315</v>
      </c>
      <c r="E28" s="509">
        <f>IF(+I14&lt;F27,I14,D28)</f>
        <v>31799.269032258064</v>
      </c>
      <c r="F28" s="510">
        <f t="shared" ref="F28:F49" si="10">+D28-E28</f>
        <v>737986.02497083507</v>
      </c>
      <c r="G28" s="511">
        <f t="shared" ref="G28:G73" si="11">(D28+F28)/2*I$12+E28</f>
        <v>113358.4397541738</v>
      </c>
      <c r="H28" s="477">
        <f t="shared" ref="H28:H73" si="12">+(D28+F28)/2*I$13+E28</f>
        <v>113358.4397541738</v>
      </c>
      <c r="I28" s="500">
        <f t="shared" si="0"/>
        <v>0</v>
      </c>
      <c r="J28" s="500"/>
      <c r="K28" s="512"/>
      <c r="L28" s="504">
        <f t="shared" si="2"/>
        <v>0</v>
      </c>
      <c r="M28" s="512"/>
      <c r="N28" s="504">
        <f t="shared" si="4"/>
        <v>0</v>
      </c>
      <c r="O28" s="504">
        <f t="shared" si="5"/>
        <v>0</v>
      </c>
      <c r="P28" s="278"/>
      <c r="R28" s="243"/>
      <c r="S28" s="243"/>
      <c r="T28" s="243"/>
      <c r="U28" s="243"/>
    </row>
    <row r="29" spans="2:21" ht="12.5">
      <c r="B29" s="145" t="str">
        <f t="shared" si="6"/>
        <v/>
      </c>
      <c r="C29" s="495">
        <f>IF(D11="","-",+C28+1)</f>
        <v>2022</v>
      </c>
      <c r="D29" s="508">
        <f>IF(F28+SUM(E$17:E28)=D$10,F28,D$10-SUM(E$17:E28))</f>
        <v>737986.02497083507</v>
      </c>
      <c r="E29" s="509">
        <f>IF(+I14&lt;F28,I14,D29)</f>
        <v>31799.269032258064</v>
      </c>
      <c r="F29" s="510">
        <f t="shared" si="10"/>
        <v>706186.755938577</v>
      </c>
      <c r="G29" s="511">
        <f t="shared" si="11"/>
        <v>109918.23369746354</v>
      </c>
      <c r="H29" s="477">
        <f t="shared" si="12"/>
        <v>109918.23369746354</v>
      </c>
      <c r="I29" s="500">
        <f t="shared" si="0"/>
        <v>0</v>
      </c>
      <c r="J29" s="500"/>
      <c r="K29" s="512"/>
      <c r="L29" s="504">
        <f t="shared" si="2"/>
        <v>0</v>
      </c>
      <c r="M29" s="512"/>
      <c r="N29" s="504">
        <f t="shared" si="4"/>
        <v>0</v>
      </c>
      <c r="O29" s="504">
        <f t="shared" si="5"/>
        <v>0</v>
      </c>
      <c r="P29" s="278"/>
      <c r="R29" s="243"/>
      <c r="S29" s="243"/>
      <c r="T29" s="243"/>
      <c r="U29" s="243"/>
    </row>
    <row r="30" spans="2:21" ht="12.5">
      <c r="B30" s="145" t="str">
        <f t="shared" si="6"/>
        <v/>
      </c>
      <c r="C30" s="495">
        <f>IF(D11="","-",+C29+1)</f>
        <v>2023</v>
      </c>
      <c r="D30" s="508">
        <f>IF(F29+SUM(E$17:E29)=D$10,F29,D$10-SUM(E$17:E29))</f>
        <v>706186.755938577</v>
      </c>
      <c r="E30" s="509">
        <f>IF(+I14&lt;F29,I14,D30)</f>
        <v>31799.269032258064</v>
      </c>
      <c r="F30" s="510">
        <f t="shared" si="10"/>
        <v>674387.48690631893</v>
      </c>
      <c r="G30" s="511">
        <f t="shared" si="11"/>
        <v>106478.02764075328</v>
      </c>
      <c r="H30" s="477">
        <f t="shared" si="12"/>
        <v>106478.02764075328</v>
      </c>
      <c r="I30" s="500">
        <f t="shared" si="0"/>
        <v>0</v>
      </c>
      <c r="J30" s="500"/>
      <c r="K30" s="512"/>
      <c r="L30" s="504">
        <f t="shared" si="2"/>
        <v>0</v>
      </c>
      <c r="M30" s="512"/>
      <c r="N30" s="504">
        <f t="shared" si="4"/>
        <v>0</v>
      </c>
      <c r="O30" s="504">
        <f t="shared" si="5"/>
        <v>0</v>
      </c>
      <c r="P30" s="278"/>
      <c r="R30" s="243"/>
      <c r="S30" s="243"/>
      <c r="T30" s="243"/>
      <c r="U30" s="243"/>
    </row>
    <row r="31" spans="2:21" ht="12.5">
      <c r="B31" s="145" t="str">
        <f t="shared" si="6"/>
        <v/>
      </c>
      <c r="C31" s="495">
        <f>IF(D11="","-",+C30+1)</f>
        <v>2024</v>
      </c>
      <c r="D31" s="508">
        <f>IF(F30+SUM(E$17:E30)=D$10,F30,D$10-SUM(E$17:E30))</f>
        <v>674387.48690631893</v>
      </c>
      <c r="E31" s="509">
        <f>IF(+I14&lt;F30,I14,D31)</f>
        <v>31799.269032258064</v>
      </c>
      <c r="F31" s="510">
        <f t="shared" si="10"/>
        <v>642588.21787406085</v>
      </c>
      <c r="G31" s="511">
        <f t="shared" si="11"/>
        <v>103037.82158404301</v>
      </c>
      <c r="H31" s="477">
        <f t="shared" si="12"/>
        <v>103037.82158404301</v>
      </c>
      <c r="I31" s="500">
        <f t="shared" si="0"/>
        <v>0</v>
      </c>
      <c r="J31" s="500"/>
      <c r="K31" s="512"/>
      <c r="L31" s="504">
        <f t="shared" si="2"/>
        <v>0</v>
      </c>
      <c r="M31" s="512"/>
      <c r="N31" s="504">
        <f t="shared" si="4"/>
        <v>0</v>
      </c>
      <c r="O31" s="504">
        <f t="shared" si="5"/>
        <v>0</v>
      </c>
      <c r="P31" s="278"/>
      <c r="Q31" s="220"/>
      <c r="R31" s="278"/>
      <c r="S31" s="278"/>
      <c r="T31" s="278"/>
      <c r="U31" s="243"/>
    </row>
    <row r="32" spans="2:21" ht="12.5">
      <c r="B32" s="145" t="str">
        <f t="shared" si="6"/>
        <v/>
      </c>
      <c r="C32" s="495">
        <f>IF(D12="","-",+C31+1)</f>
        <v>2025</v>
      </c>
      <c r="D32" s="508">
        <f>IF(F31+SUM(E$17:E31)=D$10,F31,D$10-SUM(E$17:E31))</f>
        <v>642588.21787406085</v>
      </c>
      <c r="E32" s="509">
        <f>IF(+I14&lt;F31,I14,D32)</f>
        <v>31799.269032258064</v>
      </c>
      <c r="F32" s="510">
        <f>+D32-E32</f>
        <v>610788.94884180278</v>
      </c>
      <c r="G32" s="511">
        <f t="shared" si="11"/>
        <v>99597.615527332746</v>
      </c>
      <c r="H32" s="477">
        <f t="shared" si="12"/>
        <v>99597.615527332746</v>
      </c>
      <c r="I32" s="500">
        <f>H32-G32</f>
        <v>0</v>
      </c>
      <c r="J32" s="500"/>
      <c r="K32" s="512"/>
      <c r="L32" s="504"/>
      <c r="M32" s="512"/>
      <c r="N32" s="504"/>
      <c r="O32" s="504"/>
      <c r="P32" s="278"/>
      <c r="Q32" s="220"/>
      <c r="R32" s="278"/>
      <c r="S32" s="278"/>
      <c r="T32" s="278"/>
      <c r="U32" s="243"/>
    </row>
    <row r="33" spans="2:21" ht="12.5">
      <c r="B33" s="145" t="str">
        <f t="shared" si="6"/>
        <v/>
      </c>
      <c r="C33" s="495">
        <f>IF(D13="","-",+C32+1)</f>
        <v>2026</v>
      </c>
      <c r="D33" s="508">
        <f>IF(F32+SUM(E$17:E32)=D$10,F32,D$10-SUM(E$17:E32))</f>
        <v>610788.94884180278</v>
      </c>
      <c r="E33" s="509">
        <f>IF(+I14&lt;F31,I14,D33)</f>
        <v>31799.269032258064</v>
      </c>
      <c r="F33" s="510">
        <f t="shared" si="10"/>
        <v>578989.6798095447</v>
      </c>
      <c r="G33" s="511">
        <f t="shared" si="11"/>
        <v>96157.409470622486</v>
      </c>
      <c r="H33" s="477">
        <f t="shared" si="12"/>
        <v>96157.409470622486</v>
      </c>
      <c r="I33" s="500">
        <f t="shared" si="0"/>
        <v>0</v>
      </c>
      <c r="J33" s="500"/>
      <c r="K33" s="512"/>
      <c r="L33" s="504">
        <f t="shared" si="2"/>
        <v>0</v>
      </c>
      <c r="M33" s="512"/>
      <c r="N33" s="504">
        <f t="shared" si="4"/>
        <v>0</v>
      </c>
      <c r="O33" s="504">
        <f t="shared" si="5"/>
        <v>0</v>
      </c>
      <c r="P33" s="278"/>
      <c r="R33" s="243"/>
      <c r="S33" s="243"/>
      <c r="T33" s="243"/>
      <c r="U33" s="243"/>
    </row>
    <row r="34" spans="2:21" ht="12.5">
      <c r="B34" s="145" t="str">
        <f t="shared" si="6"/>
        <v/>
      </c>
      <c r="C34" s="513">
        <f>IF(D11="","-",+C33+1)</f>
        <v>2027</v>
      </c>
      <c r="D34" s="581">
        <f>IF(F33+SUM(E$17:E33)=D$10,F33,D$10-SUM(E$17:E33))</f>
        <v>578989.6798095447</v>
      </c>
      <c r="E34" s="515">
        <f>IF(+I14&lt;F33,I14,D34)</f>
        <v>31799.269032258064</v>
      </c>
      <c r="F34" s="516">
        <f t="shared" si="10"/>
        <v>547190.41077728663</v>
      </c>
      <c r="G34" s="517">
        <f t="shared" si="11"/>
        <v>92717.203413912226</v>
      </c>
      <c r="H34" s="518">
        <f t="shared" si="12"/>
        <v>92717.203413912226</v>
      </c>
      <c r="I34" s="519">
        <f t="shared" si="0"/>
        <v>0</v>
      </c>
      <c r="J34" s="519"/>
      <c r="K34" s="520"/>
      <c r="L34" s="521">
        <f t="shared" si="2"/>
        <v>0</v>
      </c>
      <c r="M34" s="520"/>
      <c r="N34" s="521">
        <f t="shared" si="4"/>
        <v>0</v>
      </c>
      <c r="O34" s="521">
        <f t="shared" si="5"/>
        <v>0</v>
      </c>
      <c r="P34" s="522"/>
      <c r="Q34" s="216"/>
      <c r="R34" s="522"/>
      <c r="S34" s="522"/>
      <c r="T34" s="522"/>
      <c r="U34" s="243"/>
    </row>
    <row r="35" spans="2:21" ht="12.5">
      <c r="B35" s="145" t="str">
        <f t="shared" si="6"/>
        <v/>
      </c>
      <c r="C35" s="495">
        <f>IF(D11="","-",+C34+1)</f>
        <v>2028</v>
      </c>
      <c r="D35" s="508">
        <f>IF(F34+SUM(E$17:E34)=D$10,F34,D$10-SUM(E$17:E34))</f>
        <v>547190.41077728663</v>
      </c>
      <c r="E35" s="509">
        <f>IF(+I14&lt;F34,I14,D35)</f>
        <v>31799.269032258064</v>
      </c>
      <c r="F35" s="510">
        <f t="shared" si="10"/>
        <v>515391.14174502855</v>
      </c>
      <c r="G35" s="511">
        <f t="shared" si="11"/>
        <v>89276.997357201966</v>
      </c>
      <c r="H35" s="477">
        <f t="shared" si="12"/>
        <v>89276.997357201966</v>
      </c>
      <c r="I35" s="500">
        <f t="shared" si="0"/>
        <v>0</v>
      </c>
      <c r="J35" s="500"/>
      <c r="K35" s="512"/>
      <c r="L35" s="504">
        <f t="shared" si="2"/>
        <v>0</v>
      </c>
      <c r="M35" s="512"/>
      <c r="N35" s="504">
        <f t="shared" si="4"/>
        <v>0</v>
      </c>
      <c r="O35" s="504">
        <f t="shared" si="5"/>
        <v>0</v>
      </c>
      <c r="P35" s="278"/>
      <c r="R35" s="243"/>
      <c r="S35" s="243"/>
      <c r="T35" s="243"/>
      <c r="U35" s="243"/>
    </row>
    <row r="36" spans="2:21" ht="12.5">
      <c r="B36" s="145" t="str">
        <f t="shared" si="6"/>
        <v/>
      </c>
      <c r="C36" s="495">
        <f>IF(D11="","-",+C35+1)</f>
        <v>2029</v>
      </c>
      <c r="D36" s="508">
        <f>IF(F35+SUM(E$17:E35)=D$10,F35,D$10-SUM(E$17:E35))</f>
        <v>515391.14174502855</v>
      </c>
      <c r="E36" s="509">
        <f>IF(+I14&lt;F35,I14,D36)</f>
        <v>31799.269032258064</v>
      </c>
      <c r="F36" s="510">
        <f t="shared" si="10"/>
        <v>483591.87271277048</v>
      </c>
      <c r="G36" s="511">
        <f t="shared" si="11"/>
        <v>85836.791300491706</v>
      </c>
      <c r="H36" s="477">
        <f t="shared" si="12"/>
        <v>85836.791300491706</v>
      </c>
      <c r="I36" s="500">
        <f t="shared" si="0"/>
        <v>0</v>
      </c>
      <c r="J36" s="500"/>
      <c r="K36" s="512"/>
      <c r="L36" s="504">
        <f t="shared" si="2"/>
        <v>0</v>
      </c>
      <c r="M36" s="512"/>
      <c r="N36" s="504">
        <f t="shared" si="4"/>
        <v>0</v>
      </c>
      <c r="O36" s="504">
        <f t="shared" si="5"/>
        <v>0</v>
      </c>
      <c r="P36" s="278"/>
      <c r="R36" s="243"/>
      <c r="S36" s="243"/>
      <c r="T36" s="243"/>
      <c r="U36" s="243"/>
    </row>
    <row r="37" spans="2:21" ht="12.5">
      <c r="B37" s="145" t="str">
        <f t="shared" si="6"/>
        <v/>
      </c>
      <c r="C37" s="495">
        <f>IF(D11="","-",+C36+1)</f>
        <v>2030</v>
      </c>
      <c r="D37" s="508">
        <f>IF(F36+SUM(E$17:E36)=D$10,F36,D$10-SUM(E$17:E36))</f>
        <v>483591.87271277048</v>
      </c>
      <c r="E37" s="509">
        <f>IF(+I14&lt;F36,I14,D37)</f>
        <v>31799.269032258064</v>
      </c>
      <c r="F37" s="510">
        <f t="shared" si="10"/>
        <v>451792.6036805124</v>
      </c>
      <c r="G37" s="511">
        <f t="shared" si="11"/>
        <v>82396.585243781432</v>
      </c>
      <c r="H37" s="477">
        <f t="shared" si="12"/>
        <v>82396.585243781432</v>
      </c>
      <c r="I37" s="500">
        <f t="shared" si="0"/>
        <v>0</v>
      </c>
      <c r="J37" s="500"/>
      <c r="K37" s="512"/>
      <c r="L37" s="504">
        <f t="shared" si="2"/>
        <v>0</v>
      </c>
      <c r="M37" s="512"/>
      <c r="N37" s="504">
        <f t="shared" si="4"/>
        <v>0</v>
      </c>
      <c r="O37" s="504">
        <f t="shared" si="5"/>
        <v>0</v>
      </c>
      <c r="P37" s="278"/>
      <c r="R37" s="243"/>
      <c r="S37" s="243"/>
      <c r="T37" s="243"/>
      <c r="U37" s="243"/>
    </row>
    <row r="38" spans="2:21" ht="12.5">
      <c r="B38" s="145" t="str">
        <f t="shared" si="6"/>
        <v/>
      </c>
      <c r="C38" s="495">
        <f>IF(D11="","-",+C37+1)</f>
        <v>2031</v>
      </c>
      <c r="D38" s="508">
        <f>IF(F37+SUM(E$17:E37)=D$10,F37,D$10-SUM(E$17:E37))</f>
        <v>451792.6036805124</v>
      </c>
      <c r="E38" s="509">
        <f>IF(+I14&lt;F37,I14,D38)</f>
        <v>31799.269032258064</v>
      </c>
      <c r="F38" s="510">
        <f t="shared" si="10"/>
        <v>419993.33464825433</v>
      </c>
      <c r="G38" s="511">
        <f t="shared" si="11"/>
        <v>78956.379187071172</v>
      </c>
      <c r="H38" s="477">
        <f t="shared" si="12"/>
        <v>78956.379187071172</v>
      </c>
      <c r="I38" s="500">
        <f t="shared" si="0"/>
        <v>0</v>
      </c>
      <c r="J38" s="500"/>
      <c r="K38" s="512"/>
      <c r="L38" s="504">
        <f t="shared" si="2"/>
        <v>0</v>
      </c>
      <c r="M38" s="512"/>
      <c r="N38" s="504">
        <f t="shared" si="4"/>
        <v>0</v>
      </c>
      <c r="O38" s="504">
        <f t="shared" si="5"/>
        <v>0</v>
      </c>
      <c r="P38" s="278"/>
      <c r="R38" s="243"/>
      <c r="S38" s="243"/>
      <c r="T38" s="243"/>
      <c r="U38" s="243"/>
    </row>
    <row r="39" spans="2:21" ht="12.5">
      <c r="B39" s="145" t="str">
        <f t="shared" si="6"/>
        <v/>
      </c>
      <c r="C39" s="495">
        <f>IF(D11="","-",+C38+1)</f>
        <v>2032</v>
      </c>
      <c r="D39" s="508">
        <f>IF(F38+SUM(E$17:E38)=D$10,F38,D$10-SUM(E$17:E38))</f>
        <v>419993.33464825433</v>
      </c>
      <c r="E39" s="509">
        <f>IF(+I14&lt;F38,I14,D39)</f>
        <v>31799.269032258064</v>
      </c>
      <c r="F39" s="510">
        <f t="shared" si="10"/>
        <v>388194.06561599625</v>
      </c>
      <c r="G39" s="511">
        <f t="shared" si="11"/>
        <v>75516.173130360912</v>
      </c>
      <c r="H39" s="477">
        <f t="shared" si="12"/>
        <v>75516.173130360912</v>
      </c>
      <c r="I39" s="500">
        <f t="shared" si="0"/>
        <v>0</v>
      </c>
      <c r="J39" s="500"/>
      <c r="K39" s="512"/>
      <c r="L39" s="504">
        <f t="shared" si="2"/>
        <v>0</v>
      </c>
      <c r="M39" s="512"/>
      <c r="N39" s="504">
        <f t="shared" si="4"/>
        <v>0</v>
      </c>
      <c r="O39" s="504">
        <f t="shared" si="5"/>
        <v>0</v>
      </c>
      <c r="P39" s="278"/>
      <c r="R39" s="243"/>
      <c r="S39" s="243"/>
      <c r="T39" s="243"/>
      <c r="U39" s="243"/>
    </row>
    <row r="40" spans="2:21" ht="12.5">
      <c r="B40" s="145" t="str">
        <f t="shared" si="6"/>
        <v/>
      </c>
      <c r="C40" s="495">
        <f>IF(D11="","-",+C39+1)</f>
        <v>2033</v>
      </c>
      <c r="D40" s="508">
        <f>IF(F39+SUM(E$17:E39)=D$10,F39,D$10-SUM(E$17:E39))</f>
        <v>388194.06561599625</v>
      </c>
      <c r="E40" s="509">
        <f>IF(+I14&lt;F39,I14,D40)</f>
        <v>31799.269032258064</v>
      </c>
      <c r="F40" s="510">
        <f t="shared" si="10"/>
        <v>356394.79658373818</v>
      </c>
      <c r="G40" s="511">
        <f t="shared" si="11"/>
        <v>72075.967073650652</v>
      </c>
      <c r="H40" s="477">
        <f t="shared" si="12"/>
        <v>72075.967073650652</v>
      </c>
      <c r="I40" s="500">
        <f t="shared" si="0"/>
        <v>0</v>
      </c>
      <c r="J40" s="500"/>
      <c r="K40" s="512"/>
      <c r="L40" s="504">
        <f t="shared" si="2"/>
        <v>0</v>
      </c>
      <c r="M40" s="512"/>
      <c r="N40" s="504">
        <f t="shared" si="4"/>
        <v>0</v>
      </c>
      <c r="O40" s="504">
        <f t="shared" si="5"/>
        <v>0</v>
      </c>
      <c r="P40" s="278"/>
      <c r="R40" s="243"/>
      <c r="S40" s="243"/>
      <c r="T40" s="243"/>
      <c r="U40" s="243"/>
    </row>
    <row r="41" spans="2:21" ht="12.5">
      <c r="B41" s="145" t="str">
        <f t="shared" si="6"/>
        <v/>
      </c>
      <c r="C41" s="495">
        <f>IF(D12="","-",+C40+1)</f>
        <v>2034</v>
      </c>
      <c r="D41" s="508">
        <f>IF(F40+SUM(E$17:E40)=D$10,F40,D$10-SUM(E$17:E40))</f>
        <v>356394.79658373818</v>
      </c>
      <c r="E41" s="509">
        <f>IF(+I14&lt;F40,I14,D41)</f>
        <v>31799.269032258064</v>
      </c>
      <c r="F41" s="510">
        <f t="shared" si="10"/>
        <v>324595.5275514801</v>
      </c>
      <c r="G41" s="511">
        <f t="shared" si="11"/>
        <v>68635.761016940392</v>
      </c>
      <c r="H41" s="477">
        <f t="shared" si="12"/>
        <v>68635.761016940392</v>
      </c>
      <c r="I41" s="500">
        <f t="shared" si="0"/>
        <v>0</v>
      </c>
      <c r="J41" s="500"/>
      <c r="K41" s="512"/>
      <c r="L41" s="504">
        <f t="shared" si="2"/>
        <v>0</v>
      </c>
      <c r="M41" s="512"/>
      <c r="N41" s="504">
        <f t="shared" si="4"/>
        <v>0</v>
      </c>
      <c r="O41" s="504">
        <f t="shared" si="5"/>
        <v>0</v>
      </c>
      <c r="P41" s="278"/>
      <c r="R41" s="243"/>
      <c r="S41" s="243"/>
      <c r="T41" s="243"/>
      <c r="U41" s="243"/>
    </row>
    <row r="42" spans="2:21" ht="12.5">
      <c r="B42" s="145" t="str">
        <f t="shared" si="6"/>
        <v/>
      </c>
      <c r="C42" s="495">
        <f>IF(D13="","-",+C41+1)</f>
        <v>2035</v>
      </c>
      <c r="D42" s="508">
        <f>IF(F41+SUM(E$17:E41)=D$10,F41,D$10-SUM(E$17:E41))</f>
        <v>324595.5275514801</v>
      </c>
      <c r="E42" s="509">
        <f>IF(+I14&lt;F41,I14,D42)</f>
        <v>31799.269032258064</v>
      </c>
      <c r="F42" s="510">
        <f t="shared" si="10"/>
        <v>292796.25851922203</v>
      </c>
      <c r="G42" s="511">
        <f t="shared" si="11"/>
        <v>65195.554960230133</v>
      </c>
      <c r="H42" s="477">
        <f t="shared" si="12"/>
        <v>65195.554960230133</v>
      </c>
      <c r="I42" s="500">
        <f t="shared" si="0"/>
        <v>0</v>
      </c>
      <c r="J42" s="500"/>
      <c r="K42" s="512"/>
      <c r="L42" s="504">
        <f t="shared" si="2"/>
        <v>0</v>
      </c>
      <c r="M42" s="512"/>
      <c r="N42" s="504">
        <f t="shared" si="4"/>
        <v>0</v>
      </c>
      <c r="O42" s="504">
        <f t="shared" si="5"/>
        <v>0</v>
      </c>
      <c r="P42" s="278"/>
      <c r="R42" s="243"/>
      <c r="S42" s="243"/>
      <c r="T42" s="243"/>
      <c r="U42" s="243"/>
    </row>
    <row r="43" spans="2:21" ht="12.5">
      <c r="B43" s="145" t="str">
        <f t="shared" si="6"/>
        <v/>
      </c>
      <c r="C43" s="495">
        <f>IF(D11="","-",+C42+1)</f>
        <v>2036</v>
      </c>
      <c r="D43" s="508">
        <f>IF(F42+SUM(E$17:E42)=D$10,F42,D$10-SUM(E$17:E42))</f>
        <v>292796.25851922203</v>
      </c>
      <c r="E43" s="509">
        <f>IF(+I14&lt;F42,I14,D43)</f>
        <v>31799.269032258064</v>
      </c>
      <c r="F43" s="510">
        <f t="shared" si="10"/>
        <v>260996.98948696395</v>
      </c>
      <c r="G43" s="511">
        <f t="shared" si="11"/>
        <v>61755.348903519858</v>
      </c>
      <c r="H43" s="477">
        <f t="shared" si="12"/>
        <v>61755.348903519858</v>
      </c>
      <c r="I43" s="500">
        <f t="shared" si="0"/>
        <v>0</v>
      </c>
      <c r="J43" s="500"/>
      <c r="K43" s="512"/>
      <c r="L43" s="504">
        <f t="shared" si="2"/>
        <v>0</v>
      </c>
      <c r="M43" s="512"/>
      <c r="N43" s="504">
        <f t="shared" si="4"/>
        <v>0</v>
      </c>
      <c r="O43" s="504">
        <f t="shared" si="5"/>
        <v>0</v>
      </c>
      <c r="P43" s="278"/>
      <c r="R43" s="243"/>
      <c r="S43" s="243"/>
      <c r="T43" s="243"/>
      <c r="U43" s="243"/>
    </row>
    <row r="44" spans="2:21" ht="12.5">
      <c r="B44" s="145" t="str">
        <f t="shared" si="6"/>
        <v/>
      </c>
      <c r="C44" s="495">
        <f>IF(D11="","-",+C43+1)</f>
        <v>2037</v>
      </c>
      <c r="D44" s="508">
        <f>IF(F43+SUM(E$17:E43)=D$10,F43,D$10-SUM(E$17:E43))</f>
        <v>260996.98948696395</v>
      </c>
      <c r="E44" s="509">
        <f>IF(+I14&lt;F43,I14,D44)</f>
        <v>31799.269032258064</v>
      </c>
      <c r="F44" s="510">
        <f t="shared" si="10"/>
        <v>229197.72045470588</v>
      </c>
      <c r="G44" s="511">
        <f t="shared" si="11"/>
        <v>58315.142846809598</v>
      </c>
      <c r="H44" s="477">
        <f t="shared" si="12"/>
        <v>58315.142846809598</v>
      </c>
      <c r="I44" s="500">
        <f t="shared" si="0"/>
        <v>0</v>
      </c>
      <c r="J44" s="500"/>
      <c r="K44" s="512"/>
      <c r="L44" s="504">
        <f t="shared" si="2"/>
        <v>0</v>
      </c>
      <c r="M44" s="512"/>
      <c r="N44" s="504">
        <f t="shared" si="4"/>
        <v>0</v>
      </c>
      <c r="O44" s="504">
        <f t="shared" si="5"/>
        <v>0</v>
      </c>
      <c r="P44" s="278"/>
      <c r="R44" s="243"/>
      <c r="S44" s="243"/>
      <c r="T44" s="243"/>
      <c r="U44" s="243"/>
    </row>
    <row r="45" spans="2:21" ht="12.5">
      <c r="B45" s="145" t="str">
        <f t="shared" si="6"/>
        <v/>
      </c>
      <c r="C45" s="495">
        <f>IF(D11="","-",+C44+1)</f>
        <v>2038</v>
      </c>
      <c r="D45" s="508">
        <f>IF(F44+SUM(E$17:E44)=D$10,F44,D$10-SUM(E$17:E44))</f>
        <v>229197.72045470588</v>
      </c>
      <c r="E45" s="509">
        <f>IF(+I14&lt;F44,I14,D45)</f>
        <v>31799.269032258064</v>
      </c>
      <c r="F45" s="510">
        <f t="shared" si="10"/>
        <v>197398.4514224478</v>
      </c>
      <c r="G45" s="511">
        <f t="shared" si="11"/>
        <v>54874.936790099338</v>
      </c>
      <c r="H45" s="477">
        <f t="shared" si="12"/>
        <v>54874.936790099338</v>
      </c>
      <c r="I45" s="500">
        <f t="shared" si="0"/>
        <v>0</v>
      </c>
      <c r="J45" s="500"/>
      <c r="K45" s="512"/>
      <c r="L45" s="504">
        <f t="shared" si="2"/>
        <v>0</v>
      </c>
      <c r="M45" s="512"/>
      <c r="N45" s="504">
        <f t="shared" si="4"/>
        <v>0</v>
      </c>
      <c r="O45" s="504">
        <f t="shared" si="5"/>
        <v>0</v>
      </c>
      <c r="P45" s="278"/>
      <c r="R45" s="243"/>
      <c r="S45" s="243"/>
      <c r="T45" s="243"/>
      <c r="U45" s="243"/>
    </row>
    <row r="46" spans="2:21" ht="12.5">
      <c r="B46" s="145" t="str">
        <f t="shared" si="6"/>
        <v/>
      </c>
      <c r="C46" s="495">
        <f>IF(D11="","-",+C45+1)</f>
        <v>2039</v>
      </c>
      <c r="D46" s="508">
        <f>IF(F45+SUM(E$17:E45)=D$10,F45,D$10-SUM(E$17:E45))</f>
        <v>197398.4514224478</v>
      </c>
      <c r="E46" s="509">
        <f>IF(+I14&lt;F45,I14,D46)</f>
        <v>31799.269032258064</v>
      </c>
      <c r="F46" s="510">
        <f t="shared" si="10"/>
        <v>165599.18239018973</v>
      </c>
      <c r="G46" s="511">
        <f t="shared" si="11"/>
        <v>51434.730733389079</v>
      </c>
      <c r="H46" s="477">
        <f t="shared" si="12"/>
        <v>51434.730733389079</v>
      </c>
      <c r="I46" s="500">
        <f t="shared" si="0"/>
        <v>0</v>
      </c>
      <c r="J46" s="500"/>
      <c r="K46" s="512"/>
      <c r="L46" s="504">
        <f t="shared" si="2"/>
        <v>0</v>
      </c>
      <c r="M46" s="512"/>
      <c r="N46" s="504">
        <f t="shared" si="4"/>
        <v>0</v>
      </c>
      <c r="O46" s="504">
        <f t="shared" si="5"/>
        <v>0</v>
      </c>
      <c r="P46" s="278"/>
      <c r="R46" s="243"/>
      <c r="S46" s="243"/>
      <c r="T46" s="243"/>
      <c r="U46" s="243"/>
    </row>
    <row r="47" spans="2:21" ht="12.5">
      <c r="B47" s="145" t="str">
        <f t="shared" si="6"/>
        <v/>
      </c>
      <c r="C47" s="495">
        <f>IF(D11="","-",+C46+1)</f>
        <v>2040</v>
      </c>
      <c r="D47" s="508">
        <f>IF(F46+SUM(E$17:E46)=D$10,F46,D$10-SUM(E$17:E46))</f>
        <v>165599.18239018973</v>
      </c>
      <c r="E47" s="509">
        <f>IF(+I14&lt;F46,I14,D47)</f>
        <v>31799.269032258064</v>
      </c>
      <c r="F47" s="510">
        <f t="shared" si="10"/>
        <v>133799.91335793165</v>
      </c>
      <c r="G47" s="511">
        <f t="shared" si="11"/>
        <v>47994.524676678811</v>
      </c>
      <c r="H47" s="477">
        <f t="shared" si="12"/>
        <v>47994.524676678811</v>
      </c>
      <c r="I47" s="500">
        <f t="shared" si="0"/>
        <v>0</v>
      </c>
      <c r="J47" s="500"/>
      <c r="K47" s="512"/>
      <c r="L47" s="504">
        <f t="shared" si="2"/>
        <v>0</v>
      </c>
      <c r="M47" s="512"/>
      <c r="N47" s="504">
        <f t="shared" si="4"/>
        <v>0</v>
      </c>
      <c r="O47" s="504">
        <f t="shared" si="5"/>
        <v>0</v>
      </c>
      <c r="P47" s="278"/>
      <c r="R47" s="243"/>
      <c r="S47" s="243"/>
      <c r="T47" s="243"/>
      <c r="U47" s="243"/>
    </row>
    <row r="48" spans="2:21" ht="12.5">
      <c r="B48" s="145" t="str">
        <f t="shared" si="6"/>
        <v/>
      </c>
      <c r="C48" s="495">
        <f>IF(D11="","-",+C47+1)</f>
        <v>2041</v>
      </c>
      <c r="D48" s="508">
        <f>IF(F47+SUM(E$17:E47)=D$10,F47,D$10-SUM(E$17:E47))</f>
        <v>133799.91335793165</v>
      </c>
      <c r="E48" s="509">
        <f>IF(+I14&lt;F47,I14,D48)</f>
        <v>31799.269032258064</v>
      </c>
      <c r="F48" s="510">
        <f t="shared" si="10"/>
        <v>102000.64432567359</v>
      </c>
      <c r="G48" s="511">
        <f t="shared" si="11"/>
        <v>44554.318619968552</v>
      </c>
      <c r="H48" s="477">
        <f t="shared" si="12"/>
        <v>44554.318619968552</v>
      </c>
      <c r="I48" s="500">
        <f t="shared" si="0"/>
        <v>0</v>
      </c>
      <c r="J48" s="500"/>
      <c r="K48" s="512"/>
      <c r="L48" s="504">
        <f t="shared" si="2"/>
        <v>0</v>
      </c>
      <c r="M48" s="512"/>
      <c r="N48" s="504">
        <f t="shared" si="4"/>
        <v>0</v>
      </c>
      <c r="O48" s="504">
        <f t="shared" si="5"/>
        <v>0</v>
      </c>
      <c r="P48" s="278"/>
      <c r="R48" s="243"/>
      <c r="S48" s="243"/>
      <c r="T48" s="243"/>
      <c r="U48" s="243"/>
    </row>
    <row r="49" spans="2:21" ht="12.5">
      <c r="B49" s="145" t="str">
        <f t="shared" si="6"/>
        <v/>
      </c>
      <c r="C49" s="495">
        <f>IF(D11="","-",+C48+1)</f>
        <v>2042</v>
      </c>
      <c r="D49" s="508">
        <f>IF(F48+SUM(E$17:E48)=D$10,F48,D$10-SUM(E$17:E48))</f>
        <v>102000.64432567359</v>
      </c>
      <c r="E49" s="509">
        <f>IF(+I14&lt;F48,I14,D49)</f>
        <v>31799.269032258064</v>
      </c>
      <c r="F49" s="510">
        <f t="shared" si="10"/>
        <v>70201.375293415535</v>
      </c>
      <c r="G49" s="511">
        <f t="shared" si="11"/>
        <v>41114.112563258292</v>
      </c>
      <c r="H49" s="477">
        <f t="shared" si="12"/>
        <v>41114.112563258292</v>
      </c>
      <c r="I49" s="500">
        <f t="shared" si="0"/>
        <v>0</v>
      </c>
      <c r="J49" s="500"/>
      <c r="K49" s="512"/>
      <c r="L49" s="504">
        <f t="shared" si="2"/>
        <v>0</v>
      </c>
      <c r="M49" s="512"/>
      <c r="N49" s="504">
        <f t="shared" si="4"/>
        <v>0</v>
      </c>
      <c r="O49" s="504">
        <f t="shared" si="5"/>
        <v>0</v>
      </c>
      <c r="P49" s="278"/>
      <c r="R49" s="243"/>
      <c r="S49" s="243"/>
      <c r="T49" s="243"/>
      <c r="U49" s="243"/>
    </row>
    <row r="50" spans="2:21" ht="12.5">
      <c r="B50" s="145" t="str">
        <f t="shared" si="6"/>
        <v/>
      </c>
      <c r="C50" s="495">
        <f>IF(D11="","-",+C49+1)</f>
        <v>2043</v>
      </c>
      <c r="D50" s="508">
        <f>IF(F49+SUM(E$17:E49)=D$10,F49,D$10-SUM(E$17:E49))</f>
        <v>70201.375293415535</v>
      </c>
      <c r="E50" s="509">
        <f>IF(+I14&lt;F49,I14,D50)</f>
        <v>31799.269032258064</v>
      </c>
      <c r="F50" s="510">
        <f t="shared" ref="F50:F73" si="13">+D50-E50</f>
        <v>38402.106261157474</v>
      </c>
      <c r="G50" s="511">
        <f t="shared" si="11"/>
        <v>37673.906506548032</v>
      </c>
      <c r="H50" s="477">
        <f t="shared" si="12"/>
        <v>37673.906506548032</v>
      </c>
      <c r="I50" s="500">
        <f t="shared" ref="I50:I73" si="14">H50-G50</f>
        <v>0</v>
      </c>
      <c r="J50" s="500"/>
      <c r="K50" s="512"/>
      <c r="L50" s="504">
        <f t="shared" ref="L50:L73" si="15">IF(K50&lt;&gt;0,+G50-K50,0)</f>
        <v>0</v>
      </c>
      <c r="M50" s="512"/>
      <c r="N50" s="504">
        <f t="shared" ref="N50:N73" si="16">IF(M50&lt;&gt;0,+H50-M50,0)</f>
        <v>0</v>
      </c>
      <c r="O50" s="504">
        <f t="shared" ref="O50:O73" si="17">+N50-L50</f>
        <v>0</v>
      </c>
      <c r="P50" s="278"/>
      <c r="R50" s="243"/>
      <c r="S50" s="243"/>
      <c r="T50" s="243"/>
      <c r="U50" s="243"/>
    </row>
    <row r="51" spans="2:21" ht="12.5">
      <c r="B51" s="145" t="str">
        <f t="shared" si="6"/>
        <v/>
      </c>
      <c r="C51" s="495">
        <f>IF(D11="","-",+C50+1)</f>
        <v>2044</v>
      </c>
      <c r="D51" s="508">
        <f>IF(F50+SUM(E$17:E50)=D$10,F50,D$10-SUM(E$17:E50))</f>
        <v>38402.106261157474</v>
      </c>
      <c r="E51" s="509">
        <f>IF(+I14&lt;F50,I14,D51)</f>
        <v>31799.269032258064</v>
      </c>
      <c r="F51" s="510">
        <f t="shared" si="13"/>
        <v>6602.8372288994105</v>
      </c>
      <c r="G51" s="511">
        <f t="shared" si="11"/>
        <v>34233.700449837765</v>
      </c>
      <c r="H51" s="477">
        <f t="shared" si="12"/>
        <v>34233.700449837765</v>
      </c>
      <c r="I51" s="500">
        <f t="shared" si="14"/>
        <v>0</v>
      </c>
      <c r="J51" s="500"/>
      <c r="K51" s="512"/>
      <c r="L51" s="504">
        <f t="shared" si="15"/>
        <v>0</v>
      </c>
      <c r="M51" s="512"/>
      <c r="N51" s="504">
        <f t="shared" si="16"/>
        <v>0</v>
      </c>
      <c r="O51" s="504">
        <f t="shared" si="17"/>
        <v>0</v>
      </c>
      <c r="P51" s="278"/>
      <c r="R51" s="243"/>
      <c r="S51" s="243"/>
      <c r="T51" s="243"/>
      <c r="U51" s="243"/>
    </row>
    <row r="52" spans="2:21" ht="12.5">
      <c r="B52" s="145" t="str">
        <f t="shared" si="6"/>
        <v/>
      </c>
      <c r="C52" s="495">
        <f>IF(D11="","-",+C51+1)</f>
        <v>2045</v>
      </c>
      <c r="D52" s="508">
        <f>IF(F51+SUM(E$17:E51)=D$10,F51,D$10-SUM(E$17:E51))</f>
        <v>6602.8372288994105</v>
      </c>
      <c r="E52" s="509">
        <f>IF(+I14&lt;F51,I14,D52)</f>
        <v>6602.8372288994105</v>
      </c>
      <c r="F52" s="510">
        <f t="shared" si="13"/>
        <v>0</v>
      </c>
      <c r="G52" s="511">
        <f t="shared" si="11"/>
        <v>6960.0014235116969</v>
      </c>
      <c r="H52" s="477">
        <f t="shared" si="12"/>
        <v>6960.0014235116969</v>
      </c>
      <c r="I52" s="500">
        <f t="shared" si="14"/>
        <v>0</v>
      </c>
      <c r="J52" s="500"/>
      <c r="K52" s="512"/>
      <c r="L52" s="504">
        <f t="shared" si="15"/>
        <v>0</v>
      </c>
      <c r="M52" s="512"/>
      <c r="N52" s="504">
        <f t="shared" si="16"/>
        <v>0</v>
      </c>
      <c r="O52" s="504">
        <f t="shared" si="17"/>
        <v>0</v>
      </c>
      <c r="P52" s="278"/>
      <c r="R52" s="243"/>
      <c r="S52" s="243"/>
      <c r="T52" s="243"/>
      <c r="U52" s="243"/>
    </row>
    <row r="53" spans="2:21" ht="12.5">
      <c r="B53" s="145" t="str">
        <f t="shared" si="6"/>
        <v/>
      </c>
      <c r="C53" s="495">
        <f>IF(D11="","-",+C52+1)</f>
        <v>2046</v>
      </c>
      <c r="D53" s="508">
        <f>IF(F52+SUM(E$17:E52)=D$10,F52,D$10-SUM(E$17:E52))</f>
        <v>0</v>
      </c>
      <c r="E53" s="509">
        <f>IF(+I14&lt;F52,I14,D53)</f>
        <v>0</v>
      </c>
      <c r="F53" s="510">
        <f t="shared" si="13"/>
        <v>0</v>
      </c>
      <c r="G53" s="511">
        <f t="shared" si="11"/>
        <v>0</v>
      </c>
      <c r="H53" s="477">
        <f t="shared" si="12"/>
        <v>0</v>
      </c>
      <c r="I53" s="500">
        <f t="shared" si="14"/>
        <v>0</v>
      </c>
      <c r="J53" s="500"/>
      <c r="K53" s="512"/>
      <c r="L53" s="504">
        <f t="shared" si="15"/>
        <v>0</v>
      </c>
      <c r="M53" s="512"/>
      <c r="N53" s="504">
        <f t="shared" si="16"/>
        <v>0</v>
      </c>
      <c r="O53" s="504">
        <f t="shared" si="17"/>
        <v>0</v>
      </c>
      <c r="P53" s="278"/>
      <c r="R53" s="243"/>
      <c r="S53" s="243"/>
      <c r="T53" s="243"/>
      <c r="U53" s="243"/>
    </row>
    <row r="54" spans="2:21" ht="12.5">
      <c r="B54" s="145" t="str">
        <f t="shared" si="6"/>
        <v/>
      </c>
      <c r="C54" s="495">
        <f>IF(D11="","-",+C53+1)</f>
        <v>2047</v>
      </c>
      <c r="D54" s="508">
        <f>IF(F53+SUM(E$17:E53)=D$10,F53,D$10-SUM(E$17:E53))</f>
        <v>0</v>
      </c>
      <c r="E54" s="509">
        <f>IF(+I14&lt;F53,I14,D54)</f>
        <v>0</v>
      </c>
      <c r="F54" s="510">
        <f t="shared" si="13"/>
        <v>0</v>
      </c>
      <c r="G54" s="511">
        <f t="shared" si="11"/>
        <v>0</v>
      </c>
      <c r="H54" s="477">
        <f t="shared" si="12"/>
        <v>0</v>
      </c>
      <c r="I54" s="500">
        <f t="shared" si="14"/>
        <v>0</v>
      </c>
      <c r="J54" s="500"/>
      <c r="K54" s="512"/>
      <c r="L54" s="504">
        <f t="shared" si="15"/>
        <v>0</v>
      </c>
      <c r="M54" s="512"/>
      <c r="N54" s="504">
        <f t="shared" si="16"/>
        <v>0</v>
      </c>
      <c r="O54" s="504">
        <f t="shared" si="17"/>
        <v>0</v>
      </c>
      <c r="P54" s="278"/>
      <c r="R54" s="243"/>
      <c r="S54" s="243"/>
      <c r="T54" s="243"/>
      <c r="U54" s="243"/>
    </row>
    <row r="55" spans="2:21" ht="12.5">
      <c r="B55" s="145" t="str">
        <f t="shared" si="6"/>
        <v/>
      </c>
      <c r="C55" s="495">
        <f>IF(D11="","-",+C54+1)</f>
        <v>2048</v>
      </c>
      <c r="D55" s="508">
        <f>IF(F54+SUM(E$17:E54)=D$10,F54,D$10-SUM(E$17:E54))</f>
        <v>0</v>
      </c>
      <c r="E55" s="509">
        <f>IF(+I14&lt;F54,I14,D55)</f>
        <v>0</v>
      </c>
      <c r="F55" s="510">
        <f t="shared" si="13"/>
        <v>0</v>
      </c>
      <c r="G55" s="511">
        <f t="shared" si="11"/>
        <v>0</v>
      </c>
      <c r="H55" s="477">
        <f t="shared" si="12"/>
        <v>0</v>
      </c>
      <c r="I55" s="500">
        <f t="shared" si="14"/>
        <v>0</v>
      </c>
      <c r="J55" s="500"/>
      <c r="K55" s="512"/>
      <c r="L55" s="504">
        <f t="shared" si="15"/>
        <v>0</v>
      </c>
      <c r="M55" s="512"/>
      <c r="N55" s="504">
        <f t="shared" si="16"/>
        <v>0</v>
      </c>
      <c r="O55" s="504">
        <f t="shared" si="17"/>
        <v>0</v>
      </c>
      <c r="P55" s="278"/>
      <c r="R55" s="243"/>
      <c r="S55" s="243"/>
      <c r="T55" s="243"/>
      <c r="U55" s="243"/>
    </row>
    <row r="56" spans="2:21" ht="12.5">
      <c r="B56" s="145" t="str">
        <f t="shared" si="6"/>
        <v/>
      </c>
      <c r="C56" s="495">
        <f>IF(D11="","-",+C55+1)</f>
        <v>2049</v>
      </c>
      <c r="D56" s="508">
        <f>IF(F55+SUM(E$17:E55)=D$10,F55,D$10-SUM(E$17:E55))</f>
        <v>0</v>
      </c>
      <c r="E56" s="509">
        <f>IF(+I14&lt;F55,I14,D56)</f>
        <v>0</v>
      </c>
      <c r="F56" s="510">
        <f t="shared" si="13"/>
        <v>0</v>
      </c>
      <c r="G56" s="511">
        <f t="shared" si="11"/>
        <v>0</v>
      </c>
      <c r="H56" s="477">
        <f t="shared" si="12"/>
        <v>0</v>
      </c>
      <c r="I56" s="500">
        <f t="shared" si="14"/>
        <v>0</v>
      </c>
      <c r="J56" s="500"/>
      <c r="K56" s="512"/>
      <c r="L56" s="504">
        <f t="shared" si="15"/>
        <v>0</v>
      </c>
      <c r="M56" s="512"/>
      <c r="N56" s="504">
        <f t="shared" si="16"/>
        <v>0</v>
      </c>
      <c r="O56" s="504">
        <f t="shared" si="17"/>
        <v>0</v>
      </c>
      <c r="P56" s="278"/>
      <c r="R56" s="243"/>
      <c r="S56" s="243"/>
      <c r="T56" s="243"/>
      <c r="U56" s="243"/>
    </row>
    <row r="57" spans="2:21" ht="12.5">
      <c r="B57" s="145" t="str">
        <f t="shared" si="6"/>
        <v/>
      </c>
      <c r="C57" s="495">
        <f>IF(D11="","-",+C56+1)</f>
        <v>2050</v>
      </c>
      <c r="D57" s="508">
        <f>IF(F56+SUM(E$17:E56)=D$10,F56,D$10-SUM(E$17:E56))</f>
        <v>0</v>
      </c>
      <c r="E57" s="509">
        <f>IF(+I14&lt;F56,I14,D57)</f>
        <v>0</v>
      </c>
      <c r="F57" s="510">
        <f t="shared" si="13"/>
        <v>0</v>
      </c>
      <c r="G57" s="511">
        <f t="shared" si="11"/>
        <v>0</v>
      </c>
      <c r="H57" s="477">
        <f t="shared" si="12"/>
        <v>0</v>
      </c>
      <c r="I57" s="500">
        <f t="shared" si="14"/>
        <v>0</v>
      </c>
      <c r="J57" s="500"/>
      <c r="K57" s="512"/>
      <c r="L57" s="504">
        <f t="shared" si="15"/>
        <v>0</v>
      </c>
      <c r="M57" s="512"/>
      <c r="N57" s="504">
        <f t="shared" si="16"/>
        <v>0</v>
      </c>
      <c r="O57" s="504">
        <f t="shared" si="17"/>
        <v>0</v>
      </c>
      <c r="P57" s="278"/>
      <c r="R57" s="243"/>
      <c r="S57" s="243"/>
      <c r="T57" s="243"/>
      <c r="U57" s="243"/>
    </row>
    <row r="58" spans="2:21" ht="12.5">
      <c r="B58" s="145" t="str">
        <f t="shared" si="6"/>
        <v/>
      </c>
      <c r="C58" s="495">
        <f>IF(D11="","-",+C57+1)</f>
        <v>2051</v>
      </c>
      <c r="D58" s="508">
        <f>IF(F57+SUM(E$17:E57)=D$10,F57,D$10-SUM(E$17:E57))</f>
        <v>0</v>
      </c>
      <c r="E58" s="509">
        <f>IF(+I14&lt;F57,I14,D58)</f>
        <v>0</v>
      </c>
      <c r="F58" s="510">
        <f t="shared" si="13"/>
        <v>0</v>
      </c>
      <c r="G58" s="511">
        <f t="shared" si="11"/>
        <v>0</v>
      </c>
      <c r="H58" s="477">
        <f t="shared" si="12"/>
        <v>0</v>
      </c>
      <c r="I58" s="500">
        <f t="shared" si="14"/>
        <v>0</v>
      </c>
      <c r="J58" s="500"/>
      <c r="K58" s="512"/>
      <c r="L58" s="504">
        <f t="shared" si="15"/>
        <v>0</v>
      </c>
      <c r="M58" s="512"/>
      <c r="N58" s="504">
        <f t="shared" si="16"/>
        <v>0</v>
      </c>
      <c r="O58" s="504">
        <f t="shared" si="17"/>
        <v>0</v>
      </c>
      <c r="P58" s="278"/>
      <c r="R58" s="243"/>
      <c r="S58" s="243"/>
      <c r="T58" s="243"/>
      <c r="U58" s="243"/>
    </row>
    <row r="59" spans="2:21" ht="12.5">
      <c r="B59" s="145" t="str">
        <f t="shared" si="6"/>
        <v/>
      </c>
      <c r="C59" s="495">
        <f>IF(D11="","-",+C58+1)</f>
        <v>2052</v>
      </c>
      <c r="D59" s="508">
        <f>IF(F58+SUM(E$17:E58)=D$10,F58,D$10-SUM(E$17:E58))</f>
        <v>0</v>
      </c>
      <c r="E59" s="509">
        <f>IF(+I14&lt;F58,I14,D59)</f>
        <v>0</v>
      </c>
      <c r="F59" s="510">
        <f t="shared" si="13"/>
        <v>0</v>
      </c>
      <c r="G59" s="511">
        <f t="shared" si="11"/>
        <v>0</v>
      </c>
      <c r="H59" s="477">
        <f t="shared" si="12"/>
        <v>0</v>
      </c>
      <c r="I59" s="500">
        <f t="shared" si="14"/>
        <v>0</v>
      </c>
      <c r="J59" s="500"/>
      <c r="K59" s="512"/>
      <c r="L59" s="504">
        <f t="shared" si="15"/>
        <v>0</v>
      </c>
      <c r="M59" s="512"/>
      <c r="N59" s="504">
        <f t="shared" si="16"/>
        <v>0</v>
      </c>
      <c r="O59" s="504">
        <f t="shared" si="17"/>
        <v>0</v>
      </c>
      <c r="P59" s="278"/>
      <c r="R59" s="243"/>
      <c r="S59" s="243"/>
      <c r="T59" s="243"/>
      <c r="U59" s="243"/>
    </row>
    <row r="60" spans="2:21" ht="12.5">
      <c r="B60" s="145" t="str">
        <f t="shared" si="6"/>
        <v/>
      </c>
      <c r="C60" s="495">
        <f>IF(D11="","-",+C59+1)</f>
        <v>2053</v>
      </c>
      <c r="D60" s="508">
        <f>IF(F59+SUM(E$17:E59)=D$10,F59,D$10-SUM(E$17:E59))</f>
        <v>0</v>
      </c>
      <c r="E60" s="509">
        <f>IF(+I14&lt;F59,I14,D60)</f>
        <v>0</v>
      </c>
      <c r="F60" s="510">
        <f t="shared" si="13"/>
        <v>0</v>
      </c>
      <c r="G60" s="511">
        <f t="shared" si="11"/>
        <v>0</v>
      </c>
      <c r="H60" s="477">
        <f t="shared" si="12"/>
        <v>0</v>
      </c>
      <c r="I60" s="500">
        <f t="shared" si="14"/>
        <v>0</v>
      </c>
      <c r="J60" s="500"/>
      <c r="K60" s="512"/>
      <c r="L60" s="504">
        <f t="shared" si="15"/>
        <v>0</v>
      </c>
      <c r="M60" s="512"/>
      <c r="N60" s="504">
        <f t="shared" si="16"/>
        <v>0</v>
      </c>
      <c r="O60" s="504">
        <f t="shared" si="17"/>
        <v>0</v>
      </c>
      <c r="P60" s="278"/>
      <c r="R60" s="243"/>
      <c r="S60" s="243"/>
      <c r="T60" s="243"/>
      <c r="U60" s="243"/>
    </row>
    <row r="61" spans="2:21" ht="12.5">
      <c r="B61" s="145" t="str">
        <f t="shared" si="6"/>
        <v/>
      </c>
      <c r="C61" s="495">
        <f>IF(D11="","-",+C60+1)</f>
        <v>2054</v>
      </c>
      <c r="D61" s="508">
        <f>IF(F60+SUM(E$17:E60)=D$10,F60,D$10-SUM(E$17:E60))</f>
        <v>0</v>
      </c>
      <c r="E61" s="509">
        <f>IF(+I14&lt;F60,I14,D61)</f>
        <v>0</v>
      </c>
      <c r="F61" s="510">
        <f t="shared" si="13"/>
        <v>0</v>
      </c>
      <c r="G61" s="511">
        <f t="shared" si="11"/>
        <v>0</v>
      </c>
      <c r="H61" s="477">
        <f t="shared" si="12"/>
        <v>0</v>
      </c>
      <c r="I61" s="500">
        <f t="shared" si="14"/>
        <v>0</v>
      </c>
      <c r="J61" s="500"/>
      <c r="K61" s="512"/>
      <c r="L61" s="504">
        <f t="shared" si="15"/>
        <v>0</v>
      </c>
      <c r="M61" s="512"/>
      <c r="N61" s="504">
        <f t="shared" si="16"/>
        <v>0</v>
      </c>
      <c r="O61" s="504">
        <f t="shared" si="17"/>
        <v>0</v>
      </c>
      <c r="P61" s="278"/>
      <c r="R61" s="243"/>
      <c r="S61" s="243"/>
      <c r="T61" s="243"/>
      <c r="U61" s="243"/>
    </row>
    <row r="62" spans="2:21" ht="12.5">
      <c r="B62" s="145" t="str">
        <f t="shared" si="6"/>
        <v/>
      </c>
      <c r="C62" s="495">
        <f>IF(D11="","-",+C61+1)</f>
        <v>2055</v>
      </c>
      <c r="D62" s="508">
        <f>IF(F61+SUM(E$17:E61)=D$10,F61,D$10-SUM(E$17:E61))</f>
        <v>0</v>
      </c>
      <c r="E62" s="509">
        <f>IF(+I14&lt;F61,I14,D62)</f>
        <v>0</v>
      </c>
      <c r="F62" s="510">
        <f t="shared" si="13"/>
        <v>0</v>
      </c>
      <c r="G62" s="523">
        <f t="shared" si="11"/>
        <v>0</v>
      </c>
      <c r="H62" s="477">
        <f t="shared" si="12"/>
        <v>0</v>
      </c>
      <c r="I62" s="500">
        <f t="shared" si="14"/>
        <v>0</v>
      </c>
      <c r="J62" s="500"/>
      <c r="K62" s="512"/>
      <c r="L62" s="504">
        <f t="shared" si="15"/>
        <v>0</v>
      </c>
      <c r="M62" s="512"/>
      <c r="N62" s="504">
        <f t="shared" si="16"/>
        <v>0</v>
      </c>
      <c r="O62" s="504">
        <f t="shared" si="17"/>
        <v>0</v>
      </c>
      <c r="P62" s="278"/>
      <c r="R62" s="243"/>
      <c r="S62" s="243"/>
      <c r="T62" s="243"/>
      <c r="U62" s="243"/>
    </row>
    <row r="63" spans="2:21" ht="12.5">
      <c r="B63" s="145" t="str">
        <f t="shared" si="6"/>
        <v/>
      </c>
      <c r="C63" s="495">
        <f>IF(D11="","-",+C62+1)</f>
        <v>2056</v>
      </c>
      <c r="D63" s="508">
        <f>IF(F62+SUM(E$17:E62)=D$10,F62,D$10-SUM(E$17:E62))</f>
        <v>0</v>
      </c>
      <c r="E63" s="509">
        <f>IF(+I14&lt;F62,I14,D63)</f>
        <v>0</v>
      </c>
      <c r="F63" s="510">
        <f t="shared" si="13"/>
        <v>0</v>
      </c>
      <c r="G63" s="523">
        <f t="shared" si="11"/>
        <v>0</v>
      </c>
      <c r="H63" s="477">
        <f t="shared" si="12"/>
        <v>0</v>
      </c>
      <c r="I63" s="500">
        <f t="shared" si="14"/>
        <v>0</v>
      </c>
      <c r="J63" s="500"/>
      <c r="K63" s="512"/>
      <c r="L63" s="504">
        <f t="shared" si="15"/>
        <v>0</v>
      </c>
      <c r="M63" s="512"/>
      <c r="N63" s="504">
        <f t="shared" si="16"/>
        <v>0</v>
      </c>
      <c r="O63" s="504">
        <f t="shared" si="17"/>
        <v>0</v>
      </c>
      <c r="P63" s="278"/>
      <c r="R63" s="243"/>
      <c r="S63" s="243"/>
      <c r="T63" s="243"/>
      <c r="U63" s="243"/>
    </row>
    <row r="64" spans="2:21" ht="12.5">
      <c r="B64" s="145" t="str">
        <f t="shared" si="6"/>
        <v/>
      </c>
      <c r="C64" s="495">
        <f>IF(D11="","-",+C63+1)</f>
        <v>2057</v>
      </c>
      <c r="D64" s="508">
        <f>IF(F63+SUM(E$17:E63)=D$10,F63,D$10-SUM(E$17:E63))</f>
        <v>0</v>
      </c>
      <c r="E64" s="509">
        <f>IF(+I14&lt;F63,I14,D64)</f>
        <v>0</v>
      </c>
      <c r="F64" s="510">
        <f t="shared" si="13"/>
        <v>0</v>
      </c>
      <c r="G64" s="523">
        <f t="shared" si="11"/>
        <v>0</v>
      </c>
      <c r="H64" s="477">
        <f t="shared" si="12"/>
        <v>0</v>
      </c>
      <c r="I64" s="500">
        <f t="shared" si="14"/>
        <v>0</v>
      </c>
      <c r="J64" s="500"/>
      <c r="K64" s="512"/>
      <c r="L64" s="504">
        <f t="shared" si="15"/>
        <v>0</v>
      </c>
      <c r="M64" s="512"/>
      <c r="N64" s="504">
        <f t="shared" si="16"/>
        <v>0</v>
      </c>
      <c r="O64" s="504">
        <f t="shared" si="17"/>
        <v>0</v>
      </c>
      <c r="P64" s="278"/>
      <c r="R64" s="243"/>
      <c r="S64" s="243"/>
      <c r="T64" s="243"/>
      <c r="U64" s="243"/>
    </row>
    <row r="65" spans="2:21" ht="12.5">
      <c r="B65" s="145" t="str">
        <f t="shared" si="6"/>
        <v/>
      </c>
      <c r="C65" s="495">
        <f>IF(D11="","-",+C64+1)</f>
        <v>2058</v>
      </c>
      <c r="D65" s="508">
        <f>IF(F64+SUM(E$17:E64)=D$10,F64,D$10-SUM(E$17:E64))</f>
        <v>0</v>
      </c>
      <c r="E65" s="509">
        <f>IF(+I14&lt;F64,I14,D65)</f>
        <v>0</v>
      </c>
      <c r="F65" s="510">
        <f t="shared" si="13"/>
        <v>0</v>
      </c>
      <c r="G65" s="523">
        <f t="shared" si="11"/>
        <v>0</v>
      </c>
      <c r="H65" s="477">
        <f t="shared" si="12"/>
        <v>0</v>
      </c>
      <c r="I65" s="500">
        <f t="shared" si="14"/>
        <v>0</v>
      </c>
      <c r="J65" s="500"/>
      <c r="K65" s="512"/>
      <c r="L65" s="504">
        <f t="shared" si="15"/>
        <v>0</v>
      </c>
      <c r="M65" s="512"/>
      <c r="N65" s="504">
        <f t="shared" si="16"/>
        <v>0</v>
      </c>
      <c r="O65" s="504">
        <f t="shared" si="17"/>
        <v>0</v>
      </c>
      <c r="P65" s="278"/>
      <c r="R65" s="243"/>
      <c r="S65" s="243"/>
      <c r="T65" s="243"/>
      <c r="U65" s="243"/>
    </row>
    <row r="66" spans="2:21" ht="12.5">
      <c r="B66" s="145" t="str">
        <f t="shared" si="6"/>
        <v/>
      </c>
      <c r="C66" s="495">
        <f>IF(D11="","-",+C65+1)</f>
        <v>2059</v>
      </c>
      <c r="D66" s="508">
        <f>IF(F65+SUM(E$17:E65)=D$10,F65,D$10-SUM(E$17:E65))</f>
        <v>0</v>
      </c>
      <c r="E66" s="509">
        <f>IF(+I14&lt;F65,I14,D66)</f>
        <v>0</v>
      </c>
      <c r="F66" s="510">
        <f t="shared" si="13"/>
        <v>0</v>
      </c>
      <c r="G66" s="523">
        <f t="shared" si="11"/>
        <v>0</v>
      </c>
      <c r="H66" s="477">
        <f t="shared" si="12"/>
        <v>0</v>
      </c>
      <c r="I66" s="500">
        <f t="shared" si="14"/>
        <v>0</v>
      </c>
      <c r="J66" s="500"/>
      <c r="K66" s="512"/>
      <c r="L66" s="504">
        <f t="shared" si="15"/>
        <v>0</v>
      </c>
      <c r="M66" s="512"/>
      <c r="N66" s="504">
        <f t="shared" si="16"/>
        <v>0</v>
      </c>
      <c r="O66" s="504">
        <f t="shared" si="17"/>
        <v>0</v>
      </c>
      <c r="P66" s="278"/>
      <c r="R66" s="243"/>
      <c r="S66" s="243"/>
      <c r="T66" s="243"/>
      <c r="U66" s="243"/>
    </row>
    <row r="67" spans="2:21" ht="12.5">
      <c r="B67" s="145" t="str">
        <f t="shared" si="6"/>
        <v/>
      </c>
      <c r="C67" s="495">
        <f>IF(D11="","-",+C66+1)</f>
        <v>2060</v>
      </c>
      <c r="D67" s="508">
        <f>IF(F66+SUM(E$17:E66)=D$10,F66,D$10-SUM(E$17:E66))</f>
        <v>0</v>
      </c>
      <c r="E67" s="509">
        <f>IF(+I14&lt;F66,I14,D67)</f>
        <v>0</v>
      </c>
      <c r="F67" s="510">
        <f t="shared" si="13"/>
        <v>0</v>
      </c>
      <c r="G67" s="523">
        <f t="shared" si="11"/>
        <v>0</v>
      </c>
      <c r="H67" s="477">
        <f t="shared" si="12"/>
        <v>0</v>
      </c>
      <c r="I67" s="500">
        <f t="shared" si="14"/>
        <v>0</v>
      </c>
      <c r="J67" s="500"/>
      <c r="K67" s="512"/>
      <c r="L67" s="504">
        <f t="shared" si="15"/>
        <v>0</v>
      </c>
      <c r="M67" s="512"/>
      <c r="N67" s="504">
        <f t="shared" si="16"/>
        <v>0</v>
      </c>
      <c r="O67" s="504">
        <f t="shared" si="17"/>
        <v>0</v>
      </c>
      <c r="P67" s="278"/>
      <c r="R67" s="243"/>
      <c r="S67" s="243"/>
      <c r="T67" s="243"/>
      <c r="U67" s="243"/>
    </row>
    <row r="68" spans="2:21" ht="12.5">
      <c r="B68" s="145" t="str">
        <f t="shared" si="6"/>
        <v/>
      </c>
      <c r="C68" s="495">
        <f>IF(D11="","-",+C67+1)</f>
        <v>2061</v>
      </c>
      <c r="D68" s="508">
        <f>IF(F67+SUM(E$17:E67)=D$10,F67,D$10-SUM(E$17:E67))</f>
        <v>0</v>
      </c>
      <c r="E68" s="509">
        <f>IF(+I14&lt;F67,I14,D68)</f>
        <v>0</v>
      </c>
      <c r="F68" s="510">
        <f t="shared" si="13"/>
        <v>0</v>
      </c>
      <c r="G68" s="523">
        <f t="shared" si="11"/>
        <v>0</v>
      </c>
      <c r="H68" s="477">
        <f t="shared" si="12"/>
        <v>0</v>
      </c>
      <c r="I68" s="500">
        <f t="shared" si="14"/>
        <v>0</v>
      </c>
      <c r="J68" s="500"/>
      <c r="K68" s="512"/>
      <c r="L68" s="504">
        <f t="shared" si="15"/>
        <v>0</v>
      </c>
      <c r="M68" s="512"/>
      <c r="N68" s="504">
        <f t="shared" si="16"/>
        <v>0</v>
      </c>
      <c r="O68" s="504">
        <f t="shared" si="17"/>
        <v>0</v>
      </c>
      <c r="P68" s="278"/>
      <c r="R68" s="243"/>
      <c r="S68" s="243"/>
      <c r="T68" s="243"/>
      <c r="U68" s="243"/>
    </row>
    <row r="69" spans="2:21" ht="12.5">
      <c r="B69" s="145" t="str">
        <f t="shared" si="6"/>
        <v/>
      </c>
      <c r="C69" s="495">
        <f>IF(D11="","-",+C68+1)</f>
        <v>2062</v>
      </c>
      <c r="D69" s="508">
        <f>IF(F68+SUM(E$17:E68)=D$10,F68,D$10-SUM(E$17:E68))</f>
        <v>0</v>
      </c>
      <c r="E69" s="509">
        <f>IF(+I14&lt;F68,I14,D69)</f>
        <v>0</v>
      </c>
      <c r="F69" s="510">
        <f t="shared" si="13"/>
        <v>0</v>
      </c>
      <c r="G69" s="523">
        <f t="shared" si="11"/>
        <v>0</v>
      </c>
      <c r="H69" s="477">
        <f t="shared" si="12"/>
        <v>0</v>
      </c>
      <c r="I69" s="500">
        <f t="shared" si="14"/>
        <v>0</v>
      </c>
      <c r="J69" s="500"/>
      <c r="K69" s="512"/>
      <c r="L69" s="504">
        <f t="shared" si="15"/>
        <v>0</v>
      </c>
      <c r="M69" s="512"/>
      <c r="N69" s="504">
        <f t="shared" si="16"/>
        <v>0</v>
      </c>
      <c r="O69" s="504">
        <f t="shared" si="17"/>
        <v>0</v>
      </c>
      <c r="P69" s="278"/>
      <c r="R69" s="243"/>
      <c r="S69" s="243"/>
      <c r="T69" s="243"/>
      <c r="U69" s="243"/>
    </row>
    <row r="70" spans="2:21" ht="12.5">
      <c r="B70" s="145" t="str">
        <f t="shared" si="6"/>
        <v/>
      </c>
      <c r="C70" s="495">
        <f>IF(D11="","-",+C69+1)</f>
        <v>2063</v>
      </c>
      <c r="D70" s="508">
        <f>IF(F69+SUM(E$17:E69)=D$10,F69,D$10-SUM(E$17:E69))</f>
        <v>0</v>
      </c>
      <c r="E70" s="509">
        <f>IF(+I14&lt;F69,I14,D70)</f>
        <v>0</v>
      </c>
      <c r="F70" s="510">
        <f t="shared" si="13"/>
        <v>0</v>
      </c>
      <c r="G70" s="523">
        <f t="shared" si="11"/>
        <v>0</v>
      </c>
      <c r="H70" s="477">
        <f t="shared" si="12"/>
        <v>0</v>
      </c>
      <c r="I70" s="500">
        <f t="shared" si="14"/>
        <v>0</v>
      </c>
      <c r="J70" s="500"/>
      <c r="K70" s="512"/>
      <c r="L70" s="504">
        <f t="shared" si="15"/>
        <v>0</v>
      </c>
      <c r="M70" s="512"/>
      <c r="N70" s="504">
        <f t="shared" si="16"/>
        <v>0</v>
      </c>
      <c r="O70" s="504">
        <f t="shared" si="17"/>
        <v>0</v>
      </c>
      <c r="P70" s="278"/>
      <c r="R70" s="243"/>
      <c r="S70" s="243"/>
      <c r="T70" s="243"/>
      <c r="U70" s="243"/>
    </row>
    <row r="71" spans="2:21" ht="12.5">
      <c r="B71" s="145" t="str">
        <f t="shared" si="6"/>
        <v/>
      </c>
      <c r="C71" s="495">
        <f>IF(D11="","-",+C70+1)</f>
        <v>2064</v>
      </c>
      <c r="D71" s="508">
        <f>IF(F70+SUM(E$17:E70)=D$10,F70,D$10-SUM(E$17:E70))</f>
        <v>0</v>
      </c>
      <c r="E71" s="509">
        <f>IF(+I14&lt;F70,I14,D71)</f>
        <v>0</v>
      </c>
      <c r="F71" s="510">
        <f t="shared" si="13"/>
        <v>0</v>
      </c>
      <c r="G71" s="523">
        <f t="shared" si="11"/>
        <v>0</v>
      </c>
      <c r="H71" s="477">
        <f t="shared" si="12"/>
        <v>0</v>
      </c>
      <c r="I71" s="500">
        <f t="shared" si="14"/>
        <v>0</v>
      </c>
      <c r="J71" s="500"/>
      <c r="K71" s="512"/>
      <c r="L71" s="504">
        <f t="shared" si="15"/>
        <v>0</v>
      </c>
      <c r="M71" s="512"/>
      <c r="N71" s="504">
        <f t="shared" si="16"/>
        <v>0</v>
      </c>
      <c r="O71" s="504">
        <f t="shared" si="17"/>
        <v>0</v>
      </c>
      <c r="P71" s="278"/>
      <c r="R71" s="243"/>
      <c r="S71" s="243"/>
      <c r="T71" s="243"/>
      <c r="U71" s="243"/>
    </row>
    <row r="72" spans="2:21" ht="12.5">
      <c r="B72" s="145" t="str">
        <f t="shared" si="6"/>
        <v/>
      </c>
      <c r="C72" s="495">
        <f>IF(D11="","-",+C71+1)</f>
        <v>2065</v>
      </c>
      <c r="D72" s="508">
        <f>IF(F71+SUM(E$17:E71)=D$10,F71,D$10-SUM(E$17:E71))</f>
        <v>0</v>
      </c>
      <c r="E72" s="509">
        <f>IF(+I14&lt;F71,I14,D72)</f>
        <v>0</v>
      </c>
      <c r="F72" s="510">
        <f t="shared" si="13"/>
        <v>0</v>
      </c>
      <c r="G72" s="523">
        <f t="shared" si="11"/>
        <v>0</v>
      </c>
      <c r="H72" s="477">
        <f t="shared" si="12"/>
        <v>0</v>
      </c>
      <c r="I72" s="500">
        <f t="shared" si="14"/>
        <v>0</v>
      </c>
      <c r="J72" s="500"/>
      <c r="K72" s="512"/>
      <c r="L72" s="504">
        <f t="shared" si="15"/>
        <v>0</v>
      </c>
      <c r="M72" s="512"/>
      <c r="N72" s="504">
        <f t="shared" si="16"/>
        <v>0</v>
      </c>
      <c r="O72" s="504">
        <f t="shared" si="17"/>
        <v>0</v>
      </c>
      <c r="P72" s="278"/>
      <c r="R72" s="243"/>
      <c r="S72" s="243"/>
      <c r="T72" s="243"/>
      <c r="U72" s="243"/>
    </row>
    <row r="73" spans="2:21" ht="13" thickBot="1">
      <c r="B73" s="145" t="str">
        <f t="shared" si="6"/>
        <v/>
      </c>
      <c r="C73" s="524">
        <f>IF(D11="","-",+C72+1)</f>
        <v>2066</v>
      </c>
      <c r="D73" s="525">
        <f>IF(F72+SUM(E$17:E72)=D$10,F72,D$10-SUM(E$17:E72))</f>
        <v>0</v>
      </c>
      <c r="E73" s="526">
        <f>IF(+I14&lt;F72,I14,D73)</f>
        <v>0</v>
      </c>
      <c r="F73" s="527">
        <f t="shared" si="13"/>
        <v>0</v>
      </c>
      <c r="G73" s="528">
        <f t="shared" si="11"/>
        <v>0</v>
      </c>
      <c r="H73" s="458">
        <f t="shared" si="12"/>
        <v>0</v>
      </c>
      <c r="I73" s="529">
        <f t="shared" si="14"/>
        <v>0</v>
      </c>
      <c r="J73" s="500"/>
      <c r="K73" s="530"/>
      <c r="L73" s="531">
        <f t="shared" si="15"/>
        <v>0</v>
      </c>
      <c r="M73" s="530"/>
      <c r="N73" s="531">
        <f t="shared" si="16"/>
        <v>0</v>
      </c>
      <c r="O73" s="531">
        <f t="shared" si="17"/>
        <v>0</v>
      </c>
      <c r="P73" s="278"/>
      <c r="R73" s="243"/>
      <c r="S73" s="243"/>
      <c r="T73" s="243"/>
      <c r="U73" s="243"/>
    </row>
    <row r="74" spans="2:21" ht="12.5">
      <c r="C74" s="349" t="s">
        <v>75</v>
      </c>
      <c r="D74" s="294"/>
      <c r="E74" s="294">
        <f>SUM(E17:E73)</f>
        <v>985777.33999999985</v>
      </c>
      <c r="F74" s="294"/>
      <c r="G74" s="294">
        <f>SUM(G17:G73)</f>
        <v>3067584.0785527215</v>
      </c>
      <c r="H74" s="294">
        <f>SUM(H17:H73)</f>
        <v>3067584.0785527215</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2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113764.92954880837</v>
      </c>
      <c r="N88" s="544">
        <f>IF(J93&lt;D11,0,VLOOKUP(J93,C17:O73,11))</f>
        <v>113764.92954880837</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116549.36150985645</v>
      </c>
      <c r="N89" s="548">
        <f>IF(J93&lt;D11,0,VLOOKUP(J93,C100:P155,7))</f>
        <v>116549.36150985645</v>
      </c>
      <c r="O89" s="549">
        <f>+N89-M89</f>
        <v>0</v>
      </c>
      <c r="P89" s="243"/>
      <c r="Q89" s="243"/>
      <c r="R89" s="243"/>
      <c r="S89" s="243"/>
      <c r="T89" s="243"/>
      <c r="U89" s="243"/>
    </row>
    <row r="90" spans="1:21" ht="13.5" thickBot="1">
      <c r="C90" s="454" t="s">
        <v>82</v>
      </c>
      <c r="D90" s="550" t="str">
        <f>+D7</f>
        <v>Coffeyville T to Dearing 138 kV Rebuild - 1.1 miles</v>
      </c>
      <c r="E90" s="243"/>
      <c r="F90" s="243"/>
      <c r="G90" s="243"/>
      <c r="H90" s="243"/>
      <c r="I90" s="325"/>
      <c r="J90" s="325"/>
      <c r="K90" s="551"/>
      <c r="L90" s="552" t="s">
        <v>135</v>
      </c>
      <c r="M90" s="553">
        <f>+M89-M88</f>
        <v>2784.4319610480743</v>
      </c>
      <c r="N90" s="553">
        <f>+N89-N88</f>
        <v>2784.4319610480743</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TP2008013</v>
      </c>
      <c r="E92" s="558"/>
      <c r="F92" s="558"/>
      <c r="G92" s="558"/>
      <c r="H92" s="558"/>
      <c r="I92" s="558"/>
      <c r="J92" s="558"/>
      <c r="K92" s="560"/>
      <c r="P92" s="468"/>
      <c r="Q92" s="243"/>
      <c r="R92" s="243"/>
      <c r="S92" s="243"/>
      <c r="T92" s="243"/>
      <c r="U92" s="243"/>
    </row>
    <row r="93" spans="1:21" ht="13">
      <c r="C93" s="472" t="s">
        <v>49</v>
      </c>
      <c r="D93" s="470">
        <f>IF(D11=I10,0,D10)</f>
        <v>985777.34</v>
      </c>
      <c r="E93" s="248" t="s">
        <v>84</v>
      </c>
      <c r="H93" s="408"/>
      <c r="I93" s="408"/>
      <c r="J93" s="471">
        <f>+'OKT.WS.G.BPU.ATRR.True-up'!M16</f>
        <v>2019</v>
      </c>
      <c r="K93" s="467"/>
      <c r="L93" s="294" t="s">
        <v>85</v>
      </c>
      <c r="P93" s="278"/>
      <c r="Q93" s="243"/>
      <c r="R93" s="243"/>
      <c r="S93" s="243"/>
      <c r="T93" s="243"/>
      <c r="U93" s="243"/>
    </row>
    <row r="94" spans="1:21" ht="12.5">
      <c r="C94" s="472" t="s">
        <v>52</v>
      </c>
      <c r="D94" s="561">
        <f>IF(D11=I10,"",D11)</f>
        <v>2010</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82">
        <f>IF(D11=I10,"",D12)</f>
        <v>6</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29872.040606060604</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55" si="18">IF(D100=F99,"","IU")</f>
        <v>IU</v>
      </c>
      <c r="C100" s="495">
        <f>IF(D94= "","-",D94)</f>
        <v>2010</v>
      </c>
      <c r="D100" s="496">
        <v>0</v>
      </c>
      <c r="E100" s="498">
        <v>8464.310344827587</v>
      </c>
      <c r="F100" s="505">
        <v>973395.68965517241</v>
      </c>
      <c r="G100" s="571">
        <v>486697.8448275862</v>
      </c>
      <c r="H100" s="571">
        <v>173914.12278230567</v>
      </c>
      <c r="I100" s="571">
        <v>173914.12278230567</v>
      </c>
      <c r="J100" s="504">
        <f t="shared" ref="J100:J131" si="19">+I100-H100</f>
        <v>0</v>
      </c>
      <c r="K100" s="504"/>
      <c r="L100" s="506">
        <f t="shared" ref="L100:L105" si="20">H100</f>
        <v>173914.12278230567</v>
      </c>
      <c r="M100" s="507">
        <f>IF(L100&lt;&gt;0,+H100-L100,0)</f>
        <v>0</v>
      </c>
      <c r="N100" s="506">
        <f t="shared" ref="N100:N105" si="21">I100</f>
        <v>173914.12278230567</v>
      </c>
      <c r="O100" s="503">
        <f t="shared" ref="O100:O131" si="22">IF(N100&lt;&gt;0,+I100-N100,0)</f>
        <v>0</v>
      </c>
      <c r="P100" s="503">
        <f t="shared" ref="P100:P131" si="23">+O100-M100</f>
        <v>0</v>
      </c>
      <c r="Q100" s="243"/>
      <c r="R100" s="243"/>
      <c r="S100" s="243"/>
      <c r="T100" s="243"/>
      <c r="U100" s="243"/>
    </row>
    <row r="101" spans="1:21" ht="12.5">
      <c r="B101" s="145" t="str">
        <f t="shared" si="18"/>
        <v/>
      </c>
      <c r="C101" s="495">
        <f>IF(D94="","-",+C100+1)</f>
        <v>2011</v>
      </c>
      <c r="D101" s="496">
        <v>973395.68965517241</v>
      </c>
      <c r="E101" s="498">
        <v>16996.161034482757</v>
      </c>
      <c r="F101" s="505">
        <v>956399.52862068964</v>
      </c>
      <c r="G101" s="505">
        <v>964897.60913793102</v>
      </c>
      <c r="H101" s="498">
        <v>88738.637904978968</v>
      </c>
      <c r="I101" s="499">
        <v>88738.637904978968</v>
      </c>
      <c r="J101" s="504">
        <v>0</v>
      </c>
      <c r="K101" s="504"/>
      <c r="L101" s="506">
        <f t="shared" si="20"/>
        <v>88738.637904978968</v>
      </c>
      <c r="M101" s="504">
        <f t="shared" ref="M101:M131" si="24">IF(L101&lt;&gt;0,+H101-L101,0)</f>
        <v>0</v>
      </c>
      <c r="N101" s="506">
        <f t="shared" si="21"/>
        <v>88738.637904978968</v>
      </c>
      <c r="O101" s="504">
        <f t="shared" si="22"/>
        <v>0</v>
      </c>
      <c r="P101" s="504">
        <f t="shared" si="23"/>
        <v>0</v>
      </c>
      <c r="Q101" s="243"/>
      <c r="R101" s="243"/>
      <c r="S101" s="243"/>
      <c r="T101" s="243"/>
      <c r="U101" s="243"/>
    </row>
    <row r="102" spans="1:21" ht="12.5">
      <c r="B102" s="145" t="str">
        <f t="shared" si="18"/>
        <v>IU</v>
      </c>
      <c r="C102" s="495">
        <f>IF(D94="","-",+C101+1)</f>
        <v>2012</v>
      </c>
      <c r="D102" s="496">
        <v>960316.86862068961</v>
      </c>
      <c r="E102" s="498">
        <v>16996.161034482757</v>
      </c>
      <c r="F102" s="505">
        <v>943320.70758620685</v>
      </c>
      <c r="G102" s="505">
        <v>951818.78810344823</v>
      </c>
      <c r="H102" s="498">
        <v>113462.4664066085</v>
      </c>
      <c r="I102" s="499">
        <v>113462.4664066085</v>
      </c>
      <c r="J102" s="504">
        <v>0</v>
      </c>
      <c r="K102" s="504"/>
      <c r="L102" s="506">
        <f t="shared" si="20"/>
        <v>113462.4664066085</v>
      </c>
      <c r="M102" s="504">
        <f t="shared" ref="M102:M107" si="25">IF(L102&lt;&gt;0,+H102-L102,0)</f>
        <v>0</v>
      </c>
      <c r="N102" s="506">
        <f t="shared" si="21"/>
        <v>113462.4664066085</v>
      </c>
      <c r="O102" s="504">
        <f>IF(N102&lt;&gt;0,+I102-N102,0)</f>
        <v>0</v>
      </c>
      <c r="P102" s="504">
        <f>+O102-M102</f>
        <v>0</v>
      </c>
      <c r="Q102" s="243"/>
      <c r="R102" s="243"/>
      <c r="S102" s="243"/>
      <c r="T102" s="243"/>
      <c r="U102" s="243"/>
    </row>
    <row r="103" spans="1:21" ht="12.5">
      <c r="B103" s="145" t="str">
        <f t="shared" si="18"/>
        <v/>
      </c>
      <c r="C103" s="495">
        <f>IF(D94="","-",+C102+1)</f>
        <v>2013</v>
      </c>
      <c r="D103" s="496">
        <v>943320.70758620685</v>
      </c>
      <c r="E103" s="498">
        <v>16996.161034482757</v>
      </c>
      <c r="F103" s="505">
        <v>926324.54655172408</v>
      </c>
      <c r="G103" s="505">
        <v>934822.62706896546</v>
      </c>
      <c r="H103" s="498">
        <v>123248.05893507614</v>
      </c>
      <c r="I103" s="499">
        <v>123248.05893507614</v>
      </c>
      <c r="J103" s="504">
        <v>0</v>
      </c>
      <c r="K103" s="504"/>
      <c r="L103" s="506">
        <f t="shared" si="20"/>
        <v>123248.05893507614</v>
      </c>
      <c r="M103" s="504">
        <f t="shared" si="25"/>
        <v>0</v>
      </c>
      <c r="N103" s="506">
        <f t="shared" si="21"/>
        <v>123248.05893507614</v>
      </c>
      <c r="O103" s="504">
        <f>IF(N103&lt;&gt;0,+I103-N103,0)</f>
        <v>0</v>
      </c>
      <c r="P103" s="504">
        <f>+O103-M103</f>
        <v>0</v>
      </c>
      <c r="Q103" s="243"/>
      <c r="R103" s="243"/>
      <c r="S103" s="243"/>
      <c r="T103" s="243"/>
      <c r="U103" s="243"/>
    </row>
    <row r="104" spans="1:21" ht="12.5">
      <c r="B104" s="145" t="str">
        <f t="shared" si="18"/>
        <v/>
      </c>
      <c r="C104" s="495">
        <f>IF(D94="","-",+C103+1)</f>
        <v>2014</v>
      </c>
      <c r="D104" s="496">
        <v>926324.54655172408</v>
      </c>
      <c r="E104" s="498">
        <v>16996.161034482757</v>
      </c>
      <c r="F104" s="505">
        <v>909328.38551724132</v>
      </c>
      <c r="G104" s="505">
        <v>917826.4660344827</v>
      </c>
      <c r="H104" s="498">
        <v>115702.36527195803</v>
      </c>
      <c r="I104" s="499">
        <v>115702.36527195803</v>
      </c>
      <c r="J104" s="504">
        <v>0</v>
      </c>
      <c r="K104" s="504"/>
      <c r="L104" s="506">
        <f t="shared" si="20"/>
        <v>115702.36527195803</v>
      </c>
      <c r="M104" s="504">
        <f t="shared" si="25"/>
        <v>0</v>
      </c>
      <c r="N104" s="506">
        <f t="shared" si="21"/>
        <v>115702.36527195803</v>
      </c>
      <c r="O104" s="504">
        <f>IF(N104&lt;&gt;0,+I104-N104,0)</f>
        <v>0</v>
      </c>
      <c r="P104" s="504">
        <f>+O104-M104</f>
        <v>0</v>
      </c>
      <c r="Q104" s="243"/>
      <c r="R104" s="243"/>
      <c r="S104" s="243"/>
      <c r="T104" s="243"/>
      <c r="U104" s="243"/>
    </row>
    <row r="105" spans="1:21" ht="12.5">
      <c r="B105" s="145" t="str">
        <f t="shared" si="18"/>
        <v/>
      </c>
      <c r="C105" s="495">
        <f>IF(D94="","-",+C104+1)</f>
        <v>2015</v>
      </c>
      <c r="D105" s="496">
        <v>909328.38551724132</v>
      </c>
      <c r="E105" s="498">
        <v>20537.027916666666</v>
      </c>
      <c r="F105" s="505">
        <v>888791.35760057461</v>
      </c>
      <c r="G105" s="505">
        <v>899059.87155890791</v>
      </c>
      <c r="H105" s="498">
        <v>120628.84968807173</v>
      </c>
      <c r="I105" s="499">
        <v>120628.84968807173</v>
      </c>
      <c r="J105" s="504">
        <f t="shared" si="19"/>
        <v>0</v>
      </c>
      <c r="K105" s="504"/>
      <c r="L105" s="506">
        <f t="shared" si="20"/>
        <v>120628.84968807173</v>
      </c>
      <c r="M105" s="504">
        <f t="shared" si="25"/>
        <v>0</v>
      </c>
      <c r="N105" s="506">
        <f t="shared" si="21"/>
        <v>120628.84968807173</v>
      </c>
      <c r="O105" s="504">
        <f t="shared" si="22"/>
        <v>0</v>
      </c>
      <c r="P105" s="504">
        <f t="shared" si="23"/>
        <v>0</v>
      </c>
      <c r="Q105" s="243"/>
      <c r="R105" s="243"/>
      <c r="S105" s="243"/>
      <c r="T105" s="243"/>
      <c r="U105" s="243"/>
    </row>
    <row r="106" spans="1:21" ht="12.5">
      <c r="B106" s="145" t="str">
        <f t="shared" si="18"/>
        <v/>
      </c>
      <c r="C106" s="495">
        <f>IF(D94="","-",+C105+1)</f>
        <v>2016</v>
      </c>
      <c r="D106" s="496">
        <v>888791.35760057461</v>
      </c>
      <c r="E106" s="498">
        <v>19328.967450980392</v>
      </c>
      <c r="F106" s="505">
        <v>869462.39014959417</v>
      </c>
      <c r="G106" s="505">
        <v>879126.87387508433</v>
      </c>
      <c r="H106" s="498">
        <v>114599.47152988262</v>
      </c>
      <c r="I106" s="499">
        <v>114599.47152988262</v>
      </c>
      <c r="J106" s="504">
        <f t="shared" si="19"/>
        <v>0</v>
      </c>
      <c r="K106" s="504"/>
      <c r="L106" s="506">
        <f>H106</f>
        <v>114599.47152988262</v>
      </c>
      <c r="M106" s="504">
        <f t="shared" si="25"/>
        <v>0</v>
      </c>
      <c r="N106" s="506">
        <f>I106</f>
        <v>114599.47152988262</v>
      </c>
      <c r="O106" s="504">
        <f>IF(N106&lt;&gt;0,+I106-N106,0)</f>
        <v>0</v>
      </c>
      <c r="P106" s="504">
        <f>+O106-M106</f>
        <v>0</v>
      </c>
      <c r="Q106" s="243"/>
      <c r="R106" s="243"/>
      <c r="S106" s="243"/>
      <c r="T106" s="243"/>
      <c r="U106" s="243"/>
    </row>
    <row r="107" spans="1:21" ht="12.5">
      <c r="B107" s="145" t="str">
        <f t="shared" si="18"/>
        <v/>
      </c>
      <c r="C107" s="495">
        <f>IF(D94="","-",+C106+1)</f>
        <v>2017</v>
      </c>
      <c r="D107" s="496">
        <v>869462.39014959417</v>
      </c>
      <c r="E107" s="498">
        <v>24644.433499999999</v>
      </c>
      <c r="F107" s="505">
        <v>844817.95664959413</v>
      </c>
      <c r="G107" s="505">
        <v>857140.17339959415</v>
      </c>
      <c r="H107" s="498">
        <v>125217.71649626724</v>
      </c>
      <c r="I107" s="499">
        <v>125217.71649626724</v>
      </c>
      <c r="J107" s="504">
        <f t="shared" si="19"/>
        <v>0</v>
      </c>
      <c r="K107" s="504"/>
      <c r="L107" s="506">
        <f>H107</f>
        <v>125217.71649626724</v>
      </c>
      <c r="M107" s="504">
        <f t="shared" si="25"/>
        <v>0</v>
      </c>
      <c r="N107" s="506">
        <f>I107</f>
        <v>125217.71649626724</v>
      </c>
      <c r="O107" s="504">
        <f>IF(N107&lt;&gt;0,+I107-N107,0)</f>
        <v>0</v>
      </c>
      <c r="P107" s="504">
        <f>+O107-M107</f>
        <v>0</v>
      </c>
      <c r="Q107" s="243"/>
      <c r="R107" s="243"/>
      <c r="S107" s="243"/>
      <c r="T107" s="243"/>
      <c r="U107" s="243"/>
    </row>
    <row r="108" spans="1:21" ht="12.5">
      <c r="B108" s="145" t="str">
        <f t="shared" si="18"/>
        <v/>
      </c>
      <c r="C108" s="495">
        <f>IF(D94="","-",+C107+1)</f>
        <v>2018</v>
      </c>
      <c r="D108" s="496">
        <v>844817.95664959413</v>
      </c>
      <c r="E108" s="498">
        <v>27382.703888888889</v>
      </c>
      <c r="F108" s="505">
        <v>817435.25276070519</v>
      </c>
      <c r="G108" s="505">
        <v>831126.60470514966</v>
      </c>
      <c r="H108" s="498">
        <v>115118.46379296975</v>
      </c>
      <c r="I108" s="499">
        <v>115118.46379296975</v>
      </c>
      <c r="J108" s="504">
        <f t="shared" si="19"/>
        <v>0</v>
      </c>
      <c r="K108" s="504"/>
      <c r="L108" s="506">
        <f>H108</f>
        <v>115118.46379296975</v>
      </c>
      <c r="M108" s="504">
        <f t="shared" ref="M108" si="26">IF(L108&lt;&gt;0,+H108-L108,0)</f>
        <v>0</v>
      </c>
      <c r="N108" s="506">
        <f>I108</f>
        <v>115118.46379296975</v>
      </c>
      <c r="O108" s="504">
        <f>IF(N108&lt;&gt;0,+I108-N108,0)</f>
        <v>0</v>
      </c>
      <c r="P108" s="504">
        <f>+O108-M108</f>
        <v>0</v>
      </c>
      <c r="Q108" s="243"/>
      <c r="R108" s="243"/>
      <c r="S108" s="243"/>
      <c r="T108" s="243"/>
      <c r="U108" s="243"/>
    </row>
    <row r="109" spans="1:21" ht="12.5">
      <c r="B109" s="145" t="str">
        <f t="shared" si="18"/>
        <v/>
      </c>
      <c r="C109" s="495">
        <f>IF(D94="","-",+C108+1)</f>
        <v>2019</v>
      </c>
      <c r="D109" s="349">
        <f>IF(F108+SUM(E$100:E108)=D$93,F108,D$93-SUM(E$100:E108))</f>
        <v>817435.25276070519</v>
      </c>
      <c r="E109" s="509">
        <f>IF(+J97&lt;F108,J97,D109)</f>
        <v>29872.040606060604</v>
      </c>
      <c r="F109" s="510">
        <f t="shared" ref="F109:F131" si="27">+D109-E109</f>
        <v>787563.21215464454</v>
      </c>
      <c r="G109" s="510">
        <f t="shared" ref="G109:G131" si="28">+(F109+D109)/2</f>
        <v>802499.23245767481</v>
      </c>
      <c r="H109" s="523">
        <f t="shared" ref="H109:H155" si="29">+J$95*G109+E109</f>
        <v>116549.36150985645</v>
      </c>
      <c r="I109" s="572">
        <f t="shared" ref="I109:I155" si="30">+J$96*G109+E109</f>
        <v>116549.36150985645</v>
      </c>
      <c r="J109" s="504">
        <f t="shared" si="19"/>
        <v>0</v>
      </c>
      <c r="K109" s="504"/>
      <c r="L109" s="512"/>
      <c r="M109" s="504">
        <f t="shared" si="24"/>
        <v>0</v>
      </c>
      <c r="N109" s="512"/>
      <c r="O109" s="504">
        <f t="shared" si="22"/>
        <v>0</v>
      </c>
      <c r="P109" s="504">
        <f t="shared" si="23"/>
        <v>0</v>
      </c>
      <c r="Q109" s="243"/>
      <c r="R109" s="243"/>
      <c r="S109" s="243"/>
      <c r="T109" s="243"/>
      <c r="U109" s="243"/>
    </row>
    <row r="110" spans="1:21" ht="12.5">
      <c r="B110" s="145" t="str">
        <f t="shared" si="18"/>
        <v/>
      </c>
      <c r="C110" s="495">
        <f>IF(D94="","-",+C109+1)</f>
        <v>2020</v>
      </c>
      <c r="D110" s="349">
        <f>IF(F109+SUM(E$100:E109)=D$93,F109,D$93-SUM(E$100:E109))</f>
        <v>787563.21215464454</v>
      </c>
      <c r="E110" s="509">
        <f>IF(+J97&lt;F109,J97,D110)</f>
        <v>29872.040606060604</v>
      </c>
      <c r="F110" s="510">
        <f t="shared" si="27"/>
        <v>757691.17154858389</v>
      </c>
      <c r="G110" s="510">
        <f t="shared" si="28"/>
        <v>772627.19185161428</v>
      </c>
      <c r="H110" s="523">
        <f t="shared" si="29"/>
        <v>113322.90552717201</v>
      </c>
      <c r="I110" s="572">
        <f t="shared" si="30"/>
        <v>113322.90552717201</v>
      </c>
      <c r="J110" s="504">
        <f t="shared" si="19"/>
        <v>0</v>
      </c>
      <c r="K110" s="504"/>
      <c r="L110" s="512"/>
      <c r="M110" s="504">
        <f t="shared" si="24"/>
        <v>0</v>
      </c>
      <c r="N110" s="512"/>
      <c r="O110" s="504">
        <f t="shared" si="22"/>
        <v>0</v>
      </c>
      <c r="P110" s="504">
        <f t="shared" si="23"/>
        <v>0</v>
      </c>
      <c r="Q110" s="243"/>
      <c r="R110" s="243"/>
      <c r="S110" s="243"/>
      <c r="T110" s="243"/>
      <c r="U110" s="243"/>
    </row>
    <row r="111" spans="1:21" ht="12.5">
      <c r="B111" s="145" t="str">
        <f t="shared" si="18"/>
        <v/>
      </c>
      <c r="C111" s="495">
        <f>IF(D94="","-",+C110+1)</f>
        <v>2021</v>
      </c>
      <c r="D111" s="349">
        <f>IF(F110+SUM(E$100:E110)=D$93,F110,D$93-SUM(E$100:E110))</f>
        <v>757691.17154858389</v>
      </c>
      <c r="E111" s="509">
        <f>IF(+J97&lt;F110,J97,D111)</f>
        <v>29872.040606060604</v>
      </c>
      <c r="F111" s="510">
        <f t="shared" si="27"/>
        <v>727819.13094252325</v>
      </c>
      <c r="G111" s="510">
        <f t="shared" si="28"/>
        <v>742755.15124555351</v>
      </c>
      <c r="H111" s="523">
        <f t="shared" si="29"/>
        <v>110096.44954448755</v>
      </c>
      <c r="I111" s="572">
        <f t="shared" si="30"/>
        <v>110096.44954448755</v>
      </c>
      <c r="J111" s="504">
        <f t="shared" si="19"/>
        <v>0</v>
      </c>
      <c r="K111" s="504"/>
      <c r="L111" s="512"/>
      <c r="M111" s="504">
        <f t="shared" si="24"/>
        <v>0</v>
      </c>
      <c r="N111" s="512"/>
      <c r="O111" s="504">
        <f t="shared" si="22"/>
        <v>0</v>
      </c>
      <c r="P111" s="504">
        <f t="shared" si="23"/>
        <v>0</v>
      </c>
      <c r="Q111" s="243"/>
      <c r="R111" s="243"/>
      <c r="S111" s="243"/>
      <c r="T111" s="243"/>
      <c r="U111" s="243"/>
    </row>
    <row r="112" spans="1:21" ht="12.5">
      <c r="B112" s="145" t="str">
        <f t="shared" si="18"/>
        <v/>
      </c>
      <c r="C112" s="495">
        <f>IF(D94="","-",+C111+1)</f>
        <v>2022</v>
      </c>
      <c r="D112" s="349">
        <f>IF(F111+SUM(E$100:E111)=D$93,F111,D$93-SUM(E$100:E111))</f>
        <v>727819.13094252325</v>
      </c>
      <c r="E112" s="509">
        <f>IF(+J97&lt;F111,J97,D112)</f>
        <v>29872.040606060604</v>
      </c>
      <c r="F112" s="510">
        <f t="shared" si="27"/>
        <v>697947.0903364626</v>
      </c>
      <c r="G112" s="510">
        <f t="shared" si="28"/>
        <v>712883.11063949298</v>
      </c>
      <c r="H112" s="523">
        <f t="shared" si="29"/>
        <v>106869.99356180313</v>
      </c>
      <c r="I112" s="572">
        <f t="shared" si="30"/>
        <v>106869.99356180313</v>
      </c>
      <c r="J112" s="504">
        <f t="shared" si="19"/>
        <v>0</v>
      </c>
      <c r="K112" s="504"/>
      <c r="L112" s="512"/>
      <c r="M112" s="504">
        <f t="shared" si="24"/>
        <v>0</v>
      </c>
      <c r="N112" s="512"/>
      <c r="O112" s="504">
        <f t="shared" si="22"/>
        <v>0</v>
      </c>
      <c r="P112" s="504">
        <f t="shared" si="23"/>
        <v>0</v>
      </c>
      <c r="Q112" s="243"/>
      <c r="R112" s="243"/>
      <c r="S112" s="243"/>
      <c r="T112" s="243"/>
      <c r="U112" s="243"/>
    </row>
    <row r="113" spans="2:21" ht="12.5">
      <c r="B113" s="145" t="str">
        <f t="shared" si="18"/>
        <v/>
      </c>
      <c r="C113" s="495">
        <f>IF(D94="","-",+C112+1)</f>
        <v>2023</v>
      </c>
      <c r="D113" s="349">
        <f>IF(F112+SUM(E$100:E112)=D$93,F112,D$93-SUM(E$100:E112))</f>
        <v>697947.0903364626</v>
      </c>
      <c r="E113" s="509">
        <f>IF(+J97&lt;F112,J97,D113)</f>
        <v>29872.040606060604</v>
      </c>
      <c r="F113" s="510">
        <f t="shared" si="27"/>
        <v>668075.04973040195</v>
      </c>
      <c r="G113" s="510">
        <f t="shared" si="28"/>
        <v>683011.07003343222</v>
      </c>
      <c r="H113" s="523">
        <f t="shared" si="29"/>
        <v>103643.53757911867</v>
      </c>
      <c r="I113" s="572">
        <f t="shared" si="30"/>
        <v>103643.53757911867</v>
      </c>
      <c r="J113" s="504">
        <f t="shared" si="19"/>
        <v>0</v>
      </c>
      <c r="K113" s="504"/>
      <c r="L113" s="512"/>
      <c r="M113" s="504">
        <f t="shared" si="24"/>
        <v>0</v>
      </c>
      <c r="N113" s="512"/>
      <c r="O113" s="504">
        <f t="shared" si="22"/>
        <v>0</v>
      </c>
      <c r="P113" s="504">
        <f t="shared" si="23"/>
        <v>0</v>
      </c>
      <c r="Q113" s="243"/>
      <c r="R113" s="243"/>
      <c r="S113" s="243"/>
      <c r="T113" s="243"/>
      <c r="U113" s="243"/>
    </row>
    <row r="114" spans="2:21" ht="12.5">
      <c r="B114" s="145" t="str">
        <f t="shared" si="18"/>
        <v/>
      </c>
      <c r="C114" s="495">
        <f>IF(D94="","-",+C113+1)</f>
        <v>2024</v>
      </c>
      <c r="D114" s="349">
        <f>IF(F113+SUM(E$100:E113)=D$93,F113,D$93-SUM(E$100:E113))</f>
        <v>668075.04973040242</v>
      </c>
      <c r="E114" s="509">
        <f>IF(+J97&lt;F113,J97,D114)</f>
        <v>29872.040606060604</v>
      </c>
      <c r="F114" s="510">
        <f t="shared" si="27"/>
        <v>638203.00912434177</v>
      </c>
      <c r="G114" s="510">
        <f t="shared" si="28"/>
        <v>653139.02942737215</v>
      </c>
      <c r="H114" s="523">
        <f t="shared" si="29"/>
        <v>100417.08159643429</v>
      </c>
      <c r="I114" s="572">
        <f t="shared" si="30"/>
        <v>100417.08159643429</v>
      </c>
      <c r="J114" s="504">
        <f t="shared" si="19"/>
        <v>0</v>
      </c>
      <c r="K114" s="504"/>
      <c r="L114" s="512"/>
      <c r="M114" s="504">
        <f t="shared" si="24"/>
        <v>0</v>
      </c>
      <c r="N114" s="512"/>
      <c r="O114" s="504">
        <f t="shared" si="22"/>
        <v>0</v>
      </c>
      <c r="P114" s="504">
        <f t="shared" si="23"/>
        <v>0</v>
      </c>
      <c r="Q114" s="243"/>
      <c r="R114" s="243"/>
      <c r="S114" s="243"/>
      <c r="T114" s="243"/>
      <c r="U114" s="243"/>
    </row>
    <row r="115" spans="2:21" ht="12.5">
      <c r="B115" s="145" t="str">
        <f t="shared" si="18"/>
        <v/>
      </c>
      <c r="C115" s="495">
        <f>IF(D94="","-",+C114+1)</f>
        <v>2025</v>
      </c>
      <c r="D115" s="349">
        <f>IF(F114+SUM(E$100:E114)=D$93,F114,D$93-SUM(E$100:E114))</f>
        <v>638203.00912434177</v>
      </c>
      <c r="E115" s="509">
        <f>IF(+J97&lt;F114,J97,D115)</f>
        <v>29872.040606060604</v>
      </c>
      <c r="F115" s="510">
        <f t="shared" si="27"/>
        <v>608330.96851828112</v>
      </c>
      <c r="G115" s="510">
        <f t="shared" si="28"/>
        <v>623266.98882131139</v>
      </c>
      <c r="H115" s="523">
        <f t="shared" si="29"/>
        <v>97190.625613749828</v>
      </c>
      <c r="I115" s="572">
        <f t="shared" si="30"/>
        <v>97190.625613749828</v>
      </c>
      <c r="J115" s="504">
        <f t="shared" si="19"/>
        <v>0</v>
      </c>
      <c r="K115" s="504"/>
      <c r="L115" s="512"/>
      <c r="M115" s="504">
        <f t="shared" si="24"/>
        <v>0</v>
      </c>
      <c r="N115" s="512"/>
      <c r="O115" s="504">
        <f t="shared" si="22"/>
        <v>0</v>
      </c>
      <c r="P115" s="504">
        <f t="shared" si="23"/>
        <v>0</v>
      </c>
      <c r="Q115" s="243"/>
      <c r="R115" s="243"/>
      <c r="S115" s="243"/>
      <c r="T115" s="243"/>
      <c r="U115" s="243"/>
    </row>
    <row r="116" spans="2:21" ht="12.5">
      <c r="B116" s="145" t="str">
        <f t="shared" si="18"/>
        <v/>
      </c>
      <c r="C116" s="495">
        <f>IF(D94="","-",+C115+1)</f>
        <v>2026</v>
      </c>
      <c r="D116" s="349">
        <f>IF(F115+SUM(E$100:E115)=D$93,F115,D$93-SUM(E$100:E115))</f>
        <v>608330.96851828112</v>
      </c>
      <c r="E116" s="509">
        <f>IF(+J97&lt;F115,J97,D116)</f>
        <v>29872.040606060604</v>
      </c>
      <c r="F116" s="510">
        <f t="shared" si="27"/>
        <v>578458.92791222048</v>
      </c>
      <c r="G116" s="510">
        <f t="shared" si="28"/>
        <v>593394.94821525086</v>
      </c>
      <c r="H116" s="523">
        <f t="shared" si="29"/>
        <v>93964.169631065393</v>
      </c>
      <c r="I116" s="572">
        <f t="shared" si="30"/>
        <v>93964.169631065393</v>
      </c>
      <c r="J116" s="504">
        <f t="shared" si="19"/>
        <v>0</v>
      </c>
      <c r="K116" s="504"/>
      <c r="L116" s="512"/>
      <c r="M116" s="504">
        <f t="shared" si="24"/>
        <v>0</v>
      </c>
      <c r="N116" s="512"/>
      <c r="O116" s="504">
        <f t="shared" si="22"/>
        <v>0</v>
      </c>
      <c r="P116" s="504">
        <f t="shared" si="23"/>
        <v>0</v>
      </c>
      <c r="Q116" s="243"/>
      <c r="R116" s="243"/>
      <c r="S116" s="243"/>
      <c r="T116" s="243"/>
      <c r="U116" s="243"/>
    </row>
    <row r="117" spans="2:21" ht="12.5">
      <c r="B117" s="145" t="str">
        <f t="shared" si="18"/>
        <v/>
      </c>
      <c r="C117" s="495">
        <f>IF(D94="","-",+C116+1)</f>
        <v>2027</v>
      </c>
      <c r="D117" s="349">
        <f>IF(F116+SUM(E$100:E116)=D$93,F116,D$93-SUM(E$100:E116))</f>
        <v>578458.92791222048</v>
      </c>
      <c r="E117" s="509">
        <f>IF(+J97&lt;F116,J97,D117)</f>
        <v>29872.040606060604</v>
      </c>
      <c r="F117" s="510">
        <f t="shared" si="27"/>
        <v>548586.88730615983</v>
      </c>
      <c r="G117" s="510">
        <f t="shared" si="28"/>
        <v>563522.90760919009</v>
      </c>
      <c r="H117" s="523">
        <f t="shared" si="29"/>
        <v>90737.713648380945</v>
      </c>
      <c r="I117" s="572">
        <f t="shared" si="30"/>
        <v>90737.713648380945</v>
      </c>
      <c r="J117" s="504">
        <f t="shared" si="19"/>
        <v>0</v>
      </c>
      <c r="K117" s="504"/>
      <c r="L117" s="512"/>
      <c r="M117" s="504">
        <f t="shared" si="24"/>
        <v>0</v>
      </c>
      <c r="N117" s="512"/>
      <c r="O117" s="504">
        <f t="shared" si="22"/>
        <v>0</v>
      </c>
      <c r="P117" s="504">
        <f t="shared" si="23"/>
        <v>0</v>
      </c>
      <c r="Q117" s="243"/>
      <c r="R117" s="243"/>
      <c r="S117" s="243"/>
      <c r="T117" s="243"/>
      <c r="U117" s="243"/>
    </row>
    <row r="118" spans="2:21" ht="12.5">
      <c r="B118" s="145" t="str">
        <f t="shared" si="18"/>
        <v/>
      </c>
      <c r="C118" s="495">
        <f>IF(D94="","-",+C117+1)</f>
        <v>2028</v>
      </c>
      <c r="D118" s="349">
        <f>IF(F117+SUM(E$100:E117)=D$93,F117,D$93-SUM(E$100:E117))</f>
        <v>548586.88730615983</v>
      </c>
      <c r="E118" s="509">
        <f>IF(+J97&lt;F117,J97,D118)</f>
        <v>29872.040606060604</v>
      </c>
      <c r="F118" s="510">
        <f t="shared" si="27"/>
        <v>518714.84670009924</v>
      </c>
      <c r="G118" s="510">
        <f t="shared" si="28"/>
        <v>533650.86700312956</v>
      </c>
      <c r="H118" s="523">
        <f t="shared" si="29"/>
        <v>87511.257665696525</v>
      </c>
      <c r="I118" s="572">
        <f t="shared" si="30"/>
        <v>87511.257665696525</v>
      </c>
      <c r="J118" s="504">
        <f t="shared" si="19"/>
        <v>0</v>
      </c>
      <c r="K118" s="504"/>
      <c r="L118" s="512"/>
      <c r="M118" s="504">
        <f t="shared" si="24"/>
        <v>0</v>
      </c>
      <c r="N118" s="512"/>
      <c r="O118" s="504">
        <f t="shared" si="22"/>
        <v>0</v>
      </c>
      <c r="P118" s="504">
        <f t="shared" si="23"/>
        <v>0</v>
      </c>
      <c r="Q118" s="243"/>
      <c r="R118" s="243"/>
      <c r="S118" s="243"/>
      <c r="T118" s="243"/>
      <c r="U118" s="243"/>
    </row>
    <row r="119" spans="2:21" ht="12.5">
      <c r="B119" s="145" t="str">
        <f t="shared" si="18"/>
        <v/>
      </c>
      <c r="C119" s="495">
        <f>IF(D94="","-",+C118+1)</f>
        <v>2029</v>
      </c>
      <c r="D119" s="349">
        <f>IF(F118+SUM(E$100:E118)=D$93,F118,D$93-SUM(E$100:E118))</f>
        <v>518714.84670009924</v>
      </c>
      <c r="E119" s="509">
        <f>IF(+J97&lt;F118,J97,D119)</f>
        <v>29872.040606060604</v>
      </c>
      <c r="F119" s="510">
        <f t="shared" si="27"/>
        <v>488842.80609403865</v>
      </c>
      <c r="G119" s="510">
        <f t="shared" si="28"/>
        <v>503778.82639706891</v>
      </c>
      <c r="H119" s="523">
        <f t="shared" si="29"/>
        <v>84284.801683012076</v>
      </c>
      <c r="I119" s="572">
        <f t="shared" si="30"/>
        <v>84284.801683012076</v>
      </c>
      <c r="J119" s="504">
        <f t="shared" si="19"/>
        <v>0</v>
      </c>
      <c r="K119" s="504"/>
      <c r="L119" s="512"/>
      <c r="M119" s="504">
        <f t="shared" si="24"/>
        <v>0</v>
      </c>
      <c r="N119" s="512"/>
      <c r="O119" s="504">
        <f t="shared" si="22"/>
        <v>0</v>
      </c>
      <c r="P119" s="504">
        <f t="shared" si="23"/>
        <v>0</v>
      </c>
      <c r="Q119" s="243"/>
      <c r="R119" s="243"/>
      <c r="S119" s="243"/>
      <c r="T119" s="243"/>
      <c r="U119" s="243"/>
    </row>
    <row r="120" spans="2:21" ht="12.5">
      <c r="B120" s="145" t="str">
        <f t="shared" si="18"/>
        <v/>
      </c>
      <c r="C120" s="495">
        <f>IF(D94="","-",+C119+1)</f>
        <v>2030</v>
      </c>
      <c r="D120" s="349">
        <f>IF(F119+SUM(E$100:E119)=D$93,F119,D$93-SUM(E$100:E119))</f>
        <v>488842.80609403865</v>
      </c>
      <c r="E120" s="509">
        <f>IF(+J97&lt;F119,J97,D120)</f>
        <v>29872.040606060604</v>
      </c>
      <c r="F120" s="510">
        <f t="shared" si="27"/>
        <v>458970.76548797806</v>
      </c>
      <c r="G120" s="510">
        <f t="shared" si="28"/>
        <v>473906.78579100838</v>
      </c>
      <c r="H120" s="523">
        <f t="shared" si="29"/>
        <v>81058.345700327642</v>
      </c>
      <c r="I120" s="572">
        <f t="shared" si="30"/>
        <v>81058.345700327642</v>
      </c>
      <c r="J120" s="504">
        <f t="shared" si="19"/>
        <v>0</v>
      </c>
      <c r="K120" s="504"/>
      <c r="L120" s="512"/>
      <c r="M120" s="504">
        <f t="shared" si="24"/>
        <v>0</v>
      </c>
      <c r="N120" s="512"/>
      <c r="O120" s="504">
        <f t="shared" si="22"/>
        <v>0</v>
      </c>
      <c r="P120" s="504">
        <f t="shared" si="23"/>
        <v>0</v>
      </c>
      <c r="Q120" s="243"/>
      <c r="R120" s="243"/>
      <c r="S120" s="243"/>
      <c r="T120" s="243"/>
      <c r="U120" s="243"/>
    </row>
    <row r="121" spans="2:21" ht="12.5">
      <c r="B121" s="145" t="str">
        <f t="shared" si="18"/>
        <v/>
      </c>
      <c r="C121" s="495">
        <f>IF(D94="","-",+C120+1)</f>
        <v>2031</v>
      </c>
      <c r="D121" s="349">
        <f>IF(F120+SUM(E$100:E120)=D$93,F120,D$93-SUM(E$100:E120))</f>
        <v>458970.76548797806</v>
      </c>
      <c r="E121" s="509">
        <f>IF(+J97&lt;F120,J97,D121)</f>
        <v>29872.040606060604</v>
      </c>
      <c r="F121" s="510">
        <f t="shared" si="27"/>
        <v>429098.72488191747</v>
      </c>
      <c r="G121" s="510">
        <f t="shared" si="28"/>
        <v>444034.74518494774</v>
      </c>
      <c r="H121" s="523">
        <f t="shared" si="29"/>
        <v>77831.889717643207</v>
      </c>
      <c r="I121" s="572">
        <f t="shared" si="30"/>
        <v>77831.889717643207</v>
      </c>
      <c r="J121" s="504">
        <f t="shared" si="19"/>
        <v>0</v>
      </c>
      <c r="K121" s="504"/>
      <c r="L121" s="512"/>
      <c r="M121" s="504">
        <f t="shared" si="24"/>
        <v>0</v>
      </c>
      <c r="N121" s="512"/>
      <c r="O121" s="504">
        <f t="shared" si="22"/>
        <v>0</v>
      </c>
      <c r="P121" s="504">
        <f t="shared" si="23"/>
        <v>0</v>
      </c>
      <c r="Q121" s="243"/>
      <c r="R121" s="243"/>
      <c r="S121" s="243"/>
      <c r="T121" s="243"/>
      <c r="U121" s="243"/>
    </row>
    <row r="122" spans="2:21" ht="12.5">
      <c r="B122" s="145" t="str">
        <f t="shared" si="18"/>
        <v/>
      </c>
      <c r="C122" s="495">
        <f>IF(D94="","-",+C121+1)</f>
        <v>2032</v>
      </c>
      <c r="D122" s="349">
        <f>IF(F121+SUM(E$100:E121)=D$93,F121,D$93-SUM(E$100:E121))</f>
        <v>429098.72488191747</v>
      </c>
      <c r="E122" s="509">
        <f>IF(+J97&lt;F121,J97,D122)</f>
        <v>29872.040606060604</v>
      </c>
      <c r="F122" s="510">
        <f t="shared" si="27"/>
        <v>399226.68427585688</v>
      </c>
      <c r="G122" s="510">
        <f t="shared" si="28"/>
        <v>414162.70457888721</v>
      </c>
      <c r="H122" s="523">
        <f t="shared" si="29"/>
        <v>74605.433734958759</v>
      </c>
      <c r="I122" s="572">
        <f t="shared" si="30"/>
        <v>74605.433734958759</v>
      </c>
      <c r="J122" s="504">
        <f t="shared" si="19"/>
        <v>0</v>
      </c>
      <c r="K122" s="504"/>
      <c r="L122" s="512"/>
      <c r="M122" s="504">
        <f t="shared" si="24"/>
        <v>0</v>
      </c>
      <c r="N122" s="512"/>
      <c r="O122" s="504">
        <f t="shared" si="22"/>
        <v>0</v>
      </c>
      <c r="P122" s="504">
        <f t="shared" si="23"/>
        <v>0</v>
      </c>
      <c r="Q122" s="243"/>
      <c r="R122" s="243"/>
      <c r="S122" s="243"/>
      <c r="T122" s="243"/>
      <c r="U122" s="243"/>
    </row>
    <row r="123" spans="2:21" ht="12.5">
      <c r="B123" s="145" t="str">
        <f t="shared" si="18"/>
        <v/>
      </c>
      <c r="C123" s="495">
        <f>IF(D94="","-",+C122+1)</f>
        <v>2033</v>
      </c>
      <c r="D123" s="349">
        <f>IF(F122+SUM(E$100:E122)=D$93,F122,D$93-SUM(E$100:E122))</f>
        <v>399226.68427585688</v>
      </c>
      <c r="E123" s="509">
        <f>IF(+J97&lt;F122,J97,D123)</f>
        <v>29872.040606060604</v>
      </c>
      <c r="F123" s="510">
        <f t="shared" si="27"/>
        <v>369354.64366979629</v>
      </c>
      <c r="G123" s="510">
        <f t="shared" si="28"/>
        <v>384290.66397282656</v>
      </c>
      <c r="H123" s="523">
        <f t="shared" si="29"/>
        <v>71378.977752274324</v>
      </c>
      <c r="I123" s="572">
        <f t="shared" si="30"/>
        <v>71378.977752274324</v>
      </c>
      <c r="J123" s="504">
        <f t="shared" si="19"/>
        <v>0</v>
      </c>
      <c r="K123" s="504"/>
      <c r="L123" s="512"/>
      <c r="M123" s="504">
        <f t="shared" si="24"/>
        <v>0</v>
      </c>
      <c r="N123" s="512"/>
      <c r="O123" s="504">
        <f t="shared" si="22"/>
        <v>0</v>
      </c>
      <c r="P123" s="504">
        <f t="shared" si="23"/>
        <v>0</v>
      </c>
      <c r="Q123" s="243"/>
      <c r="R123" s="243"/>
      <c r="S123" s="243"/>
      <c r="T123" s="243"/>
      <c r="U123" s="243"/>
    </row>
    <row r="124" spans="2:21" ht="12.5">
      <c r="B124" s="145" t="str">
        <f t="shared" si="18"/>
        <v/>
      </c>
      <c r="C124" s="495">
        <f>IF(D94="","-",+C123+1)</f>
        <v>2034</v>
      </c>
      <c r="D124" s="349">
        <f>IF(F123+SUM(E$100:E123)=D$93,F123,D$93-SUM(E$100:E123))</f>
        <v>369354.64366979629</v>
      </c>
      <c r="E124" s="509">
        <f>IF(+J97&lt;F123,J97,D124)</f>
        <v>29872.040606060604</v>
      </c>
      <c r="F124" s="510">
        <f t="shared" si="27"/>
        <v>339482.6030637357</v>
      </c>
      <c r="G124" s="510">
        <f t="shared" si="28"/>
        <v>354418.62336676603</v>
      </c>
      <c r="H124" s="523">
        <f t="shared" si="29"/>
        <v>68152.52176958989</v>
      </c>
      <c r="I124" s="572">
        <f t="shared" si="30"/>
        <v>68152.52176958989</v>
      </c>
      <c r="J124" s="504">
        <f t="shared" si="19"/>
        <v>0</v>
      </c>
      <c r="K124" s="504"/>
      <c r="L124" s="512"/>
      <c r="M124" s="504">
        <f t="shared" si="24"/>
        <v>0</v>
      </c>
      <c r="N124" s="512"/>
      <c r="O124" s="504">
        <f t="shared" si="22"/>
        <v>0</v>
      </c>
      <c r="P124" s="504">
        <f t="shared" si="23"/>
        <v>0</v>
      </c>
      <c r="Q124" s="243"/>
      <c r="R124" s="243"/>
      <c r="S124" s="243"/>
      <c r="T124" s="243"/>
      <c r="U124" s="243"/>
    </row>
    <row r="125" spans="2:21" ht="12.5">
      <c r="B125" s="145" t="str">
        <f t="shared" si="18"/>
        <v/>
      </c>
      <c r="C125" s="495">
        <f>IF(D94="","-",+C124+1)</f>
        <v>2035</v>
      </c>
      <c r="D125" s="349">
        <f>IF(F124+SUM(E$100:E124)=D$93,F124,D$93-SUM(E$100:E124))</f>
        <v>339482.6030637357</v>
      </c>
      <c r="E125" s="509">
        <f>IF(+J97&lt;F124,J97,D125)</f>
        <v>29872.040606060604</v>
      </c>
      <c r="F125" s="510">
        <f t="shared" si="27"/>
        <v>309610.56245767511</v>
      </c>
      <c r="G125" s="510">
        <f t="shared" si="28"/>
        <v>324546.58276070538</v>
      </c>
      <c r="H125" s="523">
        <f t="shared" si="29"/>
        <v>64926.065786905448</v>
      </c>
      <c r="I125" s="572">
        <f t="shared" si="30"/>
        <v>64926.065786905448</v>
      </c>
      <c r="J125" s="504">
        <f t="shared" si="19"/>
        <v>0</v>
      </c>
      <c r="K125" s="504"/>
      <c r="L125" s="512"/>
      <c r="M125" s="504">
        <f t="shared" si="24"/>
        <v>0</v>
      </c>
      <c r="N125" s="512"/>
      <c r="O125" s="504">
        <f t="shared" si="22"/>
        <v>0</v>
      </c>
      <c r="P125" s="504">
        <f t="shared" si="23"/>
        <v>0</v>
      </c>
      <c r="Q125" s="243"/>
      <c r="R125" s="243"/>
      <c r="S125" s="243"/>
      <c r="T125" s="243"/>
      <c r="U125" s="243"/>
    </row>
    <row r="126" spans="2:21" ht="12.5">
      <c r="B126" s="145" t="str">
        <f t="shared" si="18"/>
        <v/>
      </c>
      <c r="C126" s="495">
        <f>IF(D94="","-",+C125+1)</f>
        <v>2036</v>
      </c>
      <c r="D126" s="349">
        <f>IF(F125+SUM(E$100:E125)=D$93,F125,D$93-SUM(E$100:E125))</f>
        <v>309610.56245767511</v>
      </c>
      <c r="E126" s="509">
        <f>IF(+J97&lt;F125,J97,D126)</f>
        <v>29872.040606060604</v>
      </c>
      <c r="F126" s="510">
        <f t="shared" si="27"/>
        <v>279738.52185161453</v>
      </c>
      <c r="G126" s="510">
        <f t="shared" si="28"/>
        <v>294674.54215464485</v>
      </c>
      <c r="H126" s="523">
        <f t="shared" si="29"/>
        <v>61699.609804221021</v>
      </c>
      <c r="I126" s="572">
        <f t="shared" si="30"/>
        <v>61699.609804221021</v>
      </c>
      <c r="J126" s="504">
        <f t="shared" si="19"/>
        <v>0</v>
      </c>
      <c r="K126" s="504"/>
      <c r="L126" s="512"/>
      <c r="M126" s="504">
        <f t="shared" si="24"/>
        <v>0</v>
      </c>
      <c r="N126" s="512"/>
      <c r="O126" s="504">
        <f t="shared" si="22"/>
        <v>0</v>
      </c>
      <c r="P126" s="504">
        <f t="shared" si="23"/>
        <v>0</v>
      </c>
      <c r="Q126" s="243"/>
      <c r="R126" s="243"/>
      <c r="S126" s="243"/>
      <c r="T126" s="243"/>
      <c r="U126" s="243"/>
    </row>
    <row r="127" spans="2:21" ht="12.5">
      <c r="B127" s="145" t="str">
        <f t="shared" si="18"/>
        <v/>
      </c>
      <c r="C127" s="495">
        <f>IF(D94="","-",+C126+1)</f>
        <v>2037</v>
      </c>
      <c r="D127" s="349">
        <f>IF(F126+SUM(E$100:E126)=D$93,F126,D$93-SUM(E$100:E126))</f>
        <v>279738.52185161453</v>
      </c>
      <c r="E127" s="509">
        <f>IF(+J97&lt;F126,J97,D127)</f>
        <v>29872.040606060604</v>
      </c>
      <c r="F127" s="510">
        <f t="shared" si="27"/>
        <v>249866.48124555394</v>
      </c>
      <c r="G127" s="510">
        <f t="shared" si="28"/>
        <v>264802.5015485842</v>
      </c>
      <c r="H127" s="523">
        <f t="shared" si="29"/>
        <v>58473.153821536573</v>
      </c>
      <c r="I127" s="572">
        <f t="shared" si="30"/>
        <v>58473.153821536573</v>
      </c>
      <c r="J127" s="504">
        <f t="shared" si="19"/>
        <v>0</v>
      </c>
      <c r="K127" s="504"/>
      <c r="L127" s="512"/>
      <c r="M127" s="504">
        <f t="shared" si="24"/>
        <v>0</v>
      </c>
      <c r="N127" s="512"/>
      <c r="O127" s="504">
        <f t="shared" si="22"/>
        <v>0</v>
      </c>
      <c r="P127" s="504">
        <f t="shared" si="23"/>
        <v>0</v>
      </c>
      <c r="Q127" s="243"/>
      <c r="R127" s="243"/>
      <c r="S127" s="243"/>
      <c r="T127" s="243"/>
      <c r="U127" s="243"/>
    </row>
    <row r="128" spans="2:21" ht="12.5">
      <c r="B128" s="145" t="str">
        <f t="shared" si="18"/>
        <v/>
      </c>
      <c r="C128" s="495">
        <f>IF(D94="","-",+C127+1)</f>
        <v>2038</v>
      </c>
      <c r="D128" s="349">
        <f>IF(F127+SUM(E$100:E127)=D$93,F127,D$93-SUM(E$100:E127))</f>
        <v>249866.48124555394</v>
      </c>
      <c r="E128" s="509">
        <f>IF(+J97&lt;F127,J97,D128)</f>
        <v>29872.040606060604</v>
      </c>
      <c r="F128" s="510">
        <f t="shared" si="27"/>
        <v>219994.44063949335</v>
      </c>
      <c r="G128" s="510">
        <f t="shared" si="28"/>
        <v>234930.46094252364</v>
      </c>
      <c r="H128" s="523">
        <f t="shared" si="29"/>
        <v>55246.697838852138</v>
      </c>
      <c r="I128" s="572">
        <f t="shared" si="30"/>
        <v>55246.697838852138</v>
      </c>
      <c r="J128" s="504">
        <f t="shared" si="19"/>
        <v>0</v>
      </c>
      <c r="K128" s="504"/>
      <c r="L128" s="512"/>
      <c r="M128" s="504">
        <f t="shared" si="24"/>
        <v>0</v>
      </c>
      <c r="N128" s="512"/>
      <c r="O128" s="504">
        <f t="shared" si="22"/>
        <v>0</v>
      </c>
      <c r="P128" s="504">
        <f t="shared" si="23"/>
        <v>0</v>
      </c>
      <c r="Q128" s="243"/>
      <c r="R128" s="243"/>
      <c r="S128" s="243"/>
      <c r="T128" s="243"/>
      <c r="U128" s="243"/>
    </row>
    <row r="129" spans="2:21" ht="12.5">
      <c r="B129" s="145" t="str">
        <f t="shared" si="18"/>
        <v/>
      </c>
      <c r="C129" s="495">
        <f>IF(D94="","-",+C128+1)</f>
        <v>2039</v>
      </c>
      <c r="D129" s="349">
        <f>IF(F128+SUM(E$100:E128)=D$93,F128,D$93-SUM(E$100:E128))</f>
        <v>219994.44063949335</v>
      </c>
      <c r="E129" s="509">
        <f>IF(+J97&lt;F128,J97,D129)</f>
        <v>29872.040606060604</v>
      </c>
      <c r="F129" s="510">
        <f t="shared" si="27"/>
        <v>190122.40003343276</v>
      </c>
      <c r="G129" s="510">
        <f t="shared" si="28"/>
        <v>205058.42033646305</v>
      </c>
      <c r="H129" s="523">
        <f t="shared" si="29"/>
        <v>52020.241856167704</v>
      </c>
      <c r="I129" s="572">
        <f t="shared" si="30"/>
        <v>52020.241856167704</v>
      </c>
      <c r="J129" s="504">
        <f t="shared" si="19"/>
        <v>0</v>
      </c>
      <c r="K129" s="504"/>
      <c r="L129" s="512"/>
      <c r="M129" s="504">
        <f t="shared" si="24"/>
        <v>0</v>
      </c>
      <c r="N129" s="512"/>
      <c r="O129" s="504">
        <f t="shared" si="22"/>
        <v>0</v>
      </c>
      <c r="P129" s="504">
        <f t="shared" si="23"/>
        <v>0</v>
      </c>
      <c r="Q129" s="243"/>
      <c r="R129" s="243"/>
      <c r="S129" s="243"/>
      <c r="T129" s="243"/>
      <c r="U129" s="243"/>
    </row>
    <row r="130" spans="2:21" ht="12.5">
      <c r="B130" s="145" t="str">
        <f t="shared" si="18"/>
        <v/>
      </c>
      <c r="C130" s="495">
        <f>IF(D94="","-",+C129+1)</f>
        <v>2040</v>
      </c>
      <c r="D130" s="349">
        <f>IF(F129+SUM(E$100:E129)=D$93,F129,D$93-SUM(E$100:E129))</f>
        <v>190122.40003343276</v>
      </c>
      <c r="E130" s="509">
        <f>IF(+J97&lt;F129,J97,D130)</f>
        <v>29872.040606060604</v>
      </c>
      <c r="F130" s="510">
        <f t="shared" si="27"/>
        <v>160250.35942737217</v>
      </c>
      <c r="G130" s="510">
        <f t="shared" si="28"/>
        <v>175186.37973040246</v>
      </c>
      <c r="H130" s="523">
        <f t="shared" si="29"/>
        <v>48793.78587348327</v>
      </c>
      <c r="I130" s="572">
        <f t="shared" si="30"/>
        <v>48793.78587348327</v>
      </c>
      <c r="J130" s="504">
        <f t="shared" si="19"/>
        <v>0</v>
      </c>
      <c r="K130" s="504"/>
      <c r="L130" s="512"/>
      <c r="M130" s="504">
        <f t="shared" si="24"/>
        <v>0</v>
      </c>
      <c r="N130" s="512"/>
      <c r="O130" s="504">
        <f t="shared" si="22"/>
        <v>0</v>
      </c>
      <c r="P130" s="504">
        <f t="shared" si="23"/>
        <v>0</v>
      </c>
      <c r="Q130" s="243"/>
      <c r="R130" s="243"/>
      <c r="S130" s="243"/>
      <c r="T130" s="243"/>
      <c r="U130" s="243"/>
    </row>
    <row r="131" spans="2:21" ht="12.5">
      <c r="B131" s="145" t="str">
        <f t="shared" si="18"/>
        <v/>
      </c>
      <c r="C131" s="495">
        <f>IF(D94="","-",+C130+1)</f>
        <v>2041</v>
      </c>
      <c r="D131" s="349">
        <f>IF(F130+SUM(E$100:E130)=D$93,F130,D$93-SUM(E$100:E130))</f>
        <v>160250.35942737217</v>
      </c>
      <c r="E131" s="509">
        <f>IF(+J97&lt;F130,J97,D131)</f>
        <v>29872.040606060604</v>
      </c>
      <c r="F131" s="510">
        <f t="shared" si="27"/>
        <v>130378.31882131156</v>
      </c>
      <c r="G131" s="510">
        <f t="shared" si="28"/>
        <v>145314.33912434187</v>
      </c>
      <c r="H131" s="523">
        <f t="shared" si="29"/>
        <v>45567.329890798828</v>
      </c>
      <c r="I131" s="572">
        <f t="shared" si="30"/>
        <v>45567.329890798828</v>
      </c>
      <c r="J131" s="504">
        <f t="shared" si="19"/>
        <v>0</v>
      </c>
      <c r="K131" s="504"/>
      <c r="L131" s="512"/>
      <c r="M131" s="504">
        <f t="shared" si="24"/>
        <v>0</v>
      </c>
      <c r="N131" s="512"/>
      <c r="O131" s="504">
        <f t="shared" si="22"/>
        <v>0</v>
      </c>
      <c r="P131" s="504">
        <f t="shared" si="23"/>
        <v>0</v>
      </c>
      <c r="Q131" s="243"/>
      <c r="R131" s="243"/>
      <c r="S131" s="243"/>
      <c r="T131" s="243"/>
      <c r="U131" s="243"/>
    </row>
    <row r="132" spans="2:21" ht="12.5">
      <c r="B132" s="145" t="str">
        <f t="shared" si="18"/>
        <v/>
      </c>
      <c r="C132" s="495">
        <f>IF(D94="","-",+C131+1)</f>
        <v>2042</v>
      </c>
      <c r="D132" s="349">
        <f>IF(F131+SUM(E$100:E131)=D$93,F131,D$93-SUM(E$100:E131))</f>
        <v>130378.31882131156</v>
      </c>
      <c r="E132" s="509">
        <f>IF(+J97&lt;F131,J97,D132)</f>
        <v>29872.040606060604</v>
      </c>
      <c r="F132" s="510">
        <f t="shared" ref="F132:F155" si="31">+D132-E132</f>
        <v>100506.27821525096</v>
      </c>
      <c r="G132" s="510">
        <f t="shared" ref="G132:G155" si="32">+(F132+D132)/2</f>
        <v>115442.29851828126</v>
      </c>
      <c r="H132" s="523">
        <f t="shared" si="29"/>
        <v>42340.873908114387</v>
      </c>
      <c r="I132" s="572">
        <f t="shared" si="30"/>
        <v>42340.873908114387</v>
      </c>
      <c r="J132" s="504">
        <f t="shared" ref="J132:J155" si="33">+I132-H132</f>
        <v>0</v>
      </c>
      <c r="K132" s="504"/>
      <c r="L132" s="512"/>
      <c r="M132" s="504">
        <f t="shared" ref="M132:M155" si="34">IF(L132&lt;&gt;0,+H132-L132,0)</f>
        <v>0</v>
      </c>
      <c r="N132" s="512"/>
      <c r="O132" s="504">
        <f t="shared" ref="O132:O155" si="35">IF(N132&lt;&gt;0,+I132-N132,0)</f>
        <v>0</v>
      </c>
      <c r="P132" s="504">
        <f t="shared" ref="P132:P155" si="36">+O132-M132</f>
        <v>0</v>
      </c>
      <c r="Q132" s="243"/>
      <c r="R132" s="243"/>
      <c r="S132" s="243"/>
      <c r="T132" s="243"/>
      <c r="U132" s="243"/>
    </row>
    <row r="133" spans="2:21" ht="12.5">
      <c r="B133" s="145" t="str">
        <f t="shared" si="18"/>
        <v/>
      </c>
      <c r="C133" s="495">
        <f>IF(D94="","-",+C132+1)</f>
        <v>2043</v>
      </c>
      <c r="D133" s="349">
        <f>IF(F132+SUM(E$100:E132)=D$93,F132,D$93-SUM(E$100:E132))</f>
        <v>100506.27821525096</v>
      </c>
      <c r="E133" s="509">
        <f>IF(+J97&lt;F132,J97,D133)</f>
        <v>29872.040606060604</v>
      </c>
      <c r="F133" s="510">
        <f t="shared" si="31"/>
        <v>70634.237609190357</v>
      </c>
      <c r="G133" s="510">
        <f t="shared" si="32"/>
        <v>85570.257912220666</v>
      </c>
      <c r="H133" s="523">
        <f t="shared" si="29"/>
        <v>39114.417925429952</v>
      </c>
      <c r="I133" s="572">
        <f t="shared" si="30"/>
        <v>39114.417925429952</v>
      </c>
      <c r="J133" s="504">
        <f t="shared" si="33"/>
        <v>0</v>
      </c>
      <c r="K133" s="504"/>
      <c r="L133" s="512"/>
      <c r="M133" s="504">
        <f t="shared" si="34"/>
        <v>0</v>
      </c>
      <c r="N133" s="512"/>
      <c r="O133" s="504">
        <f t="shared" si="35"/>
        <v>0</v>
      </c>
      <c r="P133" s="504">
        <f t="shared" si="36"/>
        <v>0</v>
      </c>
      <c r="Q133" s="243"/>
      <c r="R133" s="243"/>
      <c r="S133" s="243"/>
      <c r="T133" s="243"/>
      <c r="U133" s="243"/>
    </row>
    <row r="134" spans="2:21" ht="12.5">
      <c r="B134" s="145" t="str">
        <f t="shared" si="18"/>
        <v/>
      </c>
      <c r="C134" s="495">
        <f>IF(D94="","-",+C133+1)</f>
        <v>2044</v>
      </c>
      <c r="D134" s="349">
        <f>IF(F133+SUM(E$100:E133)=D$93,F133,D$93-SUM(E$100:E133))</f>
        <v>70634.237609190357</v>
      </c>
      <c r="E134" s="509">
        <f>IF(+J97&lt;F133,J97,D134)</f>
        <v>29872.040606060604</v>
      </c>
      <c r="F134" s="510">
        <f t="shared" si="31"/>
        <v>40762.197003129753</v>
      </c>
      <c r="G134" s="510">
        <f t="shared" si="32"/>
        <v>55698.217306160055</v>
      </c>
      <c r="H134" s="523">
        <f t="shared" si="29"/>
        <v>35887.961942745518</v>
      </c>
      <c r="I134" s="572">
        <f t="shared" si="30"/>
        <v>35887.961942745518</v>
      </c>
      <c r="J134" s="504">
        <f t="shared" si="33"/>
        <v>0</v>
      </c>
      <c r="K134" s="504"/>
      <c r="L134" s="512"/>
      <c r="M134" s="504">
        <f t="shared" si="34"/>
        <v>0</v>
      </c>
      <c r="N134" s="512"/>
      <c r="O134" s="504">
        <f t="shared" si="35"/>
        <v>0</v>
      </c>
      <c r="P134" s="504">
        <f t="shared" si="36"/>
        <v>0</v>
      </c>
      <c r="Q134" s="243"/>
      <c r="R134" s="243"/>
      <c r="S134" s="243"/>
      <c r="T134" s="243"/>
      <c r="U134" s="243"/>
    </row>
    <row r="135" spans="2:21" ht="12.5">
      <c r="B135" s="145" t="str">
        <f t="shared" si="18"/>
        <v/>
      </c>
      <c r="C135" s="495">
        <f>IF(D94="","-",+C134+1)</f>
        <v>2045</v>
      </c>
      <c r="D135" s="349">
        <f>IF(F134+SUM(E$100:E134)=D$93,F134,D$93-SUM(E$100:E134))</f>
        <v>40762.197003129753</v>
      </c>
      <c r="E135" s="509">
        <f>IF(+J97&lt;F134,J97,D135)</f>
        <v>29872.040606060604</v>
      </c>
      <c r="F135" s="510">
        <f t="shared" si="31"/>
        <v>10890.15639706915</v>
      </c>
      <c r="G135" s="510">
        <f t="shared" si="32"/>
        <v>25826.176700099451</v>
      </c>
      <c r="H135" s="523">
        <f t="shared" si="29"/>
        <v>32661.505960061077</v>
      </c>
      <c r="I135" s="572">
        <f t="shared" si="30"/>
        <v>32661.505960061077</v>
      </c>
      <c r="J135" s="504">
        <f t="shared" si="33"/>
        <v>0</v>
      </c>
      <c r="K135" s="504"/>
      <c r="L135" s="512"/>
      <c r="M135" s="504">
        <f t="shared" si="34"/>
        <v>0</v>
      </c>
      <c r="N135" s="512"/>
      <c r="O135" s="504">
        <f t="shared" si="35"/>
        <v>0</v>
      </c>
      <c r="P135" s="504">
        <f t="shared" si="36"/>
        <v>0</v>
      </c>
      <c r="Q135" s="243"/>
      <c r="R135" s="243"/>
      <c r="S135" s="243"/>
      <c r="T135" s="243"/>
      <c r="U135" s="243"/>
    </row>
    <row r="136" spans="2:21" ht="12.5">
      <c r="B136" s="145" t="str">
        <f t="shared" si="18"/>
        <v/>
      </c>
      <c r="C136" s="495">
        <f>IF(D94="","-",+C135+1)</f>
        <v>2046</v>
      </c>
      <c r="D136" s="349">
        <f>IF(F135+SUM(E$100:E135)=D$93,F135,D$93-SUM(E$100:E135))</f>
        <v>10890.15639706915</v>
      </c>
      <c r="E136" s="509">
        <f>IF(+J97&lt;F135,J97,D136)</f>
        <v>10890.15639706915</v>
      </c>
      <c r="F136" s="510">
        <f t="shared" si="31"/>
        <v>0</v>
      </c>
      <c r="G136" s="510">
        <f t="shared" si="32"/>
        <v>5445.0781985345748</v>
      </c>
      <c r="H136" s="523">
        <f t="shared" si="29"/>
        <v>11478.275078398276</v>
      </c>
      <c r="I136" s="572">
        <f t="shared" si="30"/>
        <v>11478.275078398276</v>
      </c>
      <c r="J136" s="504">
        <f t="shared" si="33"/>
        <v>0</v>
      </c>
      <c r="K136" s="504"/>
      <c r="L136" s="512"/>
      <c r="M136" s="504">
        <f t="shared" si="34"/>
        <v>0</v>
      </c>
      <c r="N136" s="512"/>
      <c r="O136" s="504">
        <f t="shared" si="35"/>
        <v>0</v>
      </c>
      <c r="P136" s="504">
        <f t="shared" si="36"/>
        <v>0</v>
      </c>
      <c r="Q136" s="243"/>
      <c r="R136" s="243"/>
      <c r="S136" s="243"/>
      <c r="T136" s="243"/>
      <c r="U136" s="243"/>
    </row>
    <row r="137" spans="2:21" ht="12.5">
      <c r="B137" s="145" t="str">
        <f t="shared" si="18"/>
        <v/>
      </c>
      <c r="C137" s="495">
        <f>IF(D94="","-",+C136+1)</f>
        <v>2047</v>
      </c>
      <c r="D137" s="349">
        <f>IF(F136+SUM(E$100:E136)=D$93,F136,D$93-SUM(E$100:E136))</f>
        <v>0</v>
      </c>
      <c r="E137" s="509">
        <f>IF(+J97&lt;F136,J97,D137)</f>
        <v>0</v>
      </c>
      <c r="F137" s="510">
        <f t="shared" si="31"/>
        <v>0</v>
      </c>
      <c r="G137" s="510">
        <f t="shared" si="32"/>
        <v>0</v>
      </c>
      <c r="H137" s="523">
        <f t="shared" si="29"/>
        <v>0</v>
      </c>
      <c r="I137" s="572">
        <f t="shared" si="30"/>
        <v>0</v>
      </c>
      <c r="J137" s="504">
        <f t="shared" si="33"/>
        <v>0</v>
      </c>
      <c r="K137" s="504"/>
      <c r="L137" s="512"/>
      <c r="M137" s="504">
        <f t="shared" si="34"/>
        <v>0</v>
      </c>
      <c r="N137" s="512"/>
      <c r="O137" s="504">
        <f t="shared" si="35"/>
        <v>0</v>
      </c>
      <c r="P137" s="504">
        <f t="shared" si="36"/>
        <v>0</v>
      </c>
      <c r="Q137" s="243"/>
      <c r="R137" s="243"/>
      <c r="S137" s="243"/>
      <c r="T137" s="243"/>
      <c r="U137" s="243"/>
    </row>
    <row r="138" spans="2:21" ht="12.5">
      <c r="B138" s="145" t="str">
        <f t="shared" si="18"/>
        <v/>
      </c>
      <c r="C138" s="495">
        <f>IF(D94="","-",+C137+1)</f>
        <v>2048</v>
      </c>
      <c r="D138" s="349">
        <f>IF(F137+SUM(E$100:E137)=D$93,F137,D$93-SUM(E$100:E137))</f>
        <v>0</v>
      </c>
      <c r="E138" s="509">
        <f>IF(+J97&lt;F137,J97,D138)</f>
        <v>0</v>
      </c>
      <c r="F138" s="510">
        <f t="shared" si="31"/>
        <v>0</v>
      </c>
      <c r="G138" s="510">
        <f t="shared" si="32"/>
        <v>0</v>
      </c>
      <c r="H138" s="523">
        <f t="shared" si="29"/>
        <v>0</v>
      </c>
      <c r="I138" s="572">
        <f t="shared" si="30"/>
        <v>0</v>
      </c>
      <c r="J138" s="504">
        <f t="shared" si="33"/>
        <v>0</v>
      </c>
      <c r="K138" s="504"/>
      <c r="L138" s="512"/>
      <c r="M138" s="504">
        <f t="shared" si="34"/>
        <v>0</v>
      </c>
      <c r="N138" s="512"/>
      <c r="O138" s="504">
        <f t="shared" si="35"/>
        <v>0</v>
      </c>
      <c r="P138" s="504">
        <f t="shared" si="36"/>
        <v>0</v>
      </c>
      <c r="Q138" s="243"/>
      <c r="R138" s="243"/>
      <c r="S138" s="243"/>
      <c r="T138" s="243"/>
      <c r="U138" s="243"/>
    </row>
    <row r="139" spans="2:21" ht="12.5">
      <c r="B139" s="145" t="str">
        <f t="shared" si="18"/>
        <v/>
      </c>
      <c r="C139" s="495">
        <f>IF(D94="","-",+C138+1)</f>
        <v>2049</v>
      </c>
      <c r="D139" s="349">
        <f>IF(F138+SUM(E$100:E138)=D$93,F138,D$93-SUM(E$100:E138))</f>
        <v>0</v>
      </c>
      <c r="E139" s="509">
        <f>IF(+J97&lt;F138,J97,D139)</f>
        <v>0</v>
      </c>
      <c r="F139" s="510">
        <f t="shared" si="31"/>
        <v>0</v>
      </c>
      <c r="G139" s="510">
        <f t="shared" si="32"/>
        <v>0</v>
      </c>
      <c r="H139" s="523">
        <f t="shared" si="29"/>
        <v>0</v>
      </c>
      <c r="I139" s="572">
        <f t="shared" si="30"/>
        <v>0</v>
      </c>
      <c r="J139" s="504">
        <f t="shared" si="33"/>
        <v>0</v>
      </c>
      <c r="K139" s="504"/>
      <c r="L139" s="512"/>
      <c r="M139" s="504">
        <f t="shared" si="34"/>
        <v>0</v>
      </c>
      <c r="N139" s="512"/>
      <c r="O139" s="504">
        <f t="shared" si="35"/>
        <v>0</v>
      </c>
      <c r="P139" s="504">
        <f t="shared" si="36"/>
        <v>0</v>
      </c>
      <c r="Q139" s="243"/>
      <c r="R139" s="243"/>
      <c r="S139" s="243"/>
      <c r="T139" s="243"/>
      <c r="U139" s="243"/>
    </row>
    <row r="140" spans="2:21" ht="12.5">
      <c r="B140" s="145" t="str">
        <f t="shared" si="18"/>
        <v/>
      </c>
      <c r="C140" s="495">
        <f>IF(D94="","-",+C139+1)</f>
        <v>2050</v>
      </c>
      <c r="D140" s="349">
        <f>IF(F139+SUM(E$100:E139)=D$93,F139,D$93-SUM(E$100:E139))</f>
        <v>0</v>
      </c>
      <c r="E140" s="509">
        <f>IF(+J97&lt;F139,J97,D140)</f>
        <v>0</v>
      </c>
      <c r="F140" s="510">
        <f t="shared" si="31"/>
        <v>0</v>
      </c>
      <c r="G140" s="510">
        <f t="shared" si="32"/>
        <v>0</v>
      </c>
      <c r="H140" s="523">
        <f t="shared" si="29"/>
        <v>0</v>
      </c>
      <c r="I140" s="572">
        <f t="shared" si="30"/>
        <v>0</v>
      </c>
      <c r="J140" s="504">
        <f t="shared" si="33"/>
        <v>0</v>
      </c>
      <c r="K140" s="504"/>
      <c r="L140" s="512"/>
      <c r="M140" s="504">
        <f t="shared" si="34"/>
        <v>0</v>
      </c>
      <c r="N140" s="512"/>
      <c r="O140" s="504">
        <f t="shared" si="35"/>
        <v>0</v>
      </c>
      <c r="P140" s="504">
        <f t="shared" si="36"/>
        <v>0</v>
      </c>
      <c r="Q140" s="243"/>
      <c r="R140" s="243"/>
      <c r="S140" s="243"/>
      <c r="T140" s="243"/>
      <c r="U140" s="243"/>
    </row>
    <row r="141" spans="2:21" ht="12.5">
      <c r="B141" s="145" t="str">
        <f t="shared" si="18"/>
        <v/>
      </c>
      <c r="C141" s="495">
        <f>IF(D94="","-",+C140+1)</f>
        <v>2051</v>
      </c>
      <c r="D141" s="349">
        <f>IF(F140+SUM(E$100:E140)=D$93,F140,D$93-SUM(E$100:E140))</f>
        <v>0</v>
      </c>
      <c r="E141" s="509">
        <f>IF(+J97&lt;F140,J97,D141)</f>
        <v>0</v>
      </c>
      <c r="F141" s="510">
        <f t="shared" si="31"/>
        <v>0</v>
      </c>
      <c r="G141" s="510">
        <f t="shared" si="32"/>
        <v>0</v>
      </c>
      <c r="H141" s="523">
        <f t="shared" si="29"/>
        <v>0</v>
      </c>
      <c r="I141" s="572">
        <f t="shared" si="30"/>
        <v>0</v>
      </c>
      <c r="J141" s="504">
        <f t="shared" si="33"/>
        <v>0</v>
      </c>
      <c r="K141" s="504"/>
      <c r="L141" s="512"/>
      <c r="M141" s="504">
        <f t="shared" si="34"/>
        <v>0</v>
      </c>
      <c r="N141" s="512"/>
      <c r="O141" s="504">
        <f t="shared" si="35"/>
        <v>0</v>
      </c>
      <c r="P141" s="504">
        <f t="shared" si="36"/>
        <v>0</v>
      </c>
      <c r="Q141" s="243"/>
      <c r="R141" s="243"/>
      <c r="S141" s="243"/>
      <c r="T141" s="243"/>
      <c r="U141" s="243"/>
    </row>
    <row r="142" spans="2:21" ht="12.5">
      <c r="B142" s="145" t="str">
        <f t="shared" si="18"/>
        <v/>
      </c>
      <c r="C142" s="495">
        <f>IF(D94="","-",+C141+1)</f>
        <v>2052</v>
      </c>
      <c r="D142" s="349">
        <f>IF(F141+SUM(E$100:E141)=D$93,F141,D$93-SUM(E$100:E141))</f>
        <v>0</v>
      </c>
      <c r="E142" s="509">
        <f>IF(+J97&lt;F141,J97,D142)</f>
        <v>0</v>
      </c>
      <c r="F142" s="510">
        <f t="shared" si="31"/>
        <v>0</v>
      </c>
      <c r="G142" s="510">
        <f t="shared" si="32"/>
        <v>0</v>
      </c>
      <c r="H142" s="523">
        <f t="shared" si="29"/>
        <v>0</v>
      </c>
      <c r="I142" s="572">
        <f t="shared" si="30"/>
        <v>0</v>
      </c>
      <c r="J142" s="504">
        <f t="shared" si="33"/>
        <v>0</v>
      </c>
      <c r="K142" s="504"/>
      <c r="L142" s="512"/>
      <c r="M142" s="504">
        <f t="shared" si="34"/>
        <v>0</v>
      </c>
      <c r="N142" s="512"/>
      <c r="O142" s="504">
        <f t="shared" si="35"/>
        <v>0</v>
      </c>
      <c r="P142" s="504">
        <f t="shared" si="36"/>
        <v>0</v>
      </c>
      <c r="Q142" s="243"/>
      <c r="R142" s="243"/>
      <c r="S142" s="243"/>
      <c r="T142" s="243"/>
      <c r="U142" s="243"/>
    </row>
    <row r="143" spans="2:21" ht="12.5">
      <c r="B143" s="145" t="str">
        <f t="shared" si="18"/>
        <v/>
      </c>
      <c r="C143" s="495">
        <f>IF(D94="","-",+C142+1)</f>
        <v>2053</v>
      </c>
      <c r="D143" s="349">
        <f>IF(F142+SUM(E$100:E142)=D$93,F142,D$93-SUM(E$100:E142))</f>
        <v>0</v>
      </c>
      <c r="E143" s="509">
        <f>IF(+J97&lt;F142,J97,D143)</f>
        <v>0</v>
      </c>
      <c r="F143" s="510">
        <f t="shared" si="31"/>
        <v>0</v>
      </c>
      <c r="G143" s="510">
        <f t="shared" si="32"/>
        <v>0</v>
      </c>
      <c r="H143" s="523">
        <f t="shared" si="29"/>
        <v>0</v>
      </c>
      <c r="I143" s="572">
        <f t="shared" si="30"/>
        <v>0</v>
      </c>
      <c r="J143" s="504">
        <f t="shared" si="33"/>
        <v>0</v>
      </c>
      <c r="K143" s="504"/>
      <c r="L143" s="512"/>
      <c r="M143" s="504">
        <f t="shared" si="34"/>
        <v>0</v>
      </c>
      <c r="N143" s="512"/>
      <c r="O143" s="504">
        <f t="shared" si="35"/>
        <v>0</v>
      </c>
      <c r="P143" s="504">
        <f t="shared" si="36"/>
        <v>0</v>
      </c>
      <c r="Q143" s="243"/>
      <c r="R143" s="243"/>
      <c r="S143" s="243"/>
      <c r="T143" s="243"/>
      <c r="U143" s="243"/>
    </row>
    <row r="144" spans="2:21" ht="12.5">
      <c r="B144" s="145" t="str">
        <f t="shared" si="18"/>
        <v/>
      </c>
      <c r="C144" s="495">
        <f>IF(D94="","-",+C143+1)</f>
        <v>2054</v>
      </c>
      <c r="D144" s="349">
        <f>IF(F143+SUM(E$100:E143)=D$93,F143,D$93-SUM(E$100:E143))</f>
        <v>0</v>
      </c>
      <c r="E144" s="509">
        <f>IF(+J97&lt;F143,J97,D144)</f>
        <v>0</v>
      </c>
      <c r="F144" s="510">
        <f t="shared" si="31"/>
        <v>0</v>
      </c>
      <c r="G144" s="510">
        <f t="shared" si="32"/>
        <v>0</v>
      </c>
      <c r="H144" s="523">
        <f t="shared" si="29"/>
        <v>0</v>
      </c>
      <c r="I144" s="572">
        <f t="shared" si="30"/>
        <v>0</v>
      </c>
      <c r="J144" s="504">
        <f t="shared" si="33"/>
        <v>0</v>
      </c>
      <c r="K144" s="504"/>
      <c r="L144" s="512"/>
      <c r="M144" s="504">
        <f t="shared" si="34"/>
        <v>0</v>
      </c>
      <c r="N144" s="512"/>
      <c r="O144" s="504">
        <f t="shared" si="35"/>
        <v>0</v>
      </c>
      <c r="P144" s="504">
        <f t="shared" si="36"/>
        <v>0</v>
      </c>
      <c r="Q144" s="243"/>
      <c r="R144" s="243"/>
      <c r="S144" s="243"/>
      <c r="T144" s="243"/>
      <c r="U144" s="243"/>
    </row>
    <row r="145" spans="2:21" ht="12.5">
      <c r="B145" s="145" t="str">
        <f t="shared" si="18"/>
        <v/>
      </c>
      <c r="C145" s="495">
        <f>IF(D94="","-",+C144+1)</f>
        <v>2055</v>
      </c>
      <c r="D145" s="349">
        <f>IF(F144+SUM(E$100:E144)=D$93,F144,D$93-SUM(E$100:E144))</f>
        <v>0</v>
      </c>
      <c r="E145" s="509">
        <f>IF(+J97&lt;F144,J97,D145)</f>
        <v>0</v>
      </c>
      <c r="F145" s="510">
        <f t="shared" si="31"/>
        <v>0</v>
      </c>
      <c r="G145" s="510">
        <f t="shared" si="32"/>
        <v>0</v>
      </c>
      <c r="H145" s="523">
        <f t="shared" si="29"/>
        <v>0</v>
      </c>
      <c r="I145" s="572">
        <f t="shared" si="30"/>
        <v>0</v>
      </c>
      <c r="J145" s="504">
        <f t="shared" si="33"/>
        <v>0</v>
      </c>
      <c r="K145" s="504"/>
      <c r="L145" s="512"/>
      <c r="M145" s="504">
        <f t="shared" si="34"/>
        <v>0</v>
      </c>
      <c r="N145" s="512"/>
      <c r="O145" s="504">
        <f t="shared" si="35"/>
        <v>0</v>
      </c>
      <c r="P145" s="504">
        <f t="shared" si="36"/>
        <v>0</v>
      </c>
      <c r="Q145" s="243"/>
      <c r="R145" s="243"/>
      <c r="S145" s="243"/>
      <c r="T145" s="243"/>
      <c r="U145" s="243"/>
    </row>
    <row r="146" spans="2:21" ht="12.5">
      <c r="B146" s="145" t="str">
        <f t="shared" si="18"/>
        <v/>
      </c>
      <c r="C146" s="495">
        <f>IF(D94="","-",+C145+1)</f>
        <v>2056</v>
      </c>
      <c r="D146" s="349">
        <f>IF(F145+SUM(E$100:E145)=D$93,F145,D$93-SUM(E$100:E145))</f>
        <v>0</v>
      </c>
      <c r="E146" s="509">
        <f>IF(+J97&lt;F145,J97,D146)</f>
        <v>0</v>
      </c>
      <c r="F146" s="510">
        <f t="shared" si="31"/>
        <v>0</v>
      </c>
      <c r="G146" s="510">
        <f t="shared" si="32"/>
        <v>0</v>
      </c>
      <c r="H146" s="523">
        <f t="shared" si="29"/>
        <v>0</v>
      </c>
      <c r="I146" s="572">
        <f t="shared" si="30"/>
        <v>0</v>
      </c>
      <c r="J146" s="504">
        <f t="shared" si="33"/>
        <v>0</v>
      </c>
      <c r="K146" s="504"/>
      <c r="L146" s="512"/>
      <c r="M146" s="504">
        <f t="shared" si="34"/>
        <v>0</v>
      </c>
      <c r="N146" s="512"/>
      <c r="O146" s="504">
        <f t="shared" si="35"/>
        <v>0</v>
      </c>
      <c r="P146" s="504">
        <f t="shared" si="36"/>
        <v>0</v>
      </c>
      <c r="Q146" s="243"/>
      <c r="R146" s="243"/>
      <c r="S146" s="243"/>
      <c r="T146" s="243"/>
      <c r="U146" s="243"/>
    </row>
    <row r="147" spans="2:21" ht="12.5">
      <c r="B147" s="145" t="str">
        <f t="shared" si="18"/>
        <v/>
      </c>
      <c r="C147" s="495">
        <f>IF(D94="","-",+C146+1)</f>
        <v>2057</v>
      </c>
      <c r="D147" s="349">
        <f>IF(F146+SUM(E$100:E146)=D$93,F146,D$93-SUM(E$100:E146))</f>
        <v>0</v>
      </c>
      <c r="E147" s="509">
        <f>IF(+J97&lt;F146,J97,D147)</f>
        <v>0</v>
      </c>
      <c r="F147" s="510">
        <f t="shared" si="31"/>
        <v>0</v>
      </c>
      <c r="G147" s="510">
        <f t="shared" si="32"/>
        <v>0</v>
      </c>
      <c r="H147" s="523">
        <f t="shared" si="29"/>
        <v>0</v>
      </c>
      <c r="I147" s="572">
        <f t="shared" si="30"/>
        <v>0</v>
      </c>
      <c r="J147" s="504">
        <f t="shared" si="33"/>
        <v>0</v>
      </c>
      <c r="K147" s="504"/>
      <c r="L147" s="512"/>
      <c r="M147" s="504">
        <f t="shared" si="34"/>
        <v>0</v>
      </c>
      <c r="N147" s="512"/>
      <c r="O147" s="504">
        <f t="shared" si="35"/>
        <v>0</v>
      </c>
      <c r="P147" s="504">
        <f t="shared" si="36"/>
        <v>0</v>
      </c>
      <c r="Q147" s="243"/>
      <c r="R147" s="243"/>
      <c r="S147" s="243"/>
      <c r="T147" s="243"/>
      <c r="U147" s="243"/>
    </row>
    <row r="148" spans="2:21" ht="12.5">
      <c r="B148" s="145" t="str">
        <f t="shared" si="18"/>
        <v/>
      </c>
      <c r="C148" s="495">
        <f>IF(D94="","-",+C147+1)</f>
        <v>2058</v>
      </c>
      <c r="D148" s="349">
        <f>IF(F147+SUM(E$100:E147)=D$93,F147,D$93-SUM(E$100:E147))</f>
        <v>0</v>
      </c>
      <c r="E148" s="509">
        <f>IF(+J97&lt;F147,J97,D148)</f>
        <v>0</v>
      </c>
      <c r="F148" s="510">
        <f t="shared" si="31"/>
        <v>0</v>
      </c>
      <c r="G148" s="510">
        <f t="shared" si="32"/>
        <v>0</v>
      </c>
      <c r="H148" s="523">
        <f t="shared" si="29"/>
        <v>0</v>
      </c>
      <c r="I148" s="572">
        <f t="shared" si="30"/>
        <v>0</v>
      </c>
      <c r="J148" s="504">
        <f t="shared" si="33"/>
        <v>0</v>
      </c>
      <c r="K148" s="504"/>
      <c r="L148" s="512"/>
      <c r="M148" s="504">
        <f t="shared" si="34"/>
        <v>0</v>
      </c>
      <c r="N148" s="512"/>
      <c r="O148" s="504">
        <f t="shared" si="35"/>
        <v>0</v>
      </c>
      <c r="P148" s="504">
        <f t="shared" si="36"/>
        <v>0</v>
      </c>
      <c r="Q148" s="243"/>
      <c r="R148" s="243"/>
      <c r="S148" s="243"/>
      <c r="T148" s="243"/>
      <c r="U148" s="243"/>
    </row>
    <row r="149" spans="2:21" ht="12.5">
      <c r="B149" s="145" t="str">
        <f t="shared" si="18"/>
        <v/>
      </c>
      <c r="C149" s="495">
        <f>IF(D94="","-",+C148+1)</f>
        <v>2059</v>
      </c>
      <c r="D149" s="349">
        <f>IF(F148+SUM(E$100:E148)=D$93,F148,D$93-SUM(E$100:E148))</f>
        <v>0</v>
      </c>
      <c r="E149" s="509">
        <f>IF(+J97&lt;F148,J97,D149)</f>
        <v>0</v>
      </c>
      <c r="F149" s="510">
        <f t="shared" si="31"/>
        <v>0</v>
      </c>
      <c r="G149" s="510">
        <f t="shared" si="32"/>
        <v>0</v>
      </c>
      <c r="H149" s="523">
        <f t="shared" si="29"/>
        <v>0</v>
      </c>
      <c r="I149" s="572">
        <f t="shared" si="30"/>
        <v>0</v>
      </c>
      <c r="J149" s="504">
        <f t="shared" si="33"/>
        <v>0</v>
      </c>
      <c r="K149" s="504"/>
      <c r="L149" s="512"/>
      <c r="M149" s="504">
        <f t="shared" si="34"/>
        <v>0</v>
      </c>
      <c r="N149" s="512"/>
      <c r="O149" s="504">
        <f t="shared" si="35"/>
        <v>0</v>
      </c>
      <c r="P149" s="504">
        <f t="shared" si="36"/>
        <v>0</v>
      </c>
      <c r="Q149" s="243"/>
      <c r="R149" s="243"/>
      <c r="S149" s="243"/>
      <c r="T149" s="243"/>
      <c r="U149" s="243"/>
    </row>
    <row r="150" spans="2:21" ht="12.5">
      <c r="B150" s="145" t="str">
        <f t="shared" si="18"/>
        <v/>
      </c>
      <c r="C150" s="495">
        <f>IF(D94="","-",+C149+1)</f>
        <v>2060</v>
      </c>
      <c r="D150" s="349">
        <f>IF(F149+SUM(E$100:E149)=D$93,F149,D$93-SUM(E$100:E149))</f>
        <v>0</v>
      </c>
      <c r="E150" s="509">
        <f>IF(+J97&lt;F149,J97,D150)</f>
        <v>0</v>
      </c>
      <c r="F150" s="510">
        <f t="shared" si="31"/>
        <v>0</v>
      </c>
      <c r="G150" s="510">
        <f t="shared" si="32"/>
        <v>0</v>
      </c>
      <c r="H150" s="523">
        <f t="shared" si="29"/>
        <v>0</v>
      </c>
      <c r="I150" s="572">
        <f t="shared" si="30"/>
        <v>0</v>
      </c>
      <c r="J150" s="504">
        <f t="shared" si="33"/>
        <v>0</v>
      </c>
      <c r="K150" s="504"/>
      <c r="L150" s="512"/>
      <c r="M150" s="504">
        <f t="shared" si="34"/>
        <v>0</v>
      </c>
      <c r="N150" s="512"/>
      <c r="O150" s="504">
        <f t="shared" si="35"/>
        <v>0</v>
      </c>
      <c r="P150" s="504">
        <f t="shared" si="36"/>
        <v>0</v>
      </c>
      <c r="Q150" s="243"/>
      <c r="R150" s="243"/>
      <c r="S150" s="243"/>
      <c r="T150" s="243"/>
      <c r="U150" s="243"/>
    </row>
    <row r="151" spans="2:21" ht="12.5">
      <c r="B151" s="145" t="str">
        <f t="shared" si="18"/>
        <v/>
      </c>
      <c r="C151" s="495">
        <f>IF(D94="","-",+C150+1)</f>
        <v>2061</v>
      </c>
      <c r="D151" s="349">
        <f>IF(F150+SUM(E$100:E150)=D$93,F150,D$93-SUM(E$100:E150))</f>
        <v>0</v>
      </c>
      <c r="E151" s="509">
        <f>IF(+J97&lt;F150,J97,D151)</f>
        <v>0</v>
      </c>
      <c r="F151" s="510">
        <f t="shared" si="31"/>
        <v>0</v>
      </c>
      <c r="G151" s="510">
        <f t="shared" si="32"/>
        <v>0</v>
      </c>
      <c r="H151" s="523">
        <f t="shared" si="29"/>
        <v>0</v>
      </c>
      <c r="I151" s="572">
        <f t="shared" si="30"/>
        <v>0</v>
      </c>
      <c r="J151" s="504">
        <f t="shared" si="33"/>
        <v>0</v>
      </c>
      <c r="K151" s="504"/>
      <c r="L151" s="512"/>
      <c r="M151" s="504">
        <f t="shared" si="34"/>
        <v>0</v>
      </c>
      <c r="N151" s="512"/>
      <c r="O151" s="504">
        <f t="shared" si="35"/>
        <v>0</v>
      </c>
      <c r="P151" s="504">
        <f t="shared" si="36"/>
        <v>0</v>
      </c>
      <c r="Q151" s="243"/>
      <c r="R151" s="243"/>
      <c r="S151" s="243"/>
      <c r="T151" s="243"/>
      <c r="U151" s="243"/>
    </row>
    <row r="152" spans="2:21" ht="12.5">
      <c r="B152" s="145" t="str">
        <f t="shared" si="18"/>
        <v/>
      </c>
      <c r="C152" s="495">
        <f>IF(D94="","-",+C151+1)</f>
        <v>2062</v>
      </c>
      <c r="D152" s="349">
        <f>IF(F151+SUM(E$100:E151)=D$93,F151,D$93-SUM(E$100:E151))</f>
        <v>0</v>
      </c>
      <c r="E152" s="509">
        <f>IF(+J97&lt;F151,J97,D152)</f>
        <v>0</v>
      </c>
      <c r="F152" s="510">
        <f t="shared" si="31"/>
        <v>0</v>
      </c>
      <c r="G152" s="510">
        <f t="shared" si="32"/>
        <v>0</v>
      </c>
      <c r="H152" s="523">
        <f t="shared" si="29"/>
        <v>0</v>
      </c>
      <c r="I152" s="572">
        <f t="shared" si="30"/>
        <v>0</v>
      </c>
      <c r="J152" s="504">
        <f t="shared" si="33"/>
        <v>0</v>
      </c>
      <c r="K152" s="504"/>
      <c r="L152" s="512"/>
      <c r="M152" s="504">
        <f t="shared" si="34"/>
        <v>0</v>
      </c>
      <c r="N152" s="512"/>
      <c r="O152" s="504">
        <f t="shared" si="35"/>
        <v>0</v>
      </c>
      <c r="P152" s="504">
        <f t="shared" si="36"/>
        <v>0</v>
      </c>
      <c r="Q152" s="243"/>
      <c r="R152" s="243"/>
      <c r="S152" s="243"/>
      <c r="T152" s="243"/>
      <c r="U152" s="243"/>
    </row>
    <row r="153" spans="2:21" ht="12.5">
      <c r="B153" s="145" t="str">
        <f t="shared" si="18"/>
        <v/>
      </c>
      <c r="C153" s="495">
        <f>IF(D94="","-",+C152+1)</f>
        <v>2063</v>
      </c>
      <c r="D153" s="349">
        <f>IF(F152+SUM(E$100:E152)=D$93,F152,D$93-SUM(E$100:E152))</f>
        <v>0</v>
      </c>
      <c r="E153" s="509">
        <f>IF(+J97&lt;F152,J97,D153)</f>
        <v>0</v>
      </c>
      <c r="F153" s="510">
        <f t="shared" si="31"/>
        <v>0</v>
      </c>
      <c r="G153" s="510">
        <f t="shared" si="32"/>
        <v>0</v>
      </c>
      <c r="H153" s="523">
        <f t="shared" si="29"/>
        <v>0</v>
      </c>
      <c r="I153" s="572">
        <f t="shared" si="30"/>
        <v>0</v>
      </c>
      <c r="J153" s="504">
        <f t="shared" si="33"/>
        <v>0</v>
      </c>
      <c r="K153" s="504"/>
      <c r="L153" s="512"/>
      <c r="M153" s="504">
        <f t="shared" si="34"/>
        <v>0</v>
      </c>
      <c r="N153" s="512"/>
      <c r="O153" s="504">
        <f t="shared" si="35"/>
        <v>0</v>
      </c>
      <c r="P153" s="504">
        <f t="shared" si="36"/>
        <v>0</v>
      </c>
      <c r="Q153" s="243"/>
      <c r="R153" s="243"/>
      <c r="S153" s="243"/>
      <c r="T153" s="243"/>
      <c r="U153" s="243"/>
    </row>
    <row r="154" spans="2:21" ht="12.5">
      <c r="B154" s="145" t="str">
        <f t="shared" si="18"/>
        <v/>
      </c>
      <c r="C154" s="495">
        <f>IF(D94="","-",+C153+1)</f>
        <v>2064</v>
      </c>
      <c r="D154" s="349">
        <f>IF(F153+SUM(E$100:E153)=D$93,F153,D$93-SUM(E$100:E153))</f>
        <v>0</v>
      </c>
      <c r="E154" s="509">
        <f>IF(+J97&lt;F153,J97,D154)</f>
        <v>0</v>
      </c>
      <c r="F154" s="510">
        <f t="shared" si="31"/>
        <v>0</v>
      </c>
      <c r="G154" s="510">
        <f t="shared" si="32"/>
        <v>0</v>
      </c>
      <c r="H154" s="523">
        <f t="shared" si="29"/>
        <v>0</v>
      </c>
      <c r="I154" s="572">
        <f t="shared" si="30"/>
        <v>0</v>
      </c>
      <c r="J154" s="504">
        <f t="shared" si="33"/>
        <v>0</v>
      </c>
      <c r="K154" s="504"/>
      <c r="L154" s="512"/>
      <c r="M154" s="504">
        <f t="shared" si="34"/>
        <v>0</v>
      </c>
      <c r="N154" s="512"/>
      <c r="O154" s="504">
        <f t="shared" si="35"/>
        <v>0</v>
      </c>
      <c r="P154" s="504">
        <f t="shared" si="36"/>
        <v>0</v>
      </c>
      <c r="Q154" s="243"/>
      <c r="R154" s="243"/>
      <c r="S154" s="243"/>
      <c r="T154" s="243"/>
      <c r="U154" s="243"/>
    </row>
    <row r="155" spans="2:21" ht="13" thickBot="1">
      <c r="B155" s="145" t="str">
        <f t="shared" si="18"/>
        <v/>
      </c>
      <c r="C155" s="524">
        <f>IF(D94="","-",+C154+1)</f>
        <v>2065</v>
      </c>
      <c r="D155" s="527">
        <f>IF(F154+SUM(E$100:E154)=D$93,F154,D$93-SUM(E$100:E154))</f>
        <v>0</v>
      </c>
      <c r="E155" s="526">
        <f>IF(+J97&lt;F154,J97,D155)</f>
        <v>0</v>
      </c>
      <c r="F155" s="527">
        <f t="shared" si="31"/>
        <v>0</v>
      </c>
      <c r="G155" s="527">
        <f t="shared" si="32"/>
        <v>0</v>
      </c>
      <c r="H155" s="528">
        <f t="shared" si="29"/>
        <v>0</v>
      </c>
      <c r="I155" s="573">
        <f t="shared" si="30"/>
        <v>0</v>
      </c>
      <c r="J155" s="531">
        <f t="shared" si="33"/>
        <v>0</v>
      </c>
      <c r="K155" s="504"/>
      <c r="L155" s="530"/>
      <c r="M155" s="531">
        <f t="shared" si="34"/>
        <v>0</v>
      </c>
      <c r="N155" s="530"/>
      <c r="O155" s="531">
        <f t="shared" si="35"/>
        <v>0</v>
      </c>
      <c r="P155" s="531">
        <f t="shared" si="36"/>
        <v>0</v>
      </c>
      <c r="Q155" s="243"/>
      <c r="R155" s="243"/>
      <c r="S155" s="243"/>
      <c r="T155" s="243"/>
      <c r="U155" s="243"/>
    </row>
    <row r="156" spans="2:21" ht="12.5">
      <c r="C156" s="349" t="s">
        <v>75</v>
      </c>
      <c r="D156" s="294"/>
      <c r="E156" s="294">
        <f>SUM(E100:E155)</f>
        <v>985777.34000000043</v>
      </c>
      <c r="F156" s="294"/>
      <c r="G156" s="294"/>
      <c r="H156" s="294">
        <f>SUM(H100:H155)</f>
        <v>3116455.1387304035</v>
      </c>
      <c r="I156" s="294">
        <f>SUM(I100:I155)</f>
        <v>3116455.1387304035</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48" priority="1" stopIfTrue="1" operator="equal">
      <formula>$I$10</formula>
    </cfRule>
  </conditionalFormatting>
  <conditionalFormatting sqref="C100:C155">
    <cfRule type="cellIs" dxfId="47"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U163"/>
  <sheetViews>
    <sheetView view="pageBreakPreview" zoomScale="85" zoomScaleNormal="100"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8.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3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72273.408385464543</v>
      </c>
      <c r="P5" s="243"/>
      <c r="R5" s="243"/>
      <c r="S5" s="243"/>
      <c r="T5" s="243"/>
      <c r="U5" s="243"/>
    </row>
    <row r="6" spans="1:21" ht="15.5">
      <c r="C6" s="235"/>
      <c r="D6" s="292"/>
      <c r="E6" s="243"/>
      <c r="F6" s="243"/>
      <c r="G6" s="243"/>
      <c r="H6" s="449"/>
      <c r="I6" s="449"/>
      <c r="J6" s="450"/>
      <c r="K6" s="451" t="s">
        <v>243</v>
      </c>
      <c r="L6" s="452"/>
      <c r="M6" s="278"/>
      <c r="N6" s="453">
        <f>VLOOKUP(I10,C17:I73,6)</f>
        <v>72273.408385464543</v>
      </c>
      <c r="O6" s="243"/>
      <c r="P6" s="243"/>
      <c r="R6" s="243"/>
      <c r="S6" s="243"/>
      <c r="T6" s="243"/>
      <c r="U6" s="243"/>
    </row>
    <row r="7" spans="1:21" ht="13.5" thickBot="1">
      <c r="C7" s="454" t="s">
        <v>46</v>
      </c>
      <c r="D7" s="455" t="s">
        <v>199</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198</v>
      </c>
      <c r="E9" s="647" t="s">
        <v>310</v>
      </c>
      <c r="F9" s="465"/>
      <c r="G9" s="465"/>
      <c r="H9" s="465"/>
      <c r="I9" s="466"/>
      <c r="J9" s="467"/>
      <c r="O9" s="468"/>
      <c r="P9" s="278"/>
      <c r="R9" s="243"/>
      <c r="S9" s="243"/>
      <c r="T9" s="243"/>
      <c r="U9" s="243"/>
    </row>
    <row r="10" spans="1:21" ht="13">
      <c r="C10" s="469" t="s">
        <v>49</v>
      </c>
      <c r="D10" s="470">
        <v>614753</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2011</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10</v>
      </c>
      <c r="E12" s="472" t="s">
        <v>55</v>
      </c>
      <c r="F12" s="408"/>
      <c r="G12" s="220"/>
      <c r="H12" s="220"/>
      <c r="I12" s="476">
        <f>OKT.WS.F.BPU.ATRR.Projected!$F$79</f>
        <v>0.10818506718567715</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19830.741935483871</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49" si="0">IF(D17=F16,"","IU")</f>
        <v>IU</v>
      </c>
      <c r="C17" s="580">
        <f>IF(D11= "","-",D11)</f>
        <v>2011</v>
      </c>
      <c r="D17" s="496">
        <v>956000</v>
      </c>
      <c r="E17" s="497">
        <v>1378.1704053213118</v>
      </c>
      <c r="F17" s="496">
        <v>954621.82959467871</v>
      </c>
      <c r="G17" s="498">
        <v>125484.70184654166</v>
      </c>
      <c r="H17" s="499">
        <v>125484.70184654166</v>
      </c>
      <c r="I17" s="584">
        <f>H17-G17</f>
        <v>0</v>
      </c>
      <c r="J17" s="350"/>
      <c r="K17" s="506">
        <f t="shared" ref="K17:K22" si="1">G17</f>
        <v>125484.70184654166</v>
      </c>
      <c r="L17" s="585">
        <f t="shared" ref="L17:L49" si="2">IF(K17&lt;&gt;0,+G17-K17,0)</f>
        <v>0</v>
      </c>
      <c r="M17" s="506">
        <f t="shared" ref="M17:M22" si="3">H17</f>
        <v>125484.70184654166</v>
      </c>
      <c r="N17" s="586">
        <f t="shared" ref="N17:N49" si="4">IF(M17&lt;&gt;0,+H17-M17,0)</f>
        <v>0</v>
      </c>
      <c r="O17" s="504">
        <f t="shared" ref="O17:O49" si="5">+N17-L17</f>
        <v>0</v>
      </c>
      <c r="P17" s="278"/>
      <c r="R17" s="243"/>
      <c r="S17" s="243"/>
      <c r="T17" s="243"/>
      <c r="U17" s="243"/>
    </row>
    <row r="18" spans="2:21" ht="12.5">
      <c r="B18" s="145" t="str">
        <f t="shared" si="0"/>
        <v/>
      </c>
      <c r="C18" s="495">
        <f>IF(D11="","-",+C17+1)</f>
        <v>2012</v>
      </c>
      <c r="D18" s="505">
        <v>954621.82959467871</v>
      </c>
      <c r="E18" s="498">
        <v>10633.668760887396</v>
      </c>
      <c r="F18" s="505">
        <v>943988.16083379136</v>
      </c>
      <c r="G18" s="498">
        <v>101867.32341201812</v>
      </c>
      <c r="H18" s="499">
        <v>101867.32341201812</v>
      </c>
      <c r="I18" s="500">
        <v>0</v>
      </c>
      <c r="J18" s="350"/>
      <c r="K18" s="506">
        <f t="shared" si="1"/>
        <v>101867.32341201812</v>
      </c>
      <c r="L18" s="350">
        <f t="shared" si="2"/>
        <v>0</v>
      </c>
      <c r="M18" s="506">
        <f t="shared" si="3"/>
        <v>101867.32341201812</v>
      </c>
      <c r="N18" s="500">
        <f t="shared" si="4"/>
        <v>0</v>
      </c>
      <c r="O18" s="504">
        <f t="shared" si="5"/>
        <v>0</v>
      </c>
      <c r="P18" s="278"/>
      <c r="R18" s="243"/>
      <c r="S18" s="243"/>
      <c r="T18" s="243"/>
      <c r="U18" s="243"/>
    </row>
    <row r="19" spans="2:21" ht="12.5">
      <c r="B19" s="145" t="str">
        <f t="shared" si="0"/>
        <v>IU</v>
      </c>
      <c r="C19" s="495">
        <f>IF(D11="","-",+C18+1)</f>
        <v>2013</v>
      </c>
      <c r="D19" s="505">
        <v>602741.16083379125</v>
      </c>
      <c r="E19" s="498">
        <v>10634.741311914131</v>
      </c>
      <c r="F19" s="505">
        <v>592106.41952187708</v>
      </c>
      <c r="G19" s="498">
        <v>75317.164005617815</v>
      </c>
      <c r="H19" s="499">
        <v>75317.164005617815</v>
      </c>
      <c r="I19" s="500">
        <v>0</v>
      </c>
      <c r="J19" s="350"/>
      <c r="K19" s="506">
        <f t="shared" si="1"/>
        <v>75317.164005617815</v>
      </c>
      <c r="L19" s="350">
        <f t="shared" ref="L19:L24" si="6">IF(K19&lt;&gt;0,+G19-K19,0)</f>
        <v>0</v>
      </c>
      <c r="M19" s="506">
        <f t="shared" si="3"/>
        <v>75317.164005617815</v>
      </c>
      <c r="N19" s="500">
        <f>IF(M19&lt;&gt;0,+H19-M19,0)</f>
        <v>0</v>
      </c>
      <c r="O19" s="504">
        <f>+N19-L19</f>
        <v>0</v>
      </c>
      <c r="P19" s="278"/>
      <c r="R19" s="243"/>
      <c r="S19" s="243"/>
      <c r="T19" s="243"/>
      <c r="U19" s="243"/>
    </row>
    <row r="20" spans="2:21" ht="12.5">
      <c r="B20" s="145" t="str">
        <f t="shared" si="0"/>
        <v/>
      </c>
      <c r="C20" s="495">
        <f>IF(D11="","-",+C19+1)</f>
        <v>2014</v>
      </c>
      <c r="D20" s="505">
        <v>592106.41952187708</v>
      </c>
      <c r="E20" s="498">
        <v>10634.741311914131</v>
      </c>
      <c r="F20" s="505">
        <v>581471.67820996291</v>
      </c>
      <c r="G20" s="498">
        <v>74612.516014807363</v>
      </c>
      <c r="H20" s="499">
        <v>74612.516014807363</v>
      </c>
      <c r="I20" s="500">
        <v>0</v>
      </c>
      <c r="J20" s="350"/>
      <c r="K20" s="506">
        <f t="shared" si="1"/>
        <v>74612.516014807363</v>
      </c>
      <c r="L20" s="350">
        <f t="shared" si="6"/>
        <v>0</v>
      </c>
      <c r="M20" s="506">
        <f t="shared" si="3"/>
        <v>74612.516014807363</v>
      </c>
      <c r="N20" s="500">
        <f>IF(M20&lt;&gt;0,+H20-M20,0)</f>
        <v>0</v>
      </c>
      <c r="O20" s="504">
        <f>+N20-L20</f>
        <v>0</v>
      </c>
      <c r="P20" s="278"/>
      <c r="R20" s="243"/>
      <c r="S20" s="243"/>
      <c r="T20" s="243"/>
      <c r="U20" s="243"/>
    </row>
    <row r="21" spans="2:21" ht="12.5">
      <c r="B21" s="145" t="str">
        <f t="shared" si="0"/>
        <v/>
      </c>
      <c r="C21" s="495">
        <f>IF(D12="","-",+C20+1)</f>
        <v>2015</v>
      </c>
      <c r="D21" s="505">
        <v>581471.67820996291</v>
      </c>
      <c r="E21" s="498">
        <v>10634.741311914131</v>
      </c>
      <c r="F21" s="505">
        <v>570836.93689804873</v>
      </c>
      <c r="G21" s="498">
        <v>69468.300328468598</v>
      </c>
      <c r="H21" s="499">
        <v>69468.300328468569</v>
      </c>
      <c r="I21" s="500">
        <v>0</v>
      </c>
      <c r="J21" s="350"/>
      <c r="K21" s="506">
        <f t="shared" si="1"/>
        <v>69468.300328468598</v>
      </c>
      <c r="L21" s="350">
        <f t="shared" si="6"/>
        <v>0</v>
      </c>
      <c r="M21" s="506">
        <f t="shared" si="3"/>
        <v>69468.300328468569</v>
      </c>
      <c r="N21" s="500">
        <f>IF(M21&lt;&gt;0,+H21-M21,0)</f>
        <v>0</v>
      </c>
      <c r="O21" s="504">
        <f>+N21-L21</f>
        <v>0</v>
      </c>
      <c r="P21" s="278"/>
      <c r="R21" s="243"/>
      <c r="S21" s="243"/>
      <c r="T21" s="243"/>
      <c r="U21" s="243"/>
    </row>
    <row r="22" spans="2:21" ht="12.5">
      <c r="B22" s="145" t="str">
        <f t="shared" si="0"/>
        <v/>
      </c>
      <c r="C22" s="495">
        <f>IF(D11="","-",+C21+1)</f>
        <v>2016</v>
      </c>
      <c r="D22" s="505">
        <v>570836.93689804873</v>
      </c>
      <c r="E22" s="498">
        <v>12774.231778414165</v>
      </c>
      <c r="F22" s="505">
        <v>558062.70511963451</v>
      </c>
      <c r="G22" s="498">
        <v>72978.242931137109</v>
      </c>
      <c r="H22" s="499">
        <v>72978.242931137109</v>
      </c>
      <c r="I22" s="500">
        <f t="shared" ref="I22:I49" si="7">H22-G22</f>
        <v>0</v>
      </c>
      <c r="J22" s="500"/>
      <c r="K22" s="506">
        <f t="shared" si="1"/>
        <v>72978.242931137109</v>
      </c>
      <c r="L22" s="350">
        <f t="shared" si="6"/>
        <v>0</v>
      </c>
      <c r="M22" s="506">
        <f t="shared" si="3"/>
        <v>72978.242931137109</v>
      </c>
      <c r="N22" s="500">
        <f t="shared" si="4"/>
        <v>0</v>
      </c>
      <c r="O22" s="504">
        <f t="shared" si="5"/>
        <v>0</v>
      </c>
      <c r="P22" s="278"/>
      <c r="R22" s="243"/>
      <c r="S22" s="243"/>
      <c r="T22" s="243"/>
      <c r="U22" s="243"/>
    </row>
    <row r="23" spans="2:21" ht="12.5">
      <c r="B23" s="145" t="str">
        <f t="shared" si="0"/>
        <v/>
      </c>
      <c r="C23" s="495">
        <f>IF(D11="","-",+C22+1)</f>
        <v>2017</v>
      </c>
      <c r="D23" s="505">
        <v>558062.70511963451</v>
      </c>
      <c r="E23" s="498">
        <v>12087.261057971307</v>
      </c>
      <c r="F23" s="505">
        <v>545975.44406166323</v>
      </c>
      <c r="G23" s="498">
        <v>72776.222858216002</v>
      </c>
      <c r="H23" s="499">
        <v>72776.222858216002</v>
      </c>
      <c r="I23" s="500">
        <f t="shared" si="7"/>
        <v>0</v>
      </c>
      <c r="J23" s="500"/>
      <c r="K23" s="506">
        <f>G23</f>
        <v>72776.222858216002</v>
      </c>
      <c r="L23" s="350">
        <f t="shared" si="6"/>
        <v>0</v>
      </c>
      <c r="M23" s="506">
        <f>H23</f>
        <v>72776.222858216002</v>
      </c>
      <c r="N23" s="500">
        <f>IF(M23&lt;&gt;0,+H23-M23,0)</f>
        <v>0</v>
      </c>
      <c r="O23" s="504">
        <f>+N23-L23</f>
        <v>0</v>
      </c>
      <c r="P23" s="278"/>
      <c r="R23" s="243"/>
      <c r="S23" s="243"/>
      <c r="T23" s="243"/>
      <c r="U23" s="243"/>
    </row>
    <row r="24" spans="2:21" ht="12.5">
      <c r="B24" s="145" t="str">
        <f t="shared" si="0"/>
        <v/>
      </c>
      <c r="C24" s="495">
        <f>IF(D11="","-",+C23+1)</f>
        <v>2018</v>
      </c>
      <c r="D24" s="505">
        <v>545975.44406166323</v>
      </c>
      <c r="E24" s="498">
        <v>15076.56031908646</v>
      </c>
      <c r="F24" s="505">
        <v>530898.88374257681</v>
      </c>
      <c r="G24" s="498">
        <v>69794.510007934223</v>
      </c>
      <c r="H24" s="499">
        <v>69794.510007934223</v>
      </c>
      <c r="I24" s="500">
        <v>0</v>
      </c>
      <c r="J24" s="500"/>
      <c r="K24" s="506">
        <f>G24</f>
        <v>69794.510007934223</v>
      </c>
      <c r="L24" s="350">
        <f t="shared" si="6"/>
        <v>0</v>
      </c>
      <c r="M24" s="506">
        <f>H24</f>
        <v>69794.510007934223</v>
      </c>
      <c r="N24" s="500">
        <f>IF(M24&lt;&gt;0,+H24-M24,0)</f>
        <v>0</v>
      </c>
      <c r="O24" s="504">
        <f>+N24-L24</f>
        <v>0</v>
      </c>
      <c r="P24" s="278"/>
      <c r="R24" s="243"/>
      <c r="S24" s="243"/>
      <c r="T24" s="243"/>
      <c r="U24" s="243"/>
    </row>
    <row r="25" spans="2:21" ht="12.5">
      <c r="B25" s="145" t="str">
        <f t="shared" si="0"/>
        <v/>
      </c>
      <c r="C25" s="495">
        <f>IF(D11="","-",+C24+1)</f>
        <v>2019</v>
      </c>
      <c r="D25" s="505">
        <v>530898.88374257681</v>
      </c>
      <c r="E25" s="498">
        <v>18232.865121942861</v>
      </c>
      <c r="F25" s="505">
        <v>512666.01862063393</v>
      </c>
      <c r="G25" s="498">
        <v>72464.827452468948</v>
      </c>
      <c r="H25" s="499">
        <v>72464.827452468948</v>
      </c>
      <c r="I25" s="500">
        <f t="shared" si="7"/>
        <v>0</v>
      </c>
      <c r="J25" s="500"/>
      <c r="K25" s="506">
        <f>G25</f>
        <v>72464.827452468948</v>
      </c>
      <c r="L25" s="350">
        <f t="shared" ref="L25" si="8">IF(K25&lt;&gt;0,+G25-K25,0)</f>
        <v>0</v>
      </c>
      <c r="M25" s="506">
        <f>H25</f>
        <v>72464.827452468948</v>
      </c>
      <c r="N25" s="500">
        <f>IF(M25&lt;&gt;0,+H25-M25,0)</f>
        <v>0</v>
      </c>
      <c r="O25" s="504">
        <f>+N25-L25</f>
        <v>0</v>
      </c>
      <c r="P25" s="278"/>
      <c r="R25" s="243"/>
      <c r="S25" s="243"/>
      <c r="T25" s="243"/>
      <c r="U25" s="243"/>
    </row>
    <row r="26" spans="2:21" ht="12.5">
      <c r="B26" s="145" t="str">
        <f t="shared" si="0"/>
        <v>IU</v>
      </c>
      <c r="C26" s="495">
        <f>IF(D11="","-",+C25+1)</f>
        <v>2020</v>
      </c>
      <c r="D26" s="505">
        <v>515822.32342349034</v>
      </c>
      <c r="E26" s="498">
        <v>18001.062389209259</v>
      </c>
      <c r="F26" s="505">
        <v>497821.26103428105</v>
      </c>
      <c r="G26" s="498">
        <v>71183.123031214564</v>
      </c>
      <c r="H26" s="499">
        <v>71183.123031214564</v>
      </c>
      <c r="I26" s="500">
        <f t="shared" si="7"/>
        <v>0</v>
      </c>
      <c r="J26" s="500"/>
      <c r="K26" s="506">
        <f>G26</f>
        <v>71183.123031214564</v>
      </c>
      <c r="L26" s="350">
        <f t="shared" ref="L26" si="9">IF(K26&lt;&gt;0,+G26-K26,0)</f>
        <v>0</v>
      </c>
      <c r="M26" s="506">
        <f>H26</f>
        <v>71183.123031214564</v>
      </c>
      <c r="N26" s="500">
        <f>IF(M26&lt;&gt;0,+H26-M26,0)</f>
        <v>0</v>
      </c>
      <c r="O26" s="504">
        <f t="shared" si="5"/>
        <v>0</v>
      </c>
      <c r="P26" s="278"/>
      <c r="R26" s="243"/>
      <c r="S26" s="243"/>
      <c r="T26" s="243"/>
      <c r="U26" s="243"/>
    </row>
    <row r="27" spans="2:21" ht="12.5">
      <c r="B27" s="145" t="str">
        <f t="shared" si="0"/>
        <v>IU</v>
      </c>
      <c r="C27" s="495">
        <f>IF(D11="","-",+C26+1)</f>
        <v>2021</v>
      </c>
      <c r="D27" s="508">
        <f>IF(F26+SUM(E$17:E26)=D$10,F26,D$10-SUM(E$17:E26))</f>
        <v>494664.95623142482</v>
      </c>
      <c r="E27" s="509">
        <f>IF(+I14&lt;F26,I14,D27)</f>
        <v>19830.741935483871</v>
      </c>
      <c r="F27" s="510">
        <f t="shared" ref="F27:F50" si="10">+D27-E27</f>
        <v>474834.21429594094</v>
      </c>
      <c r="G27" s="511">
        <f t="shared" ref="G27:G73" si="11">(D27+F27)/2*I$12+E27</f>
        <v>72273.408385464543</v>
      </c>
      <c r="H27" s="477">
        <f t="shared" ref="H27:H73" si="12">+(D27+F27)/2*I$13+E27</f>
        <v>72273.408385464543</v>
      </c>
      <c r="I27" s="500">
        <f t="shared" si="7"/>
        <v>0</v>
      </c>
      <c r="J27" s="500"/>
      <c r="K27" s="512"/>
      <c r="L27" s="504">
        <f t="shared" si="2"/>
        <v>0</v>
      </c>
      <c r="M27" s="512"/>
      <c r="N27" s="504">
        <f t="shared" si="4"/>
        <v>0</v>
      </c>
      <c r="O27" s="504">
        <f t="shared" si="5"/>
        <v>0</v>
      </c>
      <c r="P27" s="278"/>
      <c r="R27" s="243"/>
      <c r="S27" s="243"/>
      <c r="T27" s="243"/>
      <c r="U27" s="243"/>
    </row>
    <row r="28" spans="2:21" ht="12.5">
      <c r="B28" s="145" t="str">
        <f t="shared" si="0"/>
        <v/>
      </c>
      <c r="C28" s="495">
        <f>IF(D11="","-",+C27+1)</f>
        <v>2022</v>
      </c>
      <c r="D28" s="508">
        <f>IF(F27+SUM(E$17:E27)=D$10,F27,D$10-SUM(E$17:E27))</f>
        <v>474834.21429594094</v>
      </c>
      <c r="E28" s="509">
        <f>IF(+I14&lt;F27,I14,D28)</f>
        <v>19830.741935483871</v>
      </c>
      <c r="F28" s="510">
        <f t="shared" si="10"/>
        <v>455003.47236045706</v>
      </c>
      <c r="G28" s="511">
        <f t="shared" si="11"/>
        <v>70128.018236832388</v>
      </c>
      <c r="H28" s="477">
        <f t="shared" si="12"/>
        <v>70128.018236832388</v>
      </c>
      <c r="I28" s="500">
        <f t="shared" si="7"/>
        <v>0</v>
      </c>
      <c r="J28" s="500"/>
      <c r="K28" s="512"/>
      <c r="L28" s="504">
        <f t="shared" si="2"/>
        <v>0</v>
      </c>
      <c r="M28" s="512"/>
      <c r="N28" s="504">
        <f t="shared" si="4"/>
        <v>0</v>
      </c>
      <c r="O28" s="504">
        <f t="shared" si="5"/>
        <v>0</v>
      </c>
      <c r="P28" s="278"/>
      <c r="R28" s="243"/>
      <c r="S28" s="243"/>
      <c r="T28" s="243"/>
      <c r="U28" s="243"/>
    </row>
    <row r="29" spans="2:21" ht="12.5">
      <c r="B29" s="145" t="str">
        <f t="shared" si="0"/>
        <v/>
      </c>
      <c r="C29" s="495">
        <f>IF(D11="","-",+C28+1)</f>
        <v>2023</v>
      </c>
      <c r="D29" s="508">
        <f>IF(F28+SUM(E$17:E28)=D$10,F28,D$10-SUM(E$17:E28))</f>
        <v>455003.47236045706</v>
      </c>
      <c r="E29" s="509">
        <f>IF(+I14&lt;F28,I14,D29)</f>
        <v>19830.741935483871</v>
      </c>
      <c r="F29" s="510">
        <f t="shared" si="10"/>
        <v>435172.73042497318</v>
      </c>
      <c r="G29" s="511">
        <f t="shared" si="11"/>
        <v>67982.628088200232</v>
      </c>
      <c r="H29" s="477">
        <f t="shared" si="12"/>
        <v>67982.628088200232</v>
      </c>
      <c r="I29" s="500">
        <f t="shared" si="7"/>
        <v>0</v>
      </c>
      <c r="J29" s="500"/>
      <c r="K29" s="512"/>
      <c r="L29" s="504">
        <f t="shared" si="2"/>
        <v>0</v>
      </c>
      <c r="M29" s="512"/>
      <c r="N29" s="504">
        <f t="shared" si="4"/>
        <v>0</v>
      </c>
      <c r="O29" s="504">
        <f t="shared" si="5"/>
        <v>0</v>
      </c>
      <c r="P29" s="278"/>
      <c r="R29" s="243"/>
      <c r="S29" s="243"/>
      <c r="T29" s="243"/>
      <c r="U29" s="243"/>
    </row>
    <row r="30" spans="2:21" ht="12.5">
      <c r="B30" s="145" t="str">
        <f t="shared" si="0"/>
        <v/>
      </c>
      <c r="C30" s="495">
        <f>IF(D11="","-",+C29+1)</f>
        <v>2024</v>
      </c>
      <c r="D30" s="508">
        <f>IF(F29+SUM(E$17:E29)=D$10,F29,D$10-SUM(E$17:E29))</f>
        <v>435172.73042497318</v>
      </c>
      <c r="E30" s="509">
        <f>IF(+I14&lt;F29,I14,D30)</f>
        <v>19830.741935483871</v>
      </c>
      <c r="F30" s="510">
        <f t="shared" si="10"/>
        <v>415341.9884894893</v>
      </c>
      <c r="G30" s="511">
        <f t="shared" si="11"/>
        <v>65837.237939568091</v>
      </c>
      <c r="H30" s="477">
        <f t="shared" si="12"/>
        <v>65837.237939568091</v>
      </c>
      <c r="I30" s="500">
        <f t="shared" si="7"/>
        <v>0</v>
      </c>
      <c r="J30" s="500"/>
      <c r="K30" s="512"/>
      <c r="L30" s="504">
        <f t="shared" si="2"/>
        <v>0</v>
      </c>
      <c r="M30" s="512"/>
      <c r="N30" s="504">
        <f t="shared" si="4"/>
        <v>0</v>
      </c>
      <c r="O30" s="504">
        <f t="shared" si="5"/>
        <v>0</v>
      </c>
      <c r="P30" s="278"/>
      <c r="R30" s="243"/>
      <c r="S30" s="243"/>
      <c r="T30" s="243"/>
      <c r="U30" s="243"/>
    </row>
    <row r="31" spans="2:21" ht="12.5">
      <c r="B31" s="145" t="str">
        <f t="shared" si="0"/>
        <v/>
      </c>
      <c r="C31" s="495">
        <f>IF(D11="","-",+C30+1)</f>
        <v>2025</v>
      </c>
      <c r="D31" s="508">
        <f>IF(F30+SUM(E$17:E30)=D$10,F30,D$10-SUM(E$17:E30))</f>
        <v>415341.9884894893</v>
      </c>
      <c r="E31" s="509">
        <f>IF(+I14&lt;F30,I14,D31)</f>
        <v>19830.741935483871</v>
      </c>
      <c r="F31" s="510">
        <f t="shared" si="10"/>
        <v>395511.24655400543</v>
      </c>
      <c r="G31" s="511">
        <f t="shared" si="11"/>
        <v>63691.847790935943</v>
      </c>
      <c r="H31" s="477">
        <f t="shared" si="12"/>
        <v>63691.847790935943</v>
      </c>
      <c r="I31" s="500">
        <f t="shared" si="7"/>
        <v>0</v>
      </c>
      <c r="J31" s="350"/>
      <c r="K31" s="512"/>
      <c r="L31" s="504">
        <f>IF(K31&lt;&gt;0,+G31-K31,0)</f>
        <v>0</v>
      </c>
      <c r="M31" s="512"/>
      <c r="N31" s="504">
        <f>IF(M31&lt;&gt;0,+H31-M31,0)</f>
        <v>0</v>
      </c>
      <c r="O31" s="504">
        <f>+N31-L31</f>
        <v>0</v>
      </c>
      <c r="P31" s="278"/>
      <c r="Q31" s="220"/>
      <c r="R31" s="278"/>
      <c r="S31" s="278"/>
      <c r="T31" s="278"/>
      <c r="U31" s="243"/>
    </row>
    <row r="32" spans="2:21" ht="12.5">
      <c r="B32" s="145" t="str">
        <f t="shared" si="0"/>
        <v/>
      </c>
      <c r="C32" s="495">
        <f>IF(D12="","-",+C31+1)</f>
        <v>2026</v>
      </c>
      <c r="D32" s="508">
        <f>IF(F31+SUM(E$17:E31)=D$10,F31,D$10-SUM(E$17:E31))</f>
        <v>395511.24655400543</v>
      </c>
      <c r="E32" s="509">
        <f>IF(+I14&lt;F31,I14,D32)</f>
        <v>19830.741935483871</v>
      </c>
      <c r="F32" s="510">
        <f>+D32-E32</f>
        <v>375680.50461852155</v>
      </c>
      <c r="G32" s="511">
        <f t="shared" si="11"/>
        <v>61546.457642303794</v>
      </c>
      <c r="H32" s="477">
        <f t="shared" si="12"/>
        <v>61546.457642303794</v>
      </c>
      <c r="I32" s="500">
        <f>H32-G32</f>
        <v>0</v>
      </c>
      <c r="J32" s="35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2027</v>
      </c>
      <c r="D33" s="508">
        <f>IF(F32+SUM(E$17:E32)=D$10,F32,D$10-SUM(E$17:E32))</f>
        <v>375680.50461852155</v>
      </c>
      <c r="E33" s="509">
        <f>IF(+I14&lt;F31,I14,D33)</f>
        <v>19830.741935483871</v>
      </c>
      <c r="F33" s="510">
        <f t="shared" si="10"/>
        <v>355849.76268303767</v>
      </c>
      <c r="G33" s="511">
        <f t="shared" si="11"/>
        <v>59401.067493671646</v>
      </c>
      <c r="H33" s="477">
        <f t="shared" si="12"/>
        <v>59401.067493671646</v>
      </c>
      <c r="I33" s="500">
        <f t="shared" si="7"/>
        <v>0</v>
      </c>
      <c r="J33" s="500"/>
      <c r="K33" s="512"/>
      <c r="L33" s="504">
        <f>IF(K33&lt;&gt;0,+G33-K33,0)</f>
        <v>0</v>
      </c>
      <c r="M33" s="512"/>
      <c r="N33" s="504">
        <f>IF(M33&lt;&gt;0,+H33-M33,0)</f>
        <v>0</v>
      </c>
      <c r="O33" s="504">
        <f>+N33-L33</f>
        <v>0</v>
      </c>
      <c r="P33" s="278"/>
      <c r="R33" s="243"/>
      <c r="S33" s="243"/>
      <c r="T33" s="243"/>
      <c r="U33" s="243"/>
    </row>
    <row r="34" spans="2:21" ht="12.5">
      <c r="B34" s="145" t="str">
        <f t="shared" si="0"/>
        <v/>
      </c>
      <c r="C34" s="495">
        <f>IF(D14="","-",+C33+1)</f>
        <v>2028</v>
      </c>
      <c r="D34" s="514">
        <f>IF(F33+SUM(E$17:E33)=D$10,F33,D$10-SUM(E$17:E33))</f>
        <v>355849.76268303767</v>
      </c>
      <c r="E34" s="515">
        <f>IF(+I14&lt;F33,I14,D34)</f>
        <v>19830.741935483871</v>
      </c>
      <c r="F34" s="516">
        <f t="shared" si="10"/>
        <v>336019.02074755379</v>
      </c>
      <c r="G34" s="517">
        <f t="shared" si="11"/>
        <v>57255.677345039498</v>
      </c>
      <c r="H34" s="518">
        <f t="shared" si="12"/>
        <v>57255.677345039498</v>
      </c>
      <c r="I34" s="519">
        <f t="shared" si="7"/>
        <v>0</v>
      </c>
      <c r="J34" s="519"/>
      <c r="K34" s="520"/>
      <c r="L34" s="521">
        <f t="shared" si="2"/>
        <v>0</v>
      </c>
      <c r="M34" s="520"/>
      <c r="N34" s="521">
        <f t="shared" si="4"/>
        <v>0</v>
      </c>
      <c r="O34" s="521">
        <f t="shared" si="5"/>
        <v>0</v>
      </c>
      <c r="P34" s="522"/>
      <c r="Q34" s="216"/>
      <c r="R34" s="522"/>
      <c r="S34" s="522"/>
      <c r="T34" s="522"/>
      <c r="U34" s="243"/>
    </row>
    <row r="35" spans="2:21" ht="12.5">
      <c r="B35" s="145" t="str">
        <f t="shared" si="0"/>
        <v/>
      </c>
      <c r="C35" s="495">
        <f>IF(D11="","-",+C34+1)</f>
        <v>2029</v>
      </c>
      <c r="D35" s="508">
        <f>IF(F34+SUM(E$17:E34)=D$10,F34,D$10-SUM(E$17:E34))</f>
        <v>336019.02074755379</v>
      </c>
      <c r="E35" s="509">
        <f>IF(+I14&lt;F34,I14,D35)</f>
        <v>19830.741935483871</v>
      </c>
      <c r="F35" s="510">
        <f t="shared" si="10"/>
        <v>316188.27881206991</v>
      </c>
      <c r="G35" s="511">
        <f t="shared" si="11"/>
        <v>55110.287196407349</v>
      </c>
      <c r="H35" s="477">
        <f t="shared" si="12"/>
        <v>55110.287196407349</v>
      </c>
      <c r="I35" s="500">
        <f t="shared" si="7"/>
        <v>0</v>
      </c>
      <c r="J35" s="500"/>
      <c r="K35" s="512"/>
      <c r="L35" s="504">
        <f t="shared" si="2"/>
        <v>0</v>
      </c>
      <c r="M35" s="512"/>
      <c r="N35" s="504">
        <f t="shared" si="4"/>
        <v>0</v>
      </c>
      <c r="O35" s="504">
        <f t="shared" si="5"/>
        <v>0</v>
      </c>
      <c r="P35" s="278"/>
      <c r="R35" s="243"/>
      <c r="S35" s="243"/>
      <c r="T35" s="243"/>
      <c r="U35" s="243"/>
    </row>
    <row r="36" spans="2:21" ht="12.5">
      <c r="B36" s="145" t="str">
        <f t="shared" si="0"/>
        <v/>
      </c>
      <c r="C36" s="495">
        <f>IF(D11="","-",+C35+1)</f>
        <v>2030</v>
      </c>
      <c r="D36" s="508">
        <f>IF(F35+SUM(E$17:E35)=D$10,F35,D$10-SUM(E$17:E35))</f>
        <v>316188.27881206991</v>
      </c>
      <c r="E36" s="509">
        <f>IF(+I14&lt;F35,I14,D36)</f>
        <v>19830.741935483871</v>
      </c>
      <c r="F36" s="510">
        <f t="shared" si="10"/>
        <v>296357.53687658603</v>
      </c>
      <c r="G36" s="511">
        <f t="shared" si="11"/>
        <v>52964.897047775201</v>
      </c>
      <c r="H36" s="477">
        <f t="shared" si="12"/>
        <v>52964.897047775201</v>
      </c>
      <c r="I36" s="500">
        <f t="shared" si="7"/>
        <v>0</v>
      </c>
      <c r="J36" s="500"/>
      <c r="K36" s="512"/>
      <c r="L36" s="504">
        <f t="shared" si="2"/>
        <v>0</v>
      </c>
      <c r="M36" s="512"/>
      <c r="N36" s="504">
        <f t="shared" si="4"/>
        <v>0</v>
      </c>
      <c r="O36" s="504">
        <f t="shared" si="5"/>
        <v>0</v>
      </c>
      <c r="P36" s="278"/>
      <c r="R36" s="243"/>
      <c r="S36" s="243"/>
      <c r="T36" s="243"/>
      <c r="U36" s="243"/>
    </row>
    <row r="37" spans="2:21" ht="12.5">
      <c r="B37" s="145" t="str">
        <f t="shared" si="0"/>
        <v/>
      </c>
      <c r="C37" s="495">
        <f>IF(D11="","-",+C36+1)</f>
        <v>2031</v>
      </c>
      <c r="D37" s="508">
        <f>IF(F36+SUM(E$17:E36)=D$10,F36,D$10-SUM(E$17:E36))</f>
        <v>296357.53687658603</v>
      </c>
      <c r="E37" s="509">
        <f>IF(+I14&lt;F36,I14,D37)</f>
        <v>19830.741935483871</v>
      </c>
      <c r="F37" s="510">
        <f t="shared" si="10"/>
        <v>276526.79494110215</v>
      </c>
      <c r="G37" s="511">
        <f t="shared" si="11"/>
        <v>50819.506899143045</v>
      </c>
      <c r="H37" s="477">
        <f t="shared" si="12"/>
        <v>50819.506899143045</v>
      </c>
      <c r="I37" s="500">
        <f t="shared" si="7"/>
        <v>0</v>
      </c>
      <c r="J37" s="500"/>
      <c r="K37" s="512"/>
      <c r="L37" s="504">
        <f t="shared" si="2"/>
        <v>0</v>
      </c>
      <c r="M37" s="512"/>
      <c r="N37" s="504">
        <f t="shared" si="4"/>
        <v>0</v>
      </c>
      <c r="O37" s="504">
        <f t="shared" si="5"/>
        <v>0</v>
      </c>
      <c r="P37" s="278"/>
      <c r="R37" s="243"/>
      <c r="S37" s="243"/>
      <c r="T37" s="243"/>
      <c r="U37" s="243"/>
    </row>
    <row r="38" spans="2:21" ht="12.5">
      <c r="B38" s="145" t="str">
        <f t="shared" si="0"/>
        <v/>
      </c>
      <c r="C38" s="495">
        <f>IF(D11="","-",+C37+1)</f>
        <v>2032</v>
      </c>
      <c r="D38" s="508">
        <f>IF(F37+SUM(E$17:E37)=D$10,F37,D$10-SUM(E$17:E37))</f>
        <v>276526.79494110215</v>
      </c>
      <c r="E38" s="509">
        <f>IF(+I14&lt;F37,I14,D38)</f>
        <v>19830.741935483871</v>
      </c>
      <c r="F38" s="510">
        <f t="shared" si="10"/>
        <v>256696.05300561828</v>
      </c>
      <c r="G38" s="511">
        <f t="shared" si="11"/>
        <v>48674.116750510904</v>
      </c>
      <c r="H38" s="477">
        <f t="shared" si="12"/>
        <v>48674.116750510904</v>
      </c>
      <c r="I38" s="500">
        <f t="shared" si="7"/>
        <v>0</v>
      </c>
      <c r="J38" s="500"/>
      <c r="K38" s="512"/>
      <c r="L38" s="504">
        <f t="shared" si="2"/>
        <v>0</v>
      </c>
      <c r="M38" s="512"/>
      <c r="N38" s="504">
        <f t="shared" si="4"/>
        <v>0</v>
      </c>
      <c r="O38" s="504">
        <f t="shared" si="5"/>
        <v>0</v>
      </c>
      <c r="P38" s="278"/>
      <c r="R38" s="243"/>
      <c r="S38" s="243"/>
      <c r="T38" s="243"/>
      <c r="U38" s="243"/>
    </row>
    <row r="39" spans="2:21" ht="12.5">
      <c r="B39" s="145" t="str">
        <f t="shared" si="0"/>
        <v/>
      </c>
      <c r="C39" s="495">
        <f>IF(D11="","-",+C38+1)</f>
        <v>2033</v>
      </c>
      <c r="D39" s="508">
        <f>IF(F38+SUM(E$17:E38)=D$10,F38,D$10-SUM(E$17:E38))</f>
        <v>256696.05300561828</v>
      </c>
      <c r="E39" s="509">
        <f>IF(+I14&lt;F38,I14,D39)</f>
        <v>19830.741935483871</v>
      </c>
      <c r="F39" s="510">
        <f t="shared" si="10"/>
        <v>236865.3110701344</v>
      </c>
      <c r="G39" s="511">
        <f t="shared" si="11"/>
        <v>46528.726601878749</v>
      </c>
      <c r="H39" s="477">
        <f t="shared" si="12"/>
        <v>46528.726601878749</v>
      </c>
      <c r="I39" s="500">
        <f t="shared" si="7"/>
        <v>0</v>
      </c>
      <c r="J39" s="500"/>
      <c r="K39" s="512"/>
      <c r="L39" s="504">
        <f t="shared" si="2"/>
        <v>0</v>
      </c>
      <c r="M39" s="512"/>
      <c r="N39" s="504">
        <f t="shared" si="4"/>
        <v>0</v>
      </c>
      <c r="O39" s="504">
        <f t="shared" si="5"/>
        <v>0</v>
      </c>
      <c r="P39" s="278"/>
      <c r="R39" s="243"/>
      <c r="S39" s="243"/>
      <c r="T39" s="243"/>
      <c r="U39" s="243"/>
    </row>
    <row r="40" spans="2:21" ht="12.5">
      <c r="B40" s="145" t="str">
        <f t="shared" si="0"/>
        <v/>
      </c>
      <c r="C40" s="495">
        <f>IF(D11="","-",+C39+1)</f>
        <v>2034</v>
      </c>
      <c r="D40" s="508">
        <f>IF(F39+SUM(E$17:E39)=D$10,F39,D$10-SUM(E$17:E39))</f>
        <v>236865.3110701344</v>
      </c>
      <c r="E40" s="509">
        <f>IF(+I14&lt;F39,I14,D40)</f>
        <v>19830.741935483871</v>
      </c>
      <c r="F40" s="510">
        <f t="shared" si="10"/>
        <v>217034.56913465052</v>
      </c>
      <c r="G40" s="511">
        <f t="shared" si="11"/>
        <v>44383.336453246608</v>
      </c>
      <c r="H40" s="477">
        <f t="shared" si="12"/>
        <v>44383.336453246608</v>
      </c>
      <c r="I40" s="500">
        <f t="shared" si="7"/>
        <v>0</v>
      </c>
      <c r="J40" s="500"/>
      <c r="K40" s="512"/>
      <c r="L40" s="504">
        <f t="shared" si="2"/>
        <v>0</v>
      </c>
      <c r="M40" s="512"/>
      <c r="N40" s="504">
        <f t="shared" si="4"/>
        <v>0</v>
      </c>
      <c r="O40" s="504">
        <f t="shared" si="5"/>
        <v>0</v>
      </c>
      <c r="P40" s="278"/>
      <c r="R40" s="243"/>
      <c r="S40" s="243"/>
      <c r="T40" s="243"/>
      <c r="U40" s="243"/>
    </row>
    <row r="41" spans="2:21" ht="12.5">
      <c r="B41" s="145" t="str">
        <f t="shared" si="0"/>
        <v/>
      </c>
      <c r="C41" s="495">
        <f>IF(D12="","-",+C40+1)</f>
        <v>2035</v>
      </c>
      <c r="D41" s="508">
        <f>IF(F40+SUM(E$17:E40)=D$10,F40,D$10-SUM(E$17:E40))</f>
        <v>217034.56913465052</v>
      </c>
      <c r="E41" s="509">
        <f>IF(+I14&lt;F40,I14,D41)</f>
        <v>19830.741935483871</v>
      </c>
      <c r="F41" s="510">
        <f t="shared" si="10"/>
        <v>197203.82719916664</v>
      </c>
      <c r="G41" s="511">
        <f t="shared" si="11"/>
        <v>42237.946304614452</v>
      </c>
      <c r="H41" s="477">
        <f t="shared" si="12"/>
        <v>42237.946304614452</v>
      </c>
      <c r="I41" s="500">
        <f t="shared" si="7"/>
        <v>0</v>
      </c>
      <c r="J41" s="500"/>
      <c r="K41" s="512"/>
      <c r="L41" s="504">
        <f t="shared" si="2"/>
        <v>0</v>
      </c>
      <c r="M41" s="512"/>
      <c r="N41" s="504">
        <f t="shared" si="4"/>
        <v>0</v>
      </c>
      <c r="O41" s="504">
        <f t="shared" si="5"/>
        <v>0</v>
      </c>
      <c r="P41" s="278"/>
      <c r="R41" s="243"/>
      <c r="S41" s="243"/>
      <c r="T41" s="243"/>
      <c r="U41" s="243"/>
    </row>
    <row r="42" spans="2:21" ht="12.5">
      <c r="B42" s="145" t="str">
        <f t="shared" si="0"/>
        <v/>
      </c>
      <c r="C42" s="495">
        <f>IF(D13="","-",+C41+1)</f>
        <v>2036</v>
      </c>
      <c r="D42" s="508">
        <f>IF(F41+SUM(E$17:E41)=D$10,F41,D$10-SUM(E$17:E41))</f>
        <v>197203.82719916664</v>
      </c>
      <c r="E42" s="509">
        <f>IF(+I14&lt;F41,I14,D42)</f>
        <v>19830.741935483871</v>
      </c>
      <c r="F42" s="510">
        <f t="shared" si="10"/>
        <v>177373.08526368276</v>
      </c>
      <c r="G42" s="511">
        <f t="shared" si="11"/>
        <v>40092.556155982311</v>
      </c>
      <c r="H42" s="477">
        <f t="shared" si="12"/>
        <v>40092.556155982311</v>
      </c>
      <c r="I42" s="500">
        <f t="shared" si="7"/>
        <v>0</v>
      </c>
      <c r="J42" s="500"/>
      <c r="K42" s="512"/>
      <c r="L42" s="504">
        <f t="shared" si="2"/>
        <v>0</v>
      </c>
      <c r="M42" s="512"/>
      <c r="N42" s="504">
        <f t="shared" si="4"/>
        <v>0</v>
      </c>
      <c r="O42" s="504">
        <f t="shared" si="5"/>
        <v>0</v>
      </c>
      <c r="P42" s="278"/>
      <c r="R42" s="243"/>
      <c r="S42" s="243"/>
      <c r="T42" s="243"/>
      <c r="U42" s="243"/>
    </row>
    <row r="43" spans="2:21" ht="12.5">
      <c r="B43" s="145" t="str">
        <f t="shared" si="0"/>
        <v/>
      </c>
      <c r="C43" s="495">
        <f>IF(D14="","-",+C42+1)</f>
        <v>2037</v>
      </c>
      <c r="D43" s="508">
        <f>IF(F42+SUM(E$17:E42)=D$10,F42,D$10-SUM(E$17:E42))</f>
        <v>177373.08526368276</v>
      </c>
      <c r="E43" s="509">
        <f>IF(+I14&lt;F42,I14,D43)</f>
        <v>19830.741935483871</v>
      </c>
      <c r="F43" s="510">
        <f t="shared" si="10"/>
        <v>157542.34332819888</v>
      </c>
      <c r="G43" s="511">
        <f t="shared" si="11"/>
        <v>37947.166007350155</v>
      </c>
      <c r="H43" s="477">
        <f t="shared" si="12"/>
        <v>37947.166007350155</v>
      </c>
      <c r="I43" s="500">
        <f t="shared" si="7"/>
        <v>0</v>
      </c>
      <c r="J43" s="500"/>
      <c r="K43" s="512"/>
      <c r="L43" s="504">
        <f t="shared" si="2"/>
        <v>0</v>
      </c>
      <c r="M43" s="512"/>
      <c r="N43" s="504">
        <f t="shared" si="4"/>
        <v>0</v>
      </c>
      <c r="O43" s="504">
        <f t="shared" si="5"/>
        <v>0</v>
      </c>
      <c r="P43" s="278"/>
      <c r="R43" s="243"/>
      <c r="S43" s="243"/>
      <c r="T43" s="243"/>
      <c r="U43" s="243"/>
    </row>
    <row r="44" spans="2:21" ht="12.5">
      <c r="B44" s="145" t="str">
        <f t="shared" si="0"/>
        <v/>
      </c>
      <c r="C44" s="495">
        <f>IF(D11="","-",+C43+1)</f>
        <v>2038</v>
      </c>
      <c r="D44" s="508">
        <f>IF(F43+SUM(E$17:E43)=D$10,F43,D$10-SUM(E$17:E43))</f>
        <v>157542.34332819888</v>
      </c>
      <c r="E44" s="509">
        <f>IF(+I14&lt;F43,I14,D44)</f>
        <v>19830.741935483871</v>
      </c>
      <c r="F44" s="510">
        <f t="shared" si="10"/>
        <v>137711.60139271501</v>
      </c>
      <c r="G44" s="511">
        <f t="shared" si="11"/>
        <v>35801.775858718007</v>
      </c>
      <c r="H44" s="477">
        <f t="shared" si="12"/>
        <v>35801.775858718007</v>
      </c>
      <c r="I44" s="500">
        <f t="shared" si="7"/>
        <v>0</v>
      </c>
      <c r="J44" s="500"/>
      <c r="K44" s="512"/>
      <c r="L44" s="504">
        <f t="shared" si="2"/>
        <v>0</v>
      </c>
      <c r="M44" s="512"/>
      <c r="N44" s="504">
        <f t="shared" si="4"/>
        <v>0</v>
      </c>
      <c r="O44" s="504">
        <f t="shared" si="5"/>
        <v>0</v>
      </c>
      <c r="P44" s="278"/>
      <c r="R44" s="243"/>
      <c r="S44" s="243"/>
      <c r="T44" s="243"/>
      <c r="U44" s="243"/>
    </row>
    <row r="45" spans="2:21" ht="12.5">
      <c r="B45" s="145" t="str">
        <f t="shared" si="0"/>
        <v/>
      </c>
      <c r="C45" s="495">
        <f>IF(D11="","-",+C44+1)</f>
        <v>2039</v>
      </c>
      <c r="D45" s="508">
        <f>IF(F44+SUM(E$17:E44)=D$10,F44,D$10-SUM(E$17:E44))</f>
        <v>137711.60139271501</v>
      </c>
      <c r="E45" s="509">
        <f>IF(+I14&lt;F44,I14,D45)</f>
        <v>19830.741935483871</v>
      </c>
      <c r="F45" s="510">
        <f t="shared" si="10"/>
        <v>117880.85945723113</v>
      </c>
      <c r="G45" s="511">
        <f t="shared" si="11"/>
        <v>33656.385710085859</v>
      </c>
      <c r="H45" s="477">
        <f t="shared" si="12"/>
        <v>33656.385710085859</v>
      </c>
      <c r="I45" s="500">
        <f t="shared" si="7"/>
        <v>0</v>
      </c>
      <c r="J45" s="500"/>
      <c r="K45" s="512"/>
      <c r="L45" s="504">
        <f t="shared" si="2"/>
        <v>0</v>
      </c>
      <c r="M45" s="512"/>
      <c r="N45" s="504">
        <f t="shared" si="4"/>
        <v>0</v>
      </c>
      <c r="O45" s="504">
        <f t="shared" si="5"/>
        <v>0</v>
      </c>
      <c r="P45" s="278"/>
      <c r="R45" s="243"/>
      <c r="S45" s="243"/>
      <c r="T45" s="243"/>
      <c r="U45" s="243"/>
    </row>
    <row r="46" spans="2:21" ht="12.5">
      <c r="B46" s="145" t="str">
        <f t="shared" si="0"/>
        <v/>
      </c>
      <c r="C46" s="495">
        <f>IF(D11="","-",+C45+1)</f>
        <v>2040</v>
      </c>
      <c r="D46" s="508">
        <f>IF(F45+SUM(E$17:E45)=D$10,F45,D$10-SUM(E$17:E45))</f>
        <v>117880.85945723113</v>
      </c>
      <c r="E46" s="509">
        <f>IF(+I14&lt;F45,I14,D46)</f>
        <v>19830.741935483871</v>
      </c>
      <c r="F46" s="510">
        <f t="shared" si="10"/>
        <v>98050.117521747248</v>
      </c>
      <c r="G46" s="511">
        <f t="shared" si="11"/>
        <v>31510.99556145371</v>
      </c>
      <c r="H46" s="477">
        <f t="shared" si="12"/>
        <v>31510.99556145371</v>
      </c>
      <c r="I46" s="500">
        <f t="shared" si="7"/>
        <v>0</v>
      </c>
      <c r="J46" s="500"/>
      <c r="K46" s="512"/>
      <c r="L46" s="504">
        <f t="shared" si="2"/>
        <v>0</v>
      </c>
      <c r="M46" s="512"/>
      <c r="N46" s="504">
        <f t="shared" si="4"/>
        <v>0</v>
      </c>
      <c r="O46" s="504">
        <f t="shared" si="5"/>
        <v>0</v>
      </c>
      <c r="P46" s="278"/>
      <c r="R46" s="243"/>
      <c r="S46" s="243"/>
      <c r="T46" s="243"/>
      <c r="U46" s="243"/>
    </row>
    <row r="47" spans="2:21" ht="12.5">
      <c r="B47" s="145" t="str">
        <f t="shared" si="0"/>
        <v/>
      </c>
      <c r="C47" s="495">
        <f>IF(D11="","-",+C46+1)</f>
        <v>2041</v>
      </c>
      <c r="D47" s="508">
        <f>IF(F46+SUM(E$17:E46)=D$10,F46,D$10-SUM(E$17:E46))</f>
        <v>98050.117521747248</v>
      </c>
      <c r="E47" s="509">
        <f>IF(+I14&lt;F46,I14,D47)</f>
        <v>19830.741935483871</v>
      </c>
      <c r="F47" s="510">
        <f t="shared" si="10"/>
        <v>78219.37558626337</v>
      </c>
      <c r="G47" s="511">
        <f t="shared" si="11"/>
        <v>29365.605412821562</v>
      </c>
      <c r="H47" s="477">
        <f t="shared" si="12"/>
        <v>29365.605412821562</v>
      </c>
      <c r="I47" s="500">
        <f t="shared" si="7"/>
        <v>0</v>
      </c>
      <c r="J47" s="500"/>
      <c r="K47" s="512"/>
      <c r="L47" s="504">
        <f t="shared" si="2"/>
        <v>0</v>
      </c>
      <c r="M47" s="512"/>
      <c r="N47" s="504">
        <f t="shared" si="4"/>
        <v>0</v>
      </c>
      <c r="O47" s="504">
        <f t="shared" si="5"/>
        <v>0</v>
      </c>
      <c r="P47" s="278"/>
      <c r="R47" s="243"/>
      <c r="S47" s="243"/>
      <c r="T47" s="243"/>
      <c r="U47" s="243"/>
    </row>
    <row r="48" spans="2:21" ht="12.5">
      <c r="B48" s="145" t="str">
        <f t="shared" si="0"/>
        <v/>
      </c>
      <c r="C48" s="495">
        <f>IF(D11="","-",+C47+1)</f>
        <v>2042</v>
      </c>
      <c r="D48" s="508">
        <f>IF(F47+SUM(E$17:E47)=D$10,F47,D$10-SUM(E$17:E47))</f>
        <v>78219.37558626337</v>
      </c>
      <c r="E48" s="509">
        <f>IF(+I14&lt;F47,I14,D48)</f>
        <v>19830.741935483871</v>
      </c>
      <c r="F48" s="510">
        <f t="shared" si="10"/>
        <v>58388.633650779499</v>
      </c>
      <c r="G48" s="511">
        <f t="shared" si="11"/>
        <v>27220.215264189414</v>
      </c>
      <c r="H48" s="477">
        <f t="shared" si="12"/>
        <v>27220.215264189414</v>
      </c>
      <c r="I48" s="500">
        <f t="shared" si="7"/>
        <v>0</v>
      </c>
      <c r="J48" s="500"/>
      <c r="K48" s="512"/>
      <c r="L48" s="504">
        <f t="shared" si="2"/>
        <v>0</v>
      </c>
      <c r="M48" s="512"/>
      <c r="N48" s="504">
        <f t="shared" si="4"/>
        <v>0</v>
      </c>
      <c r="O48" s="504">
        <f t="shared" si="5"/>
        <v>0</v>
      </c>
      <c r="P48" s="278"/>
      <c r="R48" s="243"/>
      <c r="S48" s="243"/>
      <c r="T48" s="243"/>
      <c r="U48" s="243"/>
    </row>
    <row r="49" spans="2:21" ht="12.5">
      <c r="B49" s="145" t="str">
        <f t="shared" si="0"/>
        <v/>
      </c>
      <c r="C49" s="495">
        <f>IF(D11="","-",+C48+1)</f>
        <v>2043</v>
      </c>
      <c r="D49" s="508">
        <f>IF(F48+SUM(E$17:E48)=D$10,F48,D$10-SUM(E$17:E48))</f>
        <v>58388.633650779499</v>
      </c>
      <c r="E49" s="509">
        <f>IF(+I14&lt;F48,I14,D49)</f>
        <v>19830.741935483871</v>
      </c>
      <c r="F49" s="510">
        <f t="shared" si="10"/>
        <v>38557.891715295627</v>
      </c>
      <c r="G49" s="511">
        <f t="shared" si="11"/>
        <v>25074.825115557265</v>
      </c>
      <c r="H49" s="477">
        <f t="shared" si="12"/>
        <v>25074.825115557265</v>
      </c>
      <c r="I49" s="500">
        <f t="shared" si="7"/>
        <v>0</v>
      </c>
      <c r="J49" s="500"/>
      <c r="K49" s="512"/>
      <c r="L49" s="504">
        <f t="shared" si="2"/>
        <v>0</v>
      </c>
      <c r="M49" s="512"/>
      <c r="N49" s="504">
        <f t="shared" si="4"/>
        <v>0</v>
      </c>
      <c r="O49" s="504">
        <f t="shared" si="5"/>
        <v>0</v>
      </c>
      <c r="P49" s="278"/>
      <c r="R49" s="243"/>
      <c r="S49" s="243"/>
      <c r="T49" s="243"/>
      <c r="U49" s="243"/>
    </row>
    <row r="50" spans="2:21" ht="12.5">
      <c r="B50" s="145" t="str">
        <f t="shared" ref="B50:B73" si="13">IF(D50=F49,"","IU")</f>
        <v/>
      </c>
      <c r="C50" s="495">
        <f>IF(D11="","-",+C49+1)</f>
        <v>2044</v>
      </c>
      <c r="D50" s="508">
        <f>IF(F49+SUM(E$17:E49)=D$10,F49,D$10-SUM(E$17:E49))</f>
        <v>38557.891715295627</v>
      </c>
      <c r="E50" s="509">
        <f>IF(+I14&lt;F49,I14,D50)</f>
        <v>19830.741935483871</v>
      </c>
      <c r="F50" s="510">
        <f t="shared" si="10"/>
        <v>18727.149779811756</v>
      </c>
      <c r="G50" s="511">
        <f t="shared" si="11"/>
        <v>22929.434966925121</v>
      </c>
      <c r="H50" s="477">
        <f t="shared" si="12"/>
        <v>22929.434966925121</v>
      </c>
      <c r="I50" s="500">
        <f t="shared" ref="I50:I73" si="14">H50-G50</f>
        <v>0</v>
      </c>
      <c r="J50" s="500"/>
      <c r="K50" s="512"/>
      <c r="L50" s="504">
        <f t="shared" ref="L50:L73" si="15">IF(K50&lt;&gt;0,+G50-K50,0)</f>
        <v>0</v>
      </c>
      <c r="M50" s="512"/>
      <c r="N50" s="504">
        <f t="shared" ref="N50:N73" si="16">IF(M50&lt;&gt;0,+H50-M50,0)</f>
        <v>0</v>
      </c>
      <c r="O50" s="504">
        <f t="shared" ref="O50:O73" si="17">+N50-L50</f>
        <v>0</v>
      </c>
      <c r="P50" s="278"/>
      <c r="R50" s="243"/>
      <c r="S50" s="243"/>
      <c r="T50" s="243"/>
      <c r="U50" s="243"/>
    </row>
    <row r="51" spans="2:21" ht="12.5">
      <c r="B51" s="145" t="str">
        <f t="shared" si="13"/>
        <v/>
      </c>
      <c r="C51" s="495">
        <f>IF(D11="","-",+C50+1)</f>
        <v>2045</v>
      </c>
      <c r="D51" s="508">
        <f>IF(F50+SUM(E$17:E50)=D$10,F50,D$10-SUM(E$17:E50))</f>
        <v>18727.149779811756</v>
      </c>
      <c r="E51" s="509">
        <f>IF(+I14&lt;F50,I14,D51)</f>
        <v>18727.149779811756</v>
      </c>
      <c r="F51" s="510">
        <f t="shared" ref="F51:F73" si="18">+D51-E51</f>
        <v>0</v>
      </c>
      <c r="G51" s="511">
        <f t="shared" si="11"/>
        <v>19740.148758374344</v>
      </c>
      <c r="H51" s="477">
        <f t="shared" si="12"/>
        <v>19740.148758374344</v>
      </c>
      <c r="I51" s="500">
        <f t="shared" si="14"/>
        <v>0</v>
      </c>
      <c r="J51" s="500"/>
      <c r="K51" s="512"/>
      <c r="L51" s="504">
        <f t="shared" si="15"/>
        <v>0</v>
      </c>
      <c r="M51" s="512"/>
      <c r="N51" s="504">
        <f t="shared" si="16"/>
        <v>0</v>
      </c>
      <c r="O51" s="504">
        <f t="shared" si="17"/>
        <v>0</v>
      </c>
      <c r="P51" s="278"/>
      <c r="R51" s="243"/>
      <c r="S51" s="243"/>
      <c r="T51" s="243"/>
      <c r="U51" s="243"/>
    </row>
    <row r="52" spans="2:21" ht="12.5">
      <c r="B52" s="145" t="str">
        <f t="shared" si="13"/>
        <v/>
      </c>
      <c r="C52" s="495">
        <f>IF(D11="","-",+C51+1)</f>
        <v>2046</v>
      </c>
      <c r="D52" s="508">
        <f>IF(F51+SUM(E$17:E51)=D$10,F51,D$10-SUM(E$17:E51))</f>
        <v>0</v>
      </c>
      <c r="E52" s="509">
        <f>IF(+I14&lt;F51,I14,D52)</f>
        <v>0</v>
      </c>
      <c r="F52" s="510">
        <f t="shared" si="18"/>
        <v>0</v>
      </c>
      <c r="G52" s="511">
        <f t="shared" si="11"/>
        <v>0</v>
      </c>
      <c r="H52" s="477">
        <f t="shared" si="12"/>
        <v>0</v>
      </c>
      <c r="I52" s="500">
        <f t="shared" si="14"/>
        <v>0</v>
      </c>
      <c r="J52" s="500"/>
      <c r="K52" s="512"/>
      <c r="L52" s="504">
        <f t="shared" si="15"/>
        <v>0</v>
      </c>
      <c r="M52" s="512"/>
      <c r="N52" s="504">
        <f t="shared" si="16"/>
        <v>0</v>
      </c>
      <c r="O52" s="504">
        <f t="shared" si="17"/>
        <v>0</v>
      </c>
      <c r="P52" s="278"/>
      <c r="R52" s="243"/>
      <c r="S52" s="243"/>
      <c r="T52" s="243"/>
      <c r="U52" s="243"/>
    </row>
    <row r="53" spans="2:21" ht="12.5">
      <c r="B53" s="145" t="str">
        <f t="shared" si="13"/>
        <v/>
      </c>
      <c r="C53" s="495">
        <f>IF(D11="","-",+C52+1)</f>
        <v>2047</v>
      </c>
      <c r="D53" s="508">
        <f>IF(F52+SUM(E$17:E52)=D$10,F52,D$10-SUM(E$17:E52))</f>
        <v>0</v>
      </c>
      <c r="E53" s="509">
        <f>IF(+I14&lt;F52,I14,D53)</f>
        <v>0</v>
      </c>
      <c r="F53" s="510">
        <f t="shared" si="18"/>
        <v>0</v>
      </c>
      <c r="G53" s="511">
        <f t="shared" si="11"/>
        <v>0</v>
      </c>
      <c r="H53" s="477">
        <f t="shared" si="12"/>
        <v>0</v>
      </c>
      <c r="I53" s="500">
        <f t="shared" si="14"/>
        <v>0</v>
      </c>
      <c r="J53" s="500"/>
      <c r="K53" s="512"/>
      <c r="L53" s="504">
        <f t="shared" si="15"/>
        <v>0</v>
      </c>
      <c r="M53" s="512"/>
      <c r="N53" s="504">
        <f t="shared" si="16"/>
        <v>0</v>
      </c>
      <c r="O53" s="504">
        <f t="shared" si="17"/>
        <v>0</v>
      </c>
      <c r="P53" s="278"/>
      <c r="R53" s="243"/>
      <c r="S53" s="243"/>
      <c r="T53" s="243"/>
      <c r="U53" s="243"/>
    </row>
    <row r="54" spans="2:21" ht="12.5">
      <c r="B54" s="145" t="str">
        <f t="shared" si="13"/>
        <v/>
      </c>
      <c r="C54" s="495">
        <f>IF(D11="","-",+C53+1)</f>
        <v>2048</v>
      </c>
      <c r="D54" s="508">
        <f>IF(F53+SUM(E$17:E53)=D$10,F53,D$10-SUM(E$17:E53))</f>
        <v>0</v>
      </c>
      <c r="E54" s="509">
        <f>IF(+I14&lt;F53,I14,D54)</f>
        <v>0</v>
      </c>
      <c r="F54" s="510">
        <f t="shared" si="18"/>
        <v>0</v>
      </c>
      <c r="G54" s="511">
        <f t="shared" si="11"/>
        <v>0</v>
      </c>
      <c r="H54" s="477">
        <f t="shared" si="12"/>
        <v>0</v>
      </c>
      <c r="I54" s="500">
        <f t="shared" si="14"/>
        <v>0</v>
      </c>
      <c r="J54" s="500"/>
      <c r="K54" s="512"/>
      <c r="L54" s="504">
        <f t="shared" si="15"/>
        <v>0</v>
      </c>
      <c r="M54" s="512"/>
      <c r="N54" s="504">
        <f t="shared" si="16"/>
        <v>0</v>
      </c>
      <c r="O54" s="504">
        <f t="shared" si="17"/>
        <v>0</v>
      </c>
      <c r="P54" s="278"/>
      <c r="R54" s="243"/>
      <c r="S54" s="243"/>
      <c r="T54" s="243"/>
      <c r="U54" s="243"/>
    </row>
    <row r="55" spans="2:21" ht="12.5">
      <c r="B55" s="145" t="str">
        <f t="shared" si="13"/>
        <v/>
      </c>
      <c r="C55" s="495">
        <f>IF(D11="","-",+C54+1)</f>
        <v>2049</v>
      </c>
      <c r="D55" s="508">
        <f>IF(F54+SUM(E$17:E54)=D$10,F54,D$10-SUM(E$17:E54))</f>
        <v>0</v>
      </c>
      <c r="E55" s="509">
        <f>IF(+I14&lt;F54,I14,D55)</f>
        <v>0</v>
      </c>
      <c r="F55" s="510">
        <f t="shared" si="18"/>
        <v>0</v>
      </c>
      <c r="G55" s="511">
        <f t="shared" si="11"/>
        <v>0</v>
      </c>
      <c r="H55" s="477">
        <f t="shared" si="12"/>
        <v>0</v>
      </c>
      <c r="I55" s="500">
        <f t="shared" si="14"/>
        <v>0</v>
      </c>
      <c r="J55" s="500"/>
      <c r="K55" s="512"/>
      <c r="L55" s="504">
        <f t="shared" si="15"/>
        <v>0</v>
      </c>
      <c r="M55" s="512"/>
      <c r="N55" s="504">
        <f t="shared" si="16"/>
        <v>0</v>
      </c>
      <c r="O55" s="504">
        <f t="shared" si="17"/>
        <v>0</v>
      </c>
      <c r="P55" s="278"/>
      <c r="R55" s="243"/>
      <c r="S55" s="243"/>
      <c r="T55" s="243"/>
      <c r="U55" s="243"/>
    </row>
    <row r="56" spans="2:21" ht="12.5">
      <c r="B56" s="145" t="str">
        <f t="shared" si="13"/>
        <v/>
      </c>
      <c r="C56" s="495">
        <f>IF(D11="","-",+C55+1)</f>
        <v>2050</v>
      </c>
      <c r="D56" s="508">
        <f>IF(F55+SUM(E$17:E55)=D$10,F55,D$10-SUM(E$17:E55))</f>
        <v>0</v>
      </c>
      <c r="E56" s="509">
        <f>IF(+I14&lt;F55,I14,D56)</f>
        <v>0</v>
      </c>
      <c r="F56" s="510">
        <f t="shared" si="18"/>
        <v>0</v>
      </c>
      <c r="G56" s="511">
        <f t="shared" si="11"/>
        <v>0</v>
      </c>
      <c r="H56" s="477">
        <f t="shared" si="12"/>
        <v>0</v>
      </c>
      <c r="I56" s="500">
        <f t="shared" si="14"/>
        <v>0</v>
      </c>
      <c r="J56" s="500"/>
      <c r="K56" s="512"/>
      <c r="L56" s="504">
        <f t="shared" si="15"/>
        <v>0</v>
      </c>
      <c r="M56" s="512"/>
      <c r="N56" s="504">
        <f t="shared" si="16"/>
        <v>0</v>
      </c>
      <c r="O56" s="504">
        <f t="shared" si="17"/>
        <v>0</v>
      </c>
      <c r="P56" s="278"/>
      <c r="R56" s="243"/>
      <c r="S56" s="243"/>
      <c r="T56" s="243"/>
      <c r="U56" s="243"/>
    </row>
    <row r="57" spans="2:21" ht="12.5">
      <c r="B57" s="145" t="str">
        <f t="shared" si="13"/>
        <v/>
      </c>
      <c r="C57" s="495">
        <f>IF(D11="","-",+C56+1)</f>
        <v>2051</v>
      </c>
      <c r="D57" s="508">
        <f>IF(F56+SUM(E$17:E56)=D$10,F56,D$10-SUM(E$17:E56))</f>
        <v>0</v>
      </c>
      <c r="E57" s="509">
        <f>IF(+I14&lt;F56,I14,D57)</f>
        <v>0</v>
      </c>
      <c r="F57" s="510">
        <f t="shared" si="18"/>
        <v>0</v>
      </c>
      <c r="G57" s="511">
        <f t="shared" si="11"/>
        <v>0</v>
      </c>
      <c r="H57" s="477">
        <f t="shared" si="12"/>
        <v>0</v>
      </c>
      <c r="I57" s="500">
        <f t="shared" si="14"/>
        <v>0</v>
      </c>
      <c r="J57" s="500"/>
      <c r="K57" s="512"/>
      <c r="L57" s="504">
        <f t="shared" si="15"/>
        <v>0</v>
      </c>
      <c r="M57" s="512"/>
      <c r="N57" s="504">
        <f t="shared" si="16"/>
        <v>0</v>
      </c>
      <c r="O57" s="504">
        <f t="shared" si="17"/>
        <v>0</v>
      </c>
      <c r="P57" s="278"/>
      <c r="R57" s="243"/>
      <c r="S57" s="243"/>
      <c r="T57" s="243"/>
      <c r="U57" s="243"/>
    </row>
    <row r="58" spans="2:21" ht="12.5">
      <c r="B58" s="145" t="str">
        <f t="shared" si="13"/>
        <v/>
      </c>
      <c r="C58" s="495">
        <f>IF(D11="","-",+C57+1)</f>
        <v>2052</v>
      </c>
      <c r="D58" s="508">
        <f>IF(F57+SUM(E$17:E57)=D$10,F57,D$10-SUM(E$17:E57))</f>
        <v>0</v>
      </c>
      <c r="E58" s="509">
        <f>IF(+I14&lt;F57,I14,D58)</f>
        <v>0</v>
      </c>
      <c r="F58" s="510">
        <f t="shared" si="18"/>
        <v>0</v>
      </c>
      <c r="G58" s="511">
        <f t="shared" si="11"/>
        <v>0</v>
      </c>
      <c r="H58" s="477">
        <f t="shared" si="12"/>
        <v>0</v>
      </c>
      <c r="I58" s="500">
        <f t="shared" si="14"/>
        <v>0</v>
      </c>
      <c r="J58" s="500"/>
      <c r="K58" s="512"/>
      <c r="L58" s="504">
        <f t="shared" si="15"/>
        <v>0</v>
      </c>
      <c r="M58" s="512"/>
      <c r="N58" s="504">
        <f t="shared" si="16"/>
        <v>0</v>
      </c>
      <c r="O58" s="504">
        <f t="shared" si="17"/>
        <v>0</v>
      </c>
      <c r="P58" s="278"/>
      <c r="R58" s="243"/>
      <c r="S58" s="243"/>
      <c r="T58" s="243"/>
      <c r="U58" s="243"/>
    </row>
    <row r="59" spans="2:21" ht="12.5">
      <c r="B59" s="145" t="str">
        <f t="shared" si="13"/>
        <v/>
      </c>
      <c r="C59" s="495">
        <f>IF(D11="","-",+C58+1)</f>
        <v>2053</v>
      </c>
      <c r="D59" s="508">
        <f>IF(F58+SUM(E$17:E58)=D$10,F58,D$10-SUM(E$17:E58))</f>
        <v>0</v>
      </c>
      <c r="E59" s="509">
        <f>IF(+I14&lt;F58,I14,D59)</f>
        <v>0</v>
      </c>
      <c r="F59" s="510">
        <f t="shared" si="18"/>
        <v>0</v>
      </c>
      <c r="G59" s="511">
        <f t="shared" si="11"/>
        <v>0</v>
      </c>
      <c r="H59" s="477">
        <f t="shared" si="12"/>
        <v>0</v>
      </c>
      <c r="I59" s="500">
        <f t="shared" si="14"/>
        <v>0</v>
      </c>
      <c r="J59" s="500"/>
      <c r="K59" s="512"/>
      <c r="L59" s="504">
        <f t="shared" si="15"/>
        <v>0</v>
      </c>
      <c r="M59" s="512"/>
      <c r="N59" s="504">
        <f t="shared" si="16"/>
        <v>0</v>
      </c>
      <c r="O59" s="504">
        <f t="shared" si="17"/>
        <v>0</v>
      </c>
      <c r="P59" s="278"/>
      <c r="R59" s="243"/>
      <c r="S59" s="243"/>
      <c r="T59" s="243"/>
      <c r="U59" s="243"/>
    </row>
    <row r="60" spans="2:21" ht="12.5">
      <c r="B60" s="145" t="str">
        <f t="shared" si="13"/>
        <v/>
      </c>
      <c r="C60" s="495">
        <f>IF(D11="","-",+C59+1)</f>
        <v>2054</v>
      </c>
      <c r="D60" s="508">
        <f>IF(F59+SUM(E$17:E59)=D$10,F59,D$10-SUM(E$17:E59))</f>
        <v>0</v>
      </c>
      <c r="E60" s="509">
        <f>IF(+I14&lt;F59,I14,D60)</f>
        <v>0</v>
      </c>
      <c r="F60" s="510">
        <f t="shared" si="18"/>
        <v>0</v>
      </c>
      <c r="G60" s="511">
        <f t="shared" si="11"/>
        <v>0</v>
      </c>
      <c r="H60" s="477">
        <f t="shared" si="12"/>
        <v>0</v>
      </c>
      <c r="I60" s="500">
        <f t="shared" si="14"/>
        <v>0</v>
      </c>
      <c r="J60" s="500"/>
      <c r="K60" s="512"/>
      <c r="L60" s="504">
        <f t="shared" si="15"/>
        <v>0</v>
      </c>
      <c r="M60" s="512"/>
      <c r="N60" s="504">
        <f t="shared" si="16"/>
        <v>0</v>
      </c>
      <c r="O60" s="504">
        <f t="shared" si="17"/>
        <v>0</v>
      </c>
      <c r="P60" s="278"/>
      <c r="R60" s="243"/>
      <c r="S60" s="243"/>
      <c r="T60" s="243"/>
      <c r="U60" s="243"/>
    </row>
    <row r="61" spans="2:21" ht="12.5">
      <c r="B61" s="145" t="str">
        <f t="shared" si="13"/>
        <v/>
      </c>
      <c r="C61" s="495">
        <f>IF(D11="","-",+C60+1)</f>
        <v>2055</v>
      </c>
      <c r="D61" s="508">
        <f>IF(F60+SUM(E$17:E60)=D$10,F60,D$10-SUM(E$17:E60))</f>
        <v>0</v>
      </c>
      <c r="E61" s="509">
        <f>IF(+I14&lt;F60,I14,D61)</f>
        <v>0</v>
      </c>
      <c r="F61" s="510">
        <f t="shared" si="18"/>
        <v>0</v>
      </c>
      <c r="G61" s="511">
        <f t="shared" si="11"/>
        <v>0</v>
      </c>
      <c r="H61" s="477">
        <f t="shared" si="12"/>
        <v>0</v>
      </c>
      <c r="I61" s="500">
        <f t="shared" si="14"/>
        <v>0</v>
      </c>
      <c r="J61" s="500"/>
      <c r="K61" s="512"/>
      <c r="L61" s="504">
        <f t="shared" si="15"/>
        <v>0</v>
      </c>
      <c r="M61" s="512"/>
      <c r="N61" s="504">
        <f t="shared" si="16"/>
        <v>0</v>
      </c>
      <c r="O61" s="504">
        <f t="shared" si="17"/>
        <v>0</v>
      </c>
      <c r="P61" s="278"/>
      <c r="R61" s="243"/>
      <c r="S61" s="243"/>
      <c r="T61" s="243"/>
      <c r="U61" s="243"/>
    </row>
    <row r="62" spans="2:21" ht="12.5">
      <c r="B62" s="145" t="str">
        <f t="shared" si="13"/>
        <v/>
      </c>
      <c r="C62" s="495">
        <f>IF(D11="","-",+C61+1)</f>
        <v>2056</v>
      </c>
      <c r="D62" s="508">
        <f>IF(F61+SUM(E$17:E61)=D$10,F61,D$10-SUM(E$17:E61))</f>
        <v>0</v>
      </c>
      <c r="E62" s="509">
        <f>IF(+I14&lt;F61,I14,D62)</f>
        <v>0</v>
      </c>
      <c r="F62" s="510">
        <f t="shared" si="18"/>
        <v>0</v>
      </c>
      <c r="G62" s="523">
        <f t="shared" si="11"/>
        <v>0</v>
      </c>
      <c r="H62" s="477">
        <f t="shared" si="12"/>
        <v>0</v>
      </c>
      <c r="I62" s="500">
        <f t="shared" si="14"/>
        <v>0</v>
      </c>
      <c r="J62" s="500"/>
      <c r="K62" s="512"/>
      <c r="L62" s="504">
        <f t="shared" si="15"/>
        <v>0</v>
      </c>
      <c r="M62" s="512"/>
      <c r="N62" s="504">
        <f t="shared" si="16"/>
        <v>0</v>
      </c>
      <c r="O62" s="504">
        <f t="shared" si="17"/>
        <v>0</v>
      </c>
      <c r="P62" s="278"/>
      <c r="R62" s="243"/>
      <c r="S62" s="243"/>
      <c r="T62" s="243"/>
      <c r="U62" s="243"/>
    </row>
    <row r="63" spans="2:21" ht="12.5">
      <c r="B63" s="145" t="str">
        <f t="shared" si="13"/>
        <v/>
      </c>
      <c r="C63" s="495">
        <f>IF(D11="","-",+C62+1)</f>
        <v>2057</v>
      </c>
      <c r="D63" s="508">
        <f>IF(F62+SUM(E$17:E62)=D$10,F62,D$10-SUM(E$17:E62))</f>
        <v>0</v>
      </c>
      <c r="E63" s="509">
        <f>IF(+I14&lt;F62,I14,D63)</f>
        <v>0</v>
      </c>
      <c r="F63" s="510">
        <f t="shared" si="18"/>
        <v>0</v>
      </c>
      <c r="G63" s="523">
        <f t="shared" si="11"/>
        <v>0</v>
      </c>
      <c r="H63" s="477">
        <f t="shared" si="12"/>
        <v>0</v>
      </c>
      <c r="I63" s="500">
        <f t="shared" si="14"/>
        <v>0</v>
      </c>
      <c r="J63" s="500"/>
      <c r="K63" s="512"/>
      <c r="L63" s="504">
        <f t="shared" si="15"/>
        <v>0</v>
      </c>
      <c r="M63" s="512"/>
      <c r="N63" s="504">
        <f t="shared" si="16"/>
        <v>0</v>
      </c>
      <c r="O63" s="504">
        <f t="shared" si="17"/>
        <v>0</v>
      </c>
      <c r="P63" s="278"/>
      <c r="R63" s="243"/>
      <c r="S63" s="243"/>
      <c r="T63" s="243"/>
      <c r="U63" s="243"/>
    </row>
    <row r="64" spans="2:21" ht="12.5">
      <c r="B64" s="145" t="str">
        <f t="shared" si="13"/>
        <v/>
      </c>
      <c r="C64" s="495">
        <f>IF(D11="","-",+C63+1)</f>
        <v>2058</v>
      </c>
      <c r="D64" s="508">
        <f>IF(F63+SUM(E$17:E63)=D$10,F63,D$10-SUM(E$17:E63))</f>
        <v>0</v>
      </c>
      <c r="E64" s="509">
        <f>IF(+I14&lt;F63,I14,D64)</f>
        <v>0</v>
      </c>
      <c r="F64" s="510">
        <f t="shared" si="18"/>
        <v>0</v>
      </c>
      <c r="G64" s="523">
        <f t="shared" si="11"/>
        <v>0</v>
      </c>
      <c r="H64" s="477">
        <f t="shared" si="12"/>
        <v>0</v>
      </c>
      <c r="I64" s="500">
        <f t="shared" si="14"/>
        <v>0</v>
      </c>
      <c r="J64" s="500"/>
      <c r="K64" s="512"/>
      <c r="L64" s="504">
        <f t="shared" si="15"/>
        <v>0</v>
      </c>
      <c r="M64" s="512"/>
      <c r="N64" s="504">
        <f t="shared" si="16"/>
        <v>0</v>
      </c>
      <c r="O64" s="504">
        <f t="shared" si="17"/>
        <v>0</v>
      </c>
      <c r="P64" s="278"/>
      <c r="R64" s="243"/>
      <c r="S64" s="243"/>
      <c r="T64" s="243"/>
      <c r="U64" s="243"/>
    </row>
    <row r="65" spans="2:21" ht="12.5">
      <c r="B65" s="145" t="str">
        <f t="shared" si="13"/>
        <v/>
      </c>
      <c r="C65" s="495">
        <f>IF(D11="","-",+C64+1)</f>
        <v>2059</v>
      </c>
      <c r="D65" s="508">
        <f>IF(F64+SUM(E$17:E64)=D$10,F64,D$10-SUM(E$17:E64))</f>
        <v>0</v>
      </c>
      <c r="E65" s="509">
        <f>IF(+I14&lt;F64,I14,D65)</f>
        <v>0</v>
      </c>
      <c r="F65" s="510">
        <f t="shared" si="18"/>
        <v>0</v>
      </c>
      <c r="G65" s="523">
        <f t="shared" si="11"/>
        <v>0</v>
      </c>
      <c r="H65" s="477">
        <f t="shared" si="12"/>
        <v>0</v>
      </c>
      <c r="I65" s="500">
        <f t="shared" si="14"/>
        <v>0</v>
      </c>
      <c r="J65" s="500"/>
      <c r="K65" s="512"/>
      <c r="L65" s="504">
        <f t="shared" si="15"/>
        <v>0</v>
      </c>
      <c r="M65" s="512"/>
      <c r="N65" s="504">
        <f t="shared" si="16"/>
        <v>0</v>
      </c>
      <c r="O65" s="504">
        <f t="shared" si="17"/>
        <v>0</v>
      </c>
      <c r="P65" s="278"/>
      <c r="R65" s="243"/>
      <c r="S65" s="243"/>
      <c r="T65" s="243"/>
      <c r="U65" s="243"/>
    </row>
    <row r="66" spans="2:21" ht="12.5">
      <c r="B66" s="145" t="str">
        <f t="shared" si="13"/>
        <v/>
      </c>
      <c r="C66" s="495">
        <f>IF(D11="","-",+C65+1)</f>
        <v>2060</v>
      </c>
      <c r="D66" s="508">
        <f>IF(F65+SUM(E$17:E65)=D$10,F65,D$10-SUM(E$17:E65))</f>
        <v>0</v>
      </c>
      <c r="E66" s="509">
        <f>IF(+I14&lt;F65,I14,D66)</f>
        <v>0</v>
      </c>
      <c r="F66" s="510">
        <f t="shared" si="18"/>
        <v>0</v>
      </c>
      <c r="G66" s="523">
        <f t="shared" si="11"/>
        <v>0</v>
      </c>
      <c r="H66" s="477">
        <f t="shared" si="12"/>
        <v>0</v>
      </c>
      <c r="I66" s="500">
        <f t="shared" si="14"/>
        <v>0</v>
      </c>
      <c r="J66" s="500"/>
      <c r="K66" s="512"/>
      <c r="L66" s="504">
        <f t="shared" si="15"/>
        <v>0</v>
      </c>
      <c r="M66" s="512"/>
      <c r="N66" s="504">
        <f t="shared" si="16"/>
        <v>0</v>
      </c>
      <c r="O66" s="504">
        <f t="shared" si="17"/>
        <v>0</v>
      </c>
      <c r="P66" s="278"/>
      <c r="R66" s="243"/>
      <c r="S66" s="243"/>
      <c r="T66" s="243"/>
      <c r="U66" s="243"/>
    </row>
    <row r="67" spans="2:21" ht="12.5">
      <c r="B67" s="145" t="str">
        <f t="shared" si="13"/>
        <v/>
      </c>
      <c r="C67" s="495">
        <f>IF(D11="","-",+C66+1)</f>
        <v>2061</v>
      </c>
      <c r="D67" s="508">
        <f>IF(F66+SUM(E$17:E66)=D$10,F66,D$10-SUM(E$17:E66))</f>
        <v>0</v>
      </c>
      <c r="E67" s="509">
        <f>IF(+I14&lt;F66,I14,D67)</f>
        <v>0</v>
      </c>
      <c r="F67" s="510">
        <f t="shared" si="18"/>
        <v>0</v>
      </c>
      <c r="G67" s="523">
        <f t="shared" si="11"/>
        <v>0</v>
      </c>
      <c r="H67" s="477">
        <f t="shared" si="12"/>
        <v>0</v>
      </c>
      <c r="I67" s="500">
        <f t="shared" si="14"/>
        <v>0</v>
      </c>
      <c r="J67" s="500"/>
      <c r="K67" s="512"/>
      <c r="L67" s="504">
        <f t="shared" si="15"/>
        <v>0</v>
      </c>
      <c r="M67" s="512"/>
      <c r="N67" s="504">
        <f t="shared" si="16"/>
        <v>0</v>
      </c>
      <c r="O67" s="504">
        <f t="shared" si="17"/>
        <v>0</v>
      </c>
      <c r="P67" s="278"/>
      <c r="R67" s="243"/>
      <c r="S67" s="243"/>
      <c r="T67" s="243"/>
      <c r="U67" s="243"/>
    </row>
    <row r="68" spans="2:21" ht="12.5">
      <c r="B68" s="145" t="str">
        <f t="shared" si="13"/>
        <v/>
      </c>
      <c r="C68" s="495">
        <f>IF(D11="","-",+C67+1)</f>
        <v>2062</v>
      </c>
      <c r="D68" s="508">
        <f>IF(F67+SUM(E$17:E67)=D$10,F67,D$10-SUM(E$17:E67))</f>
        <v>0</v>
      </c>
      <c r="E68" s="509">
        <f>IF(+I14&lt;F67,I14,D68)</f>
        <v>0</v>
      </c>
      <c r="F68" s="510">
        <f t="shared" si="18"/>
        <v>0</v>
      </c>
      <c r="G68" s="523">
        <f t="shared" si="11"/>
        <v>0</v>
      </c>
      <c r="H68" s="477">
        <f t="shared" si="12"/>
        <v>0</v>
      </c>
      <c r="I68" s="500">
        <f t="shared" si="14"/>
        <v>0</v>
      </c>
      <c r="J68" s="500"/>
      <c r="K68" s="512"/>
      <c r="L68" s="504">
        <f t="shared" si="15"/>
        <v>0</v>
      </c>
      <c r="M68" s="512"/>
      <c r="N68" s="504">
        <f t="shared" si="16"/>
        <v>0</v>
      </c>
      <c r="O68" s="504">
        <f t="shared" si="17"/>
        <v>0</v>
      </c>
      <c r="P68" s="278"/>
      <c r="R68" s="243"/>
      <c r="S68" s="243"/>
      <c r="T68" s="243"/>
      <c r="U68" s="243"/>
    </row>
    <row r="69" spans="2:21" ht="12.5">
      <c r="B69" s="145" t="str">
        <f t="shared" si="13"/>
        <v/>
      </c>
      <c r="C69" s="495">
        <f>IF(D11="","-",+C68+1)</f>
        <v>2063</v>
      </c>
      <c r="D69" s="508">
        <f>IF(F68+SUM(E$17:E68)=D$10,F68,D$10-SUM(E$17:E68))</f>
        <v>0</v>
      </c>
      <c r="E69" s="509">
        <f>IF(+I14&lt;F68,I14,D69)</f>
        <v>0</v>
      </c>
      <c r="F69" s="510">
        <f t="shared" si="18"/>
        <v>0</v>
      </c>
      <c r="G69" s="523">
        <f t="shared" si="11"/>
        <v>0</v>
      </c>
      <c r="H69" s="477">
        <f t="shared" si="12"/>
        <v>0</v>
      </c>
      <c r="I69" s="500">
        <f t="shared" si="14"/>
        <v>0</v>
      </c>
      <c r="J69" s="500"/>
      <c r="K69" s="512"/>
      <c r="L69" s="504">
        <f t="shared" si="15"/>
        <v>0</v>
      </c>
      <c r="M69" s="512"/>
      <c r="N69" s="504">
        <f t="shared" si="16"/>
        <v>0</v>
      </c>
      <c r="O69" s="504">
        <f t="shared" si="17"/>
        <v>0</v>
      </c>
      <c r="P69" s="278"/>
      <c r="R69" s="243"/>
      <c r="S69" s="243"/>
      <c r="T69" s="243"/>
      <c r="U69" s="243"/>
    </row>
    <row r="70" spans="2:21" ht="12.5">
      <c r="B70" s="145" t="str">
        <f t="shared" si="13"/>
        <v/>
      </c>
      <c r="C70" s="495">
        <f>IF(D11="","-",+C69+1)</f>
        <v>2064</v>
      </c>
      <c r="D70" s="508">
        <f>IF(F69+SUM(E$17:E69)=D$10,F69,D$10-SUM(E$17:E69))</f>
        <v>0</v>
      </c>
      <c r="E70" s="509">
        <f>IF(+I14&lt;F69,I14,D70)</f>
        <v>0</v>
      </c>
      <c r="F70" s="510">
        <f t="shared" si="18"/>
        <v>0</v>
      </c>
      <c r="G70" s="523">
        <f t="shared" si="11"/>
        <v>0</v>
      </c>
      <c r="H70" s="477">
        <f t="shared" si="12"/>
        <v>0</v>
      </c>
      <c r="I70" s="500">
        <f t="shared" si="14"/>
        <v>0</v>
      </c>
      <c r="J70" s="500"/>
      <c r="K70" s="512"/>
      <c r="L70" s="504">
        <f t="shared" si="15"/>
        <v>0</v>
      </c>
      <c r="M70" s="512"/>
      <c r="N70" s="504">
        <f t="shared" si="16"/>
        <v>0</v>
      </c>
      <c r="O70" s="504">
        <f t="shared" si="17"/>
        <v>0</v>
      </c>
      <c r="P70" s="278"/>
      <c r="R70" s="243"/>
      <c r="S70" s="243"/>
      <c r="T70" s="243"/>
      <c r="U70" s="243"/>
    </row>
    <row r="71" spans="2:21" ht="12.5">
      <c r="B71" s="145" t="str">
        <f t="shared" si="13"/>
        <v/>
      </c>
      <c r="C71" s="495">
        <f>IF(D11="","-",+C70+1)</f>
        <v>2065</v>
      </c>
      <c r="D71" s="508">
        <f>IF(F70+SUM(E$17:E70)=D$10,F70,D$10-SUM(E$17:E70))</f>
        <v>0</v>
      </c>
      <c r="E71" s="509">
        <f>IF(+I14&lt;F70,I14,D71)</f>
        <v>0</v>
      </c>
      <c r="F71" s="510">
        <f t="shared" si="18"/>
        <v>0</v>
      </c>
      <c r="G71" s="523">
        <f t="shared" si="11"/>
        <v>0</v>
      </c>
      <c r="H71" s="477">
        <f t="shared" si="12"/>
        <v>0</v>
      </c>
      <c r="I71" s="500">
        <f t="shared" si="14"/>
        <v>0</v>
      </c>
      <c r="J71" s="500"/>
      <c r="K71" s="512"/>
      <c r="L71" s="504">
        <f t="shared" si="15"/>
        <v>0</v>
      </c>
      <c r="M71" s="512"/>
      <c r="N71" s="504">
        <f t="shared" si="16"/>
        <v>0</v>
      </c>
      <c r="O71" s="504">
        <f t="shared" si="17"/>
        <v>0</v>
      </c>
      <c r="P71" s="278"/>
      <c r="R71" s="243"/>
      <c r="S71" s="243"/>
      <c r="T71" s="243"/>
      <c r="U71" s="243"/>
    </row>
    <row r="72" spans="2:21" ht="12.5">
      <c r="B72" s="145" t="str">
        <f t="shared" si="13"/>
        <v/>
      </c>
      <c r="C72" s="495">
        <f>IF(D11="","-",+C71+1)</f>
        <v>2066</v>
      </c>
      <c r="D72" s="508">
        <f>IF(F71+SUM(E$17:E71)=D$10,F71,D$10-SUM(E$17:E71))</f>
        <v>0</v>
      </c>
      <c r="E72" s="509">
        <f>IF(+I14&lt;F71,I14,D72)</f>
        <v>0</v>
      </c>
      <c r="F72" s="510">
        <f t="shared" si="18"/>
        <v>0</v>
      </c>
      <c r="G72" s="523">
        <f t="shared" si="11"/>
        <v>0</v>
      </c>
      <c r="H72" s="477">
        <f t="shared" si="12"/>
        <v>0</v>
      </c>
      <c r="I72" s="500">
        <f t="shared" si="14"/>
        <v>0</v>
      </c>
      <c r="J72" s="500"/>
      <c r="K72" s="512"/>
      <c r="L72" s="504">
        <f t="shared" si="15"/>
        <v>0</v>
      </c>
      <c r="M72" s="512"/>
      <c r="N72" s="504">
        <f t="shared" si="16"/>
        <v>0</v>
      </c>
      <c r="O72" s="504">
        <f t="shared" si="17"/>
        <v>0</v>
      </c>
      <c r="P72" s="278"/>
      <c r="R72" s="243"/>
      <c r="S72" s="243"/>
      <c r="T72" s="243"/>
      <c r="U72" s="243"/>
    </row>
    <row r="73" spans="2:21" ht="13" thickBot="1">
      <c r="B73" s="145" t="str">
        <f t="shared" si="13"/>
        <v/>
      </c>
      <c r="C73" s="524">
        <f>IF(D11="","-",+C72+1)</f>
        <v>2067</v>
      </c>
      <c r="D73" s="525">
        <f>IF(F72+SUM(E$17:E72)=D$10,F72,D$10-SUM(E$17:E72))</f>
        <v>0</v>
      </c>
      <c r="E73" s="526">
        <f>IF(+I14&lt;F72,I14,D73)</f>
        <v>0</v>
      </c>
      <c r="F73" s="527">
        <f t="shared" si="18"/>
        <v>0</v>
      </c>
      <c r="G73" s="528">
        <f t="shared" si="11"/>
        <v>0</v>
      </c>
      <c r="H73" s="458">
        <f t="shared" si="12"/>
        <v>0</v>
      </c>
      <c r="I73" s="529">
        <f t="shared" si="14"/>
        <v>0</v>
      </c>
      <c r="J73" s="500"/>
      <c r="K73" s="530"/>
      <c r="L73" s="531">
        <f t="shared" si="15"/>
        <v>0</v>
      </c>
      <c r="M73" s="530"/>
      <c r="N73" s="531">
        <f t="shared" si="16"/>
        <v>0</v>
      </c>
      <c r="O73" s="531">
        <f t="shared" si="17"/>
        <v>0</v>
      </c>
      <c r="P73" s="278"/>
      <c r="R73" s="243"/>
      <c r="S73" s="243"/>
      <c r="T73" s="243"/>
      <c r="U73" s="243"/>
    </row>
    <row r="74" spans="2:21" ht="12.5">
      <c r="C74" s="349" t="s">
        <v>75</v>
      </c>
      <c r="D74" s="294"/>
      <c r="E74" s="294">
        <f>SUM(E17:E73)</f>
        <v>614752.99999999988</v>
      </c>
      <c r="F74" s="294"/>
      <c r="G74" s="294">
        <f>SUM(G17:G73)</f>
        <v>1968121.2008754744</v>
      </c>
      <c r="H74" s="294">
        <f>SUM(H17:H73)</f>
        <v>1968121.2008754744</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3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72464.827452468948</v>
      </c>
      <c r="N88" s="544">
        <f>IF(J93&lt;D11,0,VLOOKUP(J93,C17:O73,11))</f>
        <v>72464.827452468948</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74206.970846532946</v>
      </c>
      <c r="N89" s="548">
        <f>IF(J93&lt;D11,0,VLOOKUP(J93,C100:P155,7))</f>
        <v>74206.970846532946</v>
      </c>
      <c r="O89" s="549">
        <f>+N89-M89</f>
        <v>0</v>
      </c>
      <c r="P89" s="243"/>
      <c r="Q89" s="243"/>
      <c r="R89" s="243"/>
      <c r="S89" s="243"/>
      <c r="T89" s="243"/>
      <c r="U89" s="243"/>
    </row>
    <row r="90" spans="1:21" ht="13.5" thickBot="1">
      <c r="C90" s="454" t="s">
        <v>82</v>
      </c>
      <c r="D90" s="550" t="str">
        <f>+D7</f>
        <v>Tulsa Power Station Reactor</v>
      </c>
      <c r="E90" s="243"/>
      <c r="F90" s="243"/>
      <c r="G90" s="243"/>
      <c r="H90" s="243"/>
      <c r="I90" s="325"/>
      <c r="J90" s="325"/>
      <c r="K90" s="551"/>
      <c r="L90" s="552" t="s">
        <v>135</v>
      </c>
      <c r="M90" s="553">
        <f>+M89-M88</f>
        <v>1742.1433940639981</v>
      </c>
      <c r="N90" s="553">
        <f>+N89-N88</f>
        <v>1742.1433940639981</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TP2009090</v>
      </c>
      <c r="E92" s="558"/>
      <c r="F92" s="558"/>
      <c r="G92" s="558"/>
      <c r="H92" s="558"/>
      <c r="I92" s="558"/>
      <c r="J92" s="558"/>
      <c r="K92" s="560"/>
      <c r="P92" s="468"/>
      <c r="Q92" s="243"/>
      <c r="R92" s="243"/>
      <c r="S92" s="243"/>
      <c r="T92" s="243"/>
      <c r="U92" s="243"/>
    </row>
    <row r="93" spans="1:21" ht="13">
      <c r="C93" s="472" t="s">
        <v>49</v>
      </c>
      <c r="D93" s="470">
        <f>IF(D11=I10,0,D10)</f>
        <v>614753</v>
      </c>
      <c r="E93" s="248" t="s">
        <v>84</v>
      </c>
      <c r="H93" s="408"/>
      <c r="I93" s="408"/>
      <c r="J93" s="471">
        <f>+'OKT.WS.G.BPU.ATRR.True-up'!M16</f>
        <v>2019</v>
      </c>
      <c r="K93" s="467"/>
      <c r="L93" s="294" t="s">
        <v>85</v>
      </c>
      <c r="P93" s="278"/>
      <c r="Q93" s="243"/>
      <c r="R93" s="243"/>
      <c r="S93" s="243"/>
      <c r="T93" s="243"/>
      <c r="U93" s="243"/>
    </row>
    <row r="94" spans="1:21" ht="12.5">
      <c r="C94" s="472" t="s">
        <v>52</v>
      </c>
      <c r="D94" s="561">
        <f>IF(D11=I10,"",D11)</f>
        <v>2011</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IF(D11=I10,"",D12)</f>
        <v>10</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18628.878787878788</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31" si="19">IF(D100=F99,"","IU")</f>
        <v>IU</v>
      </c>
      <c r="C100" s="495">
        <f>IF(D94= "","-",D94)</f>
        <v>2011</v>
      </c>
      <c r="D100" s="496">
        <v>0</v>
      </c>
      <c r="E100" s="498">
        <v>1766.3534482758621</v>
      </c>
      <c r="F100" s="505">
        <v>612924.64655172417</v>
      </c>
      <c r="G100" s="571">
        <v>306462.32327586209</v>
      </c>
      <c r="H100" s="571">
        <v>24552.570276961298</v>
      </c>
      <c r="I100" s="571">
        <v>24552.570276961298</v>
      </c>
      <c r="J100" s="504">
        <v>0</v>
      </c>
      <c r="K100" s="504"/>
      <c r="L100" s="587">
        <f t="shared" ref="L100:L105" si="20">H100</f>
        <v>24552.570276961298</v>
      </c>
      <c r="M100" s="588">
        <f t="shared" ref="M100:M131" si="21">IF(L100&lt;&gt;0,+H100-L100,0)</f>
        <v>0</v>
      </c>
      <c r="N100" s="506">
        <f t="shared" ref="N100:N105" si="22">I100</f>
        <v>24552.570276961298</v>
      </c>
      <c r="O100" s="588">
        <f t="shared" ref="O100:O131" si="23">IF(N100&lt;&gt;0,+I100-N100,0)</f>
        <v>0</v>
      </c>
      <c r="P100" s="503">
        <f t="shared" ref="P100:P131" si="24">+O100-M100</f>
        <v>0</v>
      </c>
      <c r="Q100" s="243"/>
      <c r="R100" s="243"/>
      <c r="S100" s="243"/>
      <c r="T100" s="243"/>
      <c r="U100" s="243"/>
    </row>
    <row r="101" spans="1:21" ht="12.5">
      <c r="B101" s="145" t="str">
        <f t="shared" si="19"/>
        <v>IU</v>
      </c>
      <c r="C101" s="495">
        <f>IF(D94="","-",+C100+1)</f>
        <v>2012</v>
      </c>
      <c r="D101" s="496">
        <v>612986.64655172417</v>
      </c>
      <c r="E101" s="498">
        <v>10599.189655172413</v>
      </c>
      <c r="F101" s="505">
        <v>602387.45689655177</v>
      </c>
      <c r="G101" s="505">
        <v>607687.05172413797</v>
      </c>
      <c r="H101" s="498">
        <v>72187.934734594193</v>
      </c>
      <c r="I101" s="499">
        <v>72187.934734594193</v>
      </c>
      <c r="J101" s="504">
        <v>0</v>
      </c>
      <c r="K101" s="588"/>
      <c r="L101" s="589">
        <f t="shared" si="20"/>
        <v>72187.934734594193</v>
      </c>
      <c r="M101" s="588">
        <f t="shared" ref="M101:M106" si="25">IF(L101&lt;&gt;0,+H101-L101,0)</f>
        <v>0</v>
      </c>
      <c r="N101" s="506">
        <f t="shared" si="22"/>
        <v>72187.934734594193</v>
      </c>
      <c r="O101" s="588">
        <f>IF(N101&lt;&gt;0,+I101-N101,0)</f>
        <v>0</v>
      </c>
      <c r="P101" s="588">
        <f>+O101-M101</f>
        <v>0</v>
      </c>
      <c r="Q101" s="243"/>
      <c r="R101" s="243"/>
      <c r="S101" s="243"/>
      <c r="T101" s="243"/>
      <c r="U101" s="243"/>
    </row>
    <row r="102" spans="1:21" ht="12.5">
      <c r="B102" s="145" t="str">
        <f t="shared" si="19"/>
        <v/>
      </c>
      <c r="C102" s="495">
        <f>IF(D94="","-",+C101+1)</f>
        <v>2013</v>
      </c>
      <c r="D102" s="496">
        <v>602387.45689655177</v>
      </c>
      <c r="E102" s="498">
        <v>10599.189655172413</v>
      </c>
      <c r="F102" s="505">
        <v>591788.26724137936</v>
      </c>
      <c r="G102" s="505">
        <v>597087.86206896557</v>
      </c>
      <c r="H102" s="498">
        <v>78464.169300722831</v>
      </c>
      <c r="I102" s="499">
        <v>78464.169300722831</v>
      </c>
      <c r="J102" s="504">
        <f t="shared" ref="J102:J131" si="26">+I102-H102</f>
        <v>0</v>
      </c>
      <c r="K102" s="588"/>
      <c r="L102" s="589">
        <f t="shared" si="20"/>
        <v>78464.169300722831</v>
      </c>
      <c r="M102" s="588">
        <f t="shared" si="25"/>
        <v>0</v>
      </c>
      <c r="N102" s="506">
        <f t="shared" si="22"/>
        <v>78464.169300722831</v>
      </c>
      <c r="O102" s="588">
        <f>IF(N102&lt;&gt;0,+I102-N102,0)</f>
        <v>0</v>
      </c>
      <c r="P102" s="588">
        <f>+O102-M102</f>
        <v>0</v>
      </c>
      <c r="Q102" s="243"/>
      <c r="R102" s="243"/>
      <c r="S102" s="243"/>
      <c r="T102" s="243"/>
      <c r="U102" s="243"/>
    </row>
    <row r="103" spans="1:21" ht="12.5">
      <c r="B103" s="145" t="str">
        <f t="shared" si="19"/>
        <v/>
      </c>
      <c r="C103" s="495">
        <f>IF(D94="","-",+C102+1)</f>
        <v>2014</v>
      </c>
      <c r="D103" s="496">
        <v>591788.26724137936</v>
      </c>
      <c r="E103" s="498">
        <v>10599.189655172413</v>
      </c>
      <c r="F103" s="505">
        <v>581189.07758620696</v>
      </c>
      <c r="G103" s="505">
        <v>586488.67241379316</v>
      </c>
      <c r="H103" s="498">
        <v>73672.191823391273</v>
      </c>
      <c r="I103" s="499">
        <v>73672.191823391273</v>
      </c>
      <c r="J103" s="504">
        <v>0</v>
      </c>
      <c r="K103" s="504"/>
      <c r="L103" s="589">
        <f t="shared" si="20"/>
        <v>73672.191823391273</v>
      </c>
      <c r="M103" s="588">
        <f t="shared" si="25"/>
        <v>0</v>
      </c>
      <c r="N103" s="506">
        <f t="shared" si="22"/>
        <v>73672.191823391273</v>
      </c>
      <c r="O103" s="588">
        <f>IF(N103&lt;&gt;0,+I103-N103,0)</f>
        <v>0</v>
      </c>
      <c r="P103" s="588">
        <f>+O103-M103</f>
        <v>0</v>
      </c>
      <c r="Q103" s="243"/>
      <c r="R103" s="243"/>
      <c r="S103" s="243"/>
      <c r="T103" s="243"/>
      <c r="U103" s="243"/>
    </row>
    <row r="104" spans="1:21" ht="12.5">
      <c r="B104" s="145" t="str">
        <f t="shared" si="19"/>
        <v/>
      </c>
      <c r="C104" s="495">
        <f>IF(D94="","-",+C103+1)</f>
        <v>2015</v>
      </c>
      <c r="D104" s="496">
        <v>581189.07758620696</v>
      </c>
      <c r="E104" s="498">
        <v>12807.354166666666</v>
      </c>
      <c r="F104" s="505">
        <v>568381.72341954033</v>
      </c>
      <c r="G104" s="505">
        <v>574785.40050287358</v>
      </c>
      <c r="H104" s="498">
        <v>76797.884368158106</v>
      </c>
      <c r="I104" s="499">
        <v>76797.884368158106</v>
      </c>
      <c r="J104" s="504">
        <f t="shared" si="26"/>
        <v>0</v>
      </c>
      <c r="K104" s="504"/>
      <c r="L104" s="589">
        <f t="shared" si="20"/>
        <v>76797.884368158106</v>
      </c>
      <c r="M104" s="588">
        <f t="shared" si="25"/>
        <v>0</v>
      </c>
      <c r="N104" s="506">
        <f t="shared" si="22"/>
        <v>76797.884368158106</v>
      </c>
      <c r="O104" s="588">
        <f t="shared" si="23"/>
        <v>0</v>
      </c>
      <c r="P104" s="588">
        <f t="shared" si="24"/>
        <v>0</v>
      </c>
      <c r="Q104" s="243"/>
      <c r="R104" s="243"/>
      <c r="S104" s="243"/>
      <c r="T104" s="243"/>
      <c r="U104" s="243"/>
    </row>
    <row r="105" spans="1:21" ht="12.5">
      <c r="B105" s="145" t="str">
        <f t="shared" si="19"/>
        <v/>
      </c>
      <c r="C105" s="495">
        <f>IF(D94="","-",+C104+1)</f>
        <v>2016</v>
      </c>
      <c r="D105" s="496">
        <v>568381.72341954033</v>
      </c>
      <c r="E105" s="498">
        <v>12053.980392156862</v>
      </c>
      <c r="F105" s="505">
        <v>556327.74302738346</v>
      </c>
      <c r="G105" s="505">
        <v>562354.7332234619</v>
      </c>
      <c r="H105" s="498">
        <v>72996.058830960712</v>
      </c>
      <c r="I105" s="499">
        <v>72996.058830960712</v>
      </c>
      <c r="J105" s="504">
        <f t="shared" si="26"/>
        <v>0</v>
      </c>
      <c r="K105" s="504"/>
      <c r="L105" s="589">
        <f t="shared" si="20"/>
        <v>72996.058830960712</v>
      </c>
      <c r="M105" s="588">
        <f t="shared" si="25"/>
        <v>0</v>
      </c>
      <c r="N105" s="506">
        <f t="shared" si="22"/>
        <v>72996.058830960712</v>
      </c>
      <c r="O105" s="588">
        <f>IF(N105&lt;&gt;0,+I105-N105,0)</f>
        <v>0</v>
      </c>
      <c r="P105" s="588">
        <f>+O105-M105</f>
        <v>0</v>
      </c>
      <c r="Q105" s="243"/>
      <c r="R105" s="243"/>
      <c r="S105" s="243"/>
      <c r="T105" s="243"/>
      <c r="U105" s="243"/>
    </row>
    <row r="106" spans="1:21" ht="12.5">
      <c r="B106" s="145" t="str">
        <f t="shared" si="19"/>
        <v/>
      </c>
      <c r="C106" s="495">
        <f>IF(D94="","-",+C105+1)</f>
        <v>2017</v>
      </c>
      <c r="D106" s="496">
        <v>556327.74302738346</v>
      </c>
      <c r="E106" s="498">
        <v>15368.825000000001</v>
      </c>
      <c r="F106" s="505">
        <v>540958.91802738351</v>
      </c>
      <c r="G106" s="505">
        <v>548643.33052738348</v>
      </c>
      <c r="H106" s="498">
        <v>79744.364331325967</v>
      </c>
      <c r="I106" s="499">
        <v>79744.364331325967</v>
      </c>
      <c r="J106" s="504">
        <f t="shared" si="26"/>
        <v>0</v>
      </c>
      <c r="K106" s="504"/>
      <c r="L106" s="589">
        <f>H106</f>
        <v>79744.364331325967</v>
      </c>
      <c r="M106" s="588">
        <f t="shared" si="25"/>
        <v>0</v>
      </c>
      <c r="N106" s="506">
        <f>I106</f>
        <v>79744.364331325967</v>
      </c>
      <c r="O106" s="588">
        <f>IF(N106&lt;&gt;0,+I106-N106,0)</f>
        <v>0</v>
      </c>
      <c r="P106" s="588">
        <f>+O106-M106</f>
        <v>0</v>
      </c>
      <c r="Q106" s="243"/>
      <c r="R106" s="243"/>
      <c r="S106" s="243"/>
      <c r="T106" s="243"/>
      <c r="U106" s="243"/>
    </row>
    <row r="107" spans="1:21" ht="12.5">
      <c r="B107" s="145" t="str">
        <f t="shared" si="19"/>
        <v/>
      </c>
      <c r="C107" s="495">
        <f>IF(D94="","-",+C106+1)</f>
        <v>2018</v>
      </c>
      <c r="D107" s="496">
        <v>540958.91802738351</v>
      </c>
      <c r="E107" s="498">
        <v>17076.472222222223</v>
      </c>
      <c r="F107" s="505">
        <v>523882.44580516126</v>
      </c>
      <c r="G107" s="505">
        <v>532420.68191627238</v>
      </c>
      <c r="H107" s="498">
        <v>73280.103356307678</v>
      </c>
      <c r="I107" s="499">
        <v>73280.103356307678</v>
      </c>
      <c r="J107" s="504">
        <f t="shared" si="26"/>
        <v>0</v>
      </c>
      <c r="K107" s="504"/>
      <c r="L107" s="589">
        <f>H107</f>
        <v>73280.103356307678</v>
      </c>
      <c r="M107" s="588">
        <f t="shared" ref="M107" si="27">IF(L107&lt;&gt;0,+H107-L107,0)</f>
        <v>0</v>
      </c>
      <c r="N107" s="506">
        <f>I107</f>
        <v>73280.103356307678</v>
      </c>
      <c r="O107" s="588">
        <f>IF(N107&lt;&gt;0,+I107-N107,0)</f>
        <v>0</v>
      </c>
      <c r="P107" s="588">
        <f>+O107-M107</f>
        <v>0</v>
      </c>
      <c r="Q107" s="243"/>
      <c r="R107" s="243"/>
      <c r="S107" s="243"/>
      <c r="T107" s="243"/>
      <c r="U107" s="243"/>
    </row>
    <row r="108" spans="1:21" ht="12.5">
      <c r="B108" s="145" t="str">
        <f t="shared" si="19"/>
        <v/>
      </c>
      <c r="C108" s="495">
        <f>IF(D94="","-",+C107+1)</f>
        <v>2019</v>
      </c>
      <c r="D108" s="349">
        <f>IF(F107+SUM(E$100:E107)=D$93,F107,D$93-SUM(E$100:E107))</f>
        <v>523882.44580516126</v>
      </c>
      <c r="E108" s="509">
        <f>IF(+J97&lt;F107,J97,D108)</f>
        <v>18628.878787878788</v>
      </c>
      <c r="F108" s="510">
        <f t="shared" ref="F108:F132" si="28">+D108-E108</f>
        <v>505253.56701728248</v>
      </c>
      <c r="G108" s="510">
        <f t="shared" ref="G108:G131" si="29">+(F108+D108)/2</f>
        <v>514568.00641122187</v>
      </c>
      <c r="H108" s="523">
        <f t="shared" ref="H108:H131" si="30">+J$95*G108+E108</f>
        <v>74206.970846532946</v>
      </c>
      <c r="I108" s="572">
        <f t="shared" ref="I108:I131" si="31">+J$96*G108+E108</f>
        <v>74206.970846532946</v>
      </c>
      <c r="J108" s="504">
        <f t="shared" si="26"/>
        <v>0</v>
      </c>
      <c r="K108" s="504"/>
      <c r="L108" s="512"/>
      <c r="M108" s="504">
        <f t="shared" si="21"/>
        <v>0</v>
      </c>
      <c r="N108" s="512"/>
      <c r="O108" s="504">
        <f t="shared" si="23"/>
        <v>0</v>
      </c>
      <c r="P108" s="504">
        <f t="shared" si="24"/>
        <v>0</v>
      </c>
      <c r="Q108" s="243"/>
      <c r="R108" s="243"/>
      <c r="S108" s="243"/>
      <c r="T108" s="243"/>
      <c r="U108" s="243"/>
    </row>
    <row r="109" spans="1:21" ht="12.5">
      <c r="B109" s="145" t="str">
        <f t="shared" si="19"/>
        <v/>
      </c>
      <c r="C109" s="495">
        <f>IF(D94="","-",+C108+1)</f>
        <v>2020</v>
      </c>
      <c r="D109" s="349">
        <f>IF(F108+SUM(E$100:E108)=D$93,F108,D$93-SUM(E$100:E108))</f>
        <v>505253.56701728248</v>
      </c>
      <c r="E109" s="509">
        <f>IF(+J97&lt;F108,J97,D109)</f>
        <v>18628.878787878788</v>
      </c>
      <c r="F109" s="510">
        <f t="shared" si="28"/>
        <v>486624.68822940369</v>
      </c>
      <c r="G109" s="510">
        <f t="shared" si="29"/>
        <v>495939.12762334308</v>
      </c>
      <c r="H109" s="523">
        <f t="shared" si="30"/>
        <v>72194.880068788741</v>
      </c>
      <c r="I109" s="572">
        <f t="shared" si="31"/>
        <v>72194.880068788741</v>
      </c>
      <c r="J109" s="504">
        <f t="shared" si="26"/>
        <v>0</v>
      </c>
      <c r="K109" s="504"/>
      <c r="L109" s="512"/>
      <c r="M109" s="504">
        <f t="shared" si="21"/>
        <v>0</v>
      </c>
      <c r="N109" s="512"/>
      <c r="O109" s="504">
        <f t="shared" si="23"/>
        <v>0</v>
      </c>
      <c r="P109" s="504">
        <f t="shared" si="24"/>
        <v>0</v>
      </c>
      <c r="Q109" s="243"/>
      <c r="R109" s="243"/>
      <c r="S109" s="243"/>
      <c r="T109" s="243"/>
      <c r="U109" s="243"/>
    </row>
    <row r="110" spans="1:21" ht="12.5">
      <c r="B110" s="145" t="str">
        <f t="shared" si="19"/>
        <v/>
      </c>
      <c r="C110" s="495">
        <f>IF(D94="","-",+C109+1)</f>
        <v>2021</v>
      </c>
      <c r="D110" s="349">
        <f>IF(F109+SUM(E$100:E109)=D$93,F109,D$93-SUM(E$100:E109))</f>
        <v>486624.68822940369</v>
      </c>
      <c r="E110" s="509">
        <f>IF(+J97&lt;F109,J97,D110)</f>
        <v>18628.878787878788</v>
      </c>
      <c r="F110" s="510">
        <f t="shared" si="28"/>
        <v>467995.80944152491</v>
      </c>
      <c r="G110" s="510">
        <f t="shared" si="29"/>
        <v>477310.2488354643</v>
      </c>
      <c r="H110" s="523">
        <f t="shared" si="30"/>
        <v>70182.789291044552</v>
      </c>
      <c r="I110" s="572">
        <f t="shared" si="31"/>
        <v>70182.789291044552</v>
      </c>
      <c r="J110" s="504">
        <f t="shared" si="26"/>
        <v>0</v>
      </c>
      <c r="K110" s="504"/>
      <c r="L110" s="512"/>
      <c r="M110" s="504">
        <f t="shared" si="21"/>
        <v>0</v>
      </c>
      <c r="N110" s="512"/>
      <c r="O110" s="504">
        <f t="shared" si="23"/>
        <v>0</v>
      </c>
      <c r="P110" s="504">
        <f t="shared" si="24"/>
        <v>0</v>
      </c>
      <c r="Q110" s="243"/>
      <c r="R110" s="243"/>
      <c r="S110" s="243"/>
      <c r="T110" s="243"/>
      <c r="U110" s="243"/>
    </row>
    <row r="111" spans="1:21" ht="12.5">
      <c r="B111" s="145" t="str">
        <f t="shared" si="19"/>
        <v/>
      </c>
      <c r="C111" s="495">
        <f>IF(D94="","-",+C110+1)</f>
        <v>2022</v>
      </c>
      <c r="D111" s="349">
        <f>IF(F110+SUM(E$100:E110)=D$93,F110,D$93-SUM(E$100:E110))</f>
        <v>467995.80944152491</v>
      </c>
      <c r="E111" s="509">
        <f>IF(+J97&lt;F110,J97,D111)</f>
        <v>18628.878787878788</v>
      </c>
      <c r="F111" s="510">
        <f t="shared" si="28"/>
        <v>449366.93065364612</v>
      </c>
      <c r="G111" s="510">
        <f t="shared" si="29"/>
        <v>458681.37004758551</v>
      </c>
      <c r="H111" s="523">
        <f t="shared" si="30"/>
        <v>68170.698513300347</v>
      </c>
      <c r="I111" s="572">
        <f t="shared" si="31"/>
        <v>68170.698513300347</v>
      </c>
      <c r="J111" s="504">
        <f t="shared" si="26"/>
        <v>0</v>
      </c>
      <c r="K111" s="504"/>
      <c r="L111" s="512"/>
      <c r="M111" s="504">
        <f t="shared" si="21"/>
        <v>0</v>
      </c>
      <c r="N111" s="512"/>
      <c r="O111" s="504">
        <f t="shared" si="23"/>
        <v>0</v>
      </c>
      <c r="P111" s="504">
        <f t="shared" si="24"/>
        <v>0</v>
      </c>
      <c r="Q111" s="243"/>
      <c r="R111" s="243"/>
      <c r="S111" s="243"/>
      <c r="T111" s="243"/>
      <c r="U111" s="243"/>
    </row>
    <row r="112" spans="1:21" ht="12.5">
      <c r="B112" s="145" t="str">
        <f t="shared" si="19"/>
        <v/>
      </c>
      <c r="C112" s="495">
        <f>IF(D94="","-",+C111+1)</f>
        <v>2023</v>
      </c>
      <c r="D112" s="349">
        <f>IF(F111+SUM(E$100:E111)=D$93,F111,D$93-SUM(E$100:E111))</f>
        <v>449366.93065364612</v>
      </c>
      <c r="E112" s="509">
        <f>IF(+J97&lt;F111,J97,D112)</f>
        <v>18628.878787878788</v>
      </c>
      <c r="F112" s="510">
        <f t="shared" si="28"/>
        <v>430738.05186576734</v>
      </c>
      <c r="G112" s="510">
        <f t="shared" si="29"/>
        <v>440052.49125970673</v>
      </c>
      <c r="H112" s="523">
        <f t="shared" si="30"/>
        <v>66158.607735556157</v>
      </c>
      <c r="I112" s="572">
        <f t="shared" si="31"/>
        <v>66158.607735556157</v>
      </c>
      <c r="J112" s="504">
        <f t="shared" si="26"/>
        <v>0</v>
      </c>
      <c r="K112" s="504"/>
      <c r="L112" s="512"/>
      <c r="M112" s="504">
        <f t="shared" si="21"/>
        <v>0</v>
      </c>
      <c r="N112" s="512"/>
      <c r="O112" s="504">
        <f t="shared" si="23"/>
        <v>0</v>
      </c>
      <c r="P112" s="504">
        <f t="shared" si="24"/>
        <v>0</v>
      </c>
      <c r="Q112" s="243"/>
      <c r="R112" s="243"/>
      <c r="S112" s="243"/>
      <c r="T112" s="243"/>
      <c r="U112" s="243"/>
    </row>
    <row r="113" spans="2:21" ht="12.5">
      <c r="B113" s="145" t="str">
        <f t="shared" si="19"/>
        <v/>
      </c>
      <c r="C113" s="495">
        <f>IF(D94="","-",+C112+1)</f>
        <v>2024</v>
      </c>
      <c r="D113" s="349">
        <f>IF(F112+SUM(E$100:E112)=D$93,F112,D$93-SUM(E$100:E112))</f>
        <v>430738.05186576734</v>
      </c>
      <c r="E113" s="509">
        <f>IF(+J97&lt;F112,J97,D113)</f>
        <v>18628.878787878788</v>
      </c>
      <c r="F113" s="510">
        <f t="shared" si="28"/>
        <v>412109.17307788855</v>
      </c>
      <c r="G113" s="510">
        <f t="shared" si="29"/>
        <v>421423.61247182795</v>
      </c>
      <c r="H113" s="523">
        <f t="shared" si="30"/>
        <v>64146.516957811953</v>
      </c>
      <c r="I113" s="572">
        <f t="shared" si="31"/>
        <v>64146.516957811953</v>
      </c>
      <c r="J113" s="504">
        <f t="shared" si="26"/>
        <v>0</v>
      </c>
      <c r="K113" s="504"/>
      <c r="L113" s="512"/>
      <c r="M113" s="504">
        <f t="shared" si="21"/>
        <v>0</v>
      </c>
      <c r="N113" s="512"/>
      <c r="O113" s="504">
        <f t="shared" si="23"/>
        <v>0</v>
      </c>
      <c r="P113" s="504">
        <f t="shared" si="24"/>
        <v>0</v>
      </c>
      <c r="Q113" s="243"/>
      <c r="R113" s="243"/>
      <c r="S113" s="243"/>
      <c r="T113" s="243"/>
      <c r="U113" s="243"/>
    </row>
    <row r="114" spans="2:21" ht="12.5">
      <c r="B114" s="145" t="str">
        <f t="shared" si="19"/>
        <v/>
      </c>
      <c r="C114" s="495">
        <f>IF(D94="","-",+C113+1)</f>
        <v>2025</v>
      </c>
      <c r="D114" s="349">
        <f>IF(F113+SUM(E$100:E113)=D$93,F113,D$93-SUM(E$100:E113))</f>
        <v>412109.17307788855</v>
      </c>
      <c r="E114" s="509">
        <f>IF(+J97&lt;F113,J97,D114)</f>
        <v>18628.878787878788</v>
      </c>
      <c r="F114" s="510">
        <f t="shared" si="28"/>
        <v>393480.29429000977</v>
      </c>
      <c r="G114" s="510">
        <f t="shared" si="29"/>
        <v>402794.73368394916</v>
      </c>
      <c r="H114" s="523">
        <f t="shared" si="30"/>
        <v>62134.426180067763</v>
      </c>
      <c r="I114" s="572">
        <f t="shared" si="31"/>
        <v>62134.426180067763</v>
      </c>
      <c r="J114" s="504">
        <f t="shared" si="26"/>
        <v>0</v>
      </c>
      <c r="K114" s="504"/>
      <c r="L114" s="512"/>
      <c r="M114" s="504">
        <f t="shared" si="21"/>
        <v>0</v>
      </c>
      <c r="N114" s="512"/>
      <c r="O114" s="504">
        <f t="shared" si="23"/>
        <v>0</v>
      </c>
      <c r="P114" s="504">
        <f t="shared" si="24"/>
        <v>0</v>
      </c>
      <c r="Q114" s="243"/>
      <c r="R114" s="243"/>
      <c r="S114" s="243"/>
      <c r="T114" s="243"/>
      <c r="U114" s="243"/>
    </row>
    <row r="115" spans="2:21" ht="12.5">
      <c r="B115" s="145" t="str">
        <f t="shared" si="19"/>
        <v/>
      </c>
      <c r="C115" s="495">
        <f>IF(D94="","-",+C114+1)</f>
        <v>2026</v>
      </c>
      <c r="D115" s="349">
        <f>IF(F114+SUM(E$100:E114)=D$93,F114,D$93-SUM(E$100:E114))</f>
        <v>393480.29429000977</v>
      </c>
      <c r="E115" s="509">
        <f>IF(+J97&lt;F114,J97,D115)</f>
        <v>18628.878787878788</v>
      </c>
      <c r="F115" s="510">
        <f t="shared" si="28"/>
        <v>374851.41550213099</v>
      </c>
      <c r="G115" s="510">
        <f t="shared" si="29"/>
        <v>384165.85489607038</v>
      </c>
      <c r="H115" s="523">
        <f t="shared" si="30"/>
        <v>60122.335402323559</v>
      </c>
      <c r="I115" s="572">
        <f t="shared" si="31"/>
        <v>60122.335402323559</v>
      </c>
      <c r="J115" s="504">
        <f t="shared" si="26"/>
        <v>0</v>
      </c>
      <c r="K115" s="504"/>
      <c r="L115" s="512"/>
      <c r="M115" s="504">
        <f t="shared" si="21"/>
        <v>0</v>
      </c>
      <c r="N115" s="512"/>
      <c r="O115" s="504">
        <f t="shared" si="23"/>
        <v>0</v>
      </c>
      <c r="P115" s="504">
        <f t="shared" si="24"/>
        <v>0</v>
      </c>
      <c r="Q115" s="243"/>
      <c r="R115" s="243"/>
      <c r="S115" s="243"/>
      <c r="T115" s="243"/>
      <c r="U115" s="243"/>
    </row>
    <row r="116" spans="2:21" ht="12.5">
      <c r="B116" s="145" t="str">
        <f t="shared" si="19"/>
        <v/>
      </c>
      <c r="C116" s="495">
        <f>IF(D94="","-",+C115+1)</f>
        <v>2027</v>
      </c>
      <c r="D116" s="349">
        <f>IF(F115+SUM(E$100:E115)=D$93,F115,D$93-SUM(E$100:E115))</f>
        <v>374851.41550213099</v>
      </c>
      <c r="E116" s="509">
        <f>IF(+J97&lt;F115,J97,D116)</f>
        <v>18628.878787878788</v>
      </c>
      <c r="F116" s="510">
        <f t="shared" si="28"/>
        <v>356222.5367142522</v>
      </c>
      <c r="G116" s="510">
        <f t="shared" si="29"/>
        <v>365536.97610819159</v>
      </c>
      <c r="H116" s="523">
        <f t="shared" si="30"/>
        <v>58110.244624579369</v>
      </c>
      <c r="I116" s="572">
        <f t="shared" si="31"/>
        <v>58110.244624579369</v>
      </c>
      <c r="J116" s="504">
        <f t="shared" si="26"/>
        <v>0</v>
      </c>
      <c r="K116" s="504"/>
      <c r="L116" s="512"/>
      <c r="M116" s="504">
        <f t="shared" si="21"/>
        <v>0</v>
      </c>
      <c r="N116" s="512"/>
      <c r="O116" s="504">
        <f t="shared" si="23"/>
        <v>0</v>
      </c>
      <c r="P116" s="504">
        <f t="shared" si="24"/>
        <v>0</v>
      </c>
      <c r="Q116" s="243"/>
      <c r="R116" s="243"/>
      <c r="S116" s="243"/>
      <c r="T116" s="243"/>
      <c r="U116" s="243"/>
    </row>
    <row r="117" spans="2:21" ht="12.5">
      <c r="B117" s="145" t="str">
        <f t="shared" si="19"/>
        <v/>
      </c>
      <c r="C117" s="495">
        <f>IF(D94="","-",+C116+1)</f>
        <v>2028</v>
      </c>
      <c r="D117" s="349">
        <f>IF(F116+SUM(E$100:E116)=D$93,F116,D$93-SUM(E$100:E116))</f>
        <v>356222.5367142522</v>
      </c>
      <c r="E117" s="509">
        <f>IF(+J97&lt;F116,J97,D117)</f>
        <v>18628.878787878788</v>
      </c>
      <c r="F117" s="510">
        <f t="shared" si="28"/>
        <v>337593.65792637342</v>
      </c>
      <c r="G117" s="510">
        <f t="shared" si="29"/>
        <v>346908.09732031281</v>
      </c>
      <c r="H117" s="523">
        <f t="shared" si="30"/>
        <v>56098.153846835165</v>
      </c>
      <c r="I117" s="572">
        <f t="shared" si="31"/>
        <v>56098.153846835165</v>
      </c>
      <c r="J117" s="504">
        <f t="shared" si="26"/>
        <v>0</v>
      </c>
      <c r="K117" s="504"/>
      <c r="L117" s="512"/>
      <c r="M117" s="504">
        <f t="shared" si="21"/>
        <v>0</v>
      </c>
      <c r="N117" s="512"/>
      <c r="O117" s="504">
        <f t="shared" si="23"/>
        <v>0</v>
      </c>
      <c r="P117" s="504">
        <f t="shared" si="24"/>
        <v>0</v>
      </c>
      <c r="Q117" s="243"/>
      <c r="R117" s="243"/>
      <c r="S117" s="243"/>
      <c r="T117" s="243"/>
      <c r="U117" s="243"/>
    </row>
    <row r="118" spans="2:21" ht="12.5">
      <c r="B118" s="145" t="str">
        <f t="shared" si="19"/>
        <v/>
      </c>
      <c r="C118" s="495">
        <f>IF(D94="","-",+C117+1)</f>
        <v>2029</v>
      </c>
      <c r="D118" s="349">
        <f>IF(F117+SUM(E$100:E117)=D$93,F117,D$93-SUM(E$100:E117))</f>
        <v>337593.65792637342</v>
      </c>
      <c r="E118" s="509">
        <f>IF(+J97&lt;F117,J97,D118)</f>
        <v>18628.878787878788</v>
      </c>
      <c r="F118" s="510">
        <f t="shared" si="28"/>
        <v>318964.77913849463</v>
      </c>
      <c r="G118" s="510">
        <f t="shared" si="29"/>
        <v>328279.21853243402</v>
      </c>
      <c r="H118" s="523">
        <f t="shared" si="30"/>
        <v>54086.06306909096</v>
      </c>
      <c r="I118" s="572">
        <f t="shared" si="31"/>
        <v>54086.06306909096</v>
      </c>
      <c r="J118" s="504">
        <f t="shared" si="26"/>
        <v>0</v>
      </c>
      <c r="K118" s="504"/>
      <c r="L118" s="512"/>
      <c r="M118" s="504">
        <f t="shared" si="21"/>
        <v>0</v>
      </c>
      <c r="N118" s="512"/>
      <c r="O118" s="504">
        <f t="shared" si="23"/>
        <v>0</v>
      </c>
      <c r="P118" s="504">
        <f t="shared" si="24"/>
        <v>0</v>
      </c>
      <c r="Q118" s="243"/>
      <c r="R118" s="243"/>
      <c r="S118" s="243"/>
      <c r="T118" s="243"/>
      <c r="U118" s="243"/>
    </row>
    <row r="119" spans="2:21" ht="12.5">
      <c r="B119" s="145" t="str">
        <f t="shared" si="19"/>
        <v/>
      </c>
      <c r="C119" s="495">
        <f>IF(D94="","-",+C118+1)</f>
        <v>2030</v>
      </c>
      <c r="D119" s="349">
        <f>IF(F118+SUM(E$100:E118)=D$93,F118,D$93-SUM(E$100:E118))</f>
        <v>318964.77913849463</v>
      </c>
      <c r="E119" s="509">
        <f>IF(+J97&lt;F118,J97,D119)</f>
        <v>18628.878787878788</v>
      </c>
      <c r="F119" s="510">
        <f t="shared" si="28"/>
        <v>300335.90035061585</v>
      </c>
      <c r="G119" s="510">
        <f t="shared" si="29"/>
        <v>309650.33974455524</v>
      </c>
      <c r="H119" s="523">
        <f t="shared" si="30"/>
        <v>52073.97229134677</v>
      </c>
      <c r="I119" s="572">
        <f t="shared" si="31"/>
        <v>52073.97229134677</v>
      </c>
      <c r="J119" s="504">
        <f t="shared" si="26"/>
        <v>0</v>
      </c>
      <c r="K119" s="504"/>
      <c r="L119" s="512"/>
      <c r="M119" s="504">
        <f t="shared" si="21"/>
        <v>0</v>
      </c>
      <c r="N119" s="512"/>
      <c r="O119" s="504">
        <f t="shared" si="23"/>
        <v>0</v>
      </c>
      <c r="P119" s="504">
        <f t="shared" si="24"/>
        <v>0</v>
      </c>
      <c r="Q119" s="243"/>
      <c r="R119" s="243"/>
      <c r="S119" s="243"/>
      <c r="T119" s="243"/>
      <c r="U119" s="243"/>
    </row>
    <row r="120" spans="2:21" ht="12.5">
      <c r="B120" s="145" t="str">
        <f t="shared" si="19"/>
        <v/>
      </c>
      <c r="C120" s="495">
        <f>IF(D94="","-",+C119+1)</f>
        <v>2031</v>
      </c>
      <c r="D120" s="349">
        <f>IF(F119+SUM(E$100:E119)=D$93,F119,D$93-SUM(E$100:E119))</f>
        <v>300335.90035061585</v>
      </c>
      <c r="E120" s="509">
        <f>IF(+J97&lt;F119,J97,D120)</f>
        <v>18628.878787878788</v>
      </c>
      <c r="F120" s="510">
        <f t="shared" si="28"/>
        <v>281707.02156273706</v>
      </c>
      <c r="G120" s="510">
        <f t="shared" si="29"/>
        <v>291021.46095667646</v>
      </c>
      <c r="H120" s="523">
        <f t="shared" si="30"/>
        <v>50061.881513602566</v>
      </c>
      <c r="I120" s="572">
        <f t="shared" si="31"/>
        <v>50061.881513602566</v>
      </c>
      <c r="J120" s="504">
        <f t="shared" si="26"/>
        <v>0</v>
      </c>
      <c r="K120" s="504"/>
      <c r="L120" s="512"/>
      <c r="M120" s="504">
        <f t="shared" si="21"/>
        <v>0</v>
      </c>
      <c r="N120" s="512"/>
      <c r="O120" s="504">
        <f t="shared" si="23"/>
        <v>0</v>
      </c>
      <c r="P120" s="504">
        <f t="shared" si="24"/>
        <v>0</v>
      </c>
      <c r="Q120" s="243"/>
      <c r="R120" s="243"/>
      <c r="S120" s="243"/>
      <c r="T120" s="243"/>
      <c r="U120" s="243"/>
    </row>
    <row r="121" spans="2:21" ht="12.5">
      <c r="B121" s="145" t="str">
        <f t="shared" si="19"/>
        <v/>
      </c>
      <c r="C121" s="495">
        <f>IF(D94="","-",+C120+1)</f>
        <v>2032</v>
      </c>
      <c r="D121" s="349">
        <f>IF(F120+SUM(E$100:E120)=D$93,F120,D$93-SUM(E$100:E120))</f>
        <v>281707.02156273706</v>
      </c>
      <c r="E121" s="509">
        <f>IF(+J97&lt;F120,J97,D121)</f>
        <v>18628.878787878788</v>
      </c>
      <c r="F121" s="510">
        <f t="shared" si="28"/>
        <v>263078.14277485828</v>
      </c>
      <c r="G121" s="510">
        <f t="shared" si="29"/>
        <v>272392.58216879767</v>
      </c>
      <c r="H121" s="523">
        <f t="shared" si="30"/>
        <v>48049.790735858376</v>
      </c>
      <c r="I121" s="572">
        <f t="shared" si="31"/>
        <v>48049.790735858376</v>
      </c>
      <c r="J121" s="504">
        <f t="shared" si="26"/>
        <v>0</v>
      </c>
      <c r="K121" s="504"/>
      <c r="L121" s="512"/>
      <c r="M121" s="504">
        <f t="shared" si="21"/>
        <v>0</v>
      </c>
      <c r="N121" s="512"/>
      <c r="O121" s="504">
        <f t="shared" si="23"/>
        <v>0</v>
      </c>
      <c r="P121" s="504">
        <f t="shared" si="24"/>
        <v>0</v>
      </c>
      <c r="Q121" s="243"/>
      <c r="R121" s="243"/>
      <c r="S121" s="243"/>
      <c r="T121" s="243"/>
      <c r="U121" s="243"/>
    </row>
    <row r="122" spans="2:21" ht="12.5">
      <c r="B122" s="145" t="str">
        <f t="shared" si="19"/>
        <v/>
      </c>
      <c r="C122" s="495">
        <f>IF(D94="","-",+C121+1)</f>
        <v>2033</v>
      </c>
      <c r="D122" s="349">
        <f>IF(F121+SUM(E$100:E121)=D$93,F121,D$93-SUM(E$100:E121))</f>
        <v>263078.14277485828</v>
      </c>
      <c r="E122" s="509">
        <f>IF(+J97&lt;F121,J97,D122)</f>
        <v>18628.878787878788</v>
      </c>
      <c r="F122" s="510">
        <f t="shared" si="28"/>
        <v>244449.26398697949</v>
      </c>
      <c r="G122" s="510">
        <f t="shared" si="29"/>
        <v>253763.70338091889</v>
      </c>
      <c r="H122" s="523">
        <f t="shared" si="30"/>
        <v>46037.699958114172</v>
      </c>
      <c r="I122" s="572">
        <f t="shared" si="31"/>
        <v>46037.699958114172</v>
      </c>
      <c r="J122" s="504">
        <f t="shared" si="26"/>
        <v>0</v>
      </c>
      <c r="K122" s="504"/>
      <c r="L122" s="512"/>
      <c r="M122" s="504">
        <f t="shared" si="21"/>
        <v>0</v>
      </c>
      <c r="N122" s="512"/>
      <c r="O122" s="504">
        <f t="shared" si="23"/>
        <v>0</v>
      </c>
      <c r="P122" s="504">
        <f t="shared" si="24"/>
        <v>0</v>
      </c>
      <c r="Q122" s="243"/>
      <c r="R122" s="243"/>
      <c r="S122" s="243"/>
      <c r="T122" s="243"/>
      <c r="U122" s="243"/>
    </row>
    <row r="123" spans="2:21" ht="12.5">
      <c r="B123" s="145" t="str">
        <f t="shared" si="19"/>
        <v/>
      </c>
      <c r="C123" s="495">
        <f>IF(D94="","-",+C122+1)</f>
        <v>2034</v>
      </c>
      <c r="D123" s="349">
        <f>IF(F122+SUM(E$100:E122)=D$93,F122,D$93-SUM(E$100:E122))</f>
        <v>244449.26398697949</v>
      </c>
      <c r="E123" s="509">
        <f>IF(+J97&lt;F122,J97,D123)</f>
        <v>18628.878787878788</v>
      </c>
      <c r="F123" s="510">
        <f t="shared" si="28"/>
        <v>225820.38519910071</v>
      </c>
      <c r="G123" s="510">
        <f t="shared" si="29"/>
        <v>235134.8245930401</v>
      </c>
      <c r="H123" s="523">
        <f t="shared" si="30"/>
        <v>44025.609180369982</v>
      </c>
      <c r="I123" s="572">
        <f t="shared" si="31"/>
        <v>44025.609180369982</v>
      </c>
      <c r="J123" s="504">
        <f t="shared" si="26"/>
        <v>0</v>
      </c>
      <c r="K123" s="504"/>
      <c r="L123" s="512"/>
      <c r="M123" s="504">
        <f t="shared" si="21"/>
        <v>0</v>
      </c>
      <c r="N123" s="512"/>
      <c r="O123" s="504">
        <f t="shared" si="23"/>
        <v>0</v>
      </c>
      <c r="P123" s="504">
        <f t="shared" si="24"/>
        <v>0</v>
      </c>
      <c r="Q123" s="243"/>
      <c r="R123" s="243"/>
      <c r="S123" s="243"/>
      <c r="T123" s="243"/>
      <c r="U123" s="243"/>
    </row>
    <row r="124" spans="2:21" ht="12.5">
      <c r="B124" s="145" t="str">
        <f t="shared" si="19"/>
        <v/>
      </c>
      <c r="C124" s="495">
        <f>IF(D94="","-",+C123+1)</f>
        <v>2035</v>
      </c>
      <c r="D124" s="349">
        <f>IF(F123+SUM(E$100:E123)=D$93,F123,D$93-SUM(E$100:E123))</f>
        <v>225820.38519910071</v>
      </c>
      <c r="E124" s="509">
        <f>IF(+J97&lt;F123,J97,D124)</f>
        <v>18628.878787878788</v>
      </c>
      <c r="F124" s="510">
        <f t="shared" si="28"/>
        <v>207191.50641122193</v>
      </c>
      <c r="G124" s="510">
        <f t="shared" si="29"/>
        <v>216505.94580516132</v>
      </c>
      <c r="H124" s="523">
        <f t="shared" si="30"/>
        <v>42013.518402625778</v>
      </c>
      <c r="I124" s="572">
        <f t="shared" si="31"/>
        <v>42013.518402625778</v>
      </c>
      <c r="J124" s="504">
        <f t="shared" si="26"/>
        <v>0</v>
      </c>
      <c r="K124" s="504"/>
      <c r="L124" s="512"/>
      <c r="M124" s="504">
        <f t="shared" si="21"/>
        <v>0</v>
      </c>
      <c r="N124" s="512"/>
      <c r="O124" s="504">
        <f t="shared" si="23"/>
        <v>0</v>
      </c>
      <c r="P124" s="504">
        <f t="shared" si="24"/>
        <v>0</v>
      </c>
      <c r="Q124" s="243"/>
      <c r="R124" s="243"/>
      <c r="S124" s="243"/>
      <c r="T124" s="243"/>
      <c r="U124" s="243"/>
    </row>
    <row r="125" spans="2:21" ht="12.5">
      <c r="B125" s="145" t="str">
        <f t="shared" si="19"/>
        <v/>
      </c>
      <c r="C125" s="495">
        <f>IF(D94="","-",+C124+1)</f>
        <v>2036</v>
      </c>
      <c r="D125" s="349">
        <f>IF(F124+SUM(E$100:E124)=D$93,F124,D$93-SUM(E$100:E124))</f>
        <v>207191.50641122193</v>
      </c>
      <c r="E125" s="509">
        <f>IF(+J97&lt;F124,J97,D125)</f>
        <v>18628.878787878788</v>
      </c>
      <c r="F125" s="510">
        <f t="shared" si="28"/>
        <v>188562.62762334314</v>
      </c>
      <c r="G125" s="510">
        <f t="shared" si="29"/>
        <v>197877.06701728253</v>
      </c>
      <c r="H125" s="523">
        <f t="shared" si="30"/>
        <v>40001.427624881588</v>
      </c>
      <c r="I125" s="572">
        <f t="shared" si="31"/>
        <v>40001.427624881588</v>
      </c>
      <c r="J125" s="504">
        <f t="shared" si="26"/>
        <v>0</v>
      </c>
      <c r="K125" s="504"/>
      <c r="L125" s="512"/>
      <c r="M125" s="504">
        <f t="shared" si="21"/>
        <v>0</v>
      </c>
      <c r="N125" s="512"/>
      <c r="O125" s="504">
        <f t="shared" si="23"/>
        <v>0</v>
      </c>
      <c r="P125" s="504">
        <f t="shared" si="24"/>
        <v>0</v>
      </c>
      <c r="Q125" s="243"/>
      <c r="R125" s="243"/>
      <c r="S125" s="243"/>
      <c r="T125" s="243"/>
      <c r="U125" s="243"/>
    </row>
    <row r="126" spans="2:21" ht="12.5">
      <c r="B126" s="145" t="str">
        <f t="shared" si="19"/>
        <v/>
      </c>
      <c r="C126" s="495">
        <f>IF(D94="","-",+C125+1)</f>
        <v>2037</v>
      </c>
      <c r="D126" s="349">
        <f>IF(F125+SUM(E$100:E125)=D$93,F125,D$93-SUM(E$100:E125))</f>
        <v>188562.62762334314</v>
      </c>
      <c r="E126" s="509">
        <f>IF(+J97&lt;F125,J97,D126)</f>
        <v>18628.878787878788</v>
      </c>
      <c r="F126" s="510">
        <f t="shared" si="28"/>
        <v>169933.74883546436</v>
      </c>
      <c r="G126" s="510">
        <f t="shared" si="29"/>
        <v>179248.18822940375</v>
      </c>
      <c r="H126" s="523">
        <f t="shared" si="30"/>
        <v>37989.336847137383</v>
      </c>
      <c r="I126" s="572">
        <f t="shared" si="31"/>
        <v>37989.336847137383</v>
      </c>
      <c r="J126" s="504">
        <f t="shared" si="26"/>
        <v>0</v>
      </c>
      <c r="K126" s="504"/>
      <c r="L126" s="512"/>
      <c r="M126" s="504">
        <f t="shared" si="21"/>
        <v>0</v>
      </c>
      <c r="N126" s="512"/>
      <c r="O126" s="504">
        <f t="shared" si="23"/>
        <v>0</v>
      </c>
      <c r="P126" s="504">
        <f t="shared" si="24"/>
        <v>0</v>
      </c>
      <c r="Q126" s="243"/>
      <c r="R126" s="243"/>
      <c r="S126" s="243"/>
      <c r="T126" s="243"/>
      <c r="U126" s="243"/>
    </row>
    <row r="127" spans="2:21" ht="12.5">
      <c r="B127" s="145" t="str">
        <f t="shared" si="19"/>
        <v/>
      </c>
      <c r="C127" s="495">
        <f>IF(D94="","-",+C126+1)</f>
        <v>2038</v>
      </c>
      <c r="D127" s="349">
        <f>IF(F126+SUM(E$100:E126)=D$93,F126,D$93-SUM(E$100:E126))</f>
        <v>169933.74883546436</v>
      </c>
      <c r="E127" s="509">
        <f>IF(+J97&lt;F126,J97,D127)</f>
        <v>18628.878787878788</v>
      </c>
      <c r="F127" s="510">
        <f t="shared" si="28"/>
        <v>151304.87004758557</v>
      </c>
      <c r="G127" s="510">
        <f t="shared" si="29"/>
        <v>160619.30944152497</v>
      </c>
      <c r="H127" s="523">
        <f t="shared" si="30"/>
        <v>35977.246069393186</v>
      </c>
      <c r="I127" s="572">
        <f t="shared" si="31"/>
        <v>35977.246069393186</v>
      </c>
      <c r="J127" s="504">
        <f t="shared" si="26"/>
        <v>0</v>
      </c>
      <c r="K127" s="504"/>
      <c r="L127" s="512"/>
      <c r="M127" s="504">
        <f t="shared" si="21"/>
        <v>0</v>
      </c>
      <c r="N127" s="512"/>
      <c r="O127" s="504">
        <f t="shared" si="23"/>
        <v>0</v>
      </c>
      <c r="P127" s="504">
        <f t="shared" si="24"/>
        <v>0</v>
      </c>
      <c r="Q127" s="243"/>
      <c r="R127" s="243"/>
      <c r="S127" s="243"/>
      <c r="T127" s="243"/>
      <c r="U127" s="243"/>
    </row>
    <row r="128" spans="2:21" ht="12.5">
      <c r="B128" s="145" t="str">
        <f t="shared" si="19"/>
        <v/>
      </c>
      <c r="C128" s="495">
        <f>IF(D94="","-",+C127+1)</f>
        <v>2039</v>
      </c>
      <c r="D128" s="349">
        <f>IF(F127+SUM(E$100:E127)=D$93,F127,D$93-SUM(E$100:E127))</f>
        <v>151304.87004758557</v>
      </c>
      <c r="E128" s="509">
        <f>IF(+J97&lt;F127,J97,D128)</f>
        <v>18628.878787878788</v>
      </c>
      <c r="F128" s="510">
        <f t="shared" si="28"/>
        <v>132675.99125970679</v>
      </c>
      <c r="G128" s="510">
        <f t="shared" si="29"/>
        <v>141990.43065364618</v>
      </c>
      <c r="H128" s="523">
        <f t="shared" si="30"/>
        <v>33965.155291648989</v>
      </c>
      <c r="I128" s="572">
        <f t="shared" si="31"/>
        <v>33965.155291648989</v>
      </c>
      <c r="J128" s="504">
        <f t="shared" si="26"/>
        <v>0</v>
      </c>
      <c r="K128" s="504"/>
      <c r="L128" s="512"/>
      <c r="M128" s="504">
        <f t="shared" si="21"/>
        <v>0</v>
      </c>
      <c r="N128" s="512"/>
      <c r="O128" s="504">
        <f t="shared" si="23"/>
        <v>0</v>
      </c>
      <c r="P128" s="504">
        <f t="shared" si="24"/>
        <v>0</v>
      </c>
      <c r="Q128" s="243"/>
      <c r="R128" s="243"/>
      <c r="S128" s="243"/>
      <c r="T128" s="243"/>
      <c r="U128" s="243"/>
    </row>
    <row r="129" spans="2:21" ht="12.5">
      <c r="B129" s="145" t="str">
        <f t="shared" si="19"/>
        <v/>
      </c>
      <c r="C129" s="495">
        <f>IF(D94="","-",+C128+1)</f>
        <v>2040</v>
      </c>
      <c r="D129" s="349">
        <f>IF(F128+SUM(E$100:E128)=D$93,F128,D$93-SUM(E$100:E128))</f>
        <v>132675.99125970679</v>
      </c>
      <c r="E129" s="509">
        <f>IF(+J97&lt;F128,J97,D129)</f>
        <v>18628.878787878788</v>
      </c>
      <c r="F129" s="510">
        <f t="shared" si="28"/>
        <v>114047.112471828</v>
      </c>
      <c r="G129" s="510">
        <f t="shared" si="29"/>
        <v>123361.5518657674</v>
      </c>
      <c r="H129" s="523">
        <f t="shared" si="30"/>
        <v>31953.064513904792</v>
      </c>
      <c r="I129" s="572">
        <f t="shared" si="31"/>
        <v>31953.064513904792</v>
      </c>
      <c r="J129" s="504">
        <f t="shared" si="26"/>
        <v>0</v>
      </c>
      <c r="K129" s="504"/>
      <c r="L129" s="512"/>
      <c r="M129" s="504">
        <f t="shared" si="21"/>
        <v>0</v>
      </c>
      <c r="N129" s="512"/>
      <c r="O129" s="504">
        <f t="shared" si="23"/>
        <v>0</v>
      </c>
      <c r="P129" s="504">
        <f t="shared" si="24"/>
        <v>0</v>
      </c>
      <c r="Q129" s="243"/>
      <c r="R129" s="243"/>
      <c r="S129" s="243"/>
      <c r="T129" s="243"/>
      <c r="U129" s="243"/>
    </row>
    <row r="130" spans="2:21" ht="12.5">
      <c r="B130" s="145" t="str">
        <f t="shared" si="19"/>
        <v/>
      </c>
      <c r="C130" s="495">
        <f>IF(D94="","-",+C129+1)</f>
        <v>2041</v>
      </c>
      <c r="D130" s="349">
        <f>IF(F129+SUM(E$100:E129)=D$93,F129,D$93-SUM(E$100:E129))</f>
        <v>114047.112471828</v>
      </c>
      <c r="E130" s="509">
        <f>IF(+J97&lt;F129,J97,D130)</f>
        <v>18628.878787878788</v>
      </c>
      <c r="F130" s="510">
        <f t="shared" si="28"/>
        <v>95418.23368394922</v>
      </c>
      <c r="G130" s="510">
        <f t="shared" si="29"/>
        <v>104732.67307788861</v>
      </c>
      <c r="H130" s="523">
        <f t="shared" si="30"/>
        <v>29940.973736160595</v>
      </c>
      <c r="I130" s="572">
        <f t="shared" si="31"/>
        <v>29940.973736160595</v>
      </c>
      <c r="J130" s="504">
        <f t="shared" si="26"/>
        <v>0</v>
      </c>
      <c r="K130" s="504"/>
      <c r="L130" s="512"/>
      <c r="M130" s="504">
        <f t="shared" si="21"/>
        <v>0</v>
      </c>
      <c r="N130" s="512"/>
      <c r="O130" s="504">
        <f t="shared" si="23"/>
        <v>0</v>
      </c>
      <c r="P130" s="504">
        <f t="shared" si="24"/>
        <v>0</v>
      </c>
      <c r="Q130" s="243"/>
      <c r="R130" s="243"/>
      <c r="S130" s="243"/>
      <c r="T130" s="243"/>
      <c r="U130" s="243"/>
    </row>
    <row r="131" spans="2:21" ht="12.5">
      <c r="B131" s="145" t="str">
        <f t="shared" si="19"/>
        <v/>
      </c>
      <c r="C131" s="495">
        <f>IF(D94="","-",+C130+1)</f>
        <v>2042</v>
      </c>
      <c r="D131" s="349">
        <f>IF(F130+SUM(E$100:E130)=D$93,F130,D$93-SUM(E$100:E130))</f>
        <v>95418.23368394922</v>
      </c>
      <c r="E131" s="509">
        <f>IF(+J97&lt;F130,J97,D131)</f>
        <v>18628.878787878788</v>
      </c>
      <c r="F131" s="510">
        <f t="shared" si="28"/>
        <v>76789.354896070436</v>
      </c>
      <c r="G131" s="510">
        <f t="shared" si="29"/>
        <v>86103.794290009828</v>
      </c>
      <c r="H131" s="523">
        <f t="shared" si="30"/>
        <v>27928.882958416398</v>
      </c>
      <c r="I131" s="572">
        <f t="shared" si="31"/>
        <v>27928.882958416398</v>
      </c>
      <c r="J131" s="504">
        <f t="shared" si="26"/>
        <v>0</v>
      </c>
      <c r="K131" s="504"/>
      <c r="L131" s="512"/>
      <c r="M131" s="504">
        <f t="shared" si="21"/>
        <v>0</v>
      </c>
      <c r="N131" s="512"/>
      <c r="O131" s="504">
        <f t="shared" si="23"/>
        <v>0</v>
      </c>
      <c r="P131" s="504">
        <f t="shared" si="24"/>
        <v>0</v>
      </c>
      <c r="Q131" s="243"/>
      <c r="R131" s="243"/>
      <c r="S131" s="243"/>
      <c r="T131" s="243"/>
      <c r="U131" s="243"/>
    </row>
    <row r="132" spans="2:21" ht="12.5">
      <c r="B132" s="145" t="str">
        <f t="shared" ref="B132:B155" si="32">IF(D132=F131,"","IU")</f>
        <v/>
      </c>
      <c r="C132" s="495">
        <f>IF(D94="","-",+C131+1)</f>
        <v>2043</v>
      </c>
      <c r="D132" s="349">
        <f>IF(F131+SUM(E$100:E131)=D$93,F131,D$93-SUM(E$100:E131))</f>
        <v>76789.354896070436</v>
      </c>
      <c r="E132" s="509">
        <f>IF(+J97&lt;F131,J97,D132)</f>
        <v>18628.878787878788</v>
      </c>
      <c r="F132" s="510">
        <f t="shared" si="28"/>
        <v>58160.476108191651</v>
      </c>
      <c r="G132" s="510">
        <f t="shared" ref="G132:G155" si="33">+(F132+D132)/2</f>
        <v>67474.915502131043</v>
      </c>
      <c r="H132" s="523">
        <f t="shared" ref="H132:H155" si="34">+J$95*G132+E132</f>
        <v>25916.792180672201</v>
      </c>
      <c r="I132" s="572">
        <f t="shared" ref="I132:I155" si="35">+J$96*G132+E132</f>
        <v>25916.792180672201</v>
      </c>
      <c r="J132" s="504">
        <f t="shared" ref="J132:J155" si="36">+I132-H132</f>
        <v>0</v>
      </c>
      <c r="K132" s="504"/>
      <c r="L132" s="512"/>
      <c r="M132" s="504">
        <f t="shared" ref="M132:M155" si="37">IF(L132&lt;&gt;0,+H132-L132,0)</f>
        <v>0</v>
      </c>
      <c r="N132" s="512"/>
      <c r="O132" s="504">
        <f t="shared" ref="O132:O155" si="38">IF(N132&lt;&gt;0,+I132-N132,0)</f>
        <v>0</v>
      </c>
      <c r="P132" s="504">
        <f t="shared" ref="P132:P155" si="39">+O132-M132</f>
        <v>0</v>
      </c>
      <c r="Q132" s="243"/>
      <c r="R132" s="243"/>
      <c r="S132" s="243"/>
      <c r="T132" s="243"/>
      <c r="U132" s="243"/>
    </row>
    <row r="133" spans="2:21" ht="12.5">
      <c r="B133" s="145" t="str">
        <f t="shared" si="32"/>
        <v/>
      </c>
      <c r="C133" s="495">
        <f>IF(D94="","-",+C132+1)</f>
        <v>2044</v>
      </c>
      <c r="D133" s="349">
        <f>IF(F132+SUM(E$100:E132)=D$93,F132,D$93-SUM(E$100:E132))</f>
        <v>58160.476108191651</v>
      </c>
      <c r="E133" s="509">
        <f>IF(+J97&lt;F132,J97,D133)</f>
        <v>18628.878787878788</v>
      </c>
      <c r="F133" s="510">
        <f t="shared" ref="F133:F155" si="40">+D133-E133</f>
        <v>39531.597320312867</v>
      </c>
      <c r="G133" s="510">
        <f t="shared" si="33"/>
        <v>48846.036714252259</v>
      </c>
      <c r="H133" s="523">
        <f t="shared" si="34"/>
        <v>23904.701402928</v>
      </c>
      <c r="I133" s="572">
        <f t="shared" si="35"/>
        <v>23904.701402928</v>
      </c>
      <c r="J133" s="504">
        <f t="shared" si="36"/>
        <v>0</v>
      </c>
      <c r="K133" s="504"/>
      <c r="L133" s="512"/>
      <c r="M133" s="504">
        <f t="shared" si="37"/>
        <v>0</v>
      </c>
      <c r="N133" s="512"/>
      <c r="O133" s="504">
        <f t="shared" si="38"/>
        <v>0</v>
      </c>
      <c r="P133" s="504">
        <f t="shared" si="39"/>
        <v>0</v>
      </c>
      <c r="Q133" s="243"/>
      <c r="R133" s="243"/>
      <c r="S133" s="243"/>
      <c r="T133" s="243"/>
      <c r="U133" s="243"/>
    </row>
    <row r="134" spans="2:21" ht="12.5">
      <c r="B134" s="145" t="str">
        <f t="shared" si="32"/>
        <v/>
      </c>
      <c r="C134" s="495">
        <f>IF(D94="","-",+C133+1)</f>
        <v>2045</v>
      </c>
      <c r="D134" s="349">
        <f>IF(F133+SUM(E$100:E133)=D$93,F133,D$93-SUM(E$100:E133))</f>
        <v>39531.597320312867</v>
      </c>
      <c r="E134" s="509">
        <f>IF(+J97&lt;F133,J97,D134)</f>
        <v>18628.878787878788</v>
      </c>
      <c r="F134" s="510">
        <f t="shared" si="40"/>
        <v>20902.718532434079</v>
      </c>
      <c r="G134" s="510">
        <f t="shared" si="33"/>
        <v>30217.157926373475</v>
      </c>
      <c r="H134" s="523">
        <f t="shared" si="34"/>
        <v>21892.610625183803</v>
      </c>
      <c r="I134" s="572">
        <f t="shared" si="35"/>
        <v>21892.610625183803</v>
      </c>
      <c r="J134" s="504">
        <f t="shared" si="36"/>
        <v>0</v>
      </c>
      <c r="K134" s="504"/>
      <c r="L134" s="512"/>
      <c r="M134" s="504">
        <f t="shared" si="37"/>
        <v>0</v>
      </c>
      <c r="N134" s="512"/>
      <c r="O134" s="504">
        <f t="shared" si="38"/>
        <v>0</v>
      </c>
      <c r="P134" s="504">
        <f t="shared" si="39"/>
        <v>0</v>
      </c>
      <c r="Q134" s="243"/>
      <c r="R134" s="243"/>
      <c r="S134" s="243"/>
      <c r="T134" s="243"/>
      <c r="U134" s="243"/>
    </row>
    <row r="135" spans="2:21" ht="12.5">
      <c r="B135" s="145" t="str">
        <f t="shared" si="32"/>
        <v/>
      </c>
      <c r="C135" s="495">
        <f>IF(D94="","-",+C134+1)</f>
        <v>2046</v>
      </c>
      <c r="D135" s="349">
        <f>IF(F134+SUM(E$100:E134)=D$93,F134,D$93-SUM(E$100:E134))</f>
        <v>20902.718532434079</v>
      </c>
      <c r="E135" s="509">
        <f>IF(+J97&lt;F134,J97,D135)</f>
        <v>18628.878787878788</v>
      </c>
      <c r="F135" s="510">
        <f t="shared" si="40"/>
        <v>2273.839744555291</v>
      </c>
      <c r="G135" s="510">
        <f t="shared" si="33"/>
        <v>11588.279138494685</v>
      </c>
      <c r="H135" s="523">
        <f t="shared" si="34"/>
        <v>19880.519847439606</v>
      </c>
      <c r="I135" s="572">
        <f t="shared" si="35"/>
        <v>19880.519847439606</v>
      </c>
      <c r="J135" s="504">
        <f t="shared" si="36"/>
        <v>0</v>
      </c>
      <c r="K135" s="504"/>
      <c r="L135" s="512"/>
      <c r="M135" s="504">
        <f t="shared" si="37"/>
        <v>0</v>
      </c>
      <c r="N135" s="512"/>
      <c r="O135" s="504">
        <f t="shared" si="38"/>
        <v>0</v>
      </c>
      <c r="P135" s="504">
        <f t="shared" si="39"/>
        <v>0</v>
      </c>
      <c r="Q135" s="243"/>
      <c r="R135" s="243"/>
      <c r="S135" s="243"/>
      <c r="T135" s="243"/>
      <c r="U135" s="243"/>
    </row>
    <row r="136" spans="2:21" ht="12.5">
      <c r="B136" s="145" t="str">
        <f t="shared" si="32"/>
        <v/>
      </c>
      <c r="C136" s="495">
        <f>IF(D94="","-",+C135+1)</f>
        <v>2047</v>
      </c>
      <c r="D136" s="349">
        <f>IF(F135+SUM(E$100:E135)=D$93,F135,D$93-SUM(E$100:E135))</f>
        <v>2273.839744555291</v>
      </c>
      <c r="E136" s="509">
        <f>IF(+J97&lt;F135,J97,D136)</f>
        <v>2273.839744555291</v>
      </c>
      <c r="F136" s="510">
        <f t="shared" si="40"/>
        <v>0</v>
      </c>
      <c r="G136" s="510">
        <f t="shared" si="33"/>
        <v>1136.9198722776455</v>
      </c>
      <c r="H136" s="523">
        <f t="shared" si="34"/>
        <v>2396.6375798996501</v>
      </c>
      <c r="I136" s="572">
        <f t="shared" si="35"/>
        <v>2396.6375798996501</v>
      </c>
      <c r="J136" s="504">
        <f t="shared" si="36"/>
        <v>0</v>
      </c>
      <c r="K136" s="504"/>
      <c r="L136" s="512"/>
      <c r="M136" s="504">
        <f t="shared" si="37"/>
        <v>0</v>
      </c>
      <c r="N136" s="512"/>
      <c r="O136" s="504">
        <f t="shared" si="38"/>
        <v>0</v>
      </c>
      <c r="P136" s="504">
        <f t="shared" si="39"/>
        <v>0</v>
      </c>
      <c r="Q136" s="243"/>
      <c r="R136" s="243"/>
      <c r="S136" s="243"/>
      <c r="T136" s="243"/>
      <c r="U136" s="243"/>
    </row>
    <row r="137" spans="2:21" ht="12.5">
      <c r="B137" s="145" t="str">
        <f t="shared" si="32"/>
        <v/>
      </c>
      <c r="C137" s="495">
        <f>IF(D94="","-",+C136+1)</f>
        <v>2048</v>
      </c>
      <c r="D137" s="349">
        <f>IF(F136+SUM(E$100:E136)=D$93,F136,D$93-SUM(E$100:E136))</f>
        <v>0</v>
      </c>
      <c r="E137" s="509">
        <f>IF(+J97&lt;F136,J97,D137)</f>
        <v>0</v>
      </c>
      <c r="F137" s="510">
        <f t="shared" si="40"/>
        <v>0</v>
      </c>
      <c r="G137" s="510">
        <f t="shared" si="33"/>
        <v>0</v>
      </c>
      <c r="H137" s="523">
        <f t="shared" si="34"/>
        <v>0</v>
      </c>
      <c r="I137" s="572">
        <f t="shared" si="35"/>
        <v>0</v>
      </c>
      <c r="J137" s="504">
        <f t="shared" si="36"/>
        <v>0</v>
      </c>
      <c r="K137" s="504"/>
      <c r="L137" s="512"/>
      <c r="M137" s="504">
        <f t="shared" si="37"/>
        <v>0</v>
      </c>
      <c r="N137" s="512"/>
      <c r="O137" s="504">
        <f t="shared" si="38"/>
        <v>0</v>
      </c>
      <c r="P137" s="504">
        <f t="shared" si="39"/>
        <v>0</v>
      </c>
      <c r="Q137" s="243"/>
      <c r="R137" s="243"/>
      <c r="S137" s="243"/>
      <c r="T137" s="243"/>
      <c r="U137" s="243"/>
    </row>
    <row r="138" spans="2:21" ht="12.5">
      <c r="B138" s="145" t="str">
        <f t="shared" si="32"/>
        <v/>
      </c>
      <c r="C138" s="495">
        <f>IF(D94="","-",+C137+1)</f>
        <v>2049</v>
      </c>
      <c r="D138" s="349">
        <f>IF(F137+SUM(E$100:E137)=D$93,F137,D$93-SUM(E$100:E137))</f>
        <v>0</v>
      </c>
      <c r="E138" s="509">
        <f>IF(+J97&lt;F137,J97,D138)</f>
        <v>0</v>
      </c>
      <c r="F138" s="510">
        <f t="shared" si="40"/>
        <v>0</v>
      </c>
      <c r="G138" s="510">
        <f t="shared" si="33"/>
        <v>0</v>
      </c>
      <c r="H138" s="523">
        <f t="shared" si="34"/>
        <v>0</v>
      </c>
      <c r="I138" s="572">
        <f t="shared" si="35"/>
        <v>0</v>
      </c>
      <c r="J138" s="504">
        <f t="shared" si="36"/>
        <v>0</v>
      </c>
      <c r="K138" s="504"/>
      <c r="L138" s="512"/>
      <c r="M138" s="504">
        <f t="shared" si="37"/>
        <v>0</v>
      </c>
      <c r="N138" s="512"/>
      <c r="O138" s="504">
        <f t="shared" si="38"/>
        <v>0</v>
      </c>
      <c r="P138" s="504">
        <f t="shared" si="39"/>
        <v>0</v>
      </c>
      <c r="Q138" s="243"/>
      <c r="R138" s="243"/>
      <c r="S138" s="243"/>
      <c r="T138" s="243"/>
      <c r="U138" s="243"/>
    </row>
    <row r="139" spans="2:21" ht="12.5">
      <c r="B139" s="145" t="str">
        <f t="shared" si="32"/>
        <v/>
      </c>
      <c r="C139" s="495">
        <f>IF(D94="","-",+C138+1)</f>
        <v>2050</v>
      </c>
      <c r="D139" s="349">
        <f>IF(F138+SUM(E$100:E138)=D$93,F138,D$93-SUM(E$100:E138))</f>
        <v>0</v>
      </c>
      <c r="E139" s="509">
        <f>IF(+J97&lt;F138,J97,D139)</f>
        <v>0</v>
      </c>
      <c r="F139" s="510">
        <f t="shared" si="40"/>
        <v>0</v>
      </c>
      <c r="G139" s="510">
        <f t="shared" si="33"/>
        <v>0</v>
      </c>
      <c r="H139" s="523">
        <f t="shared" si="34"/>
        <v>0</v>
      </c>
      <c r="I139" s="572">
        <f t="shared" si="35"/>
        <v>0</v>
      </c>
      <c r="J139" s="504">
        <f t="shared" si="36"/>
        <v>0</v>
      </c>
      <c r="K139" s="504"/>
      <c r="L139" s="512"/>
      <c r="M139" s="504">
        <f t="shared" si="37"/>
        <v>0</v>
      </c>
      <c r="N139" s="512"/>
      <c r="O139" s="504">
        <f t="shared" si="38"/>
        <v>0</v>
      </c>
      <c r="P139" s="504">
        <f t="shared" si="39"/>
        <v>0</v>
      </c>
      <c r="Q139" s="243"/>
      <c r="R139" s="243"/>
      <c r="S139" s="243"/>
      <c r="T139" s="243"/>
      <c r="U139" s="243"/>
    </row>
    <row r="140" spans="2:21" ht="12.5">
      <c r="B140" s="145" t="str">
        <f t="shared" si="32"/>
        <v/>
      </c>
      <c r="C140" s="495">
        <f>IF(D94="","-",+C139+1)</f>
        <v>2051</v>
      </c>
      <c r="D140" s="349">
        <f>IF(F139+SUM(E$100:E139)=D$93,F139,D$93-SUM(E$100:E139))</f>
        <v>0</v>
      </c>
      <c r="E140" s="509">
        <f>IF(+J97&lt;F139,J97,D140)</f>
        <v>0</v>
      </c>
      <c r="F140" s="510">
        <f t="shared" si="40"/>
        <v>0</v>
      </c>
      <c r="G140" s="510">
        <f t="shared" si="33"/>
        <v>0</v>
      </c>
      <c r="H140" s="523">
        <f t="shared" si="34"/>
        <v>0</v>
      </c>
      <c r="I140" s="572">
        <f t="shared" si="35"/>
        <v>0</v>
      </c>
      <c r="J140" s="504">
        <f t="shared" si="36"/>
        <v>0</v>
      </c>
      <c r="K140" s="504"/>
      <c r="L140" s="512"/>
      <c r="M140" s="504">
        <f t="shared" si="37"/>
        <v>0</v>
      </c>
      <c r="N140" s="512"/>
      <c r="O140" s="504">
        <f t="shared" si="38"/>
        <v>0</v>
      </c>
      <c r="P140" s="504">
        <f t="shared" si="39"/>
        <v>0</v>
      </c>
      <c r="Q140" s="243"/>
      <c r="R140" s="243"/>
      <c r="S140" s="243"/>
      <c r="T140" s="243"/>
      <c r="U140" s="243"/>
    </row>
    <row r="141" spans="2:21" ht="12.5">
      <c r="B141" s="145" t="str">
        <f t="shared" si="32"/>
        <v/>
      </c>
      <c r="C141" s="495">
        <f>IF(D94="","-",+C140+1)</f>
        <v>2052</v>
      </c>
      <c r="D141" s="349">
        <f>IF(F140+SUM(E$100:E140)=D$93,F140,D$93-SUM(E$100:E140))</f>
        <v>0</v>
      </c>
      <c r="E141" s="509">
        <f>IF(+J97&lt;F140,J97,D141)</f>
        <v>0</v>
      </c>
      <c r="F141" s="510">
        <f t="shared" si="40"/>
        <v>0</v>
      </c>
      <c r="G141" s="510">
        <f t="shared" si="33"/>
        <v>0</v>
      </c>
      <c r="H141" s="523">
        <f t="shared" si="34"/>
        <v>0</v>
      </c>
      <c r="I141" s="572">
        <f t="shared" si="35"/>
        <v>0</v>
      </c>
      <c r="J141" s="504">
        <f t="shared" si="36"/>
        <v>0</v>
      </c>
      <c r="K141" s="504"/>
      <c r="L141" s="512"/>
      <c r="M141" s="504">
        <f t="shared" si="37"/>
        <v>0</v>
      </c>
      <c r="N141" s="512"/>
      <c r="O141" s="504">
        <f t="shared" si="38"/>
        <v>0</v>
      </c>
      <c r="P141" s="504">
        <f t="shared" si="39"/>
        <v>0</v>
      </c>
      <c r="Q141" s="243"/>
      <c r="R141" s="243"/>
      <c r="S141" s="243"/>
      <c r="T141" s="243"/>
      <c r="U141" s="243"/>
    </row>
    <row r="142" spans="2:21" ht="12.5">
      <c r="B142" s="145" t="str">
        <f t="shared" si="32"/>
        <v/>
      </c>
      <c r="C142" s="495">
        <f>IF(D94="","-",+C141+1)</f>
        <v>2053</v>
      </c>
      <c r="D142" s="349">
        <f>IF(F141+SUM(E$100:E141)=D$93,F141,D$93-SUM(E$100:E141))</f>
        <v>0</v>
      </c>
      <c r="E142" s="509">
        <f>IF(+J97&lt;F141,J97,D142)</f>
        <v>0</v>
      </c>
      <c r="F142" s="510">
        <f t="shared" si="40"/>
        <v>0</v>
      </c>
      <c r="G142" s="510">
        <f t="shared" si="33"/>
        <v>0</v>
      </c>
      <c r="H142" s="523">
        <f t="shared" si="34"/>
        <v>0</v>
      </c>
      <c r="I142" s="572">
        <f t="shared" si="35"/>
        <v>0</v>
      </c>
      <c r="J142" s="504">
        <f t="shared" si="36"/>
        <v>0</v>
      </c>
      <c r="K142" s="504"/>
      <c r="L142" s="512"/>
      <c r="M142" s="504">
        <f t="shared" si="37"/>
        <v>0</v>
      </c>
      <c r="N142" s="512"/>
      <c r="O142" s="504">
        <f t="shared" si="38"/>
        <v>0</v>
      </c>
      <c r="P142" s="504">
        <f t="shared" si="39"/>
        <v>0</v>
      </c>
      <c r="Q142" s="243"/>
      <c r="R142" s="243"/>
      <c r="S142" s="243"/>
      <c r="T142" s="243"/>
      <c r="U142" s="243"/>
    </row>
    <row r="143" spans="2:21" ht="12.5">
      <c r="B143" s="145" t="str">
        <f t="shared" si="32"/>
        <v/>
      </c>
      <c r="C143" s="495">
        <f>IF(D94="","-",+C142+1)</f>
        <v>2054</v>
      </c>
      <c r="D143" s="349">
        <f>IF(F142+SUM(E$100:E142)=D$93,F142,D$93-SUM(E$100:E142))</f>
        <v>0</v>
      </c>
      <c r="E143" s="509">
        <f>IF(+J97&lt;F142,J97,D143)</f>
        <v>0</v>
      </c>
      <c r="F143" s="510">
        <f t="shared" si="40"/>
        <v>0</v>
      </c>
      <c r="G143" s="510">
        <f t="shared" si="33"/>
        <v>0</v>
      </c>
      <c r="H143" s="523">
        <f t="shared" si="34"/>
        <v>0</v>
      </c>
      <c r="I143" s="572">
        <f t="shared" si="35"/>
        <v>0</v>
      </c>
      <c r="J143" s="504">
        <f t="shared" si="36"/>
        <v>0</v>
      </c>
      <c r="K143" s="504"/>
      <c r="L143" s="512"/>
      <c r="M143" s="504">
        <f t="shared" si="37"/>
        <v>0</v>
      </c>
      <c r="N143" s="512"/>
      <c r="O143" s="504">
        <f t="shared" si="38"/>
        <v>0</v>
      </c>
      <c r="P143" s="504">
        <f t="shared" si="39"/>
        <v>0</v>
      </c>
      <c r="Q143" s="243"/>
      <c r="R143" s="243"/>
      <c r="S143" s="243"/>
      <c r="T143" s="243"/>
      <c r="U143" s="243"/>
    </row>
    <row r="144" spans="2:21" ht="12.5">
      <c r="B144" s="145" t="str">
        <f t="shared" si="32"/>
        <v/>
      </c>
      <c r="C144" s="495">
        <f>IF(D94="","-",+C143+1)</f>
        <v>2055</v>
      </c>
      <c r="D144" s="349">
        <f>IF(F143+SUM(E$100:E143)=D$93,F143,D$93-SUM(E$100:E143))</f>
        <v>0</v>
      </c>
      <c r="E144" s="509">
        <f>IF(+J97&lt;F143,J97,D144)</f>
        <v>0</v>
      </c>
      <c r="F144" s="510">
        <f t="shared" si="40"/>
        <v>0</v>
      </c>
      <c r="G144" s="510">
        <f t="shared" si="33"/>
        <v>0</v>
      </c>
      <c r="H144" s="523">
        <f t="shared" si="34"/>
        <v>0</v>
      </c>
      <c r="I144" s="572">
        <f t="shared" si="35"/>
        <v>0</v>
      </c>
      <c r="J144" s="504">
        <f t="shared" si="36"/>
        <v>0</v>
      </c>
      <c r="K144" s="504"/>
      <c r="L144" s="512"/>
      <c r="M144" s="504">
        <f t="shared" si="37"/>
        <v>0</v>
      </c>
      <c r="N144" s="512"/>
      <c r="O144" s="504">
        <f t="shared" si="38"/>
        <v>0</v>
      </c>
      <c r="P144" s="504">
        <f t="shared" si="39"/>
        <v>0</v>
      </c>
      <c r="Q144" s="243"/>
      <c r="R144" s="243"/>
      <c r="S144" s="243"/>
      <c r="T144" s="243"/>
      <c r="U144" s="243"/>
    </row>
    <row r="145" spans="2:21" ht="12.5">
      <c r="B145" s="145" t="str">
        <f t="shared" si="32"/>
        <v/>
      </c>
      <c r="C145" s="495">
        <f>IF(D94="","-",+C144+1)</f>
        <v>2056</v>
      </c>
      <c r="D145" s="349">
        <f>IF(F144+SUM(E$100:E144)=D$93,F144,D$93-SUM(E$100:E144))</f>
        <v>0</v>
      </c>
      <c r="E145" s="509">
        <f>IF(+J97&lt;F144,J97,D145)</f>
        <v>0</v>
      </c>
      <c r="F145" s="510">
        <f t="shared" si="40"/>
        <v>0</v>
      </c>
      <c r="G145" s="510">
        <f t="shared" si="33"/>
        <v>0</v>
      </c>
      <c r="H145" s="523">
        <f t="shared" si="34"/>
        <v>0</v>
      </c>
      <c r="I145" s="572">
        <f t="shared" si="35"/>
        <v>0</v>
      </c>
      <c r="J145" s="504">
        <f t="shared" si="36"/>
        <v>0</v>
      </c>
      <c r="K145" s="504"/>
      <c r="L145" s="512"/>
      <c r="M145" s="504">
        <f t="shared" si="37"/>
        <v>0</v>
      </c>
      <c r="N145" s="512"/>
      <c r="O145" s="504">
        <f t="shared" si="38"/>
        <v>0</v>
      </c>
      <c r="P145" s="504">
        <f t="shared" si="39"/>
        <v>0</v>
      </c>
      <c r="Q145" s="243"/>
      <c r="R145" s="243"/>
      <c r="S145" s="243"/>
      <c r="T145" s="243"/>
      <c r="U145" s="243"/>
    </row>
    <row r="146" spans="2:21" ht="12.5">
      <c r="B146" s="145" t="str">
        <f t="shared" si="32"/>
        <v/>
      </c>
      <c r="C146" s="495">
        <f>IF(D94="","-",+C145+1)</f>
        <v>2057</v>
      </c>
      <c r="D146" s="349">
        <f>IF(F145+SUM(E$100:E145)=D$93,F145,D$93-SUM(E$100:E145))</f>
        <v>0</v>
      </c>
      <c r="E146" s="509">
        <f>IF(+J97&lt;F145,J97,D146)</f>
        <v>0</v>
      </c>
      <c r="F146" s="510">
        <f t="shared" si="40"/>
        <v>0</v>
      </c>
      <c r="G146" s="510">
        <f t="shared" si="33"/>
        <v>0</v>
      </c>
      <c r="H146" s="523">
        <f t="shared" si="34"/>
        <v>0</v>
      </c>
      <c r="I146" s="572">
        <f t="shared" si="35"/>
        <v>0</v>
      </c>
      <c r="J146" s="504">
        <f t="shared" si="36"/>
        <v>0</v>
      </c>
      <c r="K146" s="504"/>
      <c r="L146" s="512"/>
      <c r="M146" s="504">
        <f t="shared" si="37"/>
        <v>0</v>
      </c>
      <c r="N146" s="512"/>
      <c r="O146" s="504">
        <f t="shared" si="38"/>
        <v>0</v>
      </c>
      <c r="P146" s="504">
        <f t="shared" si="39"/>
        <v>0</v>
      </c>
      <c r="Q146" s="243"/>
      <c r="R146" s="243"/>
      <c r="S146" s="243"/>
      <c r="T146" s="243"/>
      <c r="U146" s="243"/>
    </row>
    <row r="147" spans="2:21" ht="12.5">
      <c r="B147" s="145" t="str">
        <f t="shared" si="32"/>
        <v/>
      </c>
      <c r="C147" s="495">
        <f>IF(D94="","-",+C146+1)</f>
        <v>2058</v>
      </c>
      <c r="D147" s="349">
        <f>IF(F146+SUM(E$100:E146)=D$93,F146,D$93-SUM(E$100:E146))</f>
        <v>0</v>
      </c>
      <c r="E147" s="509">
        <f>IF(+J97&lt;F146,J97,D147)</f>
        <v>0</v>
      </c>
      <c r="F147" s="510">
        <f t="shared" si="40"/>
        <v>0</v>
      </c>
      <c r="G147" s="510">
        <f t="shared" si="33"/>
        <v>0</v>
      </c>
      <c r="H147" s="523">
        <f t="shared" si="34"/>
        <v>0</v>
      </c>
      <c r="I147" s="572">
        <f t="shared" si="35"/>
        <v>0</v>
      </c>
      <c r="J147" s="504">
        <f t="shared" si="36"/>
        <v>0</v>
      </c>
      <c r="K147" s="504"/>
      <c r="L147" s="512"/>
      <c r="M147" s="504">
        <f t="shared" si="37"/>
        <v>0</v>
      </c>
      <c r="N147" s="512"/>
      <c r="O147" s="504">
        <f t="shared" si="38"/>
        <v>0</v>
      </c>
      <c r="P147" s="504">
        <f t="shared" si="39"/>
        <v>0</v>
      </c>
      <c r="Q147" s="243"/>
      <c r="R147" s="243"/>
      <c r="S147" s="243"/>
      <c r="T147" s="243"/>
      <c r="U147" s="243"/>
    </row>
    <row r="148" spans="2:21" ht="12.5">
      <c r="B148" s="145" t="str">
        <f t="shared" si="32"/>
        <v/>
      </c>
      <c r="C148" s="495">
        <f>IF(D94="","-",+C147+1)</f>
        <v>2059</v>
      </c>
      <c r="D148" s="349">
        <f>IF(F147+SUM(E$100:E147)=D$93,F147,D$93-SUM(E$100:E147))</f>
        <v>0</v>
      </c>
      <c r="E148" s="509">
        <f>IF(+J97&lt;F147,J97,D148)</f>
        <v>0</v>
      </c>
      <c r="F148" s="510">
        <f t="shared" si="40"/>
        <v>0</v>
      </c>
      <c r="G148" s="510">
        <f t="shared" si="33"/>
        <v>0</v>
      </c>
      <c r="H148" s="523">
        <f t="shared" si="34"/>
        <v>0</v>
      </c>
      <c r="I148" s="572">
        <f t="shared" si="35"/>
        <v>0</v>
      </c>
      <c r="J148" s="504">
        <f t="shared" si="36"/>
        <v>0</v>
      </c>
      <c r="K148" s="504"/>
      <c r="L148" s="512"/>
      <c r="M148" s="504">
        <f t="shared" si="37"/>
        <v>0</v>
      </c>
      <c r="N148" s="512"/>
      <c r="O148" s="504">
        <f t="shared" si="38"/>
        <v>0</v>
      </c>
      <c r="P148" s="504">
        <f t="shared" si="39"/>
        <v>0</v>
      </c>
      <c r="Q148" s="243"/>
      <c r="R148" s="243"/>
      <c r="S148" s="243"/>
      <c r="T148" s="243"/>
      <c r="U148" s="243"/>
    </row>
    <row r="149" spans="2:21" ht="12.5">
      <c r="B149" s="145" t="str">
        <f t="shared" si="32"/>
        <v/>
      </c>
      <c r="C149" s="495">
        <f>IF(D94="","-",+C148+1)</f>
        <v>2060</v>
      </c>
      <c r="D149" s="349">
        <f>IF(F148+SUM(E$100:E148)=D$93,F148,D$93-SUM(E$100:E148))</f>
        <v>0</v>
      </c>
      <c r="E149" s="509">
        <f>IF(+J97&lt;F148,J97,D149)</f>
        <v>0</v>
      </c>
      <c r="F149" s="510">
        <f t="shared" si="40"/>
        <v>0</v>
      </c>
      <c r="G149" s="510">
        <f t="shared" si="33"/>
        <v>0</v>
      </c>
      <c r="H149" s="523">
        <f t="shared" si="34"/>
        <v>0</v>
      </c>
      <c r="I149" s="572">
        <f t="shared" si="35"/>
        <v>0</v>
      </c>
      <c r="J149" s="504">
        <f t="shared" si="36"/>
        <v>0</v>
      </c>
      <c r="K149" s="504"/>
      <c r="L149" s="512"/>
      <c r="M149" s="504">
        <f t="shared" si="37"/>
        <v>0</v>
      </c>
      <c r="N149" s="512"/>
      <c r="O149" s="504">
        <f t="shared" si="38"/>
        <v>0</v>
      </c>
      <c r="P149" s="504">
        <f t="shared" si="39"/>
        <v>0</v>
      </c>
      <c r="Q149" s="243"/>
      <c r="R149" s="243"/>
      <c r="S149" s="243"/>
      <c r="T149" s="243"/>
      <c r="U149" s="243"/>
    </row>
    <row r="150" spans="2:21" ht="12.5">
      <c r="B150" s="145" t="str">
        <f t="shared" si="32"/>
        <v/>
      </c>
      <c r="C150" s="495">
        <f>IF(D94="","-",+C149+1)</f>
        <v>2061</v>
      </c>
      <c r="D150" s="349">
        <f>IF(F149+SUM(E$100:E149)=D$93,F149,D$93-SUM(E$100:E149))</f>
        <v>0</v>
      </c>
      <c r="E150" s="509">
        <f>IF(+J97&lt;F149,J97,D150)</f>
        <v>0</v>
      </c>
      <c r="F150" s="510">
        <f t="shared" si="40"/>
        <v>0</v>
      </c>
      <c r="G150" s="510">
        <f t="shared" si="33"/>
        <v>0</v>
      </c>
      <c r="H150" s="523">
        <f t="shared" si="34"/>
        <v>0</v>
      </c>
      <c r="I150" s="572">
        <f t="shared" si="35"/>
        <v>0</v>
      </c>
      <c r="J150" s="504">
        <f t="shared" si="36"/>
        <v>0</v>
      </c>
      <c r="K150" s="504"/>
      <c r="L150" s="512"/>
      <c r="M150" s="504">
        <f t="shared" si="37"/>
        <v>0</v>
      </c>
      <c r="N150" s="512"/>
      <c r="O150" s="504">
        <f t="shared" si="38"/>
        <v>0</v>
      </c>
      <c r="P150" s="504">
        <f t="shared" si="39"/>
        <v>0</v>
      </c>
      <c r="Q150" s="243"/>
      <c r="R150" s="243"/>
      <c r="S150" s="243"/>
      <c r="T150" s="243"/>
      <c r="U150" s="243"/>
    </row>
    <row r="151" spans="2:21" ht="12.5">
      <c r="B151" s="145" t="str">
        <f t="shared" si="32"/>
        <v/>
      </c>
      <c r="C151" s="495">
        <f>IF(D94="","-",+C150+1)</f>
        <v>2062</v>
      </c>
      <c r="D151" s="349">
        <f>IF(F150+SUM(E$100:E150)=D$93,F150,D$93-SUM(E$100:E150))</f>
        <v>0</v>
      </c>
      <c r="E151" s="509">
        <f>IF(+J97&lt;F150,J97,D151)</f>
        <v>0</v>
      </c>
      <c r="F151" s="510">
        <f t="shared" si="40"/>
        <v>0</v>
      </c>
      <c r="G151" s="510">
        <f t="shared" si="33"/>
        <v>0</v>
      </c>
      <c r="H151" s="523">
        <f t="shared" si="34"/>
        <v>0</v>
      </c>
      <c r="I151" s="572">
        <f t="shared" si="35"/>
        <v>0</v>
      </c>
      <c r="J151" s="504">
        <f t="shared" si="36"/>
        <v>0</v>
      </c>
      <c r="K151" s="504"/>
      <c r="L151" s="512"/>
      <c r="M151" s="504">
        <f t="shared" si="37"/>
        <v>0</v>
      </c>
      <c r="N151" s="512"/>
      <c r="O151" s="504">
        <f t="shared" si="38"/>
        <v>0</v>
      </c>
      <c r="P151" s="504">
        <f t="shared" si="39"/>
        <v>0</v>
      </c>
      <c r="Q151" s="243"/>
      <c r="R151" s="243"/>
      <c r="S151" s="243"/>
      <c r="T151" s="243"/>
      <c r="U151" s="243"/>
    </row>
    <row r="152" spans="2:21" ht="12.5">
      <c r="B152" s="145" t="str">
        <f t="shared" si="32"/>
        <v/>
      </c>
      <c r="C152" s="495">
        <f>IF(D94="","-",+C151+1)</f>
        <v>2063</v>
      </c>
      <c r="D152" s="349">
        <f>IF(F151+SUM(E$100:E151)=D$93,F151,D$93-SUM(E$100:E151))</f>
        <v>0</v>
      </c>
      <c r="E152" s="509">
        <f>IF(+J97&lt;F151,J97,D152)</f>
        <v>0</v>
      </c>
      <c r="F152" s="510">
        <f t="shared" si="40"/>
        <v>0</v>
      </c>
      <c r="G152" s="510">
        <f t="shared" si="33"/>
        <v>0</v>
      </c>
      <c r="H152" s="523">
        <f t="shared" si="34"/>
        <v>0</v>
      </c>
      <c r="I152" s="572">
        <f t="shared" si="35"/>
        <v>0</v>
      </c>
      <c r="J152" s="504">
        <f t="shared" si="36"/>
        <v>0</v>
      </c>
      <c r="K152" s="504"/>
      <c r="L152" s="512"/>
      <c r="M152" s="504">
        <f t="shared" si="37"/>
        <v>0</v>
      </c>
      <c r="N152" s="512"/>
      <c r="O152" s="504">
        <f t="shared" si="38"/>
        <v>0</v>
      </c>
      <c r="P152" s="504">
        <f t="shared" si="39"/>
        <v>0</v>
      </c>
      <c r="Q152" s="243"/>
      <c r="R152" s="243"/>
      <c r="S152" s="243"/>
      <c r="T152" s="243"/>
      <c r="U152" s="243"/>
    </row>
    <row r="153" spans="2:21" ht="12.5">
      <c r="B153" s="145" t="str">
        <f t="shared" si="32"/>
        <v/>
      </c>
      <c r="C153" s="495">
        <f>IF(D94="","-",+C152+1)</f>
        <v>2064</v>
      </c>
      <c r="D153" s="349">
        <f>IF(F152+SUM(E$100:E152)=D$93,F152,D$93-SUM(E$100:E152))</f>
        <v>0</v>
      </c>
      <c r="E153" s="509">
        <f>IF(+J97&lt;F152,J97,D153)</f>
        <v>0</v>
      </c>
      <c r="F153" s="510">
        <f t="shared" si="40"/>
        <v>0</v>
      </c>
      <c r="G153" s="510">
        <f t="shared" si="33"/>
        <v>0</v>
      </c>
      <c r="H153" s="523">
        <f t="shared" si="34"/>
        <v>0</v>
      </c>
      <c r="I153" s="572">
        <f t="shared" si="35"/>
        <v>0</v>
      </c>
      <c r="J153" s="504">
        <f t="shared" si="36"/>
        <v>0</v>
      </c>
      <c r="K153" s="504"/>
      <c r="L153" s="512"/>
      <c r="M153" s="504">
        <f t="shared" si="37"/>
        <v>0</v>
      </c>
      <c r="N153" s="512"/>
      <c r="O153" s="504">
        <f t="shared" si="38"/>
        <v>0</v>
      </c>
      <c r="P153" s="504">
        <f t="shared" si="39"/>
        <v>0</v>
      </c>
      <c r="Q153" s="243"/>
      <c r="R153" s="243"/>
      <c r="S153" s="243"/>
      <c r="T153" s="243"/>
      <c r="U153" s="243"/>
    </row>
    <row r="154" spans="2:21" ht="12.5">
      <c r="B154" s="145" t="str">
        <f t="shared" si="32"/>
        <v/>
      </c>
      <c r="C154" s="495">
        <f>IF(D94="","-",+C153+1)</f>
        <v>2065</v>
      </c>
      <c r="D154" s="349">
        <f>IF(F153+SUM(E$100:E153)=D$93,F153,D$93-SUM(E$100:E153))</f>
        <v>0</v>
      </c>
      <c r="E154" s="509">
        <f>IF(+J97&lt;F153,J97,D154)</f>
        <v>0</v>
      </c>
      <c r="F154" s="510">
        <f t="shared" si="40"/>
        <v>0</v>
      </c>
      <c r="G154" s="510">
        <f t="shared" si="33"/>
        <v>0</v>
      </c>
      <c r="H154" s="523">
        <f t="shared" si="34"/>
        <v>0</v>
      </c>
      <c r="I154" s="572">
        <f t="shared" si="35"/>
        <v>0</v>
      </c>
      <c r="J154" s="504">
        <f t="shared" si="36"/>
        <v>0</v>
      </c>
      <c r="K154" s="504"/>
      <c r="L154" s="512"/>
      <c r="M154" s="504">
        <f t="shared" si="37"/>
        <v>0</v>
      </c>
      <c r="N154" s="512"/>
      <c r="O154" s="504">
        <f t="shared" si="38"/>
        <v>0</v>
      </c>
      <c r="P154" s="504">
        <f t="shared" si="39"/>
        <v>0</v>
      </c>
      <c r="Q154" s="243"/>
      <c r="R154" s="243"/>
      <c r="S154" s="243"/>
      <c r="T154" s="243"/>
      <c r="U154" s="243"/>
    </row>
    <row r="155" spans="2:21" ht="13" thickBot="1">
      <c r="B155" s="145" t="str">
        <f t="shared" si="32"/>
        <v/>
      </c>
      <c r="C155" s="524">
        <f>IF(D94="","-",+C154+1)</f>
        <v>2066</v>
      </c>
      <c r="D155" s="527">
        <f>IF(F154+SUM(E$100:E154)=D$93,F154,D$93-SUM(E$100:E154))</f>
        <v>0</v>
      </c>
      <c r="E155" s="526">
        <f>IF(+J97&lt;F154,J97,D155)</f>
        <v>0</v>
      </c>
      <c r="F155" s="527">
        <f t="shared" si="40"/>
        <v>0</v>
      </c>
      <c r="G155" s="527">
        <f t="shared" si="33"/>
        <v>0</v>
      </c>
      <c r="H155" s="528">
        <f t="shared" si="34"/>
        <v>0</v>
      </c>
      <c r="I155" s="573">
        <f t="shared" si="35"/>
        <v>0</v>
      </c>
      <c r="J155" s="531">
        <f t="shared" si="36"/>
        <v>0</v>
      </c>
      <c r="K155" s="504"/>
      <c r="L155" s="530"/>
      <c r="M155" s="531">
        <f t="shared" si="37"/>
        <v>0</v>
      </c>
      <c r="N155" s="530"/>
      <c r="O155" s="531">
        <f t="shared" si="38"/>
        <v>0</v>
      </c>
      <c r="P155" s="531">
        <f t="shared" si="39"/>
        <v>0</v>
      </c>
      <c r="Q155" s="243"/>
      <c r="R155" s="243"/>
      <c r="S155" s="243"/>
      <c r="T155" s="243"/>
      <c r="U155" s="243"/>
    </row>
    <row r="156" spans="2:21" ht="12.5">
      <c r="C156" s="349" t="s">
        <v>75</v>
      </c>
      <c r="D156" s="294"/>
      <c r="E156" s="294">
        <f>SUM(E100:E155)</f>
        <v>614753.00000000012</v>
      </c>
      <c r="F156" s="294"/>
      <c r="G156" s="294"/>
      <c r="H156" s="294">
        <f>SUM(H100:H155)</f>
        <v>1871316.7843179379</v>
      </c>
      <c r="I156" s="294">
        <f>SUM(I100:I155)</f>
        <v>1871316.7843179379</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46" priority="1" stopIfTrue="1" operator="equal">
      <formula>$I$10</formula>
    </cfRule>
  </conditionalFormatting>
  <conditionalFormatting sqref="C100:C155">
    <cfRule type="cellIs" dxfId="45"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tabColor rgb="FF92D050"/>
  </sheetPr>
  <dimension ref="A1:U163"/>
  <sheetViews>
    <sheetView view="pageBreakPreview" zoomScale="90" zoomScaleNormal="100" zoomScaleSheetLayoutView="90"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4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590" t="s">
        <v>237</v>
      </c>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1293013.3264763721</v>
      </c>
      <c r="P5" s="243"/>
      <c r="R5" s="243"/>
      <c r="S5" s="243"/>
      <c r="T5" s="243"/>
      <c r="U5" s="243"/>
    </row>
    <row r="6" spans="1:21" ht="15.5">
      <c r="C6" s="591" t="s">
        <v>238</v>
      </c>
      <c r="D6" s="292"/>
      <c r="E6" s="243"/>
      <c r="F6" s="243"/>
      <c r="G6" s="243"/>
      <c r="H6" s="449"/>
      <c r="I6" s="449"/>
      <c r="J6" s="450"/>
      <c r="K6" s="451" t="s">
        <v>243</v>
      </c>
      <c r="L6" s="452"/>
      <c r="M6" s="278"/>
      <c r="N6" s="453">
        <f>VLOOKUP(I10,C17:I73,6)</f>
        <v>1293013.3264763721</v>
      </c>
      <c r="O6" s="243"/>
      <c r="P6" s="243"/>
      <c r="R6" s="243"/>
      <c r="S6" s="243"/>
      <c r="T6" s="243"/>
      <c r="U6" s="243"/>
    </row>
    <row r="7" spans="1:21" ht="13.5" thickBot="1">
      <c r="C7" s="454" t="s">
        <v>46</v>
      </c>
      <c r="D7" s="455" t="s">
        <v>201</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200</v>
      </c>
      <c r="E9" s="647" t="s">
        <v>309</v>
      </c>
      <c r="F9" s="465"/>
      <c r="G9" s="465"/>
      <c r="H9" s="465"/>
      <c r="I9" s="466"/>
      <c r="J9" s="467"/>
      <c r="O9" s="468"/>
      <c r="P9" s="278"/>
      <c r="R9" s="243"/>
      <c r="S9" s="243"/>
      <c r="T9" s="243"/>
      <c r="U9" s="243"/>
    </row>
    <row r="10" spans="1:21" ht="13">
      <c r="C10" s="469" t="s">
        <v>49</v>
      </c>
      <c r="D10" s="470">
        <f>11742800*94%</f>
        <v>11038232</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2011</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6</v>
      </c>
      <c r="E12" s="472" t="s">
        <v>55</v>
      </c>
      <c r="F12" s="408"/>
      <c r="G12" s="220"/>
      <c r="H12" s="220"/>
      <c r="I12" s="476">
        <f>OKT.WS.F.BPU.ATRR.Projected!$F$79</f>
        <v>0.10818506718567715</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356072</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49" si="0">IF(D17=F16,"","IU")</f>
        <v>IU</v>
      </c>
      <c r="C17" s="580">
        <f>IF(D11= "","-",D11)</f>
        <v>2011</v>
      </c>
      <c r="D17" s="496">
        <v>12876000</v>
      </c>
      <c r="E17" s="497">
        <v>18562.052446566122</v>
      </c>
      <c r="F17" s="496">
        <v>12857437.947553433</v>
      </c>
      <c r="G17" s="498">
        <v>1690105.6704770608</v>
      </c>
      <c r="H17" s="499">
        <v>1690105.6704770608</v>
      </c>
      <c r="I17" s="584">
        <f t="shared" ref="I17:I49" si="1">H17-G17</f>
        <v>0</v>
      </c>
      <c r="J17" s="350"/>
      <c r="K17" s="592">
        <f t="shared" ref="K17:K22" si="2">G17</f>
        <v>1690105.6704770608</v>
      </c>
      <c r="L17" s="593">
        <f t="shared" ref="L17:L49" si="3">IF(K17&lt;&gt;0,+G17-K17,0)</f>
        <v>0</v>
      </c>
      <c r="M17" s="592">
        <f t="shared" ref="M17:M22" si="4">H17</f>
        <v>1690105.6704770608</v>
      </c>
      <c r="N17" s="594">
        <f t="shared" ref="N17:N49" si="5">IF(M17&lt;&gt;0,+H17-M17,0)</f>
        <v>0</v>
      </c>
      <c r="O17" s="595">
        <f t="shared" ref="O17:O49" si="6">+N17-L17</f>
        <v>0</v>
      </c>
      <c r="P17" s="278"/>
      <c r="R17" s="243"/>
      <c r="S17" s="243"/>
      <c r="T17" s="243"/>
      <c r="U17" s="243"/>
    </row>
    <row r="18" spans="2:21" ht="12.5">
      <c r="B18" s="145" t="str">
        <f t="shared" si="0"/>
        <v/>
      </c>
      <c r="C18" s="495">
        <f>IF(D11="","-",+C17+1)</f>
        <v>2012</v>
      </c>
      <c r="D18" s="505">
        <v>12857437.947553433</v>
      </c>
      <c r="E18" s="498">
        <v>203958.10236185769</v>
      </c>
      <c r="F18" s="505">
        <v>12653479.845191576</v>
      </c>
      <c r="G18" s="498">
        <v>1426879.3827639234</v>
      </c>
      <c r="H18" s="499">
        <v>1426879.3827639234</v>
      </c>
      <c r="I18" s="500">
        <v>0</v>
      </c>
      <c r="J18" s="350"/>
      <c r="K18" s="592">
        <f t="shared" si="2"/>
        <v>1426879.3827639234</v>
      </c>
      <c r="L18" s="596">
        <f t="shared" si="3"/>
        <v>0</v>
      </c>
      <c r="M18" s="592">
        <f t="shared" si="4"/>
        <v>1426879.3827639234</v>
      </c>
      <c r="N18" s="594">
        <f t="shared" si="5"/>
        <v>0</v>
      </c>
      <c r="O18" s="596">
        <f t="shared" si="6"/>
        <v>0</v>
      </c>
      <c r="P18" s="278"/>
      <c r="R18" s="243"/>
      <c r="S18" s="243"/>
      <c r="T18" s="243"/>
      <c r="U18" s="243"/>
    </row>
    <row r="19" spans="2:21" ht="12.5">
      <c r="B19" s="145" t="str">
        <f t="shared" si="0"/>
        <v>IU</v>
      </c>
      <c r="C19" s="495">
        <f>IF(D11="","-",+C18+1)</f>
        <v>2013</v>
      </c>
      <c r="D19" s="505">
        <v>11520279.845191576</v>
      </c>
      <c r="E19" s="498">
        <v>203141.16446368746</v>
      </c>
      <c r="F19" s="505">
        <v>11317138.680727888</v>
      </c>
      <c r="G19" s="498">
        <v>1439439.106345837</v>
      </c>
      <c r="H19" s="499">
        <v>1439439.106345837</v>
      </c>
      <c r="I19" s="584">
        <v>0</v>
      </c>
      <c r="J19" s="350"/>
      <c r="K19" s="592">
        <f t="shared" si="2"/>
        <v>1439439.106345837</v>
      </c>
      <c r="L19" s="596">
        <f t="shared" ref="L19:L24" si="7">IF(K19&lt;&gt;0,+G19-K19,0)</f>
        <v>0</v>
      </c>
      <c r="M19" s="592">
        <f t="shared" si="4"/>
        <v>1439439.106345837</v>
      </c>
      <c r="N19" s="594">
        <f>IF(M19&lt;&gt;0,+H19-M19,0)</f>
        <v>0</v>
      </c>
      <c r="O19" s="596">
        <f>+N19-L19</f>
        <v>0</v>
      </c>
      <c r="P19" s="278"/>
      <c r="R19" s="243"/>
      <c r="S19" s="243"/>
      <c r="T19" s="243"/>
      <c r="U19" s="243"/>
    </row>
    <row r="20" spans="2:21" ht="12.5">
      <c r="B20" s="145" t="str">
        <f t="shared" si="0"/>
        <v/>
      </c>
      <c r="C20" s="495">
        <f>IF(D11="","-",+C19+1)</f>
        <v>2014</v>
      </c>
      <c r="D20" s="505">
        <v>11317138.680727888</v>
      </c>
      <c r="E20" s="498">
        <v>203141.16446368746</v>
      </c>
      <c r="F20" s="505">
        <v>11113997.5162642</v>
      </c>
      <c r="G20" s="498">
        <v>1425984.6077299202</v>
      </c>
      <c r="H20" s="499">
        <v>1425984.6077299202</v>
      </c>
      <c r="I20" s="500">
        <v>0</v>
      </c>
      <c r="J20" s="500"/>
      <c r="K20" s="592">
        <f t="shared" si="2"/>
        <v>1425984.6077299202</v>
      </c>
      <c r="L20" s="596">
        <f t="shared" si="7"/>
        <v>0</v>
      </c>
      <c r="M20" s="592">
        <f t="shared" si="4"/>
        <v>1425984.6077299202</v>
      </c>
      <c r="N20" s="594">
        <f>IF(M20&lt;&gt;0,+H20-M20,0)</f>
        <v>0</v>
      </c>
      <c r="O20" s="596">
        <f>+N20-L20</f>
        <v>0</v>
      </c>
      <c r="P20" s="278"/>
      <c r="R20" s="243"/>
      <c r="S20" s="243"/>
      <c r="T20" s="243"/>
      <c r="U20" s="243"/>
    </row>
    <row r="21" spans="2:21" ht="12.5">
      <c r="B21" s="145" t="str">
        <f t="shared" si="0"/>
        <v/>
      </c>
      <c r="C21" s="495">
        <f>IF(D12="","-",+C20+1)</f>
        <v>2015</v>
      </c>
      <c r="D21" s="505">
        <v>11113997.5162642</v>
      </c>
      <c r="E21" s="498">
        <v>203141.16446368746</v>
      </c>
      <c r="F21" s="505">
        <v>10910856.351800513</v>
      </c>
      <c r="G21" s="498">
        <v>1327673.3550101635</v>
      </c>
      <c r="H21" s="499">
        <v>1327673.3550101635</v>
      </c>
      <c r="I21" s="500">
        <v>0</v>
      </c>
      <c r="J21" s="500"/>
      <c r="K21" s="592">
        <f t="shared" si="2"/>
        <v>1327673.3550101635</v>
      </c>
      <c r="L21" s="596">
        <f t="shared" si="7"/>
        <v>0</v>
      </c>
      <c r="M21" s="592">
        <f t="shared" si="4"/>
        <v>1327673.3550101635</v>
      </c>
      <c r="N21" s="594">
        <f>IF(M21&lt;&gt;0,+H21-M21,0)</f>
        <v>0</v>
      </c>
      <c r="O21" s="596">
        <f>+N21-L21</f>
        <v>0</v>
      </c>
      <c r="P21" s="278"/>
      <c r="R21" s="243"/>
      <c r="S21" s="243"/>
      <c r="T21" s="243"/>
      <c r="U21" s="243"/>
    </row>
    <row r="22" spans="2:21" ht="12.5">
      <c r="B22" s="145" t="str">
        <f>IF(D22=F21,"","IU")</f>
        <v>IU</v>
      </c>
      <c r="C22" s="495">
        <f>IF(D11="","-",+C21+1)</f>
        <v>2016</v>
      </c>
      <c r="D22" s="505">
        <v>10206288.351800514</v>
      </c>
      <c r="E22" s="498">
        <v>229368.43576510914</v>
      </c>
      <c r="F22" s="505">
        <v>9976919.9160354044</v>
      </c>
      <c r="G22" s="498">
        <v>1305682.2485042256</v>
      </c>
      <c r="H22" s="499">
        <v>1305682.2485042256</v>
      </c>
      <c r="I22" s="500">
        <f t="shared" si="1"/>
        <v>0</v>
      </c>
      <c r="J22" s="500"/>
      <c r="K22" s="592">
        <f t="shared" si="2"/>
        <v>1305682.2485042256</v>
      </c>
      <c r="L22" s="596">
        <f t="shared" si="7"/>
        <v>0</v>
      </c>
      <c r="M22" s="592">
        <f t="shared" si="4"/>
        <v>1305682.2485042256</v>
      </c>
      <c r="N22" s="504">
        <f t="shared" si="5"/>
        <v>0</v>
      </c>
      <c r="O22" s="504">
        <f t="shared" si="6"/>
        <v>0</v>
      </c>
      <c r="P22" s="278"/>
      <c r="R22" s="243"/>
      <c r="S22" s="243"/>
      <c r="T22" s="243"/>
      <c r="U22" s="243"/>
    </row>
    <row r="23" spans="2:21" ht="12.5">
      <c r="B23" s="145" t="str">
        <f t="shared" si="0"/>
        <v/>
      </c>
      <c r="C23" s="495">
        <f>IF(D11="","-",+C22+1)</f>
        <v>2017</v>
      </c>
      <c r="D23" s="505">
        <v>9976919.9160354044</v>
      </c>
      <c r="E23" s="498">
        <v>217033.49443183315</v>
      </c>
      <c r="F23" s="505">
        <v>9759886.4216035716</v>
      </c>
      <c r="G23" s="498">
        <v>1301965.4660054925</v>
      </c>
      <c r="H23" s="499">
        <v>1301965.4660054925</v>
      </c>
      <c r="I23" s="500">
        <f t="shared" si="1"/>
        <v>0</v>
      </c>
      <c r="J23" s="500"/>
      <c r="K23" s="592">
        <f>G23</f>
        <v>1301965.4660054925</v>
      </c>
      <c r="L23" s="596">
        <f t="shared" si="7"/>
        <v>0</v>
      </c>
      <c r="M23" s="592">
        <f>H23</f>
        <v>1301965.4660054925</v>
      </c>
      <c r="N23" s="504">
        <f>IF(M23&lt;&gt;0,+H23-M23,0)</f>
        <v>0</v>
      </c>
      <c r="O23" s="504">
        <f>+N23-L23</f>
        <v>0</v>
      </c>
      <c r="P23" s="278"/>
      <c r="R23" s="243"/>
      <c r="S23" s="243"/>
      <c r="T23" s="243"/>
      <c r="U23" s="243"/>
    </row>
    <row r="24" spans="2:21" ht="12.5">
      <c r="B24" s="145" t="str">
        <f t="shared" si="0"/>
        <v/>
      </c>
      <c r="C24" s="495">
        <f>IF(D11="","-",+C23+1)</f>
        <v>2018</v>
      </c>
      <c r="D24" s="505">
        <v>9759886.4216035716</v>
      </c>
      <c r="E24" s="498">
        <v>270708.0251158927</v>
      </c>
      <c r="F24" s="505">
        <v>9489178.3964876793</v>
      </c>
      <c r="G24" s="498">
        <v>1248788.1344461204</v>
      </c>
      <c r="H24" s="499">
        <v>1248788.1344461204</v>
      </c>
      <c r="I24" s="500">
        <v>0</v>
      </c>
      <c r="J24" s="500"/>
      <c r="K24" s="592">
        <f>G24</f>
        <v>1248788.1344461204</v>
      </c>
      <c r="L24" s="596">
        <f t="shared" si="7"/>
        <v>0</v>
      </c>
      <c r="M24" s="592">
        <f>H24</f>
        <v>1248788.1344461204</v>
      </c>
      <c r="N24" s="504">
        <f>IF(M24&lt;&gt;0,+H24-M24,0)</f>
        <v>0</v>
      </c>
      <c r="O24" s="504">
        <f>+N24-L24</f>
        <v>0</v>
      </c>
      <c r="P24" s="278"/>
      <c r="R24" s="243"/>
      <c r="S24" s="243"/>
      <c r="T24" s="243"/>
      <c r="U24" s="243"/>
    </row>
    <row r="25" spans="2:21" ht="12.5">
      <c r="B25" s="145" t="str">
        <f t="shared" si="0"/>
        <v/>
      </c>
      <c r="C25" s="495">
        <f>IF(D11="","-",+C24+1)</f>
        <v>2019</v>
      </c>
      <c r="D25" s="505">
        <v>9489178.3964876793</v>
      </c>
      <c r="E25" s="498">
        <v>327381.233179364</v>
      </c>
      <c r="F25" s="505">
        <v>9161797.163308315</v>
      </c>
      <c r="G25" s="498">
        <v>1296634.8001552834</v>
      </c>
      <c r="H25" s="499">
        <v>1296634.8001552834</v>
      </c>
      <c r="I25" s="500">
        <f t="shared" si="1"/>
        <v>0</v>
      </c>
      <c r="J25" s="500"/>
      <c r="K25" s="592">
        <f>G25</f>
        <v>1296634.8001552834</v>
      </c>
      <c r="L25" s="596">
        <f t="shared" ref="L25" si="8">IF(K25&lt;&gt;0,+G25-K25,0)</f>
        <v>0</v>
      </c>
      <c r="M25" s="592">
        <f>H25</f>
        <v>1296634.8001552834</v>
      </c>
      <c r="N25" s="504">
        <f>IF(M25&lt;&gt;0,+H25-M25,0)</f>
        <v>0</v>
      </c>
      <c r="O25" s="504">
        <f>+N25-L25</f>
        <v>0</v>
      </c>
      <c r="P25" s="278"/>
      <c r="R25" s="243"/>
      <c r="S25" s="243"/>
      <c r="T25" s="243"/>
      <c r="U25" s="243"/>
    </row>
    <row r="26" spans="2:21" ht="12.5">
      <c r="B26" s="145" t="str">
        <f t="shared" si="0"/>
        <v>IU</v>
      </c>
      <c r="C26" s="495">
        <f>IF(D11="","-",+C25+1)</f>
        <v>2020</v>
      </c>
      <c r="D26" s="505">
        <v>9218470.371371787</v>
      </c>
      <c r="E26" s="498">
        <v>323219.08619976818</v>
      </c>
      <c r="F26" s="505">
        <v>8895251.2851720192</v>
      </c>
      <c r="G26" s="498">
        <v>1273577.8300042083</v>
      </c>
      <c r="H26" s="499">
        <v>1273577.8300042083</v>
      </c>
      <c r="I26" s="500">
        <f t="shared" si="1"/>
        <v>0</v>
      </c>
      <c r="J26" s="500"/>
      <c r="K26" s="592">
        <f>G26</f>
        <v>1273577.8300042083</v>
      </c>
      <c r="L26" s="596">
        <f t="shared" ref="L26" si="9">IF(K26&lt;&gt;0,+G26-K26,0)</f>
        <v>0</v>
      </c>
      <c r="M26" s="592">
        <f>H26</f>
        <v>1273577.8300042083</v>
      </c>
      <c r="N26" s="504">
        <f>IF(M26&lt;&gt;0,+H26-M26,0)</f>
        <v>0</v>
      </c>
      <c r="O26" s="504">
        <f t="shared" si="6"/>
        <v>0</v>
      </c>
      <c r="P26" s="278"/>
      <c r="R26" s="243"/>
      <c r="S26" s="243"/>
      <c r="T26" s="243"/>
      <c r="U26" s="243"/>
    </row>
    <row r="27" spans="2:21" ht="12.5">
      <c r="B27" s="145" t="str">
        <f t="shared" si="0"/>
        <v>IU</v>
      </c>
      <c r="C27" s="495">
        <f>IF(D11="","-",+C26+1)</f>
        <v>2021</v>
      </c>
      <c r="D27" s="508">
        <f>IF(F26+SUM(E$17:E26)=D$10,F26,D$10-SUM(E$17:E26))</f>
        <v>8838578.0771085471</v>
      </c>
      <c r="E27" s="509">
        <f>IF(+I14&lt;F26,I14,D27)</f>
        <v>356072</v>
      </c>
      <c r="F27" s="510">
        <f t="shared" ref="F27:F49" si="10">+D27-E27</f>
        <v>8482506.0771085471</v>
      </c>
      <c r="G27" s="511">
        <f t="shared" ref="G27:G73" si="11">(D27+F27)/2*I$12+E27</f>
        <v>1293013.3264763721</v>
      </c>
      <c r="H27" s="477">
        <f t="shared" ref="H27:H73" si="12">+(D27+F27)/2*I$13+E27</f>
        <v>1293013.3264763721</v>
      </c>
      <c r="I27" s="500">
        <f t="shared" si="1"/>
        <v>0</v>
      </c>
      <c r="J27" s="500"/>
      <c r="K27" s="512"/>
      <c r="L27" s="504">
        <f t="shared" si="3"/>
        <v>0</v>
      </c>
      <c r="M27" s="512"/>
      <c r="N27" s="504">
        <f t="shared" si="5"/>
        <v>0</v>
      </c>
      <c r="O27" s="504">
        <f t="shared" si="6"/>
        <v>0</v>
      </c>
      <c r="P27" s="278"/>
      <c r="R27" s="243"/>
      <c r="S27" s="243"/>
      <c r="T27" s="243"/>
      <c r="U27" s="243"/>
    </row>
    <row r="28" spans="2:21" ht="12.5">
      <c r="B28" s="145" t="str">
        <f t="shared" si="0"/>
        <v/>
      </c>
      <c r="C28" s="495">
        <f>IF(D11="","-",+C27+1)</f>
        <v>2022</v>
      </c>
      <c r="D28" s="508">
        <f>IF(F27+SUM(E$17:E27)=D$10,F27,D$10-SUM(E$17:E27))</f>
        <v>8482506.0771085471</v>
      </c>
      <c r="E28" s="509">
        <f>IF(+I14&lt;F27,I14,D28)</f>
        <v>356072</v>
      </c>
      <c r="F28" s="510">
        <f t="shared" si="10"/>
        <v>8126434.0771085471</v>
      </c>
      <c r="G28" s="511">
        <f t="shared" si="11"/>
        <v>1254491.6532334336</v>
      </c>
      <c r="H28" s="477">
        <f t="shared" si="12"/>
        <v>1254491.6532334336</v>
      </c>
      <c r="I28" s="500">
        <f t="shared" si="1"/>
        <v>0</v>
      </c>
      <c r="J28" s="500"/>
      <c r="K28" s="512"/>
      <c r="L28" s="504">
        <f t="shared" si="3"/>
        <v>0</v>
      </c>
      <c r="M28" s="512"/>
      <c r="N28" s="504">
        <f t="shared" si="5"/>
        <v>0</v>
      </c>
      <c r="O28" s="504">
        <f t="shared" si="6"/>
        <v>0</v>
      </c>
      <c r="P28" s="278"/>
      <c r="R28" s="243"/>
      <c r="S28" s="243"/>
      <c r="T28" s="243"/>
      <c r="U28" s="243"/>
    </row>
    <row r="29" spans="2:21" ht="12.5">
      <c r="B29" s="145" t="str">
        <f t="shared" si="0"/>
        <v/>
      </c>
      <c r="C29" s="495">
        <f>IF(D11="","-",+C28+1)</f>
        <v>2023</v>
      </c>
      <c r="D29" s="508">
        <f>IF(F28+SUM(E$17:E28)=D$10,F28,D$10-SUM(E$17:E28))</f>
        <v>8126434.0771085471</v>
      </c>
      <c r="E29" s="509">
        <f>IF(+I14&lt;F28,I14,D29)</f>
        <v>356072</v>
      </c>
      <c r="F29" s="510">
        <f t="shared" si="10"/>
        <v>7770362.0771085471</v>
      </c>
      <c r="G29" s="511">
        <f t="shared" si="11"/>
        <v>1215969.9799904954</v>
      </c>
      <c r="H29" s="477">
        <f t="shared" si="12"/>
        <v>1215969.9799904954</v>
      </c>
      <c r="I29" s="500">
        <f t="shared" si="1"/>
        <v>0</v>
      </c>
      <c r="J29" s="500"/>
      <c r="K29" s="512"/>
      <c r="L29" s="504">
        <f t="shared" si="3"/>
        <v>0</v>
      </c>
      <c r="M29" s="512"/>
      <c r="N29" s="504">
        <f t="shared" si="5"/>
        <v>0</v>
      </c>
      <c r="O29" s="504">
        <f t="shared" si="6"/>
        <v>0</v>
      </c>
      <c r="P29" s="278"/>
      <c r="R29" s="243"/>
      <c r="S29" s="243"/>
      <c r="T29" s="243"/>
      <c r="U29" s="243"/>
    </row>
    <row r="30" spans="2:21" ht="12.5">
      <c r="B30" s="145" t="str">
        <f t="shared" si="0"/>
        <v/>
      </c>
      <c r="C30" s="495">
        <f>IF(D11="","-",+C29+1)</f>
        <v>2024</v>
      </c>
      <c r="D30" s="508">
        <f>IF(F29+SUM(E$17:E29)=D$10,F29,D$10-SUM(E$17:E29))</f>
        <v>7770362.0771085471</v>
      </c>
      <c r="E30" s="509">
        <f>IF(+I14&lt;F29,I14,D30)</f>
        <v>356072</v>
      </c>
      <c r="F30" s="510">
        <f t="shared" si="10"/>
        <v>7414290.0771085471</v>
      </c>
      <c r="G30" s="511">
        <f t="shared" si="11"/>
        <v>1177448.3067475567</v>
      </c>
      <c r="H30" s="477">
        <f t="shared" si="12"/>
        <v>1177448.3067475567</v>
      </c>
      <c r="I30" s="500">
        <f t="shared" si="1"/>
        <v>0</v>
      </c>
      <c r="J30" s="500"/>
      <c r="K30" s="512"/>
      <c r="L30" s="504">
        <f t="shared" si="3"/>
        <v>0</v>
      </c>
      <c r="M30" s="512"/>
      <c r="N30" s="504">
        <f t="shared" si="5"/>
        <v>0</v>
      </c>
      <c r="O30" s="504">
        <f t="shared" si="6"/>
        <v>0</v>
      </c>
      <c r="P30" s="278"/>
      <c r="R30" s="243"/>
      <c r="S30" s="243"/>
      <c r="T30" s="243"/>
      <c r="U30" s="243"/>
    </row>
    <row r="31" spans="2:21" ht="12.5">
      <c r="B31" s="145" t="str">
        <f t="shared" si="0"/>
        <v/>
      </c>
      <c r="C31" s="495">
        <f>IF(D11="","-",+C30+1)</f>
        <v>2025</v>
      </c>
      <c r="D31" s="508">
        <f>IF(F30+SUM(E$17:E30)=D$10,F30,D$10-SUM(E$17:E30))</f>
        <v>7414290.0771085471</v>
      </c>
      <c r="E31" s="597">
        <f>IF(+I14&lt;F30,I14,D31)</f>
        <v>356072</v>
      </c>
      <c r="F31" s="510">
        <f>+D31-E31</f>
        <v>7058218.0771085471</v>
      </c>
      <c r="G31" s="511">
        <f t="shared" si="11"/>
        <v>1138926.6335046184</v>
      </c>
      <c r="H31" s="477">
        <f t="shared" si="12"/>
        <v>1138926.6335046184</v>
      </c>
      <c r="I31" s="500">
        <f>H31-G31</f>
        <v>0</v>
      </c>
      <c r="J31" s="500"/>
      <c r="K31" s="512"/>
      <c r="L31" s="504">
        <f>IF(K31&lt;&gt;0,+G31-K31,0)</f>
        <v>0</v>
      </c>
      <c r="M31" s="512"/>
      <c r="N31" s="504">
        <f>IF(M31&lt;&gt;0,+H31-M31,0)</f>
        <v>0</v>
      </c>
      <c r="O31" s="504">
        <f>+N31-L31</f>
        <v>0</v>
      </c>
      <c r="P31" s="278"/>
      <c r="Q31" s="220"/>
      <c r="R31" s="278"/>
      <c r="S31" s="278"/>
      <c r="T31" s="278"/>
      <c r="U31" s="243"/>
    </row>
    <row r="32" spans="2:21" ht="12.5">
      <c r="B32" s="145" t="str">
        <f t="shared" si="0"/>
        <v/>
      </c>
      <c r="C32" s="495">
        <f>IF(D12="","-",+C31+1)</f>
        <v>2026</v>
      </c>
      <c r="D32" s="508">
        <f>IF(F31+SUM(E$17:E31)=D$10,F31,D$10-SUM(E$17:E31))</f>
        <v>7058218.0771085471</v>
      </c>
      <c r="E32" s="597">
        <f>IF(+I14&lt;F31,I14,D32)</f>
        <v>356072</v>
      </c>
      <c r="F32" s="510">
        <f>+D32-E32</f>
        <v>6702146.0771085471</v>
      </c>
      <c r="G32" s="511">
        <f t="shared" si="11"/>
        <v>1100404.96026168</v>
      </c>
      <c r="H32" s="477">
        <f t="shared" si="12"/>
        <v>1100404.96026168</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2027</v>
      </c>
      <c r="D33" s="508">
        <f>IF(F32+SUM(E$17:E32)=D$10,F32,D$10-SUM(E$17:E32))</f>
        <v>6702146.0771085471</v>
      </c>
      <c r="E33" s="509">
        <f>IF(+I14&lt;F31,I14,D33)</f>
        <v>356072</v>
      </c>
      <c r="F33" s="510">
        <f>+D33-E33</f>
        <v>6346074.0771085471</v>
      </c>
      <c r="G33" s="511">
        <f t="shared" si="11"/>
        <v>1061883.2870187415</v>
      </c>
      <c r="H33" s="477">
        <f t="shared" si="12"/>
        <v>1061883.2870187415</v>
      </c>
      <c r="I33" s="500">
        <f>H33-G33</f>
        <v>0</v>
      </c>
      <c r="J33" s="500"/>
      <c r="K33" s="512"/>
      <c r="L33" s="504">
        <f>IF(K33&lt;&gt;0,+G33-K33,0)</f>
        <v>0</v>
      </c>
      <c r="M33" s="512"/>
      <c r="N33" s="504">
        <f>IF(M33&lt;&gt;0,+H33-M33,0)</f>
        <v>0</v>
      </c>
      <c r="O33" s="504">
        <f>+N33-L33</f>
        <v>0</v>
      </c>
      <c r="P33" s="278"/>
      <c r="R33" s="243"/>
      <c r="S33" s="243"/>
      <c r="T33" s="243"/>
      <c r="U33" s="243"/>
    </row>
    <row r="34" spans="2:21" ht="12.5">
      <c r="B34" s="145" t="str">
        <f t="shared" si="0"/>
        <v/>
      </c>
      <c r="C34" s="513">
        <f>IF(D11="","-",+C33+1)</f>
        <v>2028</v>
      </c>
      <c r="D34" s="514">
        <f>IF(F33+SUM(E$17:E33)=D$10,F33,D$10-SUM(E$17:E33))</f>
        <v>6346074.0771085471</v>
      </c>
      <c r="E34" s="515">
        <f>IF(+I14&lt;F33,I14,D34)</f>
        <v>356072</v>
      </c>
      <c r="F34" s="516">
        <f t="shared" si="10"/>
        <v>5990002.0771085471</v>
      </c>
      <c r="G34" s="517">
        <f t="shared" si="11"/>
        <v>1023361.613775803</v>
      </c>
      <c r="H34" s="518">
        <f t="shared" si="12"/>
        <v>1023361.613775803</v>
      </c>
      <c r="I34" s="519">
        <f t="shared" si="1"/>
        <v>0</v>
      </c>
      <c r="J34" s="519"/>
      <c r="K34" s="520"/>
      <c r="L34" s="521">
        <f t="shared" si="3"/>
        <v>0</v>
      </c>
      <c r="M34" s="520"/>
      <c r="N34" s="521">
        <f t="shared" si="5"/>
        <v>0</v>
      </c>
      <c r="O34" s="521">
        <f t="shared" si="6"/>
        <v>0</v>
      </c>
      <c r="P34" s="522"/>
      <c r="Q34" s="216"/>
      <c r="R34" s="522"/>
      <c r="S34" s="522"/>
      <c r="T34" s="522"/>
      <c r="U34" s="243"/>
    </row>
    <row r="35" spans="2:21" ht="12.5">
      <c r="B35" s="145" t="str">
        <f t="shared" si="0"/>
        <v/>
      </c>
      <c r="C35" s="495">
        <f>IF(D11="","-",+C34+1)</f>
        <v>2029</v>
      </c>
      <c r="D35" s="508">
        <f>IF(F34+SUM(E$17:E34)=D$10,F34,D$10-SUM(E$17:E34))</f>
        <v>5990002.0771085471</v>
      </c>
      <c r="E35" s="509">
        <f>IF(+I14&lt;F34,I14,D35)</f>
        <v>356072</v>
      </c>
      <c r="F35" s="510">
        <f t="shared" si="10"/>
        <v>5633930.0771085471</v>
      </c>
      <c r="G35" s="511">
        <f t="shared" si="11"/>
        <v>984839.94053286465</v>
      </c>
      <c r="H35" s="477">
        <f t="shared" si="12"/>
        <v>984839.94053286465</v>
      </c>
      <c r="I35" s="500">
        <f t="shared" si="1"/>
        <v>0</v>
      </c>
      <c r="J35" s="500"/>
      <c r="K35" s="512"/>
      <c r="L35" s="504">
        <f t="shared" si="3"/>
        <v>0</v>
      </c>
      <c r="M35" s="512"/>
      <c r="N35" s="504">
        <f t="shared" si="5"/>
        <v>0</v>
      </c>
      <c r="O35" s="504">
        <f t="shared" si="6"/>
        <v>0</v>
      </c>
      <c r="P35" s="278"/>
      <c r="R35" s="243"/>
      <c r="S35" s="243"/>
      <c r="T35" s="243"/>
      <c r="U35" s="243"/>
    </row>
    <row r="36" spans="2:21" ht="12.5">
      <c r="B36" s="145" t="str">
        <f t="shared" si="0"/>
        <v/>
      </c>
      <c r="C36" s="495">
        <f>IF(D11="","-",+C35+1)</f>
        <v>2030</v>
      </c>
      <c r="D36" s="508">
        <f>IF(F35+SUM(E$17:E35)=D$10,F35,D$10-SUM(E$17:E35))</f>
        <v>5633930.0771085471</v>
      </c>
      <c r="E36" s="509">
        <f>IF(+I14&lt;F35,I14,D36)</f>
        <v>356072</v>
      </c>
      <c r="F36" s="510">
        <f t="shared" si="10"/>
        <v>5277858.0771085471</v>
      </c>
      <c r="G36" s="511">
        <f t="shared" si="11"/>
        <v>946318.26728992618</v>
      </c>
      <c r="H36" s="477">
        <f t="shared" si="12"/>
        <v>946318.26728992618</v>
      </c>
      <c r="I36" s="500">
        <f t="shared" si="1"/>
        <v>0</v>
      </c>
      <c r="J36" s="500"/>
      <c r="K36" s="512"/>
      <c r="L36" s="504">
        <f t="shared" si="3"/>
        <v>0</v>
      </c>
      <c r="M36" s="512"/>
      <c r="N36" s="504">
        <f t="shared" si="5"/>
        <v>0</v>
      </c>
      <c r="O36" s="504">
        <f t="shared" si="6"/>
        <v>0</v>
      </c>
      <c r="P36" s="278"/>
      <c r="R36" s="243"/>
      <c r="S36" s="243"/>
      <c r="T36" s="243"/>
      <c r="U36" s="243"/>
    </row>
    <row r="37" spans="2:21" ht="12.5">
      <c r="B37" s="145" t="str">
        <f t="shared" si="0"/>
        <v/>
      </c>
      <c r="C37" s="495">
        <f>IF(D11="","-",+C36+1)</f>
        <v>2031</v>
      </c>
      <c r="D37" s="508">
        <f>IF(F36+SUM(E$17:E36)=D$10,F36,D$10-SUM(E$17:E36))</f>
        <v>5277858.0771085471</v>
      </c>
      <c r="E37" s="509">
        <f>IF(+I14&lt;F36,I14,D37)</f>
        <v>356072</v>
      </c>
      <c r="F37" s="510">
        <f t="shared" si="10"/>
        <v>4921786.0771085471</v>
      </c>
      <c r="G37" s="511">
        <f t="shared" si="11"/>
        <v>907796.59404698771</v>
      </c>
      <c r="H37" s="477">
        <f t="shared" si="12"/>
        <v>907796.59404698771</v>
      </c>
      <c r="I37" s="500">
        <f t="shared" si="1"/>
        <v>0</v>
      </c>
      <c r="J37" s="500"/>
      <c r="K37" s="512"/>
      <c r="L37" s="504">
        <f t="shared" si="3"/>
        <v>0</v>
      </c>
      <c r="M37" s="512"/>
      <c r="N37" s="504">
        <f t="shared" si="5"/>
        <v>0</v>
      </c>
      <c r="O37" s="504">
        <f t="shared" si="6"/>
        <v>0</v>
      </c>
      <c r="P37" s="278"/>
      <c r="R37" s="243"/>
      <c r="S37" s="243"/>
      <c r="T37" s="243"/>
      <c r="U37" s="243"/>
    </row>
    <row r="38" spans="2:21" ht="12.5">
      <c r="B38" s="145" t="str">
        <f t="shared" si="0"/>
        <v/>
      </c>
      <c r="C38" s="495">
        <f>IF(D11="","-",+C37+1)</f>
        <v>2032</v>
      </c>
      <c r="D38" s="508">
        <f>IF(F37+SUM(E$17:E37)=D$10,F37,D$10-SUM(E$17:E37))</f>
        <v>4921786.0771085471</v>
      </c>
      <c r="E38" s="509">
        <f>IF(+I14&lt;F37,I14,D38)</f>
        <v>356072</v>
      </c>
      <c r="F38" s="510">
        <f t="shared" si="10"/>
        <v>4565714.0771085471</v>
      </c>
      <c r="G38" s="511">
        <f t="shared" si="11"/>
        <v>869274.92080404935</v>
      </c>
      <c r="H38" s="477">
        <f t="shared" si="12"/>
        <v>869274.92080404935</v>
      </c>
      <c r="I38" s="500">
        <f t="shared" si="1"/>
        <v>0</v>
      </c>
      <c r="J38" s="500"/>
      <c r="K38" s="512"/>
      <c r="L38" s="504">
        <f t="shared" si="3"/>
        <v>0</v>
      </c>
      <c r="M38" s="512"/>
      <c r="N38" s="504">
        <f t="shared" si="5"/>
        <v>0</v>
      </c>
      <c r="O38" s="504">
        <f t="shared" si="6"/>
        <v>0</v>
      </c>
      <c r="P38" s="278"/>
      <c r="R38" s="243"/>
      <c r="S38" s="243"/>
      <c r="T38" s="243"/>
      <c r="U38" s="243"/>
    </row>
    <row r="39" spans="2:21" ht="12.5">
      <c r="B39" s="145" t="str">
        <f t="shared" si="0"/>
        <v/>
      </c>
      <c r="C39" s="495">
        <f>IF(D11="","-",+C38+1)</f>
        <v>2033</v>
      </c>
      <c r="D39" s="508">
        <f>IF(F38+SUM(E$17:E38)=D$10,F38,D$10-SUM(E$17:E38))</f>
        <v>4565714.0771085471</v>
      </c>
      <c r="E39" s="509">
        <f>IF(+I14&lt;F38,I14,D39)</f>
        <v>356072</v>
      </c>
      <c r="F39" s="510">
        <f t="shared" si="10"/>
        <v>4209642.0771085471</v>
      </c>
      <c r="G39" s="511">
        <f t="shared" si="11"/>
        <v>830753.24756111088</v>
      </c>
      <c r="H39" s="477">
        <f t="shared" si="12"/>
        <v>830753.24756111088</v>
      </c>
      <c r="I39" s="500">
        <f t="shared" si="1"/>
        <v>0</v>
      </c>
      <c r="J39" s="500"/>
      <c r="K39" s="512"/>
      <c r="L39" s="504">
        <f t="shared" si="3"/>
        <v>0</v>
      </c>
      <c r="M39" s="512"/>
      <c r="N39" s="504">
        <f t="shared" si="5"/>
        <v>0</v>
      </c>
      <c r="O39" s="504">
        <f t="shared" si="6"/>
        <v>0</v>
      </c>
      <c r="P39" s="278"/>
      <c r="R39" s="243"/>
      <c r="S39" s="243"/>
      <c r="T39" s="243"/>
      <c r="U39" s="243"/>
    </row>
    <row r="40" spans="2:21" ht="12.5">
      <c r="B40" s="145" t="str">
        <f t="shared" si="0"/>
        <v/>
      </c>
      <c r="C40" s="495">
        <f>IF(D11="","-",+C39+1)</f>
        <v>2034</v>
      </c>
      <c r="D40" s="508">
        <f>IF(F39+SUM(E$17:E39)=D$10,F39,D$10-SUM(E$17:E39))</f>
        <v>4209642.0771085471</v>
      </c>
      <c r="E40" s="509">
        <f>IF(+I14&lt;F39,I14,D40)</f>
        <v>356072</v>
      </c>
      <c r="F40" s="510">
        <f t="shared" si="10"/>
        <v>3853570.0771085471</v>
      </c>
      <c r="G40" s="511">
        <f t="shared" si="11"/>
        <v>792231.57431817241</v>
      </c>
      <c r="H40" s="477">
        <f t="shared" si="12"/>
        <v>792231.57431817241</v>
      </c>
      <c r="I40" s="500">
        <f t="shared" si="1"/>
        <v>0</v>
      </c>
      <c r="J40" s="500"/>
      <c r="K40" s="512"/>
      <c r="L40" s="504">
        <f t="shared" si="3"/>
        <v>0</v>
      </c>
      <c r="M40" s="512"/>
      <c r="N40" s="504">
        <f t="shared" si="5"/>
        <v>0</v>
      </c>
      <c r="O40" s="504">
        <f t="shared" si="6"/>
        <v>0</v>
      </c>
      <c r="P40" s="278"/>
      <c r="R40" s="243"/>
      <c r="S40" s="243"/>
      <c r="T40" s="243"/>
      <c r="U40" s="243"/>
    </row>
    <row r="41" spans="2:21" ht="12.5">
      <c r="B41" s="145" t="str">
        <f t="shared" si="0"/>
        <v/>
      </c>
      <c r="C41" s="495">
        <f>IF(D12="","-",+C40+1)</f>
        <v>2035</v>
      </c>
      <c r="D41" s="508">
        <f>IF(F40+SUM(E$17:E40)=D$10,F40,D$10-SUM(E$17:E40))</f>
        <v>3853570.0771085471</v>
      </c>
      <c r="E41" s="509">
        <f>IF(+I14&lt;F40,I14,D41)</f>
        <v>356072</v>
      </c>
      <c r="F41" s="510">
        <f t="shared" si="10"/>
        <v>3497498.0771085471</v>
      </c>
      <c r="G41" s="511">
        <f t="shared" si="11"/>
        <v>753709.90107523405</v>
      </c>
      <c r="H41" s="477">
        <f t="shared" si="12"/>
        <v>753709.90107523405</v>
      </c>
      <c r="I41" s="500">
        <f t="shared" si="1"/>
        <v>0</v>
      </c>
      <c r="J41" s="500"/>
      <c r="K41" s="512"/>
      <c r="L41" s="504">
        <f t="shared" si="3"/>
        <v>0</v>
      </c>
      <c r="M41" s="512"/>
      <c r="N41" s="504">
        <f t="shared" si="5"/>
        <v>0</v>
      </c>
      <c r="O41" s="504">
        <f t="shared" si="6"/>
        <v>0</v>
      </c>
      <c r="P41" s="278"/>
      <c r="R41" s="243"/>
      <c r="S41" s="243"/>
      <c r="T41" s="243"/>
      <c r="U41" s="243"/>
    </row>
    <row r="42" spans="2:21" ht="12.5">
      <c r="B42" s="145" t="str">
        <f t="shared" si="0"/>
        <v/>
      </c>
      <c r="C42" s="495">
        <f>IF(D13="","-",+C41+1)</f>
        <v>2036</v>
      </c>
      <c r="D42" s="508">
        <f>IF(F41+SUM(E$17:E41)=D$10,F41,D$10-SUM(E$17:E41))</f>
        <v>3497498.0771085471</v>
      </c>
      <c r="E42" s="509">
        <f>IF(+I14&lt;F41,I14,D42)</f>
        <v>356072</v>
      </c>
      <c r="F42" s="510">
        <f t="shared" si="10"/>
        <v>3141426.0771085471</v>
      </c>
      <c r="G42" s="511">
        <f t="shared" si="11"/>
        <v>715188.22783229558</v>
      </c>
      <c r="H42" s="477">
        <f t="shared" si="12"/>
        <v>715188.22783229558</v>
      </c>
      <c r="I42" s="500">
        <f t="shared" si="1"/>
        <v>0</v>
      </c>
      <c r="J42" s="500"/>
      <c r="K42" s="512"/>
      <c r="L42" s="504">
        <f t="shared" si="3"/>
        <v>0</v>
      </c>
      <c r="M42" s="512"/>
      <c r="N42" s="504">
        <f t="shared" si="5"/>
        <v>0</v>
      </c>
      <c r="O42" s="504">
        <f t="shared" si="6"/>
        <v>0</v>
      </c>
      <c r="P42" s="278"/>
      <c r="R42" s="243"/>
      <c r="S42" s="243"/>
      <c r="T42" s="243"/>
      <c r="U42" s="243"/>
    </row>
    <row r="43" spans="2:21" ht="12.5">
      <c r="B43" s="145" t="str">
        <f t="shared" si="0"/>
        <v/>
      </c>
      <c r="C43" s="495">
        <f>IF(D14="","-",+C42+1)</f>
        <v>2037</v>
      </c>
      <c r="D43" s="508">
        <f>IF(F42+SUM(E$17:E42)=D$10,F42,D$10-SUM(E$17:E42))</f>
        <v>3141426.0771085471</v>
      </c>
      <c r="E43" s="509">
        <f>IF(+I14&lt;F42,I14,D43)</f>
        <v>356072</v>
      </c>
      <c r="F43" s="510">
        <f t="shared" si="10"/>
        <v>2785354.0771085471</v>
      </c>
      <c r="G43" s="511">
        <f t="shared" si="11"/>
        <v>676666.55458935723</v>
      </c>
      <c r="H43" s="477">
        <f t="shared" si="12"/>
        <v>676666.55458935723</v>
      </c>
      <c r="I43" s="500">
        <f t="shared" si="1"/>
        <v>0</v>
      </c>
      <c r="J43" s="500"/>
      <c r="K43" s="512"/>
      <c r="L43" s="504">
        <f t="shared" si="3"/>
        <v>0</v>
      </c>
      <c r="M43" s="512"/>
      <c r="N43" s="504">
        <f t="shared" si="5"/>
        <v>0</v>
      </c>
      <c r="O43" s="504">
        <f t="shared" si="6"/>
        <v>0</v>
      </c>
      <c r="P43" s="278"/>
      <c r="R43" s="243"/>
      <c r="S43" s="243"/>
      <c r="T43" s="243"/>
      <c r="U43" s="243"/>
    </row>
    <row r="44" spans="2:21" ht="12.5">
      <c r="B44" s="145" t="str">
        <f t="shared" si="0"/>
        <v/>
      </c>
      <c r="C44" s="495">
        <f>IF(D11="","-",+C43+1)</f>
        <v>2038</v>
      </c>
      <c r="D44" s="508">
        <f>IF(F43+SUM(E$17:E43)=D$10,F43,D$10-SUM(E$17:E43))</f>
        <v>2785354.0771085471</v>
      </c>
      <c r="E44" s="509">
        <f>IF(+I14&lt;F43,I14,D44)</f>
        <v>356072</v>
      </c>
      <c r="F44" s="510">
        <f t="shared" si="10"/>
        <v>2429282.0771085471</v>
      </c>
      <c r="G44" s="511">
        <f t="shared" si="11"/>
        <v>638144.88134641876</v>
      </c>
      <c r="H44" s="477">
        <f t="shared" si="12"/>
        <v>638144.88134641876</v>
      </c>
      <c r="I44" s="500">
        <f t="shared" si="1"/>
        <v>0</v>
      </c>
      <c r="J44" s="500"/>
      <c r="K44" s="512"/>
      <c r="L44" s="504">
        <f t="shared" si="3"/>
        <v>0</v>
      </c>
      <c r="M44" s="512"/>
      <c r="N44" s="504">
        <f t="shared" si="5"/>
        <v>0</v>
      </c>
      <c r="O44" s="504">
        <f t="shared" si="6"/>
        <v>0</v>
      </c>
      <c r="P44" s="278"/>
      <c r="R44" s="243"/>
      <c r="S44" s="243"/>
      <c r="T44" s="243"/>
      <c r="U44" s="243"/>
    </row>
    <row r="45" spans="2:21" ht="12.5">
      <c r="B45" s="145" t="str">
        <f t="shared" si="0"/>
        <v/>
      </c>
      <c r="C45" s="495">
        <f>IF(D11="","-",+C44+1)</f>
        <v>2039</v>
      </c>
      <c r="D45" s="508">
        <f>IF(F44+SUM(E$17:E44)=D$10,F44,D$10-SUM(E$17:E44))</f>
        <v>2429282.0771085471</v>
      </c>
      <c r="E45" s="509">
        <f>IF(+I14&lt;F44,I14,D45)</f>
        <v>356072</v>
      </c>
      <c r="F45" s="510">
        <f t="shared" si="10"/>
        <v>2073210.0771085471</v>
      </c>
      <c r="G45" s="511">
        <f t="shared" si="11"/>
        <v>599623.20810348028</v>
      </c>
      <c r="H45" s="477">
        <f t="shared" si="12"/>
        <v>599623.20810348028</v>
      </c>
      <c r="I45" s="500">
        <f t="shared" si="1"/>
        <v>0</v>
      </c>
      <c r="J45" s="500"/>
      <c r="K45" s="512"/>
      <c r="L45" s="504">
        <f t="shared" si="3"/>
        <v>0</v>
      </c>
      <c r="M45" s="512"/>
      <c r="N45" s="504">
        <f t="shared" si="5"/>
        <v>0</v>
      </c>
      <c r="O45" s="504">
        <f t="shared" si="6"/>
        <v>0</v>
      </c>
      <c r="P45" s="278"/>
      <c r="R45" s="243"/>
      <c r="S45" s="243"/>
      <c r="T45" s="243"/>
      <c r="U45" s="243"/>
    </row>
    <row r="46" spans="2:21" ht="12.5">
      <c r="B46" s="145" t="str">
        <f t="shared" si="0"/>
        <v/>
      </c>
      <c r="C46" s="495">
        <f>IF(D11="","-",+C45+1)</f>
        <v>2040</v>
      </c>
      <c r="D46" s="508">
        <f>IF(F45+SUM(E$17:E45)=D$10,F45,D$10-SUM(E$17:E45))</f>
        <v>2073210.0771085471</v>
      </c>
      <c r="E46" s="509">
        <f>IF(+I14&lt;F45,I14,D46)</f>
        <v>356072</v>
      </c>
      <c r="F46" s="510">
        <f t="shared" si="10"/>
        <v>1717138.0771085471</v>
      </c>
      <c r="G46" s="511">
        <f t="shared" si="11"/>
        <v>561101.53486054181</v>
      </c>
      <c r="H46" s="477">
        <f t="shared" si="12"/>
        <v>561101.53486054181</v>
      </c>
      <c r="I46" s="500">
        <f t="shared" si="1"/>
        <v>0</v>
      </c>
      <c r="J46" s="500"/>
      <c r="K46" s="512"/>
      <c r="L46" s="504">
        <f t="shared" si="3"/>
        <v>0</v>
      </c>
      <c r="M46" s="512"/>
      <c r="N46" s="504">
        <f t="shared" si="5"/>
        <v>0</v>
      </c>
      <c r="O46" s="504">
        <f t="shared" si="6"/>
        <v>0</v>
      </c>
      <c r="P46" s="278"/>
      <c r="R46" s="243"/>
      <c r="S46" s="243"/>
      <c r="T46" s="243"/>
      <c r="U46" s="243"/>
    </row>
    <row r="47" spans="2:21" ht="12.5">
      <c r="B47" s="145" t="str">
        <f t="shared" si="0"/>
        <v/>
      </c>
      <c r="C47" s="495">
        <f>IF(D11="","-",+C46+1)</f>
        <v>2041</v>
      </c>
      <c r="D47" s="508">
        <f>IF(F46+SUM(E$17:E46)=D$10,F46,D$10-SUM(E$17:E46))</f>
        <v>1717138.0771085471</v>
      </c>
      <c r="E47" s="509">
        <f>IF(+I14&lt;F46,I14,D47)</f>
        <v>356072</v>
      </c>
      <c r="F47" s="510">
        <f t="shared" si="10"/>
        <v>1361066.0771085471</v>
      </c>
      <c r="G47" s="511">
        <f t="shared" si="11"/>
        <v>522579.86161760346</v>
      </c>
      <c r="H47" s="477">
        <f t="shared" si="12"/>
        <v>522579.86161760346</v>
      </c>
      <c r="I47" s="500">
        <f t="shared" si="1"/>
        <v>0</v>
      </c>
      <c r="J47" s="500"/>
      <c r="K47" s="512"/>
      <c r="L47" s="504">
        <f t="shared" si="3"/>
        <v>0</v>
      </c>
      <c r="M47" s="512"/>
      <c r="N47" s="504">
        <f t="shared" si="5"/>
        <v>0</v>
      </c>
      <c r="O47" s="504">
        <f t="shared" si="6"/>
        <v>0</v>
      </c>
      <c r="P47" s="278"/>
      <c r="R47" s="243"/>
      <c r="S47" s="243"/>
      <c r="T47" s="243"/>
      <c r="U47" s="243"/>
    </row>
    <row r="48" spans="2:21" ht="12.5">
      <c r="B48" s="145" t="str">
        <f t="shared" si="0"/>
        <v/>
      </c>
      <c r="C48" s="495">
        <f>IF(D11="","-",+C47+1)</f>
        <v>2042</v>
      </c>
      <c r="D48" s="508">
        <f>IF(F47+SUM(E$17:E47)=D$10,F47,D$10-SUM(E$17:E47))</f>
        <v>1361066.0771085471</v>
      </c>
      <c r="E48" s="509">
        <f>IF(+I14&lt;F47,I14,D48)</f>
        <v>356072</v>
      </c>
      <c r="F48" s="510">
        <f t="shared" si="10"/>
        <v>1004994.0771085471</v>
      </c>
      <c r="G48" s="511">
        <f t="shared" si="11"/>
        <v>484058.18837466498</v>
      </c>
      <c r="H48" s="477">
        <f t="shared" si="12"/>
        <v>484058.18837466498</v>
      </c>
      <c r="I48" s="500">
        <f t="shared" si="1"/>
        <v>0</v>
      </c>
      <c r="J48" s="500"/>
      <c r="K48" s="512"/>
      <c r="L48" s="504">
        <f t="shared" si="3"/>
        <v>0</v>
      </c>
      <c r="M48" s="512"/>
      <c r="N48" s="504">
        <f t="shared" si="5"/>
        <v>0</v>
      </c>
      <c r="O48" s="504">
        <f t="shared" si="6"/>
        <v>0</v>
      </c>
      <c r="P48" s="278"/>
      <c r="R48" s="243"/>
      <c r="S48" s="243"/>
      <c r="T48" s="243"/>
      <c r="U48" s="243"/>
    </row>
    <row r="49" spans="2:21" ht="12.5">
      <c r="B49" s="145" t="str">
        <f t="shared" si="0"/>
        <v/>
      </c>
      <c r="C49" s="495">
        <f>IF(D11="","-",+C48+1)</f>
        <v>2043</v>
      </c>
      <c r="D49" s="508">
        <f>IF(F48+SUM(E$17:E48)=D$10,F48,D$10-SUM(E$17:E48))</f>
        <v>1004994.0771085471</v>
      </c>
      <c r="E49" s="509">
        <f>IF(+I14&lt;F48,I14,D49)</f>
        <v>356072</v>
      </c>
      <c r="F49" s="510">
        <f t="shared" si="10"/>
        <v>648922.07710854709</v>
      </c>
      <c r="G49" s="511">
        <f t="shared" si="11"/>
        <v>445536.51513172657</v>
      </c>
      <c r="H49" s="477">
        <f t="shared" si="12"/>
        <v>445536.51513172657</v>
      </c>
      <c r="I49" s="500">
        <f t="shared" si="1"/>
        <v>0</v>
      </c>
      <c r="J49" s="500"/>
      <c r="K49" s="512"/>
      <c r="L49" s="504">
        <f t="shared" si="3"/>
        <v>0</v>
      </c>
      <c r="M49" s="512"/>
      <c r="N49" s="504">
        <f t="shared" si="5"/>
        <v>0</v>
      </c>
      <c r="O49" s="504">
        <f t="shared" si="6"/>
        <v>0</v>
      </c>
      <c r="P49" s="278"/>
      <c r="R49" s="243"/>
      <c r="S49" s="243"/>
      <c r="T49" s="243"/>
      <c r="U49" s="243"/>
    </row>
    <row r="50" spans="2:21" ht="12.5">
      <c r="B50" s="145" t="str">
        <f t="shared" ref="B50:B73" si="13">IF(D50=F49,"","IU")</f>
        <v/>
      </c>
      <c r="C50" s="495">
        <f>IF(D11="","-",+C49+1)</f>
        <v>2044</v>
      </c>
      <c r="D50" s="508">
        <f>IF(F49+SUM(E$17:E49)=D$10,F49,D$10-SUM(E$17:E49))</f>
        <v>648922.07710854709</v>
      </c>
      <c r="E50" s="509">
        <f>IF(+I14&lt;F49,I14,D50)</f>
        <v>356072</v>
      </c>
      <c r="F50" s="510">
        <f t="shared" ref="F50:F73" si="14">+D50-E50</f>
        <v>292850.07710854709</v>
      </c>
      <c r="G50" s="511">
        <f t="shared" si="11"/>
        <v>407014.8418887881</v>
      </c>
      <c r="H50" s="477">
        <f t="shared" si="12"/>
        <v>407014.8418887881</v>
      </c>
      <c r="I50" s="500">
        <f t="shared" ref="I50:I73" si="15">H50-G50</f>
        <v>0</v>
      </c>
      <c r="J50" s="500"/>
      <c r="K50" s="512"/>
      <c r="L50" s="504">
        <f t="shared" ref="L50:L73" si="16">IF(K50&lt;&gt;0,+G50-K50,0)</f>
        <v>0</v>
      </c>
      <c r="M50" s="512"/>
      <c r="N50" s="504">
        <f t="shared" ref="N50:N73" si="17">IF(M50&lt;&gt;0,+H50-M50,0)</f>
        <v>0</v>
      </c>
      <c r="O50" s="504">
        <f t="shared" ref="O50:O73" si="18">+N50-L50</f>
        <v>0</v>
      </c>
      <c r="P50" s="278"/>
      <c r="R50" s="243"/>
      <c r="S50" s="243"/>
      <c r="T50" s="243"/>
      <c r="U50" s="243"/>
    </row>
    <row r="51" spans="2:21" ht="12.5">
      <c r="B51" s="145" t="str">
        <f t="shared" si="13"/>
        <v/>
      </c>
      <c r="C51" s="495">
        <f>IF(D11="","-",+C50+1)</f>
        <v>2045</v>
      </c>
      <c r="D51" s="508">
        <f>IF(F50+SUM(E$17:E50)=D$10,F50,D$10-SUM(E$17:E50))</f>
        <v>292850.07710854709</v>
      </c>
      <c r="E51" s="509">
        <f>IF(+I14&lt;F50,I14,D51)</f>
        <v>292850.07710854709</v>
      </c>
      <c r="F51" s="510">
        <f t="shared" si="14"/>
        <v>0</v>
      </c>
      <c r="G51" s="511">
        <f t="shared" si="11"/>
        <v>308691.07974220655</v>
      </c>
      <c r="H51" s="477">
        <f t="shared" si="12"/>
        <v>308691.07974220655</v>
      </c>
      <c r="I51" s="500">
        <f t="shared" si="15"/>
        <v>0</v>
      </c>
      <c r="J51" s="500"/>
      <c r="K51" s="512"/>
      <c r="L51" s="504">
        <f t="shared" si="16"/>
        <v>0</v>
      </c>
      <c r="M51" s="512"/>
      <c r="N51" s="504">
        <f t="shared" si="17"/>
        <v>0</v>
      </c>
      <c r="O51" s="504">
        <f t="shared" si="18"/>
        <v>0</v>
      </c>
      <c r="P51" s="278"/>
      <c r="R51" s="243"/>
      <c r="S51" s="243"/>
      <c r="T51" s="243"/>
      <c r="U51" s="243"/>
    </row>
    <row r="52" spans="2:21" ht="12.5">
      <c r="B52" s="145" t="str">
        <f t="shared" si="13"/>
        <v/>
      </c>
      <c r="C52" s="495">
        <f>IF(D11="","-",+C51+1)</f>
        <v>2046</v>
      </c>
      <c r="D52" s="508">
        <f>IF(F51+SUM(E$17:E51)=D$10,F51,D$10-SUM(E$17:E51))</f>
        <v>0</v>
      </c>
      <c r="E52" s="509">
        <f>IF(+I14&lt;F51,I14,D52)</f>
        <v>0</v>
      </c>
      <c r="F52" s="510">
        <f t="shared" si="14"/>
        <v>0</v>
      </c>
      <c r="G52" s="511">
        <f t="shared" si="11"/>
        <v>0</v>
      </c>
      <c r="H52" s="477">
        <f t="shared" si="12"/>
        <v>0</v>
      </c>
      <c r="I52" s="500">
        <f t="shared" si="15"/>
        <v>0</v>
      </c>
      <c r="J52" s="500"/>
      <c r="K52" s="512"/>
      <c r="L52" s="504">
        <f t="shared" si="16"/>
        <v>0</v>
      </c>
      <c r="M52" s="512"/>
      <c r="N52" s="504">
        <f t="shared" si="17"/>
        <v>0</v>
      </c>
      <c r="O52" s="504">
        <f t="shared" si="18"/>
        <v>0</v>
      </c>
      <c r="P52" s="278"/>
      <c r="R52" s="243"/>
      <c r="S52" s="243"/>
      <c r="T52" s="243"/>
      <c r="U52" s="243"/>
    </row>
    <row r="53" spans="2:21" ht="12.5">
      <c r="B53" s="145" t="str">
        <f t="shared" si="13"/>
        <v/>
      </c>
      <c r="C53" s="495">
        <f>IF(D11="","-",+C52+1)</f>
        <v>2047</v>
      </c>
      <c r="D53" s="508">
        <f>IF(F52+SUM(E$17:E52)=D$10,F52,D$10-SUM(E$17:E52))</f>
        <v>0</v>
      </c>
      <c r="E53" s="509">
        <f>IF(+I14&lt;F52,I14,D53)</f>
        <v>0</v>
      </c>
      <c r="F53" s="510">
        <f t="shared" si="14"/>
        <v>0</v>
      </c>
      <c r="G53" s="511">
        <f t="shared" si="11"/>
        <v>0</v>
      </c>
      <c r="H53" s="477">
        <f t="shared" si="12"/>
        <v>0</v>
      </c>
      <c r="I53" s="500">
        <f t="shared" si="15"/>
        <v>0</v>
      </c>
      <c r="J53" s="500"/>
      <c r="K53" s="512"/>
      <c r="L53" s="504">
        <f t="shared" si="16"/>
        <v>0</v>
      </c>
      <c r="M53" s="512"/>
      <c r="N53" s="504">
        <f t="shared" si="17"/>
        <v>0</v>
      </c>
      <c r="O53" s="504">
        <f t="shared" si="18"/>
        <v>0</v>
      </c>
      <c r="P53" s="278"/>
      <c r="R53" s="243"/>
      <c r="S53" s="243"/>
      <c r="T53" s="243"/>
      <c r="U53" s="243"/>
    </row>
    <row r="54" spans="2:21" ht="12.5">
      <c r="B54" s="145" t="str">
        <f t="shared" si="13"/>
        <v/>
      </c>
      <c r="C54" s="495">
        <f>IF(D11="","-",+C53+1)</f>
        <v>2048</v>
      </c>
      <c r="D54" s="508">
        <f>IF(F53+SUM(E$17:E53)=D$10,F53,D$10-SUM(E$17:E53))</f>
        <v>0</v>
      </c>
      <c r="E54" s="509">
        <f>IF(+I14&lt;F53,I14,D54)</f>
        <v>0</v>
      </c>
      <c r="F54" s="510">
        <f t="shared" si="14"/>
        <v>0</v>
      </c>
      <c r="G54" s="511">
        <f t="shared" si="11"/>
        <v>0</v>
      </c>
      <c r="H54" s="477">
        <f t="shared" si="12"/>
        <v>0</v>
      </c>
      <c r="I54" s="500">
        <f t="shared" si="15"/>
        <v>0</v>
      </c>
      <c r="J54" s="500"/>
      <c r="K54" s="512"/>
      <c r="L54" s="504">
        <f t="shared" si="16"/>
        <v>0</v>
      </c>
      <c r="M54" s="512"/>
      <c r="N54" s="504">
        <f t="shared" si="17"/>
        <v>0</v>
      </c>
      <c r="O54" s="504">
        <f t="shared" si="18"/>
        <v>0</v>
      </c>
      <c r="P54" s="278"/>
      <c r="R54" s="243"/>
      <c r="S54" s="243"/>
      <c r="T54" s="243"/>
      <c r="U54" s="243"/>
    </row>
    <row r="55" spans="2:21" ht="12.5">
      <c r="B55" s="145" t="str">
        <f t="shared" si="13"/>
        <v/>
      </c>
      <c r="C55" s="495">
        <f>IF(D11="","-",+C54+1)</f>
        <v>2049</v>
      </c>
      <c r="D55" s="508">
        <f>IF(F54+SUM(E$17:E54)=D$10,F54,D$10-SUM(E$17:E54))</f>
        <v>0</v>
      </c>
      <c r="E55" s="509">
        <f>IF(+I14&lt;F54,I14,D55)</f>
        <v>0</v>
      </c>
      <c r="F55" s="510">
        <f t="shared" si="14"/>
        <v>0</v>
      </c>
      <c r="G55" s="511">
        <f t="shared" si="11"/>
        <v>0</v>
      </c>
      <c r="H55" s="477">
        <f t="shared" si="12"/>
        <v>0</v>
      </c>
      <c r="I55" s="500">
        <f t="shared" si="15"/>
        <v>0</v>
      </c>
      <c r="J55" s="500"/>
      <c r="K55" s="512"/>
      <c r="L55" s="504">
        <f t="shared" si="16"/>
        <v>0</v>
      </c>
      <c r="M55" s="512"/>
      <c r="N55" s="504">
        <f t="shared" si="17"/>
        <v>0</v>
      </c>
      <c r="O55" s="504">
        <f t="shared" si="18"/>
        <v>0</v>
      </c>
      <c r="P55" s="278"/>
      <c r="R55" s="243"/>
      <c r="S55" s="243"/>
      <c r="T55" s="243"/>
      <c r="U55" s="243"/>
    </row>
    <row r="56" spans="2:21" ht="12.5">
      <c r="B56" s="145" t="str">
        <f t="shared" si="13"/>
        <v/>
      </c>
      <c r="C56" s="495">
        <f>IF(D11="","-",+C55+1)</f>
        <v>2050</v>
      </c>
      <c r="D56" s="508">
        <f>IF(F55+SUM(E$17:E55)=D$10,F55,D$10-SUM(E$17:E55))</f>
        <v>0</v>
      </c>
      <c r="E56" s="509">
        <f>IF(+I14&lt;F55,I14,D56)</f>
        <v>0</v>
      </c>
      <c r="F56" s="510">
        <f t="shared" si="14"/>
        <v>0</v>
      </c>
      <c r="G56" s="511">
        <f t="shared" si="11"/>
        <v>0</v>
      </c>
      <c r="H56" s="477">
        <f t="shared" si="12"/>
        <v>0</v>
      </c>
      <c r="I56" s="500">
        <f t="shared" si="15"/>
        <v>0</v>
      </c>
      <c r="J56" s="500"/>
      <c r="K56" s="512"/>
      <c r="L56" s="504">
        <f t="shared" si="16"/>
        <v>0</v>
      </c>
      <c r="M56" s="512"/>
      <c r="N56" s="504">
        <f t="shared" si="17"/>
        <v>0</v>
      </c>
      <c r="O56" s="504">
        <f t="shared" si="18"/>
        <v>0</v>
      </c>
      <c r="P56" s="278"/>
      <c r="R56" s="243"/>
      <c r="S56" s="243"/>
      <c r="T56" s="243"/>
      <c r="U56" s="243"/>
    </row>
    <row r="57" spans="2:21" ht="12.5">
      <c r="B57" s="145" t="str">
        <f t="shared" si="13"/>
        <v/>
      </c>
      <c r="C57" s="495">
        <f>IF(D11="","-",+C56+1)</f>
        <v>2051</v>
      </c>
      <c r="D57" s="508">
        <f>IF(F56+SUM(E$17:E56)=D$10,F56,D$10-SUM(E$17:E56))</f>
        <v>0</v>
      </c>
      <c r="E57" s="509">
        <f>IF(+I14&lt;F56,I14,D57)</f>
        <v>0</v>
      </c>
      <c r="F57" s="510">
        <f t="shared" si="14"/>
        <v>0</v>
      </c>
      <c r="G57" s="511">
        <f t="shared" si="11"/>
        <v>0</v>
      </c>
      <c r="H57" s="477">
        <f t="shared" si="12"/>
        <v>0</v>
      </c>
      <c r="I57" s="500">
        <f t="shared" si="15"/>
        <v>0</v>
      </c>
      <c r="J57" s="500"/>
      <c r="K57" s="512"/>
      <c r="L57" s="504">
        <f t="shared" si="16"/>
        <v>0</v>
      </c>
      <c r="M57" s="512"/>
      <c r="N57" s="504">
        <f t="shared" si="17"/>
        <v>0</v>
      </c>
      <c r="O57" s="504">
        <f t="shared" si="18"/>
        <v>0</v>
      </c>
      <c r="P57" s="278"/>
      <c r="R57" s="243"/>
      <c r="S57" s="243"/>
      <c r="T57" s="243"/>
      <c r="U57" s="243"/>
    </row>
    <row r="58" spans="2:21" ht="12.5">
      <c r="B58" s="145" t="str">
        <f t="shared" si="13"/>
        <v/>
      </c>
      <c r="C58" s="495">
        <f>IF(D11="","-",+C57+1)</f>
        <v>2052</v>
      </c>
      <c r="D58" s="508">
        <f>IF(F57+SUM(E$17:E57)=D$10,F57,D$10-SUM(E$17:E57))</f>
        <v>0</v>
      </c>
      <c r="E58" s="509">
        <f>IF(+I14&lt;F57,I14,D58)</f>
        <v>0</v>
      </c>
      <c r="F58" s="510">
        <f t="shared" si="14"/>
        <v>0</v>
      </c>
      <c r="G58" s="511">
        <f t="shared" si="11"/>
        <v>0</v>
      </c>
      <c r="H58" s="477">
        <f t="shared" si="12"/>
        <v>0</v>
      </c>
      <c r="I58" s="500">
        <f t="shared" si="15"/>
        <v>0</v>
      </c>
      <c r="J58" s="500"/>
      <c r="K58" s="512"/>
      <c r="L58" s="504">
        <f t="shared" si="16"/>
        <v>0</v>
      </c>
      <c r="M58" s="512"/>
      <c r="N58" s="504">
        <f t="shared" si="17"/>
        <v>0</v>
      </c>
      <c r="O58" s="504">
        <f t="shared" si="18"/>
        <v>0</v>
      </c>
      <c r="P58" s="278"/>
      <c r="R58" s="243"/>
      <c r="S58" s="243"/>
      <c r="T58" s="243"/>
      <c r="U58" s="243"/>
    </row>
    <row r="59" spans="2:21" ht="12.5">
      <c r="B59" s="145" t="str">
        <f t="shared" si="13"/>
        <v/>
      </c>
      <c r="C59" s="495">
        <f>IF(D11="","-",+C58+1)</f>
        <v>2053</v>
      </c>
      <c r="D59" s="508">
        <f>IF(F58+SUM(E$17:E58)=D$10,F58,D$10-SUM(E$17:E58))</f>
        <v>0</v>
      </c>
      <c r="E59" s="509">
        <f>IF(+I14&lt;F58,I14,D59)</f>
        <v>0</v>
      </c>
      <c r="F59" s="510">
        <f t="shared" si="14"/>
        <v>0</v>
      </c>
      <c r="G59" s="511">
        <f t="shared" si="11"/>
        <v>0</v>
      </c>
      <c r="H59" s="477">
        <f t="shared" si="12"/>
        <v>0</v>
      </c>
      <c r="I59" s="500">
        <f t="shared" si="15"/>
        <v>0</v>
      </c>
      <c r="J59" s="500"/>
      <c r="K59" s="512"/>
      <c r="L59" s="504">
        <f t="shared" si="16"/>
        <v>0</v>
      </c>
      <c r="M59" s="512"/>
      <c r="N59" s="504">
        <f t="shared" si="17"/>
        <v>0</v>
      </c>
      <c r="O59" s="504">
        <f t="shared" si="18"/>
        <v>0</v>
      </c>
      <c r="P59" s="278"/>
      <c r="R59" s="243"/>
      <c r="S59" s="243"/>
      <c r="T59" s="243"/>
      <c r="U59" s="243"/>
    </row>
    <row r="60" spans="2:21" ht="12.5">
      <c r="B60" s="145" t="str">
        <f t="shared" si="13"/>
        <v/>
      </c>
      <c r="C60" s="495">
        <f>IF(D11="","-",+C59+1)</f>
        <v>2054</v>
      </c>
      <c r="D60" s="508">
        <f>IF(F59+SUM(E$17:E59)=D$10,F59,D$10-SUM(E$17:E59))</f>
        <v>0</v>
      </c>
      <c r="E60" s="509">
        <f>IF(+I14&lt;F59,I14,D60)</f>
        <v>0</v>
      </c>
      <c r="F60" s="510">
        <f t="shared" si="14"/>
        <v>0</v>
      </c>
      <c r="G60" s="511">
        <f t="shared" si="11"/>
        <v>0</v>
      </c>
      <c r="H60" s="477">
        <f t="shared" si="12"/>
        <v>0</v>
      </c>
      <c r="I60" s="500">
        <f t="shared" si="15"/>
        <v>0</v>
      </c>
      <c r="J60" s="500"/>
      <c r="K60" s="512"/>
      <c r="L60" s="504">
        <f t="shared" si="16"/>
        <v>0</v>
      </c>
      <c r="M60" s="512"/>
      <c r="N60" s="504">
        <f t="shared" si="17"/>
        <v>0</v>
      </c>
      <c r="O60" s="504">
        <f t="shared" si="18"/>
        <v>0</v>
      </c>
      <c r="P60" s="278"/>
      <c r="R60" s="243"/>
      <c r="S60" s="243"/>
      <c r="T60" s="243"/>
      <c r="U60" s="243"/>
    </row>
    <row r="61" spans="2:21" ht="12.5">
      <c r="B61" s="145" t="str">
        <f t="shared" si="13"/>
        <v/>
      </c>
      <c r="C61" s="495">
        <f>IF(D11="","-",+C60+1)</f>
        <v>2055</v>
      </c>
      <c r="D61" s="508">
        <f>IF(F60+SUM(E$17:E60)=D$10,F60,D$10-SUM(E$17:E60))</f>
        <v>0</v>
      </c>
      <c r="E61" s="509">
        <f>IF(+I14&lt;F60,I14,D61)</f>
        <v>0</v>
      </c>
      <c r="F61" s="510">
        <f t="shared" si="14"/>
        <v>0</v>
      </c>
      <c r="G61" s="511">
        <f t="shared" si="11"/>
        <v>0</v>
      </c>
      <c r="H61" s="477">
        <f t="shared" si="12"/>
        <v>0</v>
      </c>
      <c r="I61" s="500">
        <f t="shared" si="15"/>
        <v>0</v>
      </c>
      <c r="J61" s="500"/>
      <c r="K61" s="512"/>
      <c r="L61" s="504">
        <f t="shared" si="16"/>
        <v>0</v>
      </c>
      <c r="M61" s="512"/>
      <c r="N61" s="504">
        <f t="shared" si="17"/>
        <v>0</v>
      </c>
      <c r="O61" s="504">
        <f t="shared" si="18"/>
        <v>0</v>
      </c>
      <c r="P61" s="278"/>
      <c r="R61" s="243"/>
      <c r="S61" s="243"/>
      <c r="T61" s="243"/>
      <c r="U61" s="243"/>
    </row>
    <row r="62" spans="2:21" ht="12.5">
      <c r="B62" s="145" t="str">
        <f t="shared" si="13"/>
        <v/>
      </c>
      <c r="C62" s="495">
        <f>IF(D11="","-",+C61+1)</f>
        <v>2056</v>
      </c>
      <c r="D62" s="508">
        <f>IF(F61+SUM(E$17:E61)=D$10,F61,D$10-SUM(E$17:E61))</f>
        <v>0</v>
      </c>
      <c r="E62" s="509">
        <f>IF(+I14&lt;F61,I14,D62)</f>
        <v>0</v>
      </c>
      <c r="F62" s="510">
        <f t="shared" si="14"/>
        <v>0</v>
      </c>
      <c r="G62" s="523">
        <f t="shared" si="11"/>
        <v>0</v>
      </c>
      <c r="H62" s="477">
        <f t="shared" si="12"/>
        <v>0</v>
      </c>
      <c r="I62" s="500">
        <f t="shared" si="15"/>
        <v>0</v>
      </c>
      <c r="J62" s="500"/>
      <c r="K62" s="512"/>
      <c r="L62" s="504">
        <f t="shared" si="16"/>
        <v>0</v>
      </c>
      <c r="M62" s="512"/>
      <c r="N62" s="504">
        <f t="shared" si="17"/>
        <v>0</v>
      </c>
      <c r="O62" s="504">
        <f t="shared" si="18"/>
        <v>0</v>
      </c>
      <c r="P62" s="278"/>
      <c r="R62" s="243"/>
      <c r="S62" s="243"/>
      <c r="T62" s="243"/>
      <c r="U62" s="243"/>
    </row>
    <row r="63" spans="2:21" ht="12.5">
      <c r="B63" s="145" t="str">
        <f t="shared" si="13"/>
        <v/>
      </c>
      <c r="C63" s="495">
        <f>IF(D11="","-",+C62+1)</f>
        <v>2057</v>
      </c>
      <c r="D63" s="508">
        <f>IF(F62+SUM(E$17:E62)=D$10,F62,D$10-SUM(E$17:E62))</f>
        <v>0</v>
      </c>
      <c r="E63" s="509">
        <f>IF(+I14&lt;F62,I14,D63)</f>
        <v>0</v>
      </c>
      <c r="F63" s="510">
        <f t="shared" si="14"/>
        <v>0</v>
      </c>
      <c r="G63" s="523">
        <f t="shared" si="11"/>
        <v>0</v>
      </c>
      <c r="H63" s="477">
        <f t="shared" si="12"/>
        <v>0</v>
      </c>
      <c r="I63" s="500">
        <f t="shared" si="15"/>
        <v>0</v>
      </c>
      <c r="J63" s="500"/>
      <c r="K63" s="512"/>
      <c r="L63" s="504">
        <f t="shared" si="16"/>
        <v>0</v>
      </c>
      <c r="M63" s="512"/>
      <c r="N63" s="504">
        <f t="shared" si="17"/>
        <v>0</v>
      </c>
      <c r="O63" s="504">
        <f t="shared" si="18"/>
        <v>0</v>
      </c>
      <c r="P63" s="278"/>
      <c r="R63" s="243"/>
      <c r="S63" s="243"/>
      <c r="T63" s="243"/>
      <c r="U63" s="243"/>
    </row>
    <row r="64" spans="2:21" ht="12.5">
      <c r="B64" s="145" t="str">
        <f t="shared" si="13"/>
        <v/>
      </c>
      <c r="C64" s="495">
        <f>IF(D11="","-",+C63+1)</f>
        <v>2058</v>
      </c>
      <c r="D64" s="508">
        <f>IF(F63+SUM(E$17:E63)=D$10,F63,D$10-SUM(E$17:E63))</f>
        <v>0</v>
      </c>
      <c r="E64" s="509">
        <f>IF(+I14&lt;F63,I14,D64)</f>
        <v>0</v>
      </c>
      <c r="F64" s="510">
        <f t="shared" si="14"/>
        <v>0</v>
      </c>
      <c r="G64" s="523">
        <f t="shared" si="11"/>
        <v>0</v>
      </c>
      <c r="H64" s="477">
        <f t="shared" si="12"/>
        <v>0</v>
      </c>
      <c r="I64" s="500">
        <f t="shared" si="15"/>
        <v>0</v>
      </c>
      <c r="J64" s="500"/>
      <c r="K64" s="512"/>
      <c r="L64" s="504">
        <f t="shared" si="16"/>
        <v>0</v>
      </c>
      <c r="M64" s="512"/>
      <c r="N64" s="504">
        <f t="shared" si="17"/>
        <v>0</v>
      </c>
      <c r="O64" s="504">
        <f t="shared" si="18"/>
        <v>0</v>
      </c>
      <c r="P64" s="278"/>
      <c r="R64" s="243"/>
      <c r="S64" s="243"/>
      <c r="T64" s="243"/>
      <c r="U64" s="243"/>
    </row>
    <row r="65" spans="2:21" ht="12.5">
      <c r="B65" s="145" t="str">
        <f t="shared" si="13"/>
        <v/>
      </c>
      <c r="C65" s="495">
        <f>IF(D11="","-",+C64+1)</f>
        <v>2059</v>
      </c>
      <c r="D65" s="508">
        <f>IF(F64+SUM(E$17:E64)=D$10,F64,D$10-SUM(E$17:E64))</f>
        <v>0</v>
      </c>
      <c r="E65" s="509">
        <f>IF(+I14&lt;F64,I14,D65)</f>
        <v>0</v>
      </c>
      <c r="F65" s="510">
        <f t="shared" si="14"/>
        <v>0</v>
      </c>
      <c r="G65" s="523">
        <f t="shared" si="11"/>
        <v>0</v>
      </c>
      <c r="H65" s="477">
        <f t="shared" si="12"/>
        <v>0</v>
      </c>
      <c r="I65" s="500">
        <f t="shared" si="15"/>
        <v>0</v>
      </c>
      <c r="J65" s="500"/>
      <c r="K65" s="512"/>
      <c r="L65" s="504">
        <f t="shared" si="16"/>
        <v>0</v>
      </c>
      <c r="M65" s="512"/>
      <c r="N65" s="504">
        <f t="shared" si="17"/>
        <v>0</v>
      </c>
      <c r="O65" s="504">
        <f t="shared" si="18"/>
        <v>0</v>
      </c>
      <c r="P65" s="278"/>
      <c r="R65" s="243"/>
      <c r="S65" s="243"/>
      <c r="T65" s="243"/>
      <c r="U65" s="243"/>
    </row>
    <row r="66" spans="2:21" ht="12.5">
      <c r="B66" s="145" t="str">
        <f t="shared" si="13"/>
        <v/>
      </c>
      <c r="C66" s="495">
        <f>IF(D11="","-",+C65+1)</f>
        <v>2060</v>
      </c>
      <c r="D66" s="508">
        <f>IF(F65+SUM(E$17:E65)=D$10,F65,D$10-SUM(E$17:E65))</f>
        <v>0</v>
      </c>
      <c r="E66" s="509">
        <f>IF(+I14&lt;F65,I14,D66)</f>
        <v>0</v>
      </c>
      <c r="F66" s="510">
        <f t="shared" si="14"/>
        <v>0</v>
      </c>
      <c r="G66" s="523">
        <f t="shared" si="11"/>
        <v>0</v>
      </c>
      <c r="H66" s="477">
        <f t="shared" si="12"/>
        <v>0</v>
      </c>
      <c r="I66" s="500">
        <f t="shared" si="15"/>
        <v>0</v>
      </c>
      <c r="J66" s="500"/>
      <c r="K66" s="512"/>
      <c r="L66" s="504">
        <f t="shared" si="16"/>
        <v>0</v>
      </c>
      <c r="M66" s="512"/>
      <c r="N66" s="504">
        <f t="shared" si="17"/>
        <v>0</v>
      </c>
      <c r="O66" s="504">
        <f t="shared" si="18"/>
        <v>0</v>
      </c>
      <c r="P66" s="278"/>
      <c r="R66" s="243"/>
      <c r="S66" s="243"/>
      <c r="T66" s="243"/>
      <c r="U66" s="243"/>
    </row>
    <row r="67" spans="2:21" ht="12.5">
      <c r="B67" s="145" t="str">
        <f t="shared" si="13"/>
        <v/>
      </c>
      <c r="C67" s="495">
        <f>IF(D11="","-",+C66+1)</f>
        <v>2061</v>
      </c>
      <c r="D67" s="508">
        <f>IF(F66+SUM(E$17:E66)=D$10,F66,D$10-SUM(E$17:E66))</f>
        <v>0</v>
      </c>
      <c r="E67" s="509">
        <f>IF(+I14&lt;F66,I14,D67)</f>
        <v>0</v>
      </c>
      <c r="F67" s="510">
        <f t="shared" si="14"/>
        <v>0</v>
      </c>
      <c r="G67" s="523">
        <f t="shared" si="11"/>
        <v>0</v>
      </c>
      <c r="H67" s="477">
        <f t="shared" si="12"/>
        <v>0</v>
      </c>
      <c r="I67" s="500">
        <f t="shared" si="15"/>
        <v>0</v>
      </c>
      <c r="J67" s="500"/>
      <c r="K67" s="512"/>
      <c r="L67" s="504">
        <f t="shared" si="16"/>
        <v>0</v>
      </c>
      <c r="M67" s="512"/>
      <c r="N67" s="504">
        <f t="shared" si="17"/>
        <v>0</v>
      </c>
      <c r="O67" s="504">
        <f t="shared" si="18"/>
        <v>0</v>
      </c>
      <c r="P67" s="278"/>
      <c r="R67" s="243"/>
      <c r="S67" s="243"/>
      <c r="T67" s="243"/>
      <c r="U67" s="243"/>
    </row>
    <row r="68" spans="2:21" ht="12.5">
      <c r="B68" s="145" t="str">
        <f t="shared" si="13"/>
        <v/>
      </c>
      <c r="C68" s="495">
        <f>IF(D11="","-",+C67+1)</f>
        <v>2062</v>
      </c>
      <c r="D68" s="508">
        <f>IF(F67+SUM(E$17:E67)=D$10,F67,D$10-SUM(E$17:E67))</f>
        <v>0</v>
      </c>
      <c r="E68" s="509">
        <f>IF(+I14&lt;F67,I14,D68)</f>
        <v>0</v>
      </c>
      <c r="F68" s="510">
        <f t="shared" si="14"/>
        <v>0</v>
      </c>
      <c r="G68" s="523">
        <f t="shared" si="11"/>
        <v>0</v>
      </c>
      <c r="H68" s="477">
        <f t="shared" si="12"/>
        <v>0</v>
      </c>
      <c r="I68" s="500">
        <f t="shared" si="15"/>
        <v>0</v>
      </c>
      <c r="J68" s="500"/>
      <c r="K68" s="512"/>
      <c r="L68" s="504">
        <f t="shared" si="16"/>
        <v>0</v>
      </c>
      <c r="M68" s="512"/>
      <c r="N68" s="504">
        <f t="shared" si="17"/>
        <v>0</v>
      </c>
      <c r="O68" s="504">
        <f t="shared" si="18"/>
        <v>0</v>
      </c>
      <c r="P68" s="278"/>
      <c r="R68" s="243"/>
      <c r="S68" s="243"/>
      <c r="T68" s="243"/>
      <c r="U68" s="243"/>
    </row>
    <row r="69" spans="2:21" ht="12.5">
      <c r="B69" s="145" t="str">
        <f t="shared" si="13"/>
        <v/>
      </c>
      <c r="C69" s="495">
        <f>IF(D11="","-",+C68+1)</f>
        <v>2063</v>
      </c>
      <c r="D69" s="508">
        <f>IF(F68+SUM(E$17:E68)=D$10,F68,D$10-SUM(E$17:E68))</f>
        <v>0</v>
      </c>
      <c r="E69" s="509">
        <f>IF(+I14&lt;F68,I14,D69)</f>
        <v>0</v>
      </c>
      <c r="F69" s="510">
        <f t="shared" si="14"/>
        <v>0</v>
      </c>
      <c r="G69" s="523">
        <f t="shared" si="11"/>
        <v>0</v>
      </c>
      <c r="H69" s="477">
        <f t="shared" si="12"/>
        <v>0</v>
      </c>
      <c r="I69" s="500">
        <f t="shared" si="15"/>
        <v>0</v>
      </c>
      <c r="J69" s="500"/>
      <c r="K69" s="512"/>
      <c r="L69" s="504">
        <f t="shared" si="16"/>
        <v>0</v>
      </c>
      <c r="M69" s="512"/>
      <c r="N69" s="504">
        <f t="shared" si="17"/>
        <v>0</v>
      </c>
      <c r="O69" s="504">
        <f t="shared" si="18"/>
        <v>0</v>
      </c>
      <c r="P69" s="278"/>
      <c r="R69" s="243"/>
      <c r="S69" s="243"/>
      <c r="T69" s="243"/>
      <c r="U69" s="243"/>
    </row>
    <row r="70" spans="2:21" ht="12.5">
      <c r="B70" s="145" t="str">
        <f t="shared" si="13"/>
        <v/>
      </c>
      <c r="C70" s="495">
        <f>IF(D11="","-",+C69+1)</f>
        <v>2064</v>
      </c>
      <c r="D70" s="508">
        <f>IF(F69+SUM(E$17:E69)=D$10,F69,D$10-SUM(E$17:E69))</f>
        <v>0</v>
      </c>
      <c r="E70" s="509">
        <f>IF(+I14&lt;F69,I14,D70)</f>
        <v>0</v>
      </c>
      <c r="F70" s="510">
        <f t="shared" si="14"/>
        <v>0</v>
      </c>
      <c r="G70" s="523">
        <f t="shared" si="11"/>
        <v>0</v>
      </c>
      <c r="H70" s="477">
        <f t="shared" si="12"/>
        <v>0</v>
      </c>
      <c r="I70" s="500">
        <f t="shared" si="15"/>
        <v>0</v>
      </c>
      <c r="J70" s="500"/>
      <c r="K70" s="512"/>
      <c r="L70" s="504">
        <f t="shared" si="16"/>
        <v>0</v>
      </c>
      <c r="M70" s="512"/>
      <c r="N70" s="504">
        <f t="shared" si="17"/>
        <v>0</v>
      </c>
      <c r="O70" s="504">
        <f t="shared" si="18"/>
        <v>0</v>
      </c>
      <c r="P70" s="278"/>
      <c r="R70" s="243"/>
      <c r="S70" s="243"/>
      <c r="T70" s="243"/>
      <c r="U70" s="243"/>
    </row>
    <row r="71" spans="2:21" ht="12.5">
      <c r="B71" s="145" t="str">
        <f t="shared" si="13"/>
        <v/>
      </c>
      <c r="C71" s="495">
        <f>IF(D11="","-",+C70+1)</f>
        <v>2065</v>
      </c>
      <c r="D71" s="508">
        <f>IF(F70+SUM(E$17:E70)=D$10,F70,D$10-SUM(E$17:E70))</f>
        <v>0</v>
      </c>
      <c r="E71" s="509">
        <f>IF(+I14&lt;F70,I14,D71)</f>
        <v>0</v>
      </c>
      <c r="F71" s="510">
        <f t="shared" si="14"/>
        <v>0</v>
      </c>
      <c r="G71" s="523">
        <f t="shared" si="11"/>
        <v>0</v>
      </c>
      <c r="H71" s="477">
        <f t="shared" si="12"/>
        <v>0</v>
      </c>
      <c r="I71" s="500">
        <f t="shared" si="15"/>
        <v>0</v>
      </c>
      <c r="J71" s="500"/>
      <c r="K71" s="512"/>
      <c r="L71" s="504">
        <f t="shared" si="16"/>
        <v>0</v>
      </c>
      <c r="M71" s="512"/>
      <c r="N71" s="504">
        <f t="shared" si="17"/>
        <v>0</v>
      </c>
      <c r="O71" s="504">
        <f t="shared" si="18"/>
        <v>0</v>
      </c>
      <c r="P71" s="278"/>
      <c r="R71" s="243"/>
      <c r="S71" s="243"/>
      <c r="T71" s="243"/>
      <c r="U71" s="243"/>
    </row>
    <row r="72" spans="2:21" ht="12.5">
      <c r="B72" s="145" t="str">
        <f t="shared" si="13"/>
        <v/>
      </c>
      <c r="C72" s="495">
        <f>IF(D11="","-",+C71+1)</f>
        <v>2066</v>
      </c>
      <c r="D72" s="508">
        <f>IF(F71+SUM(E$17:E71)=D$10,F71,D$10-SUM(E$17:E71))</f>
        <v>0</v>
      </c>
      <c r="E72" s="509">
        <f>IF(+I14&lt;F71,I14,D72)</f>
        <v>0</v>
      </c>
      <c r="F72" s="510">
        <f t="shared" si="14"/>
        <v>0</v>
      </c>
      <c r="G72" s="523">
        <f t="shared" si="11"/>
        <v>0</v>
      </c>
      <c r="H72" s="477">
        <f t="shared" si="12"/>
        <v>0</v>
      </c>
      <c r="I72" s="500">
        <f t="shared" si="15"/>
        <v>0</v>
      </c>
      <c r="J72" s="500"/>
      <c r="K72" s="512"/>
      <c r="L72" s="504">
        <f t="shared" si="16"/>
        <v>0</v>
      </c>
      <c r="M72" s="512"/>
      <c r="N72" s="504">
        <f t="shared" si="17"/>
        <v>0</v>
      </c>
      <c r="O72" s="504">
        <f t="shared" si="18"/>
        <v>0</v>
      </c>
      <c r="P72" s="278"/>
      <c r="R72" s="243"/>
      <c r="S72" s="243"/>
      <c r="T72" s="243"/>
      <c r="U72" s="243"/>
    </row>
    <row r="73" spans="2:21" ht="13" thickBot="1">
      <c r="B73" s="145" t="str">
        <f t="shared" si="13"/>
        <v/>
      </c>
      <c r="C73" s="524">
        <f>IF(D11="","-",+C72+1)</f>
        <v>2067</v>
      </c>
      <c r="D73" s="525">
        <f>IF(F72+SUM(E$17:E72)=D$10,F72,D$10-SUM(E$17:E72))</f>
        <v>0</v>
      </c>
      <c r="E73" s="526">
        <f>IF(+I14&lt;F72,I14,D73)</f>
        <v>0</v>
      </c>
      <c r="F73" s="527">
        <f t="shared" si="14"/>
        <v>0</v>
      </c>
      <c r="G73" s="528">
        <f t="shared" si="11"/>
        <v>0</v>
      </c>
      <c r="H73" s="458">
        <f t="shared" si="12"/>
        <v>0</v>
      </c>
      <c r="I73" s="529">
        <f t="shared" si="15"/>
        <v>0</v>
      </c>
      <c r="J73" s="500"/>
      <c r="K73" s="530"/>
      <c r="L73" s="531">
        <f t="shared" si="16"/>
        <v>0</v>
      </c>
      <c r="M73" s="530"/>
      <c r="N73" s="531">
        <f t="shared" si="17"/>
        <v>0</v>
      </c>
      <c r="O73" s="531">
        <f t="shared" si="18"/>
        <v>0</v>
      </c>
      <c r="P73" s="278"/>
      <c r="R73" s="243"/>
      <c r="S73" s="243"/>
      <c r="T73" s="243"/>
      <c r="U73" s="243"/>
    </row>
    <row r="74" spans="2:21" ht="12.5">
      <c r="C74" s="349" t="s">
        <v>75</v>
      </c>
      <c r="D74" s="294"/>
      <c r="E74" s="294">
        <f>SUM(E17:E73)</f>
        <v>11038232</v>
      </c>
      <c r="F74" s="294"/>
      <c r="G74" s="294">
        <f>SUM(G17:G73)</f>
        <v>34445759.701566353</v>
      </c>
      <c r="H74" s="294">
        <f>SUM(H17:H73)</f>
        <v>34445759.701566353</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4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1296634.8001552834</v>
      </c>
      <c r="N88" s="544">
        <f>IF(J93&lt;D11,0,VLOOKUP(J93,C17:O73,11))</f>
        <v>1296634.8001552834</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1320938.9804438266</v>
      </c>
      <c r="N89" s="548">
        <f>IF(J93&lt;D11,0,VLOOKUP(J93,C100:P155,7))</f>
        <v>1320938.9804438266</v>
      </c>
      <c r="O89" s="549">
        <f>+N89-M89</f>
        <v>0</v>
      </c>
      <c r="P89" s="243"/>
      <c r="Q89" s="243"/>
      <c r="R89" s="243"/>
      <c r="S89" s="243"/>
      <c r="T89" s="243"/>
      <c r="U89" s="243"/>
    </row>
    <row r="90" spans="1:21" ht="13.5" thickBot="1">
      <c r="C90" s="454" t="s">
        <v>82</v>
      </c>
      <c r="D90" s="550" t="str">
        <f>+D7</f>
        <v xml:space="preserve">Bartlesville SE to Coffeyville T Rebuild </v>
      </c>
      <c r="E90" s="243"/>
      <c r="F90" s="243"/>
      <c r="G90" s="243"/>
      <c r="H90" s="243"/>
      <c r="I90" s="325"/>
      <c r="J90" s="325"/>
      <c r="K90" s="551"/>
      <c r="L90" s="552" t="s">
        <v>135</v>
      </c>
      <c r="M90" s="553">
        <f>+M89-M88</f>
        <v>24304.180288543226</v>
      </c>
      <c r="N90" s="553">
        <f>+N89-N88</f>
        <v>24304.180288543226</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TP2008079</v>
      </c>
      <c r="E92" s="558"/>
      <c r="F92" s="558"/>
      <c r="G92" s="558"/>
      <c r="H92" s="558"/>
      <c r="I92" s="558"/>
      <c r="J92" s="558"/>
      <c r="K92" s="560"/>
      <c r="P92" s="468"/>
      <c r="Q92" s="243"/>
      <c r="R92" s="243"/>
      <c r="S92" s="243"/>
      <c r="T92" s="243"/>
      <c r="U92" s="243"/>
    </row>
    <row r="93" spans="1:21" ht="13">
      <c r="C93" s="472" t="s">
        <v>49</v>
      </c>
      <c r="D93" s="598">
        <f>D10</f>
        <v>11038232</v>
      </c>
      <c r="E93" s="248" t="s">
        <v>84</v>
      </c>
      <c r="H93" s="408"/>
      <c r="I93" s="408"/>
      <c r="J93" s="471">
        <f>+'OKT.WS.G.BPU.ATRR.True-up'!M16</f>
        <v>2019</v>
      </c>
      <c r="K93" s="467"/>
      <c r="L93" s="294" t="s">
        <v>85</v>
      </c>
      <c r="P93" s="278"/>
      <c r="Q93" s="243"/>
      <c r="R93" s="243"/>
      <c r="S93" s="243"/>
      <c r="T93" s="243"/>
      <c r="U93" s="243"/>
    </row>
    <row r="94" spans="1:21" ht="12.5">
      <c r="C94" s="472" t="s">
        <v>52</v>
      </c>
      <c r="D94" s="561">
        <f>IF(D11=I10,"",D11)</f>
        <v>2011</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IF(D11=I10,"",D12)</f>
        <v>6</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334491.87878787878</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599" t="s">
        <v>74</v>
      </c>
      <c r="M99" s="599" t="s">
        <v>74</v>
      </c>
      <c r="N99" s="599" t="s">
        <v>94</v>
      </c>
      <c r="O99" s="599" t="s">
        <v>94</v>
      </c>
      <c r="P99" s="599" t="s">
        <v>94</v>
      </c>
      <c r="Q99" s="243"/>
      <c r="R99" s="243"/>
      <c r="S99" s="243"/>
      <c r="T99" s="243"/>
      <c r="U99" s="243"/>
    </row>
    <row r="100" spans="1:21" ht="12.5">
      <c r="B100" s="145" t="str">
        <f t="shared" ref="B100:B131" si="19">IF(D100=F99,"","IU")</f>
        <v>IU</v>
      </c>
      <c r="C100" s="495">
        <f>IF(D94= "","-",D94)</f>
        <v>2011</v>
      </c>
      <c r="D100" s="496">
        <v>0</v>
      </c>
      <c r="E100" s="498">
        <v>101638.13793103448</v>
      </c>
      <c r="F100" s="505">
        <v>11688385.862068966</v>
      </c>
      <c r="G100" s="571">
        <v>5844192.931034483</v>
      </c>
      <c r="H100" s="571">
        <v>536168.05303368822</v>
      </c>
      <c r="I100" s="571">
        <v>536168.05303368822</v>
      </c>
      <c r="J100" s="504">
        <v>0</v>
      </c>
      <c r="K100" s="588"/>
      <c r="L100" s="600">
        <f t="shared" ref="L100:L105" si="20">H100</f>
        <v>536168.05303368822</v>
      </c>
      <c r="M100" s="521">
        <f t="shared" ref="M100:M131" si="21">IF(L100&lt;&gt;0,+H100-L100,0)</f>
        <v>0</v>
      </c>
      <c r="N100" s="601">
        <f t="shared" ref="N100:N105" si="22">I100</f>
        <v>536168.05303368822</v>
      </c>
      <c r="O100" s="602">
        <f t="shared" ref="O100:O131" si="23">IF(N100&lt;&gt;0,+I100-N100,0)</f>
        <v>0</v>
      </c>
      <c r="P100" s="603">
        <f t="shared" ref="P100:P131" si="24">+O100-M100</f>
        <v>0</v>
      </c>
      <c r="Q100" s="243"/>
      <c r="R100" s="243"/>
      <c r="S100" s="243"/>
      <c r="T100" s="243"/>
      <c r="U100" s="243"/>
    </row>
    <row r="101" spans="1:21" ht="12.5">
      <c r="B101" s="145" t="str">
        <f t="shared" si="19"/>
        <v>IU</v>
      </c>
      <c r="C101" s="495">
        <f>IF(D94="","-",+C100+1)</f>
        <v>2012</v>
      </c>
      <c r="D101" s="496">
        <v>11641161.862068966</v>
      </c>
      <c r="E101" s="498">
        <v>202462.06896551725</v>
      </c>
      <c r="F101" s="505">
        <v>11438699.793103449</v>
      </c>
      <c r="G101" s="505">
        <v>11539930.827586208</v>
      </c>
      <c r="H101" s="498">
        <v>1372027.6470996495</v>
      </c>
      <c r="I101" s="499">
        <v>1372027.6470996495</v>
      </c>
      <c r="J101" s="504">
        <v>0</v>
      </c>
      <c r="K101" s="588"/>
      <c r="L101" s="592">
        <f t="shared" si="20"/>
        <v>1372027.6470996495</v>
      </c>
      <c r="M101" s="504">
        <f t="shared" ref="M101:M106" si="25">IF(L101&lt;&gt;0,+H101-L101,0)</f>
        <v>0</v>
      </c>
      <c r="N101" s="506">
        <f t="shared" si="22"/>
        <v>1372027.6470996495</v>
      </c>
      <c r="O101" s="350">
        <f>IF(N101&lt;&gt;0,+I101-N101,0)</f>
        <v>0</v>
      </c>
      <c r="P101" s="594">
        <f>+O101-M101</f>
        <v>0</v>
      </c>
      <c r="Q101" s="243"/>
      <c r="R101" s="243"/>
      <c r="S101" s="243"/>
      <c r="T101" s="243"/>
      <c r="U101" s="243"/>
    </row>
    <row r="102" spans="1:21" ht="12.5">
      <c r="B102" s="145" t="str">
        <f t="shared" si="19"/>
        <v/>
      </c>
      <c r="C102" s="495">
        <f>IF(D94="","-",+C101+1)</f>
        <v>2013</v>
      </c>
      <c r="D102" s="496">
        <v>11438699.793103449</v>
      </c>
      <c r="E102" s="498">
        <v>202462.06896551725</v>
      </c>
      <c r="F102" s="505">
        <v>11236237.724137932</v>
      </c>
      <c r="G102" s="505">
        <v>11337468.758620691</v>
      </c>
      <c r="H102" s="498">
        <v>1491078.2600060694</v>
      </c>
      <c r="I102" s="499">
        <v>1491078.2600060694</v>
      </c>
      <c r="J102" s="504">
        <v>0</v>
      </c>
      <c r="K102" s="504"/>
      <c r="L102" s="592">
        <f t="shared" si="20"/>
        <v>1491078.2600060694</v>
      </c>
      <c r="M102" s="504">
        <f t="shared" si="25"/>
        <v>0</v>
      </c>
      <c r="N102" s="506">
        <f t="shared" si="22"/>
        <v>1491078.2600060694</v>
      </c>
      <c r="O102" s="350">
        <f>IF(N102&lt;&gt;0,+I102-N102,0)</f>
        <v>0</v>
      </c>
      <c r="P102" s="594">
        <f>+O102-M102</f>
        <v>0</v>
      </c>
      <c r="Q102" s="243"/>
      <c r="R102" s="243"/>
      <c r="S102" s="243"/>
      <c r="T102" s="243"/>
      <c r="U102" s="243"/>
    </row>
    <row r="103" spans="1:21" ht="12.5">
      <c r="B103" s="145" t="str">
        <f t="shared" si="19"/>
        <v/>
      </c>
      <c r="C103" s="495">
        <f>IF(D94="","-",+C102+1)</f>
        <v>2014</v>
      </c>
      <c r="D103" s="496">
        <v>11236237.724137932</v>
      </c>
      <c r="E103" s="498">
        <v>202462.06896551725</v>
      </c>
      <c r="F103" s="505">
        <v>11033775.655172415</v>
      </c>
      <c r="G103" s="505">
        <v>11135006.689655174</v>
      </c>
      <c r="H103" s="498">
        <v>1399958.856395772</v>
      </c>
      <c r="I103" s="499">
        <v>1399958.856395772</v>
      </c>
      <c r="J103" s="504">
        <v>0</v>
      </c>
      <c r="K103" s="504"/>
      <c r="L103" s="592">
        <f t="shared" si="20"/>
        <v>1399958.856395772</v>
      </c>
      <c r="M103" s="504">
        <f t="shared" si="25"/>
        <v>0</v>
      </c>
      <c r="N103" s="506">
        <f t="shared" si="22"/>
        <v>1399958.856395772</v>
      </c>
      <c r="O103" s="350">
        <f>IF(N103&lt;&gt;0,+I103-N103,0)</f>
        <v>0</v>
      </c>
      <c r="P103" s="594">
        <f>+O103-M103</f>
        <v>0</v>
      </c>
      <c r="Q103" s="243"/>
      <c r="R103" s="243"/>
      <c r="S103" s="243"/>
      <c r="T103" s="243"/>
      <c r="U103" s="243"/>
    </row>
    <row r="104" spans="1:21" ht="12.5">
      <c r="B104" s="145" t="str">
        <f t="shared" si="19"/>
        <v>IU</v>
      </c>
      <c r="C104" s="495">
        <f>IF(D94="","-",+C103+1)</f>
        <v>2015</v>
      </c>
      <c r="D104" s="496">
        <v>10329207.655172413</v>
      </c>
      <c r="E104" s="498">
        <v>229963.16666666666</v>
      </c>
      <c r="F104" s="505">
        <v>10099244.488505747</v>
      </c>
      <c r="G104" s="505">
        <v>10214226.071839079</v>
      </c>
      <c r="H104" s="498">
        <v>1367107.118762597</v>
      </c>
      <c r="I104" s="499">
        <v>1367107.118762597</v>
      </c>
      <c r="J104" s="504">
        <v>0</v>
      </c>
      <c r="K104" s="504"/>
      <c r="L104" s="592">
        <f t="shared" si="20"/>
        <v>1367107.118762597</v>
      </c>
      <c r="M104" s="504">
        <f t="shared" si="25"/>
        <v>0</v>
      </c>
      <c r="N104" s="506">
        <f t="shared" si="22"/>
        <v>1367107.118762597</v>
      </c>
      <c r="O104" s="500">
        <f t="shared" si="23"/>
        <v>0</v>
      </c>
      <c r="P104" s="504">
        <f t="shared" si="24"/>
        <v>0</v>
      </c>
      <c r="Q104" s="243"/>
      <c r="R104" s="243"/>
      <c r="S104" s="243"/>
      <c r="T104" s="243"/>
      <c r="U104" s="243"/>
    </row>
    <row r="105" spans="1:21" ht="12.5">
      <c r="B105" s="145" t="str">
        <f t="shared" si="19"/>
        <v/>
      </c>
      <c r="C105" s="495">
        <f>IF(D94="","-",+C104+1)</f>
        <v>2016</v>
      </c>
      <c r="D105" s="496">
        <v>10099244.488505747</v>
      </c>
      <c r="E105" s="498">
        <v>216435.92156862744</v>
      </c>
      <c r="F105" s="505">
        <v>9882808.5669371206</v>
      </c>
      <c r="G105" s="505">
        <v>9991026.5277214348</v>
      </c>
      <c r="H105" s="498">
        <v>1299158.0653771381</v>
      </c>
      <c r="I105" s="499">
        <v>1299158.0653771381</v>
      </c>
      <c r="J105" s="504">
        <f t="shared" ref="J105:J131" si="26">+I105-H105</f>
        <v>0</v>
      </c>
      <c r="K105" s="504"/>
      <c r="L105" s="592">
        <f t="shared" si="20"/>
        <v>1299158.0653771381</v>
      </c>
      <c r="M105" s="504">
        <f t="shared" si="25"/>
        <v>0</v>
      </c>
      <c r="N105" s="506">
        <f t="shared" si="22"/>
        <v>1299158.0653771381</v>
      </c>
      <c r="O105" s="500">
        <f>IF(N105&lt;&gt;0,+I105-N105,0)</f>
        <v>0</v>
      </c>
      <c r="P105" s="504">
        <f>+O105-M105</f>
        <v>0</v>
      </c>
      <c r="Q105" s="243"/>
      <c r="R105" s="243"/>
      <c r="S105" s="243"/>
      <c r="T105" s="243"/>
      <c r="U105" s="243"/>
    </row>
    <row r="106" spans="1:21" ht="12.5">
      <c r="B106" s="145" t="str">
        <f t="shared" si="19"/>
        <v/>
      </c>
      <c r="C106" s="495">
        <f>IF(D94="","-",+C105+1)</f>
        <v>2017</v>
      </c>
      <c r="D106" s="496">
        <v>9882808.5669371206</v>
      </c>
      <c r="E106" s="498">
        <v>275955.8</v>
      </c>
      <c r="F106" s="505">
        <v>9606852.7669371199</v>
      </c>
      <c r="G106" s="505">
        <v>9744830.6669371203</v>
      </c>
      <c r="H106" s="498">
        <v>1419373.9279001462</v>
      </c>
      <c r="I106" s="499">
        <v>1419373.9279001462</v>
      </c>
      <c r="J106" s="504">
        <v>0</v>
      </c>
      <c r="K106" s="504"/>
      <c r="L106" s="592">
        <f>H106</f>
        <v>1419373.9279001462</v>
      </c>
      <c r="M106" s="504">
        <f t="shared" si="25"/>
        <v>0</v>
      </c>
      <c r="N106" s="506">
        <f>I106</f>
        <v>1419373.9279001462</v>
      </c>
      <c r="O106" s="500">
        <f>IF(N106&lt;&gt;0,+I106-N106,0)</f>
        <v>0</v>
      </c>
      <c r="P106" s="504">
        <f>+O106-M106</f>
        <v>0</v>
      </c>
      <c r="Q106" s="243"/>
      <c r="R106" s="243"/>
      <c r="S106" s="243"/>
      <c r="T106" s="243"/>
      <c r="U106" s="243"/>
    </row>
    <row r="107" spans="1:21" ht="12.5">
      <c r="B107" s="145" t="str">
        <f t="shared" si="19"/>
        <v/>
      </c>
      <c r="C107" s="495">
        <f>IF(D94="","-",+C106+1)</f>
        <v>2018</v>
      </c>
      <c r="D107" s="496">
        <v>9606852.7669371199</v>
      </c>
      <c r="E107" s="498">
        <v>306617.55555555556</v>
      </c>
      <c r="F107" s="505">
        <v>9300235.2113815639</v>
      </c>
      <c r="G107" s="505">
        <v>9453543.9891593419</v>
      </c>
      <c r="H107" s="498">
        <v>1304556.8117171286</v>
      </c>
      <c r="I107" s="499">
        <v>1304556.8117171286</v>
      </c>
      <c r="J107" s="504">
        <f t="shared" si="26"/>
        <v>0</v>
      </c>
      <c r="K107" s="504"/>
      <c r="L107" s="592">
        <f>H107</f>
        <v>1304556.8117171286</v>
      </c>
      <c r="M107" s="504">
        <f t="shared" ref="M107" si="27">IF(L107&lt;&gt;0,+H107-L107,0)</f>
        <v>0</v>
      </c>
      <c r="N107" s="506">
        <f>I107</f>
        <v>1304556.8117171286</v>
      </c>
      <c r="O107" s="500">
        <f>IF(N107&lt;&gt;0,+I107-N107,0)</f>
        <v>0</v>
      </c>
      <c r="P107" s="504">
        <f>+O107-M107</f>
        <v>0</v>
      </c>
      <c r="Q107" s="243"/>
      <c r="R107" s="243"/>
      <c r="S107" s="243"/>
      <c r="T107" s="243"/>
      <c r="U107" s="243"/>
    </row>
    <row r="108" spans="1:21" ht="12.5">
      <c r="B108" s="145" t="str">
        <f t="shared" si="19"/>
        <v/>
      </c>
      <c r="C108" s="495">
        <f>IF(D94="","-",+C107+1)</f>
        <v>2019</v>
      </c>
      <c r="D108" s="349">
        <f>IF(F107+SUM(E$100:E107)=D$93,F107,D$93-SUM(E$100:E107))</f>
        <v>9300235.2113815639</v>
      </c>
      <c r="E108" s="509">
        <f>IF(+J97&lt;F107,J97,D108)</f>
        <v>334491.87878787878</v>
      </c>
      <c r="F108" s="510">
        <f t="shared" ref="F108:F132" si="28">+D108-E108</f>
        <v>8965743.332593685</v>
      </c>
      <c r="G108" s="510">
        <f t="shared" ref="G108:G131" si="29">+(F108+D108)/2</f>
        <v>9132989.2719876245</v>
      </c>
      <c r="H108" s="523">
        <f t="shared" ref="H108:H131" si="30">+J$95*G108+E108</f>
        <v>1320938.9804438266</v>
      </c>
      <c r="I108" s="572">
        <f t="shared" ref="I108:I131" si="31">+J$96*G108+E108</f>
        <v>1320938.9804438266</v>
      </c>
      <c r="J108" s="504">
        <f t="shared" si="26"/>
        <v>0</v>
      </c>
      <c r="K108" s="504"/>
      <c r="L108" s="512"/>
      <c r="M108" s="504">
        <f t="shared" si="21"/>
        <v>0</v>
      </c>
      <c r="N108" s="512"/>
      <c r="O108" s="504">
        <f t="shared" si="23"/>
        <v>0</v>
      </c>
      <c r="P108" s="504">
        <f t="shared" si="24"/>
        <v>0</v>
      </c>
      <c r="Q108" s="243"/>
      <c r="R108" s="243"/>
      <c r="S108" s="243"/>
      <c r="T108" s="243"/>
      <c r="U108" s="243"/>
    </row>
    <row r="109" spans="1:21" ht="12.5">
      <c r="B109" s="145" t="str">
        <f t="shared" si="19"/>
        <v/>
      </c>
      <c r="C109" s="495">
        <f>IF(D94="","-",+C108+1)</f>
        <v>2020</v>
      </c>
      <c r="D109" s="349">
        <f>IF(F108+SUM(E$100:E108)=D$93,F108,D$93-SUM(E$100:E108))</f>
        <v>8965743.332593685</v>
      </c>
      <c r="E109" s="509">
        <f>IF(+J97&lt;F108,J97,D109)</f>
        <v>334491.87878787878</v>
      </c>
      <c r="F109" s="510">
        <f t="shared" si="28"/>
        <v>8631251.4538058061</v>
      </c>
      <c r="G109" s="510">
        <f t="shared" si="29"/>
        <v>8798497.3931997456</v>
      </c>
      <c r="H109" s="523">
        <f t="shared" si="30"/>
        <v>1284810.7715374839</v>
      </c>
      <c r="I109" s="572">
        <f t="shared" si="31"/>
        <v>1284810.7715374839</v>
      </c>
      <c r="J109" s="504">
        <f t="shared" si="26"/>
        <v>0</v>
      </c>
      <c r="K109" s="504"/>
      <c r="L109" s="512"/>
      <c r="M109" s="504">
        <f t="shared" si="21"/>
        <v>0</v>
      </c>
      <c r="N109" s="512"/>
      <c r="O109" s="504">
        <f t="shared" si="23"/>
        <v>0</v>
      </c>
      <c r="P109" s="504">
        <f t="shared" si="24"/>
        <v>0</v>
      </c>
      <c r="Q109" s="243"/>
      <c r="R109" s="243"/>
      <c r="S109" s="243"/>
      <c r="T109" s="243"/>
      <c r="U109" s="243"/>
    </row>
    <row r="110" spans="1:21" ht="12.5">
      <c r="B110" s="145" t="str">
        <f t="shared" si="19"/>
        <v/>
      </c>
      <c r="C110" s="495">
        <f>IF(D94="","-",+C109+1)</f>
        <v>2021</v>
      </c>
      <c r="D110" s="349">
        <f>IF(F109+SUM(E$100:E109)=D$93,F109,D$93-SUM(E$100:E109))</f>
        <v>8631251.4538058061</v>
      </c>
      <c r="E110" s="509">
        <f>IF(+J97&lt;F109,J97,D110)</f>
        <v>334491.87878787878</v>
      </c>
      <c r="F110" s="510">
        <f t="shared" si="28"/>
        <v>8296759.5750179272</v>
      </c>
      <c r="G110" s="510">
        <f t="shared" si="29"/>
        <v>8464005.5144118667</v>
      </c>
      <c r="H110" s="523">
        <f t="shared" si="30"/>
        <v>1248682.5626311412</v>
      </c>
      <c r="I110" s="572">
        <f t="shared" si="31"/>
        <v>1248682.5626311412</v>
      </c>
      <c r="J110" s="504">
        <f t="shared" si="26"/>
        <v>0</v>
      </c>
      <c r="K110" s="504"/>
      <c r="L110" s="512"/>
      <c r="M110" s="504">
        <f t="shared" si="21"/>
        <v>0</v>
      </c>
      <c r="N110" s="512"/>
      <c r="O110" s="504">
        <f t="shared" si="23"/>
        <v>0</v>
      </c>
      <c r="P110" s="504">
        <f t="shared" si="24"/>
        <v>0</v>
      </c>
      <c r="Q110" s="243"/>
      <c r="R110" s="243"/>
      <c r="S110" s="243"/>
      <c r="T110" s="243"/>
      <c r="U110" s="243"/>
    </row>
    <row r="111" spans="1:21" ht="12.5">
      <c r="B111" s="145" t="str">
        <f t="shared" si="19"/>
        <v/>
      </c>
      <c r="C111" s="495">
        <f>IF(D94="","-",+C110+1)</f>
        <v>2022</v>
      </c>
      <c r="D111" s="349">
        <f>IF(F110+SUM(E$100:E110)=D$93,F110,D$93-SUM(E$100:E110))</f>
        <v>8296759.5750179272</v>
      </c>
      <c r="E111" s="509">
        <f>IF(+J97&lt;F110,J97,D111)</f>
        <v>334491.87878787878</v>
      </c>
      <c r="F111" s="510">
        <f t="shared" si="28"/>
        <v>7962267.6962300483</v>
      </c>
      <c r="G111" s="510">
        <f t="shared" si="29"/>
        <v>8129513.6356239878</v>
      </c>
      <c r="H111" s="523">
        <f t="shared" si="30"/>
        <v>1212554.3537247984</v>
      </c>
      <c r="I111" s="572">
        <f t="shared" si="31"/>
        <v>1212554.3537247984</v>
      </c>
      <c r="J111" s="504">
        <f t="shared" si="26"/>
        <v>0</v>
      </c>
      <c r="K111" s="504"/>
      <c r="L111" s="512"/>
      <c r="M111" s="504">
        <f t="shared" si="21"/>
        <v>0</v>
      </c>
      <c r="N111" s="512"/>
      <c r="O111" s="504">
        <f t="shared" si="23"/>
        <v>0</v>
      </c>
      <c r="P111" s="504">
        <f t="shared" si="24"/>
        <v>0</v>
      </c>
      <c r="Q111" s="243"/>
      <c r="R111" s="243"/>
      <c r="S111" s="243"/>
      <c r="T111" s="243"/>
      <c r="U111" s="243"/>
    </row>
    <row r="112" spans="1:21" ht="12.5">
      <c r="B112" s="145" t="str">
        <f t="shared" si="19"/>
        <v/>
      </c>
      <c r="C112" s="495">
        <f>IF(D94="","-",+C111+1)</f>
        <v>2023</v>
      </c>
      <c r="D112" s="349">
        <f>IF(F111+SUM(E$100:E111)=D$93,F111,D$93-SUM(E$100:E111))</f>
        <v>7962267.6962300483</v>
      </c>
      <c r="E112" s="509">
        <f>IF(+J97&lt;F111,J97,D112)</f>
        <v>334491.87878787878</v>
      </c>
      <c r="F112" s="510">
        <f t="shared" si="28"/>
        <v>7627775.8174421694</v>
      </c>
      <c r="G112" s="510">
        <f t="shared" si="29"/>
        <v>7795021.7568361089</v>
      </c>
      <c r="H112" s="523">
        <f t="shared" si="30"/>
        <v>1176426.1448184559</v>
      </c>
      <c r="I112" s="572">
        <f t="shared" si="31"/>
        <v>1176426.1448184559</v>
      </c>
      <c r="J112" s="504">
        <f t="shared" si="26"/>
        <v>0</v>
      </c>
      <c r="K112" s="504"/>
      <c r="L112" s="512"/>
      <c r="M112" s="504">
        <f t="shared" si="21"/>
        <v>0</v>
      </c>
      <c r="N112" s="512"/>
      <c r="O112" s="504">
        <f t="shared" si="23"/>
        <v>0</v>
      </c>
      <c r="P112" s="504">
        <f t="shared" si="24"/>
        <v>0</v>
      </c>
      <c r="Q112" s="243"/>
      <c r="R112" s="243"/>
      <c r="S112" s="243"/>
      <c r="T112" s="243"/>
      <c r="U112" s="243"/>
    </row>
    <row r="113" spans="2:21" ht="12.5">
      <c r="B113" s="145" t="str">
        <f t="shared" si="19"/>
        <v/>
      </c>
      <c r="C113" s="495">
        <f>IF(D94="","-",+C112+1)</f>
        <v>2024</v>
      </c>
      <c r="D113" s="349">
        <f>IF(F112+SUM(E$100:E112)=D$93,F112,D$93-SUM(E$100:E112))</f>
        <v>7627775.8174421694</v>
      </c>
      <c r="E113" s="509">
        <f>IF(+J97&lt;F112,J97,D113)</f>
        <v>334491.87878787878</v>
      </c>
      <c r="F113" s="510">
        <f t="shared" si="28"/>
        <v>7293283.9386542905</v>
      </c>
      <c r="G113" s="510">
        <f t="shared" si="29"/>
        <v>7460529.87804823</v>
      </c>
      <c r="H113" s="523">
        <f t="shared" si="30"/>
        <v>1140297.9359121132</v>
      </c>
      <c r="I113" s="572">
        <f t="shared" si="31"/>
        <v>1140297.9359121132</v>
      </c>
      <c r="J113" s="504">
        <f t="shared" si="26"/>
        <v>0</v>
      </c>
      <c r="K113" s="504"/>
      <c r="L113" s="512"/>
      <c r="M113" s="504">
        <f t="shared" si="21"/>
        <v>0</v>
      </c>
      <c r="N113" s="512"/>
      <c r="O113" s="504">
        <f t="shared" si="23"/>
        <v>0</v>
      </c>
      <c r="P113" s="504">
        <f t="shared" si="24"/>
        <v>0</v>
      </c>
      <c r="Q113" s="243"/>
      <c r="R113" s="243"/>
      <c r="S113" s="243"/>
      <c r="T113" s="243"/>
      <c r="U113" s="243"/>
    </row>
    <row r="114" spans="2:21" ht="12.5">
      <c r="B114" s="145" t="str">
        <f t="shared" si="19"/>
        <v/>
      </c>
      <c r="C114" s="495">
        <f>IF(D94="","-",+C113+1)</f>
        <v>2025</v>
      </c>
      <c r="D114" s="349">
        <f>IF(F113+SUM(E$100:E113)=D$93,F113,D$93-SUM(E$100:E113))</f>
        <v>7293283.9386542905</v>
      </c>
      <c r="E114" s="509">
        <f>IF(+J97&lt;F113,J97,D114)</f>
        <v>334491.87878787878</v>
      </c>
      <c r="F114" s="510">
        <f t="shared" si="28"/>
        <v>6958792.0598664116</v>
      </c>
      <c r="G114" s="510">
        <f t="shared" si="29"/>
        <v>7126037.9992603511</v>
      </c>
      <c r="H114" s="523">
        <f t="shared" si="30"/>
        <v>1104169.7270057704</v>
      </c>
      <c r="I114" s="572">
        <f t="shared" si="31"/>
        <v>1104169.7270057704</v>
      </c>
      <c r="J114" s="504">
        <f t="shared" si="26"/>
        <v>0</v>
      </c>
      <c r="K114" s="504"/>
      <c r="L114" s="512"/>
      <c r="M114" s="504">
        <f t="shared" si="21"/>
        <v>0</v>
      </c>
      <c r="N114" s="512"/>
      <c r="O114" s="504">
        <f t="shared" si="23"/>
        <v>0</v>
      </c>
      <c r="P114" s="504">
        <f t="shared" si="24"/>
        <v>0</v>
      </c>
      <c r="Q114" s="243"/>
      <c r="R114" s="243"/>
      <c r="S114" s="243"/>
      <c r="T114" s="243"/>
      <c r="U114" s="243"/>
    </row>
    <row r="115" spans="2:21" ht="12.5">
      <c r="B115" s="145" t="str">
        <f t="shared" si="19"/>
        <v/>
      </c>
      <c r="C115" s="495">
        <f>IF(D94="","-",+C114+1)</f>
        <v>2026</v>
      </c>
      <c r="D115" s="349">
        <f>IF(F114+SUM(E$100:E114)=D$93,F114,D$93-SUM(E$100:E114))</f>
        <v>6958792.0598664116</v>
      </c>
      <c r="E115" s="509">
        <f>IF(+J97&lt;F114,J97,D115)</f>
        <v>334491.87878787878</v>
      </c>
      <c r="F115" s="510">
        <f t="shared" si="28"/>
        <v>6624300.1810785327</v>
      </c>
      <c r="G115" s="510">
        <f t="shared" si="29"/>
        <v>6791546.1204724722</v>
      </c>
      <c r="H115" s="523">
        <f t="shared" si="30"/>
        <v>1068041.5180994277</v>
      </c>
      <c r="I115" s="572">
        <f t="shared" si="31"/>
        <v>1068041.5180994277</v>
      </c>
      <c r="J115" s="504">
        <f t="shared" si="26"/>
        <v>0</v>
      </c>
      <c r="K115" s="504"/>
      <c r="L115" s="512"/>
      <c r="M115" s="504">
        <f t="shared" si="21"/>
        <v>0</v>
      </c>
      <c r="N115" s="512"/>
      <c r="O115" s="504">
        <f t="shared" si="23"/>
        <v>0</v>
      </c>
      <c r="P115" s="504">
        <f t="shared" si="24"/>
        <v>0</v>
      </c>
      <c r="Q115" s="243"/>
      <c r="R115" s="243"/>
      <c r="S115" s="243"/>
      <c r="T115" s="243"/>
      <c r="U115" s="243"/>
    </row>
    <row r="116" spans="2:21" ht="12.5">
      <c r="B116" s="145" t="str">
        <f t="shared" si="19"/>
        <v/>
      </c>
      <c r="C116" s="495">
        <f>IF(D94="","-",+C115+1)</f>
        <v>2027</v>
      </c>
      <c r="D116" s="349">
        <f>IF(F115+SUM(E$100:E115)=D$93,F115,D$93-SUM(E$100:E115))</f>
        <v>6624300.1810785327</v>
      </c>
      <c r="E116" s="509">
        <f>IF(+J97&lt;F115,J97,D116)</f>
        <v>334491.87878787878</v>
      </c>
      <c r="F116" s="510">
        <f t="shared" si="28"/>
        <v>6289808.3022906538</v>
      </c>
      <c r="G116" s="510">
        <f t="shared" si="29"/>
        <v>6457054.2416845933</v>
      </c>
      <c r="H116" s="523">
        <f t="shared" si="30"/>
        <v>1031913.3091930849</v>
      </c>
      <c r="I116" s="572">
        <f t="shared" si="31"/>
        <v>1031913.3091930849</v>
      </c>
      <c r="J116" s="504">
        <f t="shared" si="26"/>
        <v>0</v>
      </c>
      <c r="K116" s="504"/>
      <c r="L116" s="512"/>
      <c r="M116" s="504">
        <f t="shared" si="21"/>
        <v>0</v>
      </c>
      <c r="N116" s="512"/>
      <c r="O116" s="504">
        <f t="shared" si="23"/>
        <v>0</v>
      </c>
      <c r="P116" s="504">
        <f t="shared" si="24"/>
        <v>0</v>
      </c>
      <c r="Q116" s="243"/>
      <c r="R116" s="243"/>
      <c r="S116" s="243"/>
      <c r="T116" s="243"/>
      <c r="U116" s="243"/>
    </row>
    <row r="117" spans="2:21" ht="12.5">
      <c r="B117" s="145" t="str">
        <f t="shared" si="19"/>
        <v/>
      </c>
      <c r="C117" s="495">
        <f>IF(D94="","-",+C116+1)</f>
        <v>2028</v>
      </c>
      <c r="D117" s="349">
        <f>IF(F116+SUM(E$100:E116)=D$93,F116,D$93-SUM(E$100:E116))</f>
        <v>6289808.3022906538</v>
      </c>
      <c r="E117" s="509">
        <f>IF(+J97&lt;F116,J97,D117)</f>
        <v>334491.87878787878</v>
      </c>
      <c r="F117" s="510">
        <f t="shared" si="28"/>
        <v>5955316.4235027749</v>
      </c>
      <c r="G117" s="510">
        <f t="shared" si="29"/>
        <v>6122562.3628967144</v>
      </c>
      <c r="H117" s="523">
        <f t="shared" si="30"/>
        <v>995785.10028674221</v>
      </c>
      <c r="I117" s="572">
        <f t="shared" si="31"/>
        <v>995785.10028674221</v>
      </c>
      <c r="J117" s="504">
        <f t="shared" si="26"/>
        <v>0</v>
      </c>
      <c r="K117" s="504"/>
      <c r="L117" s="512"/>
      <c r="M117" s="504">
        <f t="shared" si="21"/>
        <v>0</v>
      </c>
      <c r="N117" s="512"/>
      <c r="O117" s="504">
        <f t="shared" si="23"/>
        <v>0</v>
      </c>
      <c r="P117" s="504">
        <f t="shared" si="24"/>
        <v>0</v>
      </c>
      <c r="Q117" s="243"/>
      <c r="R117" s="243"/>
      <c r="S117" s="243"/>
      <c r="T117" s="243"/>
      <c r="U117" s="243"/>
    </row>
    <row r="118" spans="2:21" ht="12.5">
      <c r="B118" s="145" t="str">
        <f t="shared" si="19"/>
        <v/>
      </c>
      <c r="C118" s="495">
        <f>IF(D94="","-",+C117+1)</f>
        <v>2029</v>
      </c>
      <c r="D118" s="349">
        <f>IF(F117+SUM(E$100:E117)=D$93,F117,D$93-SUM(E$100:E117))</f>
        <v>5955316.4235027749</v>
      </c>
      <c r="E118" s="509">
        <f>IF(+J97&lt;F117,J97,D118)</f>
        <v>334491.87878787878</v>
      </c>
      <c r="F118" s="510">
        <f t="shared" si="28"/>
        <v>5620824.544714896</v>
      </c>
      <c r="G118" s="510">
        <f t="shared" si="29"/>
        <v>5788070.4841088355</v>
      </c>
      <c r="H118" s="523">
        <f t="shared" si="30"/>
        <v>959656.89138039947</v>
      </c>
      <c r="I118" s="572">
        <f t="shared" si="31"/>
        <v>959656.89138039947</v>
      </c>
      <c r="J118" s="504">
        <f t="shared" si="26"/>
        <v>0</v>
      </c>
      <c r="K118" s="504"/>
      <c r="L118" s="512"/>
      <c r="M118" s="504">
        <f t="shared" si="21"/>
        <v>0</v>
      </c>
      <c r="N118" s="512"/>
      <c r="O118" s="504">
        <f t="shared" si="23"/>
        <v>0</v>
      </c>
      <c r="P118" s="504">
        <f t="shared" si="24"/>
        <v>0</v>
      </c>
      <c r="Q118" s="243"/>
      <c r="R118" s="243"/>
      <c r="S118" s="243"/>
      <c r="T118" s="243"/>
      <c r="U118" s="243"/>
    </row>
    <row r="119" spans="2:21" ht="12.5">
      <c r="B119" s="145" t="str">
        <f t="shared" si="19"/>
        <v/>
      </c>
      <c r="C119" s="495">
        <f>IF(D94="","-",+C118+1)</f>
        <v>2030</v>
      </c>
      <c r="D119" s="349">
        <f>IF(F118+SUM(E$100:E118)=D$93,F118,D$93-SUM(E$100:E118))</f>
        <v>5620824.544714896</v>
      </c>
      <c r="E119" s="509">
        <f>IF(+J97&lt;F118,J97,D119)</f>
        <v>334491.87878787878</v>
      </c>
      <c r="F119" s="510">
        <f t="shared" si="28"/>
        <v>5286332.6659270171</v>
      </c>
      <c r="G119" s="510">
        <f t="shared" si="29"/>
        <v>5453578.6053209566</v>
      </c>
      <c r="H119" s="523">
        <f t="shared" si="30"/>
        <v>923528.68247405672</v>
      </c>
      <c r="I119" s="572">
        <f t="shared" si="31"/>
        <v>923528.68247405672</v>
      </c>
      <c r="J119" s="504">
        <f t="shared" si="26"/>
        <v>0</v>
      </c>
      <c r="K119" s="504"/>
      <c r="L119" s="512"/>
      <c r="M119" s="504">
        <f t="shared" si="21"/>
        <v>0</v>
      </c>
      <c r="N119" s="512"/>
      <c r="O119" s="504">
        <f t="shared" si="23"/>
        <v>0</v>
      </c>
      <c r="P119" s="504">
        <f t="shared" si="24"/>
        <v>0</v>
      </c>
      <c r="Q119" s="243"/>
      <c r="R119" s="243"/>
      <c r="S119" s="243"/>
      <c r="T119" s="243"/>
      <c r="U119" s="243"/>
    </row>
    <row r="120" spans="2:21" ht="12.5">
      <c r="B120" s="145" t="str">
        <f t="shared" si="19"/>
        <v/>
      </c>
      <c r="C120" s="495">
        <f>IF(D94="","-",+C119+1)</f>
        <v>2031</v>
      </c>
      <c r="D120" s="349">
        <f>IF(F119+SUM(E$100:E119)=D$93,F119,D$93-SUM(E$100:E119))</f>
        <v>5286332.6659270171</v>
      </c>
      <c r="E120" s="509">
        <f>IF(+J97&lt;F119,J97,D120)</f>
        <v>334491.87878787878</v>
      </c>
      <c r="F120" s="510">
        <f t="shared" si="28"/>
        <v>4951840.7871391382</v>
      </c>
      <c r="G120" s="510">
        <f t="shared" si="29"/>
        <v>5119086.7265330777</v>
      </c>
      <c r="H120" s="523">
        <f t="shared" si="30"/>
        <v>887400.47356771398</v>
      </c>
      <c r="I120" s="572">
        <f t="shared" si="31"/>
        <v>887400.47356771398</v>
      </c>
      <c r="J120" s="504">
        <f t="shared" si="26"/>
        <v>0</v>
      </c>
      <c r="K120" s="504"/>
      <c r="L120" s="512"/>
      <c r="M120" s="504">
        <f t="shared" si="21"/>
        <v>0</v>
      </c>
      <c r="N120" s="512"/>
      <c r="O120" s="504">
        <f t="shared" si="23"/>
        <v>0</v>
      </c>
      <c r="P120" s="504">
        <f t="shared" si="24"/>
        <v>0</v>
      </c>
      <c r="Q120" s="243"/>
      <c r="R120" s="243"/>
      <c r="S120" s="243"/>
      <c r="T120" s="243"/>
      <c r="U120" s="243"/>
    </row>
    <row r="121" spans="2:21" ht="12.5">
      <c r="B121" s="145" t="str">
        <f t="shared" si="19"/>
        <v/>
      </c>
      <c r="C121" s="495">
        <f>IF(D94="","-",+C120+1)</f>
        <v>2032</v>
      </c>
      <c r="D121" s="349">
        <f>IF(F120+SUM(E$100:E120)=D$93,F120,D$93-SUM(E$100:E120))</f>
        <v>4951840.7871391382</v>
      </c>
      <c r="E121" s="509">
        <f>IF(+J97&lt;F120,J97,D121)</f>
        <v>334491.87878787878</v>
      </c>
      <c r="F121" s="510">
        <f t="shared" si="28"/>
        <v>4617348.9083512593</v>
      </c>
      <c r="G121" s="510">
        <f t="shared" si="29"/>
        <v>4784594.8477451988</v>
      </c>
      <c r="H121" s="523">
        <f t="shared" si="30"/>
        <v>851272.26466137124</v>
      </c>
      <c r="I121" s="572">
        <f t="shared" si="31"/>
        <v>851272.26466137124</v>
      </c>
      <c r="J121" s="504">
        <f t="shared" si="26"/>
        <v>0</v>
      </c>
      <c r="K121" s="504"/>
      <c r="L121" s="512"/>
      <c r="M121" s="504">
        <f t="shared" si="21"/>
        <v>0</v>
      </c>
      <c r="N121" s="512"/>
      <c r="O121" s="504">
        <f t="shared" si="23"/>
        <v>0</v>
      </c>
      <c r="P121" s="504">
        <f t="shared" si="24"/>
        <v>0</v>
      </c>
      <c r="Q121" s="243"/>
      <c r="R121" s="243"/>
      <c r="S121" s="243"/>
      <c r="T121" s="243"/>
      <c r="U121" s="243"/>
    </row>
    <row r="122" spans="2:21" ht="12.5">
      <c r="B122" s="145" t="str">
        <f t="shared" si="19"/>
        <v/>
      </c>
      <c r="C122" s="495">
        <f>IF(D94="","-",+C121+1)</f>
        <v>2033</v>
      </c>
      <c r="D122" s="349">
        <f>IF(F121+SUM(E$100:E121)=D$93,F121,D$93-SUM(E$100:E121))</f>
        <v>4617348.9083512593</v>
      </c>
      <c r="E122" s="509">
        <f>IF(+J97&lt;F121,J97,D122)</f>
        <v>334491.87878787878</v>
      </c>
      <c r="F122" s="510">
        <f t="shared" si="28"/>
        <v>4282857.0295633804</v>
      </c>
      <c r="G122" s="510">
        <f t="shared" si="29"/>
        <v>4450102.9689573199</v>
      </c>
      <c r="H122" s="523">
        <f t="shared" si="30"/>
        <v>815144.05575502862</v>
      </c>
      <c r="I122" s="572">
        <f t="shared" si="31"/>
        <v>815144.05575502862</v>
      </c>
      <c r="J122" s="504">
        <f t="shared" si="26"/>
        <v>0</v>
      </c>
      <c r="K122" s="504"/>
      <c r="L122" s="512"/>
      <c r="M122" s="504">
        <f t="shared" si="21"/>
        <v>0</v>
      </c>
      <c r="N122" s="512"/>
      <c r="O122" s="504">
        <f t="shared" si="23"/>
        <v>0</v>
      </c>
      <c r="P122" s="504">
        <f t="shared" si="24"/>
        <v>0</v>
      </c>
      <c r="Q122" s="243"/>
      <c r="R122" s="243"/>
      <c r="S122" s="243"/>
      <c r="T122" s="243"/>
      <c r="U122" s="243"/>
    </row>
    <row r="123" spans="2:21" ht="12.5">
      <c r="B123" s="145" t="str">
        <f t="shared" si="19"/>
        <v/>
      </c>
      <c r="C123" s="495">
        <f>IF(D94="","-",+C122+1)</f>
        <v>2034</v>
      </c>
      <c r="D123" s="349">
        <f>IF(F122+SUM(E$100:E122)=D$93,F122,D$93-SUM(E$100:E122))</f>
        <v>4282857.0295633804</v>
      </c>
      <c r="E123" s="509">
        <f>IF(+J97&lt;F122,J97,D123)</f>
        <v>334491.87878787878</v>
      </c>
      <c r="F123" s="510">
        <f t="shared" si="28"/>
        <v>3948365.1507755015</v>
      </c>
      <c r="G123" s="510">
        <f t="shared" si="29"/>
        <v>4115611.090169441</v>
      </c>
      <c r="H123" s="523">
        <f t="shared" si="30"/>
        <v>779015.84684868588</v>
      </c>
      <c r="I123" s="572">
        <f t="shared" si="31"/>
        <v>779015.84684868588</v>
      </c>
      <c r="J123" s="504">
        <f t="shared" si="26"/>
        <v>0</v>
      </c>
      <c r="K123" s="504"/>
      <c r="L123" s="512"/>
      <c r="M123" s="504">
        <f t="shared" si="21"/>
        <v>0</v>
      </c>
      <c r="N123" s="512"/>
      <c r="O123" s="504">
        <f t="shared" si="23"/>
        <v>0</v>
      </c>
      <c r="P123" s="504">
        <f t="shared" si="24"/>
        <v>0</v>
      </c>
      <c r="Q123" s="243"/>
      <c r="R123" s="243"/>
      <c r="S123" s="243"/>
      <c r="T123" s="243"/>
      <c r="U123" s="243"/>
    </row>
    <row r="124" spans="2:21" ht="12.5">
      <c r="B124" s="145" t="str">
        <f t="shared" si="19"/>
        <v/>
      </c>
      <c r="C124" s="495">
        <f>IF(D94="","-",+C123+1)</f>
        <v>2035</v>
      </c>
      <c r="D124" s="349">
        <f>IF(F123+SUM(E$100:E123)=D$93,F123,D$93-SUM(E$100:E123))</f>
        <v>3948365.1507755015</v>
      </c>
      <c r="E124" s="509">
        <f>IF(+J97&lt;F123,J97,D124)</f>
        <v>334491.87878787878</v>
      </c>
      <c r="F124" s="510">
        <f t="shared" si="28"/>
        <v>3613873.2719876226</v>
      </c>
      <c r="G124" s="510">
        <f t="shared" si="29"/>
        <v>3781119.2113815621</v>
      </c>
      <c r="H124" s="523">
        <f t="shared" si="30"/>
        <v>742887.63794234325</v>
      </c>
      <c r="I124" s="572">
        <f t="shared" si="31"/>
        <v>742887.63794234325</v>
      </c>
      <c r="J124" s="504">
        <f t="shared" si="26"/>
        <v>0</v>
      </c>
      <c r="K124" s="504"/>
      <c r="L124" s="512"/>
      <c r="M124" s="504">
        <f t="shared" si="21"/>
        <v>0</v>
      </c>
      <c r="N124" s="512"/>
      <c r="O124" s="504">
        <f t="shared" si="23"/>
        <v>0</v>
      </c>
      <c r="P124" s="504">
        <f t="shared" si="24"/>
        <v>0</v>
      </c>
      <c r="Q124" s="243"/>
      <c r="R124" s="243"/>
      <c r="S124" s="243"/>
      <c r="T124" s="243"/>
      <c r="U124" s="243"/>
    </row>
    <row r="125" spans="2:21" ht="12.5">
      <c r="B125" s="145" t="str">
        <f t="shared" si="19"/>
        <v/>
      </c>
      <c r="C125" s="495">
        <f>IF(D94="","-",+C124+1)</f>
        <v>2036</v>
      </c>
      <c r="D125" s="349">
        <f>IF(F124+SUM(E$100:E124)=D$93,F124,D$93-SUM(E$100:E124))</f>
        <v>3613873.2719876226</v>
      </c>
      <c r="E125" s="509">
        <f>IF(+J97&lt;F124,J97,D125)</f>
        <v>334491.87878787878</v>
      </c>
      <c r="F125" s="510">
        <f t="shared" si="28"/>
        <v>3279381.3931997437</v>
      </c>
      <c r="G125" s="510">
        <f t="shared" si="29"/>
        <v>3446627.3325936832</v>
      </c>
      <c r="H125" s="523">
        <f t="shared" si="30"/>
        <v>706759.42903600051</v>
      </c>
      <c r="I125" s="572">
        <f t="shared" si="31"/>
        <v>706759.42903600051</v>
      </c>
      <c r="J125" s="504">
        <f t="shared" si="26"/>
        <v>0</v>
      </c>
      <c r="K125" s="504"/>
      <c r="L125" s="512"/>
      <c r="M125" s="504">
        <f t="shared" si="21"/>
        <v>0</v>
      </c>
      <c r="N125" s="512"/>
      <c r="O125" s="504">
        <f t="shared" si="23"/>
        <v>0</v>
      </c>
      <c r="P125" s="504">
        <f t="shared" si="24"/>
        <v>0</v>
      </c>
      <c r="Q125" s="243"/>
      <c r="R125" s="243"/>
      <c r="S125" s="243"/>
      <c r="T125" s="243"/>
      <c r="U125" s="243"/>
    </row>
    <row r="126" spans="2:21" ht="12.5">
      <c r="B126" s="145" t="str">
        <f t="shared" si="19"/>
        <v/>
      </c>
      <c r="C126" s="495">
        <f>IF(D94="","-",+C125+1)</f>
        <v>2037</v>
      </c>
      <c r="D126" s="349">
        <f>IF(F125+SUM(E$100:E125)=D$93,F125,D$93-SUM(E$100:E125))</f>
        <v>3279381.3931997437</v>
      </c>
      <c r="E126" s="509">
        <f>IF(+J97&lt;F125,J97,D126)</f>
        <v>334491.87878787878</v>
      </c>
      <c r="F126" s="510">
        <f t="shared" si="28"/>
        <v>2944889.5144118648</v>
      </c>
      <c r="G126" s="510">
        <f t="shared" si="29"/>
        <v>3112135.4538058043</v>
      </c>
      <c r="H126" s="523">
        <f t="shared" si="30"/>
        <v>670631.22012965777</v>
      </c>
      <c r="I126" s="572">
        <f t="shared" si="31"/>
        <v>670631.22012965777</v>
      </c>
      <c r="J126" s="504">
        <f t="shared" si="26"/>
        <v>0</v>
      </c>
      <c r="K126" s="504"/>
      <c r="L126" s="512"/>
      <c r="M126" s="504">
        <f t="shared" si="21"/>
        <v>0</v>
      </c>
      <c r="N126" s="512"/>
      <c r="O126" s="504">
        <f t="shared" si="23"/>
        <v>0</v>
      </c>
      <c r="P126" s="504">
        <f t="shared" si="24"/>
        <v>0</v>
      </c>
      <c r="Q126" s="243"/>
      <c r="R126" s="243"/>
      <c r="S126" s="243"/>
      <c r="T126" s="243"/>
      <c r="U126" s="243"/>
    </row>
    <row r="127" spans="2:21" ht="12.5">
      <c r="B127" s="145" t="str">
        <f t="shared" si="19"/>
        <v/>
      </c>
      <c r="C127" s="495">
        <f>IF(D94="","-",+C126+1)</f>
        <v>2038</v>
      </c>
      <c r="D127" s="349">
        <f>IF(F126+SUM(E$100:E126)=D$93,F126,D$93-SUM(E$100:E126))</f>
        <v>2944889.5144118648</v>
      </c>
      <c r="E127" s="509">
        <f>IF(+J97&lt;F126,J97,D127)</f>
        <v>334491.87878787878</v>
      </c>
      <c r="F127" s="510">
        <f t="shared" si="28"/>
        <v>2610397.6356239859</v>
      </c>
      <c r="G127" s="510">
        <f t="shared" si="29"/>
        <v>2777643.5750179254</v>
      </c>
      <c r="H127" s="523">
        <f t="shared" si="30"/>
        <v>634503.01122331503</v>
      </c>
      <c r="I127" s="572">
        <f t="shared" si="31"/>
        <v>634503.01122331503</v>
      </c>
      <c r="J127" s="504">
        <f t="shared" si="26"/>
        <v>0</v>
      </c>
      <c r="K127" s="504"/>
      <c r="L127" s="512"/>
      <c r="M127" s="504">
        <f t="shared" si="21"/>
        <v>0</v>
      </c>
      <c r="N127" s="512"/>
      <c r="O127" s="504">
        <f t="shared" si="23"/>
        <v>0</v>
      </c>
      <c r="P127" s="504">
        <f t="shared" si="24"/>
        <v>0</v>
      </c>
      <c r="Q127" s="243"/>
      <c r="R127" s="243"/>
      <c r="S127" s="243"/>
      <c r="T127" s="243"/>
      <c r="U127" s="243"/>
    </row>
    <row r="128" spans="2:21" ht="12.5">
      <c r="B128" s="145" t="str">
        <f t="shared" si="19"/>
        <v/>
      </c>
      <c r="C128" s="495">
        <f>IF(D94="","-",+C127+1)</f>
        <v>2039</v>
      </c>
      <c r="D128" s="349">
        <f>IF(F127+SUM(E$100:E127)=D$93,F127,D$93-SUM(E$100:E127))</f>
        <v>2610397.6356239859</v>
      </c>
      <c r="E128" s="509">
        <f>IF(+J97&lt;F127,J97,D128)</f>
        <v>334491.87878787878</v>
      </c>
      <c r="F128" s="510">
        <f t="shared" si="28"/>
        <v>2275905.756836107</v>
      </c>
      <c r="G128" s="510">
        <f t="shared" si="29"/>
        <v>2443151.6962300465</v>
      </c>
      <c r="H128" s="523">
        <f t="shared" si="30"/>
        <v>598374.80231697229</v>
      </c>
      <c r="I128" s="572">
        <f t="shared" si="31"/>
        <v>598374.80231697229</v>
      </c>
      <c r="J128" s="504">
        <f t="shared" si="26"/>
        <v>0</v>
      </c>
      <c r="K128" s="504"/>
      <c r="L128" s="512"/>
      <c r="M128" s="504">
        <f t="shared" si="21"/>
        <v>0</v>
      </c>
      <c r="N128" s="512"/>
      <c r="O128" s="504">
        <f t="shared" si="23"/>
        <v>0</v>
      </c>
      <c r="P128" s="504">
        <f t="shared" si="24"/>
        <v>0</v>
      </c>
      <c r="Q128" s="243"/>
      <c r="R128" s="243"/>
      <c r="S128" s="243"/>
      <c r="T128" s="243"/>
      <c r="U128" s="243"/>
    </row>
    <row r="129" spans="2:21" ht="12.5">
      <c r="B129" s="145" t="str">
        <f t="shared" si="19"/>
        <v/>
      </c>
      <c r="C129" s="495">
        <f>IF(D94="","-",+C128+1)</f>
        <v>2040</v>
      </c>
      <c r="D129" s="349">
        <f>IF(F128+SUM(E$100:E128)=D$93,F128,D$93-SUM(E$100:E128))</f>
        <v>2275905.756836107</v>
      </c>
      <c r="E129" s="509">
        <f>IF(+J97&lt;F128,J97,D129)</f>
        <v>334491.87878787878</v>
      </c>
      <c r="F129" s="510">
        <f t="shared" si="28"/>
        <v>1941413.8780482281</v>
      </c>
      <c r="G129" s="510">
        <f t="shared" si="29"/>
        <v>2108659.8174421676</v>
      </c>
      <c r="H129" s="523">
        <f t="shared" si="30"/>
        <v>562246.59341062955</v>
      </c>
      <c r="I129" s="572">
        <f t="shared" si="31"/>
        <v>562246.59341062955</v>
      </c>
      <c r="J129" s="504">
        <f t="shared" si="26"/>
        <v>0</v>
      </c>
      <c r="K129" s="504"/>
      <c r="L129" s="512"/>
      <c r="M129" s="504">
        <f t="shared" si="21"/>
        <v>0</v>
      </c>
      <c r="N129" s="512"/>
      <c r="O129" s="504">
        <f t="shared" si="23"/>
        <v>0</v>
      </c>
      <c r="P129" s="504">
        <f t="shared" si="24"/>
        <v>0</v>
      </c>
      <c r="Q129" s="243"/>
      <c r="R129" s="243"/>
      <c r="S129" s="243"/>
      <c r="T129" s="243"/>
      <c r="U129" s="243"/>
    </row>
    <row r="130" spans="2:21" ht="12.5">
      <c r="B130" s="145" t="str">
        <f t="shared" si="19"/>
        <v/>
      </c>
      <c r="C130" s="495">
        <f>IF(D94="","-",+C129+1)</f>
        <v>2041</v>
      </c>
      <c r="D130" s="349">
        <f>IF(F129+SUM(E$100:E129)=D$93,F129,D$93-SUM(E$100:E129))</f>
        <v>1941413.8780482281</v>
      </c>
      <c r="E130" s="509">
        <f>IF(+J97&lt;F129,J97,D130)</f>
        <v>334491.87878787878</v>
      </c>
      <c r="F130" s="510">
        <f t="shared" si="28"/>
        <v>1606921.9992603492</v>
      </c>
      <c r="G130" s="510">
        <f t="shared" si="29"/>
        <v>1774167.9386542886</v>
      </c>
      <c r="H130" s="523">
        <f t="shared" si="30"/>
        <v>526118.38450428692</v>
      </c>
      <c r="I130" s="572">
        <f t="shared" si="31"/>
        <v>526118.38450428692</v>
      </c>
      <c r="J130" s="504">
        <f t="shared" si="26"/>
        <v>0</v>
      </c>
      <c r="K130" s="504"/>
      <c r="L130" s="512"/>
      <c r="M130" s="504">
        <f t="shared" si="21"/>
        <v>0</v>
      </c>
      <c r="N130" s="512"/>
      <c r="O130" s="504">
        <f t="shared" si="23"/>
        <v>0</v>
      </c>
      <c r="P130" s="504">
        <f t="shared" si="24"/>
        <v>0</v>
      </c>
      <c r="Q130" s="243"/>
      <c r="R130" s="243"/>
      <c r="S130" s="243"/>
      <c r="T130" s="243"/>
      <c r="U130" s="243"/>
    </row>
    <row r="131" spans="2:21" ht="12.5">
      <c r="B131" s="145" t="str">
        <f t="shared" si="19"/>
        <v/>
      </c>
      <c r="C131" s="495">
        <f>IF(D94="","-",+C130+1)</f>
        <v>2042</v>
      </c>
      <c r="D131" s="349">
        <f>IF(F130+SUM(E$100:E130)=D$93,F130,D$93-SUM(E$100:E130))</f>
        <v>1606921.9992603492</v>
      </c>
      <c r="E131" s="509">
        <f>IF(+J97&lt;F130,J97,D131)</f>
        <v>334491.87878787878</v>
      </c>
      <c r="F131" s="510">
        <f t="shared" si="28"/>
        <v>1272430.1204724703</v>
      </c>
      <c r="G131" s="510">
        <f t="shared" si="29"/>
        <v>1439676.0598664097</v>
      </c>
      <c r="H131" s="523">
        <f t="shared" si="30"/>
        <v>489990.17559794418</v>
      </c>
      <c r="I131" s="572">
        <f t="shared" si="31"/>
        <v>489990.17559794418</v>
      </c>
      <c r="J131" s="504">
        <f t="shared" si="26"/>
        <v>0</v>
      </c>
      <c r="K131" s="504"/>
      <c r="L131" s="512"/>
      <c r="M131" s="504">
        <f t="shared" si="21"/>
        <v>0</v>
      </c>
      <c r="N131" s="512"/>
      <c r="O131" s="504">
        <f t="shared" si="23"/>
        <v>0</v>
      </c>
      <c r="P131" s="504">
        <f t="shared" si="24"/>
        <v>0</v>
      </c>
      <c r="Q131" s="243"/>
      <c r="R131" s="243"/>
      <c r="S131" s="243"/>
      <c r="T131" s="243"/>
      <c r="U131" s="243"/>
    </row>
    <row r="132" spans="2:21" ht="12.5">
      <c r="B132" s="145" t="str">
        <f t="shared" ref="B132:B155" si="32">IF(D132=F131,"","IU")</f>
        <v/>
      </c>
      <c r="C132" s="495">
        <f>IF(D94="","-",+C131+1)</f>
        <v>2043</v>
      </c>
      <c r="D132" s="349">
        <f>IF(F131+SUM(E$100:E131)=D$93,F131,D$93-SUM(E$100:E131))</f>
        <v>1272430.1204724703</v>
      </c>
      <c r="E132" s="509">
        <f>IF(+J97&lt;F131,J97,D132)</f>
        <v>334491.87878787878</v>
      </c>
      <c r="F132" s="510">
        <f t="shared" si="28"/>
        <v>937938.24168459151</v>
      </c>
      <c r="G132" s="510">
        <f t="shared" ref="G132:G155" si="33">+(F132+D132)/2</f>
        <v>1105184.1810785308</v>
      </c>
      <c r="H132" s="523">
        <f t="shared" ref="H132:H155" si="34">+J$95*G132+E132</f>
        <v>453861.96669160144</v>
      </c>
      <c r="I132" s="572">
        <f t="shared" ref="I132:I155" si="35">+J$96*G132+E132</f>
        <v>453861.96669160144</v>
      </c>
      <c r="J132" s="504">
        <f t="shared" ref="J132:J155" si="36">+I132-H132</f>
        <v>0</v>
      </c>
      <c r="K132" s="504"/>
      <c r="L132" s="512"/>
      <c r="M132" s="504">
        <f t="shared" ref="M132:M155" si="37">IF(L132&lt;&gt;0,+H132-L132,0)</f>
        <v>0</v>
      </c>
      <c r="N132" s="512"/>
      <c r="O132" s="504">
        <f t="shared" ref="O132:O155" si="38">IF(N132&lt;&gt;0,+I132-N132,0)</f>
        <v>0</v>
      </c>
      <c r="P132" s="504">
        <f t="shared" ref="P132:P155" si="39">+O132-M132</f>
        <v>0</v>
      </c>
      <c r="Q132" s="243"/>
      <c r="R132" s="243"/>
      <c r="S132" s="243"/>
      <c r="T132" s="243"/>
      <c r="U132" s="243"/>
    </row>
    <row r="133" spans="2:21" ht="12.5">
      <c r="B133" s="145" t="str">
        <f t="shared" si="32"/>
        <v/>
      </c>
      <c r="C133" s="495">
        <f>IF(D94="","-",+C132+1)</f>
        <v>2044</v>
      </c>
      <c r="D133" s="349">
        <f>IF(F132+SUM(E$100:E132)=D$93,F132,D$93-SUM(E$100:E132))</f>
        <v>937938.24168459151</v>
      </c>
      <c r="E133" s="509">
        <f>IF(+J97&lt;F132,J97,D133)</f>
        <v>334491.87878787878</v>
      </c>
      <c r="F133" s="510">
        <f t="shared" ref="F133:F155" si="40">+D133-E133</f>
        <v>603446.36289671273</v>
      </c>
      <c r="G133" s="510">
        <f t="shared" si="33"/>
        <v>770692.30229065218</v>
      </c>
      <c r="H133" s="523">
        <f t="shared" si="34"/>
        <v>417733.75778525881</v>
      </c>
      <c r="I133" s="572">
        <f t="shared" si="35"/>
        <v>417733.75778525881</v>
      </c>
      <c r="J133" s="504">
        <f t="shared" si="36"/>
        <v>0</v>
      </c>
      <c r="K133" s="504"/>
      <c r="L133" s="512"/>
      <c r="M133" s="504">
        <f t="shared" si="37"/>
        <v>0</v>
      </c>
      <c r="N133" s="512"/>
      <c r="O133" s="504">
        <f t="shared" si="38"/>
        <v>0</v>
      </c>
      <c r="P133" s="504">
        <f t="shared" si="39"/>
        <v>0</v>
      </c>
      <c r="Q133" s="243"/>
      <c r="R133" s="243"/>
      <c r="S133" s="243"/>
      <c r="T133" s="243"/>
      <c r="U133" s="243"/>
    </row>
    <row r="134" spans="2:21" ht="12.5">
      <c r="B134" s="145" t="str">
        <f t="shared" si="32"/>
        <v/>
      </c>
      <c r="C134" s="495">
        <f>IF(D94="","-",+C133+1)</f>
        <v>2045</v>
      </c>
      <c r="D134" s="349">
        <f>IF(F133+SUM(E$100:E133)=D$93,F133,D$93-SUM(E$100:E133))</f>
        <v>603446.36289671273</v>
      </c>
      <c r="E134" s="509">
        <f>IF(+J97&lt;F133,J97,D134)</f>
        <v>334491.87878787878</v>
      </c>
      <c r="F134" s="510">
        <f t="shared" si="40"/>
        <v>268954.48410883395</v>
      </c>
      <c r="G134" s="510">
        <f t="shared" si="33"/>
        <v>436200.42350277334</v>
      </c>
      <c r="H134" s="523">
        <f t="shared" si="34"/>
        <v>381605.54887891607</v>
      </c>
      <c r="I134" s="572">
        <f t="shared" si="35"/>
        <v>381605.54887891607</v>
      </c>
      <c r="J134" s="504">
        <f t="shared" si="36"/>
        <v>0</v>
      </c>
      <c r="K134" s="504"/>
      <c r="L134" s="512"/>
      <c r="M134" s="504">
        <f t="shared" si="37"/>
        <v>0</v>
      </c>
      <c r="N134" s="512"/>
      <c r="O134" s="504">
        <f t="shared" si="38"/>
        <v>0</v>
      </c>
      <c r="P134" s="504">
        <f t="shared" si="39"/>
        <v>0</v>
      </c>
      <c r="Q134" s="243"/>
      <c r="R134" s="243"/>
      <c r="S134" s="243"/>
      <c r="T134" s="243"/>
      <c r="U134" s="243"/>
    </row>
    <row r="135" spans="2:21" ht="12.5">
      <c r="B135" s="145" t="str">
        <f t="shared" si="32"/>
        <v/>
      </c>
      <c r="C135" s="495">
        <f>IF(D94="","-",+C134+1)</f>
        <v>2046</v>
      </c>
      <c r="D135" s="349">
        <f>IF(F134+SUM(E$100:E134)=D$93,F134,D$93-SUM(E$100:E134))</f>
        <v>268954.48410883395</v>
      </c>
      <c r="E135" s="509">
        <f>IF(+J97&lt;F134,J97,D135)</f>
        <v>268954.48410883395</v>
      </c>
      <c r="F135" s="510">
        <f t="shared" si="40"/>
        <v>0</v>
      </c>
      <c r="G135" s="510">
        <f t="shared" si="33"/>
        <v>134477.24205441697</v>
      </c>
      <c r="H135" s="523">
        <f t="shared" si="34"/>
        <v>283479.2669277669</v>
      </c>
      <c r="I135" s="572">
        <f t="shared" si="35"/>
        <v>283479.2669277669</v>
      </c>
      <c r="J135" s="504">
        <f t="shared" si="36"/>
        <v>0</v>
      </c>
      <c r="K135" s="504"/>
      <c r="L135" s="512"/>
      <c r="M135" s="504">
        <f t="shared" si="37"/>
        <v>0</v>
      </c>
      <c r="N135" s="512"/>
      <c r="O135" s="504">
        <f t="shared" si="38"/>
        <v>0</v>
      </c>
      <c r="P135" s="504">
        <f t="shared" si="39"/>
        <v>0</v>
      </c>
      <c r="Q135" s="243"/>
      <c r="R135" s="243"/>
      <c r="S135" s="243"/>
      <c r="T135" s="243"/>
      <c r="U135" s="243"/>
    </row>
    <row r="136" spans="2:21" ht="12.5">
      <c r="B136" s="145" t="str">
        <f t="shared" si="32"/>
        <v/>
      </c>
      <c r="C136" s="495">
        <f>IF(D94="","-",+C135+1)</f>
        <v>2047</v>
      </c>
      <c r="D136" s="349">
        <f>IF(F135+SUM(E$100:E135)=D$93,F135,D$93-SUM(E$100:E135))</f>
        <v>0</v>
      </c>
      <c r="E136" s="509">
        <f>IF(+J97&lt;F135,J97,D136)</f>
        <v>0</v>
      </c>
      <c r="F136" s="510">
        <f t="shared" si="40"/>
        <v>0</v>
      </c>
      <c r="G136" s="510">
        <f t="shared" si="33"/>
        <v>0</v>
      </c>
      <c r="H136" s="523">
        <f t="shared" si="34"/>
        <v>0</v>
      </c>
      <c r="I136" s="572">
        <f t="shared" si="35"/>
        <v>0</v>
      </c>
      <c r="J136" s="504">
        <f t="shared" si="36"/>
        <v>0</v>
      </c>
      <c r="K136" s="504"/>
      <c r="L136" s="512"/>
      <c r="M136" s="504">
        <f t="shared" si="37"/>
        <v>0</v>
      </c>
      <c r="N136" s="512"/>
      <c r="O136" s="504">
        <f t="shared" si="38"/>
        <v>0</v>
      </c>
      <c r="P136" s="504">
        <f t="shared" si="39"/>
        <v>0</v>
      </c>
      <c r="Q136" s="243"/>
      <c r="R136" s="243"/>
      <c r="S136" s="243"/>
      <c r="T136" s="243"/>
      <c r="U136" s="243"/>
    </row>
    <row r="137" spans="2:21" ht="12.5">
      <c r="B137" s="145" t="str">
        <f t="shared" si="32"/>
        <v/>
      </c>
      <c r="C137" s="495">
        <f>IF(D94="","-",+C136+1)</f>
        <v>2048</v>
      </c>
      <c r="D137" s="349">
        <f>IF(F136+SUM(E$100:E136)=D$93,F136,D$93-SUM(E$100:E136))</f>
        <v>0</v>
      </c>
      <c r="E137" s="509">
        <f>IF(+J97&lt;F136,J97,D137)</f>
        <v>0</v>
      </c>
      <c r="F137" s="510">
        <f t="shared" si="40"/>
        <v>0</v>
      </c>
      <c r="G137" s="510">
        <f t="shared" si="33"/>
        <v>0</v>
      </c>
      <c r="H137" s="523">
        <f t="shared" si="34"/>
        <v>0</v>
      </c>
      <c r="I137" s="572">
        <f t="shared" si="35"/>
        <v>0</v>
      </c>
      <c r="J137" s="504">
        <f t="shared" si="36"/>
        <v>0</v>
      </c>
      <c r="K137" s="504"/>
      <c r="L137" s="512"/>
      <c r="M137" s="504">
        <f t="shared" si="37"/>
        <v>0</v>
      </c>
      <c r="N137" s="512"/>
      <c r="O137" s="504">
        <f t="shared" si="38"/>
        <v>0</v>
      </c>
      <c r="P137" s="504">
        <f t="shared" si="39"/>
        <v>0</v>
      </c>
      <c r="Q137" s="243"/>
      <c r="R137" s="243"/>
      <c r="S137" s="243"/>
      <c r="T137" s="243"/>
      <c r="U137" s="243"/>
    </row>
    <row r="138" spans="2:21" ht="12.5">
      <c r="B138" s="145" t="str">
        <f t="shared" si="32"/>
        <v/>
      </c>
      <c r="C138" s="495">
        <f>IF(D94="","-",+C137+1)</f>
        <v>2049</v>
      </c>
      <c r="D138" s="349">
        <f>IF(F137+SUM(E$100:E137)=D$93,F137,D$93-SUM(E$100:E137))</f>
        <v>0</v>
      </c>
      <c r="E138" s="509">
        <f>IF(+J97&lt;F137,J97,D138)</f>
        <v>0</v>
      </c>
      <c r="F138" s="510">
        <f t="shared" si="40"/>
        <v>0</v>
      </c>
      <c r="G138" s="510">
        <f t="shared" si="33"/>
        <v>0</v>
      </c>
      <c r="H138" s="523">
        <f t="shared" si="34"/>
        <v>0</v>
      </c>
      <c r="I138" s="572">
        <f t="shared" si="35"/>
        <v>0</v>
      </c>
      <c r="J138" s="504">
        <f t="shared" si="36"/>
        <v>0</v>
      </c>
      <c r="K138" s="504"/>
      <c r="L138" s="512"/>
      <c r="M138" s="504">
        <f t="shared" si="37"/>
        <v>0</v>
      </c>
      <c r="N138" s="512"/>
      <c r="O138" s="504">
        <f t="shared" si="38"/>
        <v>0</v>
      </c>
      <c r="P138" s="504">
        <f t="shared" si="39"/>
        <v>0</v>
      </c>
      <c r="Q138" s="243"/>
      <c r="R138" s="243"/>
      <c r="S138" s="243"/>
      <c r="T138" s="243"/>
      <c r="U138" s="243"/>
    </row>
    <row r="139" spans="2:21" ht="12.5">
      <c r="B139" s="145" t="str">
        <f t="shared" si="32"/>
        <v/>
      </c>
      <c r="C139" s="495">
        <f>IF(D94="","-",+C138+1)</f>
        <v>2050</v>
      </c>
      <c r="D139" s="349">
        <f>IF(F138+SUM(E$100:E138)=D$93,F138,D$93-SUM(E$100:E138))</f>
        <v>0</v>
      </c>
      <c r="E139" s="509">
        <f>IF(+J97&lt;F138,J97,D139)</f>
        <v>0</v>
      </c>
      <c r="F139" s="510">
        <f t="shared" si="40"/>
        <v>0</v>
      </c>
      <c r="G139" s="510">
        <f t="shared" si="33"/>
        <v>0</v>
      </c>
      <c r="H139" s="523">
        <f t="shared" si="34"/>
        <v>0</v>
      </c>
      <c r="I139" s="572">
        <f t="shared" si="35"/>
        <v>0</v>
      </c>
      <c r="J139" s="504">
        <f t="shared" si="36"/>
        <v>0</v>
      </c>
      <c r="K139" s="504"/>
      <c r="L139" s="512"/>
      <c r="M139" s="504">
        <f t="shared" si="37"/>
        <v>0</v>
      </c>
      <c r="N139" s="512"/>
      <c r="O139" s="504">
        <f t="shared" si="38"/>
        <v>0</v>
      </c>
      <c r="P139" s="504">
        <f t="shared" si="39"/>
        <v>0</v>
      </c>
      <c r="Q139" s="243"/>
      <c r="R139" s="243"/>
      <c r="S139" s="243"/>
      <c r="T139" s="243"/>
      <c r="U139" s="243"/>
    </row>
    <row r="140" spans="2:21" ht="12.5">
      <c r="B140" s="145" t="str">
        <f t="shared" si="32"/>
        <v/>
      </c>
      <c r="C140" s="495">
        <f>IF(D94="","-",+C139+1)</f>
        <v>2051</v>
      </c>
      <c r="D140" s="349">
        <f>IF(F139+SUM(E$100:E139)=D$93,F139,D$93-SUM(E$100:E139))</f>
        <v>0</v>
      </c>
      <c r="E140" s="509">
        <f>IF(+J97&lt;F139,J97,D140)</f>
        <v>0</v>
      </c>
      <c r="F140" s="510">
        <f t="shared" si="40"/>
        <v>0</v>
      </c>
      <c r="G140" s="510">
        <f t="shared" si="33"/>
        <v>0</v>
      </c>
      <c r="H140" s="523">
        <f t="shared" si="34"/>
        <v>0</v>
      </c>
      <c r="I140" s="572">
        <f t="shared" si="35"/>
        <v>0</v>
      </c>
      <c r="J140" s="504">
        <f t="shared" si="36"/>
        <v>0</v>
      </c>
      <c r="K140" s="504"/>
      <c r="L140" s="512"/>
      <c r="M140" s="504">
        <f t="shared" si="37"/>
        <v>0</v>
      </c>
      <c r="N140" s="512"/>
      <c r="O140" s="504">
        <f t="shared" si="38"/>
        <v>0</v>
      </c>
      <c r="P140" s="504">
        <f t="shared" si="39"/>
        <v>0</v>
      </c>
      <c r="Q140" s="243"/>
      <c r="R140" s="243"/>
      <c r="S140" s="243"/>
      <c r="T140" s="243"/>
      <c r="U140" s="243"/>
    </row>
    <row r="141" spans="2:21" ht="12.5">
      <c r="B141" s="145" t="str">
        <f t="shared" si="32"/>
        <v/>
      </c>
      <c r="C141" s="495">
        <f>IF(D94="","-",+C140+1)</f>
        <v>2052</v>
      </c>
      <c r="D141" s="349">
        <f>IF(F140+SUM(E$100:E140)=D$93,F140,D$93-SUM(E$100:E140))</f>
        <v>0</v>
      </c>
      <c r="E141" s="509">
        <f>IF(+J97&lt;F140,J97,D141)</f>
        <v>0</v>
      </c>
      <c r="F141" s="510">
        <f t="shared" si="40"/>
        <v>0</v>
      </c>
      <c r="G141" s="510">
        <f t="shared" si="33"/>
        <v>0</v>
      </c>
      <c r="H141" s="523">
        <f t="shared" si="34"/>
        <v>0</v>
      </c>
      <c r="I141" s="572">
        <f t="shared" si="35"/>
        <v>0</v>
      </c>
      <c r="J141" s="504">
        <f t="shared" si="36"/>
        <v>0</v>
      </c>
      <c r="K141" s="504"/>
      <c r="L141" s="512"/>
      <c r="M141" s="504">
        <f t="shared" si="37"/>
        <v>0</v>
      </c>
      <c r="N141" s="512"/>
      <c r="O141" s="504">
        <f t="shared" si="38"/>
        <v>0</v>
      </c>
      <c r="P141" s="504">
        <f t="shared" si="39"/>
        <v>0</v>
      </c>
      <c r="Q141" s="243"/>
      <c r="R141" s="243"/>
      <c r="S141" s="243"/>
      <c r="T141" s="243"/>
      <c r="U141" s="243"/>
    </row>
    <row r="142" spans="2:21" ht="12.5">
      <c r="B142" s="145" t="str">
        <f t="shared" si="32"/>
        <v/>
      </c>
      <c r="C142" s="495">
        <f>IF(D94="","-",+C141+1)</f>
        <v>2053</v>
      </c>
      <c r="D142" s="349">
        <f>IF(F141+SUM(E$100:E141)=D$93,F141,D$93-SUM(E$100:E141))</f>
        <v>0</v>
      </c>
      <c r="E142" s="509">
        <f>IF(+J97&lt;F141,J97,D142)</f>
        <v>0</v>
      </c>
      <c r="F142" s="510">
        <f t="shared" si="40"/>
        <v>0</v>
      </c>
      <c r="G142" s="510">
        <f t="shared" si="33"/>
        <v>0</v>
      </c>
      <c r="H142" s="523">
        <f t="shared" si="34"/>
        <v>0</v>
      </c>
      <c r="I142" s="572">
        <f t="shared" si="35"/>
        <v>0</v>
      </c>
      <c r="J142" s="504">
        <f t="shared" si="36"/>
        <v>0</v>
      </c>
      <c r="K142" s="504"/>
      <c r="L142" s="512"/>
      <c r="M142" s="504">
        <f t="shared" si="37"/>
        <v>0</v>
      </c>
      <c r="N142" s="512"/>
      <c r="O142" s="504">
        <f t="shared" si="38"/>
        <v>0</v>
      </c>
      <c r="P142" s="504">
        <f t="shared" si="39"/>
        <v>0</v>
      </c>
      <c r="Q142" s="243"/>
      <c r="R142" s="243"/>
      <c r="S142" s="243"/>
      <c r="T142" s="243"/>
      <c r="U142" s="243"/>
    </row>
    <row r="143" spans="2:21" ht="12.5">
      <c r="B143" s="145" t="str">
        <f t="shared" si="32"/>
        <v/>
      </c>
      <c r="C143" s="495">
        <f>IF(D94="","-",+C142+1)</f>
        <v>2054</v>
      </c>
      <c r="D143" s="349">
        <f>IF(F142+SUM(E$100:E142)=D$93,F142,D$93-SUM(E$100:E142))</f>
        <v>0</v>
      </c>
      <c r="E143" s="509">
        <f>IF(+J97&lt;F142,J97,D143)</f>
        <v>0</v>
      </c>
      <c r="F143" s="510">
        <f t="shared" si="40"/>
        <v>0</v>
      </c>
      <c r="G143" s="510">
        <f t="shared" si="33"/>
        <v>0</v>
      </c>
      <c r="H143" s="523">
        <f t="shared" si="34"/>
        <v>0</v>
      </c>
      <c r="I143" s="572">
        <f t="shared" si="35"/>
        <v>0</v>
      </c>
      <c r="J143" s="504">
        <f t="shared" si="36"/>
        <v>0</v>
      </c>
      <c r="K143" s="504"/>
      <c r="L143" s="512"/>
      <c r="M143" s="504">
        <f t="shared" si="37"/>
        <v>0</v>
      </c>
      <c r="N143" s="512"/>
      <c r="O143" s="504">
        <f t="shared" si="38"/>
        <v>0</v>
      </c>
      <c r="P143" s="504">
        <f t="shared" si="39"/>
        <v>0</v>
      </c>
      <c r="Q143" s="243"/>
      <c r="R143" s="243"/>
      <c r="S143" s="243"/>
      <c r="T143" s="243"/>
      <c r="U143" s="243"/>
    </row>
    <row r="144" spans="2:21" ht="12.5">
      <c r="B144" s="145" t="str">
        <f t="shared" si="32"/>
        <v/>
      </c>
      <c r="C144" s="495">
        <f>IF(D94="","-",+C143+1)</f>
        <v>2055</v>
      </c>
      <c r="D144" s="349">
        <f>IF(F143+SUM(E$100:E143)=D$93,F143,D$93-SUM(E$100:E143))</f>
        <v>0</v>
      </c>
      <c r="E144" s="509">
        <f>IF(+J97&lt;F143,J97,D144)</f>
        <v>0</v>
      </c>
      <c r="F144" s="510">
        <f t="shared" si="40"/>
        <v>0</v>
      </c>
      <c r="G144" s="510">
        <f t="shared" si="33"/>
        <v>0</v>
      </c>
      <c r="H144" s="523">
        <f t="shared" si="34"/>
        <v>0</v>
      </c>
      <c r="I144" s="572">
        <f t="shared" si="35"/>
        <v>0</v>
      </c>
      <c r="J144" s="504">
        <f t="shared" si="36"/>
        <v>0</v>
      </c>
      <c r="K144" s="504"/>
      <c r="L144" s="512"/>
      <c r="M144" s="504">
        <f t="shared" si="37"/>
        <v>0</v>
      </c>
      <c r="N144" s="512"/>
      <c r="O144" s="504">
        <f t="shared" si="38"/>
        <v>0</v>
      </c>
      <c r="P144" s="504">
        <f t="shared" si="39"/>
        <v>0</v>
      </c>
      <c r="Q144" s="243"/>
      <c r="R144" s="243"/>
      <c r="S144" s="243"/>
      <c r="T144" s="243"/>
      <c r="U144" s="243"/>
    </row>
    <row r="145" spans="2:21" ht="12.5">
      <c r="B145" s="145" t="str">
        <f t="shared" si="32"/>
        <v/>
      </c>
      <c r="C145" s="495">
        <f>IF(D94="","-",+C144+1)</f>
        <v>2056</v>
      </c>
      <c r="D145" s="349">
        <f>IF(F144+SUM(E$100:E144)=D$93,F144,D$93-SUM(E$100:E144))</f>
        <v>0</v>
      </c>
      <c r="E145" s="509">
        <f>IF(+J97&lt;F144,J97,D145)</f>
        <v>0</v>
      </c>
      <c r="F145" s="510">
        <f t="shared" si="40"/>
        <v>0</v>
      </c>
      <c r="G145" s="510">
        <f t="shared" si="33"/>
        <v>0</v>
      </c>
      <c r="H145" s="523">
        <f t="shared" si="34"/>
        <v>0</v>
      </c>
      <c r="I145" s="572">
        <f t="shared" si="35"/>
        <v>0</v>
      </c>
      <c r="J145" s="504">
        <f t="shared" si="36"/>
        <v>0</v>
      </c>
      <c r="K145" s="504"/>
      <c r="L145" s="512"/>
      <c r="M145" s="504">
        <f t="shared" si="37"/>
        <v>0</v>
      </c>
      <c r="N145" s="512"/>
      <c r="O145" s="504">
        <f t="shared" si="38"/>
        <v>0</v>
      </c>
      <c r="P145" s="504">
        <f t="shared" si="39"/>
        <v>0</v>
      </c>
      <c r="Q145" s="243"/>
      <c r="R145" s="243"/>
      <c r="S145" s="243"/>
      <c r="T145" s="243"/>
      <c r="U145" s="243"/>
    </row>
    <row r="146" spans="2:21" ht="12.5">
      <c r="B146" s="145" t="str">
        <f t="shared" si="32"/>
        <v/>
      </c>
      <c r="C146" s="495">
        <f>IF(D94="","-",+C145+1)</f>
        <v>2057</v>
      </c>
      <c r="D146" s="349">
        <f>IF(F145+SUM(E$100:E145)=D$93,F145,D$93-SUM(E$100:E145))</f>
        <v>0</v>
      </c>
      <c r="E146" s="509">
        <f>IF(+J97&lt;F145,J97,D146)</f>
        <v>0</v>
      </c>
      <c r="F146" s="510">
        <f t="shared" si="40"/>
        <v>0</v>
      </c>
      <c r="G146" s="510">
        <f t="shared" si="33"/>
        <v>0</v>
      </c>
      <c r="H146" s="523">
        <f t="shared" si="34"/>
        <v>0</v>
      </c>
      <c r="I146" s="572">
        <f t="shared" si="35"/>
        <v>0</v>
      </c>
      <c r="J146" s="504">
        <f t="shared" si="36"/>
        <v>0</v>
      </c>
      <c r="K146" s="504"/>
      <c r="L146" s="512"/>
      <c r="M146" s="504">
        <f t="shared" si="37"/>
        <v>0</v>
      </c>
      <c r="N146" s="512"/>
      <c r="O146" s="504">
        <f t="shared" si="38"/>
        <v>0</v>
      </c>
      <c r="P146" s="504">
        <f t="shared" si="39"/>
        <v>0</v>
      </c>
      <c r="Q146" s="243"/>
      <c r="R146" s="243"/>
      <c r="S146" s="243"/>
      <c r="T146" s="243"/>
      <c r="U146" s="243"/>
    </row>
    <row r="147" spans="2:21" ht="12.5">
      <c r="B147" s="145" t="str">
        <f t="shared" si="32"/>
        <v/>
      </c>
      <c r="C147" s="495">
        <f>IF(D94="","-",+C146+1)</f>
        <v>2058</v>
      </c>
      <c r="D147" s="349">
        <f>IF(F146+SUM(E$100:E146)=D$93,F146,D$93-SUM(E$100:E146))</f>
        <v>0</v>
      </c>
      <c r="E147" s="509">
        <f>IF(+J97&lt;F146,J97,D147)</f>
        <v>0</v>
      </c>
      <c r="F147" s="510">
        <f t="shared" si="40"/>
        <v>0</v>
      </c>
      <c r="G147" s="510">
        <f t="shared" si="33"/>
        <v>0</v>
      </c>
      <c r="H147" s="523">
        <f t="shared" si="34"/>
        <v>0</v>
      </c>
      <c r="I147" s="572">
        <f t="shared" si="35"/>
        <v>0</v>
      </c>
      <c r="J147" s="504">
        <f t="shared" si="36"/>
        <v>0</v>
      </c>
      <c r="K147" s="504"/>
      <c r="L147" s="512"/>
      <c r="M147" s="504">
        <f t="shared" si="37"/>
        <v>0</v>
      </c>
      <c r="N147" s="512"/>
      <c r="O147" s="504">
        <f t="shared" si="38"/>
        <v>0</v>
      </c>
      <c r="P147" s="504">
        <f t="shared" si="39"/>
        <v>0</v>
      </c>
      <c r="Q147" s="243"/>
      <c r="R147" s="243"/>
      <c r="S147" s="243"/>
      <c r="T147" s="243"/>
      <c r="U147" s="243"/>
    </row>
    <row r="148" spans="2:21" ht="12.5">
      <c r="B148" s="145" t="str">
        <f t="shared" si="32"/>
        <v/>
      </c>
      <c r="C148" s="495">
        <f>IF(D94="","-",+C147+1)</f>
        <v>2059</v>
      </c>
      <c r="D148" s="349">
        <f>IF(F147+SUM(E$100:E147)=D$93,F147,D$93-SUM(E$100:E147))</f>
        <v>0</v>
      </c>
      <c r="E148" s="509">
        <f>IF(+J97&lt;F147,J97,D148)</f>
        <v>0</v>
      </c>
      <c r="F148" s="510">
        <f t="shared" si="40"/>
        <v>0</v>
      </c>
      <c r="G148" s="510">
        <f t="shared" si="33"/>
        <v>0</v>
      </c>
      <c r="H148" s="523">
        <f t="shared" si="34"/>
        <v>0</v>
      </c>
      <c r="I148" s="572">
        <f t="shared" si="35"/>
        <v>0</v>
      </c>
      <c r="J148" s="504">
        <f t="shared" si="36"/>
        <v>0</v>
      </c>
      <c r="K148" s="504"/>
      <c r="L148" s="512"/>
      <c r="M148" s="504">
        <f t="shared" si="37"/>
        <v>0</v>
      </c>
      <c r="N148" s="512"/>
      <c r="O148" s="504">
        <f t="shared" si="38"/>
        <v>0</v>
      </c>
      <c r="P148" s="504">
        <f t="shared" si="39"/>
        <v>0</v>
      </c>
      <c r="Q148" s="243"/>
      <c r="R148" s="243"/>
      <c r="S148" s="243"/>
      <c r="T148" s="243"/>
      <c r="U148" s="243"/>
    </row>
    <row r="149" spans="2:21" ht="12.5">
      <c r="B149" s="145" t="str">
        <f t="shared" si="32"/>
        <v/>
      </c>
      <c r="C149" s="495">
        <f>IF(D94="","-",+C148+1)</f>
        <v>2060</v>
      </c>
      <c r="D149" s="349">
        <f>IF(F148+SUM(E$100:E148)=D$93,F148,D$93-SUM(E$100:E148))</f>
        <v>0</v>
      </c>
      <c r="E149" s="509">
        <f>IF(+J97&lt;F148,J97,D149)</f>
        <v>0</v>
      </c>
      <c r="F149" s="510">
        <f t="shared" si="40"/>
        <v>0</v>
      </c>
      <c r="G149" s="510">
        <f t="shared" si="33"/>
        <v>0</v>
      </c>
      <c r="H149" s="523">
        <f t="shared" si="34"/>
        <v>0</v>
      </c>
      <c r="I149" s="572">
        <f t="shared" si="35"/>
        <v>0</v>
      </c>
      <c r="J149" s="504">
        <f t="shared" si="36"/>
        <v>0</v>
      </c>
      <c r="K149" s="504"/>
      <c r="L149" s="512"/>
      <c r="M149" s="504">
        <f t="shared" si="37"/>
        <v>0</v>
      </c>
      <c r="N149" s="512"/>
      <c r="O149" s="504">
        <f t="shared" si="38"/>
        <v>0</v>
      </c>
      <c r="P149" s="504">
        <f t="shared" si="39"/>
        <v>0</v>
      </c>
      <c r="Q149" s="243"/>
      <c r="R149" s="243"/>
      <c r="S149" s="243"/>
      <c r="T149" s="243"/>
      <c r="U149" s="243"/>
    </row>
    <row r="150" spans="2:21" ht="12.5">
      <c r="B150" s="145" t="str">
        <f t="shared" si="32"/>
        <v/>
      </c>
      <c r="C150" s="495">
        <f>IF(D94="","-",+C149+1)</f>
        <v>2061</v>
      </c>
      <c r="D150" s="349">
        <f>IF(F149+SUM(E$100:E149)=D$93,F149,D$93-SUM(E$100:E149))</f>
        <v>0</v>
      </c>
      <c r="E150" s="509">
        <f>IF(+J97&lt;F149,J97,D150)</f>
        <v>0</v>
      </c>
      <c r="F150" s="510">
        <f t="shared" si="40"/>
        <v>0</v>
      </c>
      <c r="G150" s="510">
        <f t="shared" si="33"/>
        <v>0</v>
      </c>
      <c r="H150" s="523">
        <f t="shared" si="34"/>
        <v>0</v>
      </c>
      <c r="I150" s="572">
        <f t="shared" si="35"/>
        <v>0</v>
      </c>
      <c r="J150" s="504">
        <f t="shared" si="36"/>
        <v>0</v>
      </c>
      <c r="K150" s="504"/>
      <c r="L150" s="512"/>
      <c r="M150" s="504">
        <f t="shared" si="37"/>
        <v>0</v>
      </c>
      <c r="N150" s="512"/>
      <c r="O150" s="504">
        <f t="shared" si="38"/>
        <v>0</v>
      </c>
      <c r="P150" s="504">
        <f t="shared" si="39"/>
        <v>0</v>
      </c>
      <c r="Q150" s="243"/>
      <c r="R150" s="243"/>
      <c r="S150" s="243"/>
      <c r="T150" s="243"/>
      <c r="U150" s="243"/>
    </row>
    <row r="151" spans="2:21" ht="12.5">
      <c r="B151" s="145" t="str">
        <f t="shared" si="32"/>
        <v/>
      </c>
      <c r="C151" s="495">
        <f>IF(D94="","-",+C150+1)</f>
        <v>2062</v>
      </c>
      <c r="D151" s="349">
        <f>IF(F150+SUM(E$100:E150)=D$93,F150,D$93-SUM(E$100:E150))</f>
        <v>0</v>
      </c>
      <c r="E151" s="509">
        <f>IF(+J97&lt;F150,J97,D151)</f>
        <v>0</v>
      </c>
      <c r="F151" s="510">
        <f t="shared" si="40"/>
        <v>0</v>
      </c>
      <c r="G151" s="510">
        <f t="shared" si="33"/>
        <v>0</v>
      </c>
      <c r="H151" s="523">
        <f t="shared" si="34"/>
        <v>0</v>
      </c>
      <c r="I151" s="572">
        <f t="shared" si="35"/>
        <v>0</v>
      </c>
      <c r="J151" s="504">
        <f t="shared" si="36"/>
        <v>0</v>
      </c>
      <c r="K151" s="504"/>
      <c r="L151" s="512"/>
      <c r="M151" s="504">
        <f t="shared" si="37"/>
        <v>0</v>
      </c>
      <c r="N151" s="512"/>
      <c r="O151" s="504">
        <f t="shared" si="38"/>
        <v>0</v>
      </c>
      <c r="P151" s="504">
        <f t="shared" si="39"/>
        <v>0</v>
      </c>
      <c r="Q151" s="243"/>
      <c r="R151" s="243"/>
      <c r="S151" s="243"/>
      <c r="T151" s="243"/>
      <c r="U151" s="243"/>
    </row>
    <row r="152" spans="2:21" ht="12.5">
      <c r="B152" s="145" t="str">
        <f t="shared" si="32"/>
        <v/>
      </c>
      <c r="C152" s="495">
        <f>IF(D94="","-",+C151+1)</f>
        <v>2063</v>
      </c>
      <c r="D152" s="349">
        <f>IF(F151+SUM(E$100:E151)=D$93,F151,D$93-SUM(E$100:E151))</f>
        <v>0</v>
      </c>
      <c r="E152" s="509">
        <f>IF(+J97&lt;F151,J97,D152)</f>
        <v>0</v>
      </c>
      <c r="F152" s="510">
        <f t="shared" si="40"/>
        <v>0</v>
      </c>
      <c r="G152" s="510">
        <f t="shared" si="33"/>
        <v>0</v>
      </c>
      <c r="H152" s="523">
        <f t="shared" si="34"/>
        <v>0</v>
      </c>
      <c r="I152" s="572">
        <f t="shared" si="35"/>
        <v>0</v>
      </c>
      <c r="J152" s="504">
        <f t="shared" si="36"/>
        <v>0</v>
      </c>
      <c r="K152" s="504"/>
      <c r="L152" s="512"/>
      <c r="M152" s="504">
        <f t="shared" si="37"/>
        <v>0</v>
      </c>
      <c r="N152" s="512"/>
      <c r="O152" s="504">
        <f t="shared" si="38"/>
        <v>0</v>
      </c>
      <c r="P152" s="504">
        <f t="shared" si="39"/>
        <v>0</v>
      </c>
      <c r="Q152" s="243"/>
      <c r="R152" s="243"/>
      <c r="S152" s="243"/>
      <c r="T152" s="243"/>
      <c r="U152" s="243"/>
    </row>
    <row r="153" spans="2:21" ht="12.5">
      <c r="B153" s="145" t="str">
        <f t="shared" si="32"/>
        <v/>
      </c>
      <c r="C153" s="495">
        <f>IF(D94="","-",+C152+1)</f>
        <v>2064</v>
      </c>
      <c r="D153" s="349">
        <f>IF(F152+SUM(E$100:E152)=D$93,F152,D$93-SUM(E$100:E152))</f>
        <v>0</v>
      </c>
      <c r="E153" s="509">
        <f>IF(+J97&lt;F152,J97,D153)</f>
        <v>0</v>
      </c>
      <c r="F153" s="510">
        <f t="shared" si="40"/>
        <v>0</v>
      </c>
      <c r="G153" s="510">
        <f t="shared" si="33"/>
        <v>0</v>
      </c>
      <c r="H153" s="523">
        <f t="shared" si="34"/>
        <v>0</v>
      </c>
      <c r="I153" s="572">
        <f t="shared" si="35"/>
        <v>0</v>
      </c>
      <c r="J153" s="504">
        <f t="shared" si="36"/>
        <v>0</v>
      </c>
      <c r="K153" s="504"/>
      <c r="L153" s="512"/>
      <c r="M153" s="504">
        <f t="shared" si="37"/>
        <v>0</v>
      </c>
      <c r="N153" s="512"/>
      <c r="O153" s="504">
        <f t="shared" si="38"/>
        <v>0</v>
      </c>
      <c r="P153" s="504">
        <f t="shared" si="39"/>
        <v>0</v>
      </c>
      <c r="Q153" s="243"/>
      <c r="R153" s="243"/>
      <c r="S153" s="243"/>
      <c r="T153" s="243"/>
      <c r="U153" s="243"/>
    </row>
    <row r="154" spans="2:21" ht="12.5">
      <c r="B154" s="145" t="str">
        <f t="shared" si="32"/>
        <v/>
      </c>
      <c r="C154" s="495">
        <f>IF(D94="","-",+C153+1)</f>
        <v>2065</v>
      </c>
      <c r="D154" s="349">
        <f>IF(F153+SUM(E$100:E153)=D$93,F153,D$93-SUM(E$100:E153))</f>
        <v>0</v>
      </c>
      <c r="E154" s="509">
        <f>IF(+J97&lt;F153,J97,D154)</f>
        <v>0</v>
      </c>
      <c r="F154" s="510">
        <f t="shared" si="40"/>
        <v>0</v>
      </c>
      <c r="G154" s="510">
        <f t="shared" si="33"/>
        <v>0</v>
      </c>
      <c r="H154" s="523">
        <f t="shared" si="34"/>
        <v>0</v>
      </c>
      <c r="I154" s="572">
        <f t="shared" si="35"/>
        <v>0</v>
      </c>
      <c r="J154" s="504">
        <f t="shared" si="36"/>
        <v>0</v>
      </c>
      <c r="K154" s="504"/>
      <c r="L154" s="512"/>
      <c r="M154" s="504">
        <f t="shared" si="37"/>
        <v>0</v>
      </c>
      <c r="N154" s="512"/>
      <c r="O154" s="504">
        <f t="shared" si="38"/>
        <v>0</v>
      </c>
      <c r="P154" s="504">
        <f t="shared" si="39"/>
        <v>0</v>
      </c>
      <c r="Q154" s="243"/>
      <c r="R154" s="243"/>
      <c r="S154" s="243"/>
      <c r="T154" s="243"/>
      <c r="U154" s="243"/>
    </row>
    <row r="155" spans="2:21" ht="13" thickBot="1">
      <c r="B155" s="145" t="str">
        <f t="shared" si="32"/>
        <v/>
      </c>
      <c r="C155" s="524">
        <f>IF(D94="","-",+C154+1)</f>
        <v>2066</v>
      </c>
      <c r="D155" s="527">
        <f>IF(F154+SUM(E$100:E154)=D$93,F154,D$93-SUM(E$100:E154))</f>
        <v>0</v>
      </c>
      <c r="E155" s="526">
        <f>IF(+J97&lt;F154,J97,D155)</f>
        <v>0</v>
      </c>
      <c r="F155" s="527">
        <f t="shared" si="40"/>
        <v>0</v>
      </c>
      <c r="G155" s="527">
        <f t="shared" si="33"/>
        <v>0</v>
      </c>
      <c r="H155" s="528">
        <f t="shared" si="34"/>
        <v>0</v>
      </c>
      <c r="I155" s="573">
        <f t="shared" si="35"/>
        <v>0</v>
      </c>
      <c r="J155" s="531">
        <f t="shared" si="36"/>
        <v>0</v>
      </c>
      <c r="K155" s="504"/>
      <c r="L155" s="530"/>
      <c r="M155" s="531">
        <f t="shared" si="37"/>
        <v>0</v>
      </c>
      <c r="N155" s="530"/>
      <c r="O155" s="531">
        <f t="shared" si="38"/>
        <v>0</v>
      </c>
      <c r="P155" s="531">
        <f t="shared" si="39"/>
        <v>0</v>
      </c>
      <c r="Q155" s="243"/>
      <c r="R155" s="243"/>
      <c r="S155" s="243"/>
      <c r="T155" s="243"/>
      <c r="U155" s="243"/>
    </row>
    <row r="156" spans="2:21" ht="12.5">
      <c r="C156" s="349" t="s">
        <v>75</v>
      </c>
      <c r="D156" s="294"/>
      <c r="E156" s="294">
        <f>SUM(E100:E155)</f>
        <v>11038231.999999998</v>
      </c>
      <c r="F156" s="294"/>
      <c r="G156" s="294"/>
      <c r="H156" s="294">
        <f>SUM(H100:H155)</f>
        <v>33457259.15307698</v>
      </c>
      <c r="I156" s="294">
        <f>SUM(I100:I155)</f>
        <v>33457259.15307698</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44" priority="1" stopIfTrue="1" operator="equal">
      <formula>$I$10</formula>
    </cfRule>
  </conditionalFormatting>
  <conditionalFormatting sqref="C100:C155">
    <cfRule type="cellIs" dxfId="43"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sheetPr>
  <dimension ref="A1:U163"/>
  <sheetViews>
    <sheetView view="pageBreakPreview" zoomScale="90" zoomScaleNormal="100" zoomScaleSheetLayoutView="90"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5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0</v>
      </c>
      <c r="P5" s="243"/>
      <c r="R5" s="243"/>
      <c r="S5" s="243"/>
      <c r="T5" s="243"/>
      <c r="U5" s="243"/>
    </row>
    <row r="6" spans="1:21" ht="15.5">
      <c r="C6" s="235"/>
      <c r="D6" s="292"/>
      <c r="E6" s="243"/>
      <c r="F6" s="243"/>
      <c r="G6" s="243"/>
      <c r="H6" s="449"/>
      <c r="I6" s="449"/>
      <c r="J6" s="450"/>
      <c r="K6" s="451" t="s">
        <v>243</v>
      </c>
      <c r="L6" s="452"/>
      <c r="M6" s="278"/>
      <c r="N6" s="453">
        <f>VLOOKUP(I10,C17:I73,6)</f>
        <v>0</v>
      </c>
      <c r="O6" s="243"/>
      <c r="P6" s="243"/>
      <c r="R6" s="243"/>
      <c r="S6" s="243"/>
      <c r="T6" s="243"/>
      <c r="U6" s="243"/>
    </row>
    <row r="7" spans="1:21" ht="13.5" thickBot="1">
      <c r="C7" s="454" t="s">
        <v>46</v>
      </c>
      <c r="D7" s="455" t="s">
        <v>211</v>
      </c>
      <c r="E7" s="243"/>
      <c r="F7" s="243"/>
      <c r="G7" s="243"/>
      <c r="H7" s="325"/>
      <c r="I7" s="325"/>
      <c r="J7" s="294"/>
      <c r="K7" s="456" t="s">
        <v>47</v>
      </c>
      <c r="L7" s="457"/>
      <c r="M7" s="457"/>
      <c r="N7" s="458">
        <f>+N6-N5</f>
        <v>0</v>
      </c>
      <c r="O7" s="243"/>
      <c r="P7" s="243"/>
      <c r="R7" s="243"/>
      <c r="S7" s="243"/>
      <c r="T7" s="243"/>
      <c r="U7" s="243"/>
    </row>
    <row r="8" spans="1:21" ht="13.5" thickBot="1">
      <c r="C8" s="459"/>
      <c r="D8" s="604" t="s">
        <v>209</v>
      </c>
      <c r="E8" s="461"/>
      <c r="F8" s="461"/>
      <c r="G8" s="461"/>
      <c r="H8" s="461"/>
      <c r="I8" s="461"/>
      <c r="J8" s="462"/>
      <c r="K8" s="461"/>
      <c r="L8" s="461"/>
      <c r="M8" s="461"/>
      <c r="N8" s="461"/>
      <c r="O8" s="462"/>
      <c r="P8" s="248"/>
      <c r="R8" s="243"/>
      <c r="S8" s="243"/>
      <c r="T8" s="243"/>
      <c r="U8" s="243"/>
    </row>
    <row r="9" spans="1:21" ht="13.5" thickBot="1">
      <c r="A9" s="152"/>
      <c r="C9" s="463" t="s">
        <v>48</v>
      </c>
      <c r="D9" s="464" t="s">
        <v>204</v>
      </c>
      <c r="E9" s="647" t="s">
        <v>308</v>
      </c>
      <c r="F9" s="465"/>
      <c r="G9" s="465"/>
      <c r="H9" s="465"/>
      <c r="I9" s="466"/>
      <c r="J9" s="467"/>
      <c r="O9" s="468"/>
      <c r="P9" s="278"/>
      <c r="R9" s="243"/>
      <c r="S9" s="243"/>
      <c r="T9" s="243"/>
      <c r="U9" s="243"/>
    </row>
    <row r="10" spans="1:21" ht="13">
      <c r="C10" s="469" t="s">
        <v>49</v>
      </c>
      <c r="D10" s="470">
        <v>0</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2012</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4</v>
      </c>
      <c r="E12" s="472" t="s">
        <v>55</v>
      </c>
      <c r="F12" s="408"/>
      <c r="G12" s="220"/>
      <c r="H12" s="220"/>
      <c r="I12" s="476">
        <f>OKT.WS.F.BPU.ATRR.Projected!$F$79</f>
        <v>0.10818506718567715</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0</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49" si="0">IF(D17=F16,"","IU")</f>
        <v>IU</v>
      </c>
      <c r="C17" s="580">
        <f>IF(D11= "","-",D11)</f>
        <v>2012</v>
      </c>
      <c r="D17" s="496">
        <v>3951600</v>
      </c>
      <c r="E17" s="497">
        <v>45573.039110189922</v>
      </c>
      <c r="F17" s="496">
        <v>3906026.9608898102</v>
      </c>
      <c r="G17" s="498">
        <v>423078.95453720703</v>
      </c>
      <c r="H17" s="499">
        <v>423078.95453720703</v>
      </c>
      <c r="I17" s="584">
        <v>0</v>
      </c>
      <c r="J17" s="500"/>
      <c r="K17" s="501">
        <f>G17</f>
        <v>423078.95453720703</v>
      </c>
      <c r="L17" s="502">
        <f t="shared" ref="L17:L49" si="1">IF(K17&lt;&gt;0,+G17-K17,0)</f>
        <v>0</v>
      </c>
      <c r="M17" s="501">
        <f>H17</f>
        <v>423078.95453720703</v>
      </c>
      <c r="N17" s="503">
        <f t="shared" ref="N17:N49" si="2">IF(M17&lt;&gt;0,+H17-M17,0)</f>
        <v>0</v>
      </c>
      <c r="O17" s="504">
        <f t="shared" ref="O17:O49" si="3">+N17-L17</f>
        <v>0</v>
      </c>
      <c r="P17" s="278"/>
      <c r="R17" s="243"/>
      <c r="S17" s="243"/>
      <c r="T17" s="243"/>
      <c r="U17" s="243"/>
    </row>
    <row r="18" spans="2:21" ht="12.5">
      <c r="B18" s="145" t="str">
        <f t="shared" si="0"/>
        <v>IU</v>
      </c>
      <c r="C18" s="495">
        <f>IF(D$11="","-",+C17+1)</f>
        <v>2013</v>
      </c>
      <c r="D18" s="508"/>
      <c r="E18" s="509">
        <f t="shared" ref="E18:E32" si="4">IF(+I$14&lt;F17,I$14,D18)</f>
        <v>0</v>
      </c>
      <c r="F18" s="510">
        <f t="shared" ref="F18:F49" si="5">+D18-E18</f>
        <v>0</v>
      </c>
      <c r="G18" s="511">
        <f t="shared" ref="G18:G73" si="6">(D18+F18)/2*I$12+E18</f>
        <v>0</v>
      </c>
      <c r="H18" s="477">
        <f t="shared" ref="H18:H73" si="7">+(D18+F18)/2*I$13+E18</f>
        <v>0</v>
      </c>
      <c r="I18" s="500">
        <f t="shared" ref="I18:I49" si="8">H18-G18</f>
        <v>0</v>
      </c>
      <c r="J18" s="500"/>
      <c r="K18" s="512"/>
      <c r="L18" s="504">
        <f t="shared" si="1"/>
        <v>0</v>
      </c>
      <c r="M18" s="512"/>
      <c r="N18" s="504">
        <f t="shared" si="2"/>
        <v>0</v>
      </c>
      <c r="O18" s="504">
        <f t="shared" si="3"/>
        <v>0</v>
      </c>
      <c r="P18" s="278"/>
      <c r="R18" s="243"/>
      <c r="S18" s="243"/>
      <c r="T18" s="243"/>
      <c r="U18" s="243"/>
    </row>
    <row r="19" spans="2:21" ht="12.5">
      <c r="B19" s="145" t="str">
        <f t="shared" si="0"/>
        <v/>
      </c>
      <c r="C19" s="495">
        <f>IF(D$11="","-",+C18+1)</f>
        <v>2014</v>
      </c>
      <c r="D19" s="508"/>
      <c r="E19" s="509">
        <f t="shared" si="4"/>
        <v>0</v>
      </c>
      <c r="F19" s="510">
        <f t="shared" si="5"/>
        <v>0</v>
      </c>
      <c r="G19" s="511">
        <f t="shared" si="6"/>
        <v>0</v>
      </c>
      <c r="H19" s="477">
        <f t="shared" si="7"/>
        <v>0</v>
      </c>
      <c r="I19" s="500">
        <f t="shared" si="8"/>
        <v>0</v>
      </c>
      <c r="J19" s="500"/>
      <c r="K19" s="512"/>
      <c r="L19" s="504">
        <f t="shared" si="1"/>
        <v>0</v>
      </c>
      <c r="M19" s="512"/>
      <c r="N19" s="504">
        <f t="shared" si="2"/>
        <v>0</v>
      </c>
      <c r="O19" s="504">
        <f t="shared" si="3"/>
        <v>0</v>
      </c>
      <c r="P19" s="278"/>
      <c r="R19" s="243"/>
      <c r="S19" s="243"/>
      <c r="T19" s="243"/>
      <c r="U19" s="243"/>
    </row>
    <row r="20" spans="2:21" ht="12.5">
      <c r="B20" s="145" t="str">
        <f t="shared" si="0"/>
        <v/>
      </c>
      <c r="C20" s="495">
        <f>IF(D$11="","-",+C19+1)</f>
        <v>2015</v>
      </c>
      <c r="D20" s="508"/>
      <c r="E20" s="509">
        <f t="shared" si="4"/>
        <v>0</v>
      </c>
      <c r="F20" s="510">
        <f t="shared" si="5"/>
        <v>0</v>
      </c>
      <c r="G20" s="511">
        <f t="shared" si="6"/>
        <v>0</v>
      </c>
      <c r="H20" s="477">
        <f t="shared" si="7"/>
        <v>0</v>
      </c>
      <c r="I20" s="500">
        <f t="shared" si="8"/>
        <v>0</v>
      </c>
      <c r="J20" s="500"/>
      <c r="K20" s="512"/>
      <c r="L20" s="504">
        <f t="shared" si="1"/>
        <v>0</v>
      </c>
      <c r="M20" s="512"/>
      <c r="N20" s="504">
        <f t="shared" si="2"/>
        <v>0</v>
      </c>
      <c r="O20" s="504">
        <f t="shared" si="3"/>
        <v>0</v>
      </c>
      <c r="P20" s="278"/>
      <c r="R20" s="243"/>
      <c r="S20" s="243"/>
      <c r="T20" s="243"/>
      <c r="U20" s="243"/>
    </row>
    <row r="21" spans="2:21" ht="12.5">
      <c r="B21" s="145" t="str">
        <f t="shared" si="0"/>
        <v/>
      </c>
      <c r="C21" s="495">
        <f>IF(D12="","-",+C20+1)</f>
        <v>2016</v>
      </c>
      <c r="D21" s="508"/>
      <c r="E21" s="509">
        <f t="shared" si="4"/>
        <v>0</v>
      </c>
      <c r="F21" s="510">
        <f t="shared" si="5"/>
        <v>0</v>
      </c>
      <c r="G21" s="511">
        <f t="shared" si="6"/>
        <v>0</v>
      </c>
      <c r="H21" s="477">
        <f t="shared" si="7"/>
        <v>0</v>
      </c>
      <c r="I21" s="500">
        <f t="shared" si="8"/>
        <v>0</v>
      </c>
      <c r="J21" s="500"/>
      <c r="K21" s="512"/>
      <c r="L21" s="504">
        <f t="shared" si="1"/>
        <v>0</v>
      </c>
      <c r="M21" s="512"/>
      <c r="N21" s="504">
        <f t="shared" si="2"/>
        <v>0</v>
      </c>
      <c r="O21" s="504">
        <f t="shared" si="3"/>
        <v>0</v>
      </c>
      <c r="P21" s="278"/>
      <c r="R21" s="243"/>
      <c r="S21" s="243"/>
      <c r="T21" s="243"/>
      <c r="U21" s="243"/>
    </row>
    <row r="22" spans="2:21" ht="12.5">
      <c r="B22" s="145" t="str">
        <f t="shared" si="0"/>
        <v/>
      </c>
      <c r="C22" s="495">
        <f>IF(D$11="","-",+C21+1)</f>
        <v>2017</v>
      </c>
      <c r="D22" s="508"/>
      <c r="E22" s="509">
        <f t="shared" si="4"/>
        <v>0</v>
      </c>
      <c r="F22" s="510">
        <f t="shared" si="5"/>
        <v>0</v>
      </c>
      <c r="G22" s="511">
        <f t="shared" si="6"/>
        <v>0</v>
      </c>
      <c r="H22" s="477">
        <f t="shared" si="7"/>
        <v>0</v>
      </c>
      <c r="I22" s="500">
        <f t="shared" si="8"/>
        <v>0</v>
      </c>
      <c r="J22" s="500"/>
      <c r="K22" s="512"/>
      <c r="L22" s="504">
        <f t="shared" si="1"/>
        <v>0</v>
      </c>
      <c r="M22" s="512"/>
      <c r="N22" s="504">
        <f t="shared" si="2"/>
        <v>0</v>
      </c>
      <c r="O22" s="504">
        <f t="shared" si="3"/>
        <v>0</v>
      </c>
      <c r="P22" s="278"/>
      <c r="R22" s="243"/>
      <c r="S22" s="243"/>
      <c r="T22" s="243"/>
      <c r="U22" s="243"/>
    </row>
    <row r="23" spans="2:21" ht="12.5">
      <c r="B23" s="145" t="str">
        <f t="shared" si="0"/>
        <v/>
      </c>
      <c r="C23" s="495">
        <f>IF(D$11="","-",+C22+1)</f>
        <v>2018</v>
      </c>
      <c r="D23" s="508"/>
      <c r="E23" s="509">
        <f t="shared" si="4"/>
        <v>0</v>
      </c>
      <c r="F23" s="510">
        <f t="shared" si="5"/>
        <v>0</v>
      </c>
      <c r="G23" s="511">
        <f t="shared" si="6"/>
        <v>0</v>
      </c>
      <c r="H23" s="477">
        <f t="shared" si="7"/>
        <v>0</v>
      </c>
      <c r="I23" s="500">
        <f t="shared" si="8"/>
        <v>0</v>
      </c>
      <c r="J23" s="500"/>
      <c r="K23" s="512"/>
      <c r="L23" s="504">
        <f t="shared" si="1"/>
        <v>0</v>
      </c>
      <c r="M23" s="512"/>
      <c r="N23" s="504">
        <f t="shared" si="2"/>
        <v>0</v>
      </c>
      <c r="O23" s="504">
        <f t="shared" si="3"/>
        <v>0</v>
      </c>
      <c r="P23" s="278"/>
      <c r="R23" s="243"/>
      <c r="S23" s="243"/>
      <c r="T23" s="243"/>
      <c r="U23" s="243"/>
    </row>
    <row r="24" spans="2:21" ht="12.5">
      <c r="B24" s="145" t="str">
        <f t="shared" si="0"/>
        <v/>
      </c>
      <c r="C24" s="495">
        <f>IF(D$11="","-",+C23+1)</f>
        <v>2019</v>
      </c>
      <c r="D24" s="508"/>
      <c r="E24" s="509">
        <f t="shared" si="4"/>
        <v>0</v>
      </c>
      <c r="F24" s="510">
        <f t="shared" si="5"/>
        <v>0</v>
      </c>
      <c r="G24" s="511">
        <f t="shared" si="6"/>
        <v>0</v>
      </c>
      <c r="H24" s="477">
        <f t="shared" si="7"/>
        <v>0</v>
      </c>
      <c r="I24" s="500">
        <f t="shared" si="8"/>
        <v>0</v>
      </c>
      <c r="J24" s="500"/>
      <c r="K24" s="512"/>
      <c r="L24" s="504">
        <f t="shared" si="1"/>
        <v>0</v>
      </c>
      <c r="M24" s="512"/>
      <c r="N24" s="504">
        <f t="shared" si="2"/>
        <v>0</v>
      </c>
      <c r="O24" s="504">
        <f t="shared" si="3"/>
        <v>0</v>
      </c>
      <c r="P24" s="278"/>
      <c r="R24" s="243"/>
      <c r="S24" s="243"/>
      <c r="T24" s="243"/>
      <c r="U24" s="243"/>
    </row>
    <row r="25" spans="2:21" ht="12.5">
      <c r="B25" s="145" t="str">
        <f t="shared" si="0"/>
        <v/>
      </c>
      <c r="C25" s="495">
        <f>IF(D$11="","-",+C24+1)</f>
        <v>2020</v>
      </c>
      <c r="D25" s="508"/>
      <c r="E25" s="509">
        <f t="shared" si="4"/>
        <v>0</v>
      </c>
      <c r="F25" s="510">
        <f t="shared" si="5"/>
        <v>0</v>
      </c>
      <c r="G25" s="511">
        <f t="shared" si="6"/>
        <v>0</v>
      </c>
      <c r="H25" s="477">
        <f t="shared" si="7"/>
        <v>0</v>
      </c>
      <c r="I25" s="500">
        <f t="shared" si="8"/>
        <v>0</v>
      </c>
      <c r="J25" s="500"/>
      <c r="K25" s="512"/>
      <c r="L25" s="504">
        <f t="shared" si="1"/>
        <v>0</v>
      </c>
      <c r="M25" s="512"/>
      <c r="N25" s="504">
        <f t="shared" si="2"/>
        <v>0</v>
      </c>
      <c r="O25" s="504">
        <f t="shared" si="3"/>
        <v>0</v>
      </c>
      <c r="P25" s="278"/>
      <c r="R25" s="243"/>
      <c r="S25" s="243"/>
      <c r="T25" s="243"/>
      <c r="U25" s="243"/>
    </row>
    <row r="26" spans="2:21" ht="12.5">
      <c r="B26" s="145" t="str">
        <f t="shared" si="0"/>
        <v/>
      </c>
      <c r="C26" s="495">
        <f>IF(D$11="","-",+C25+1)</f>
        <v>2021</v>
      </c>
      <c r="D26" s="508"/>
      <c r="E26" s="509">
        <f t="shared" si="4"/>
        <v>0</v>
      </c>
      <c r="F26" s="510">
        <f t="shared" si="5"/>
        <v>0</v>
      </c>
      <c r="G26" s="511">
        <f t="shared" si="6"/>
        <v>0</v>
      </c>
      <c r="H26" s="477">
        <f t="shared" si="7"/>
        <v>0</v>
      </c>
      <c r="I26" s="500">
        <f t="shared" si="8"/>
        <v>0</v>
      </c>
      <c r="J26" s="500"/>
      <c r="K26" s="512"/>
      <c r="L26" s="504">
        <f t="shared" si="1"/>
        <v>0</v>
      </c>
      <c r="M26" s="512"/>
      <c r="N26" s="504">
        <f t="shared" si="2"/>
        <v>0</v>
      </c>
      <c r="O26" s="504">
        <f t="shared" si="3"/>
        <v>0</v>
      </c>
      <c r="P26" s="278"/>
      <c r="R26" s="243"/>
      <c r="S26" s="243"/>
      <c r="T26" s="243"/>
      <c r="U26" s="243"/>
    </row>
    <row r="27" spans="2:21" ht="12.5">
      <c r="B27" s="145" t="str">
        <f t="shared" si="0"/>
        <v/>
      </c>
      <c r="C27" s="495">
        <f t="shared" ref="C27:C73" si="9">IF(D$11="","-",+C26+1)</f>
        <v>2022</v>
      </c>
      <c r="D27" s="508"/>
      <c r="E27" s="509">
        <f t="shared" si="4"/>
        <v>0</v>
      </c>
      <c r="F27" s="510">
        <f t="shared" si="5"/>
        <v>0</v>
      </c>
      <c r="G27" s="511">
        <f t="shared" si="6"/>
        <v>0</v>
      </c>
      <c r="H27" s="477">
        <f t="shared" si="7"/>
        <v>0</v>
      </c>
      <c r="I27" s="500">
        <f t="shared" si="8"/>
        <v>0</v>
      </c>
      <c r="J27" s="500"/>
      <c r="K27" s="512"/>
      <c r="L27" s="504">
        <f t="shared" si="1"/>
        <v>0</v>
      </c>
      <c r="M27" s="512"/>
      <c r="N27" s="504">
        <f t="shared" si="2"/>
        <v>0</v>
      </c>
      <c r="O27" s="504">
        <f t="shared" si="3"/>
        <v>0</v>
      </c>
      <c r="P27" s="278"/>
      <c r="R27" s="243"/>
      <c r="S27" s="243"/>
      <c r="T27" s="243"/>
      <c r="U27" s="243"/>
    </row>
    <row r="28" spans="2:21" ht="12.5">
      <c r="B28" s="145" t="str">
        <f t="shared" si="0"/>
        <v/>
      </c>
      <c r="C28" s="495">
        <f t="shared" si="9"/>
        <v>2023</v>
      </c>
      <c r="D28" s="508"/>
      <c r="E28" s="509">
        <f t="shared" si="4"/>
        <v>0</v>
      </c>
      <c r="F28" s="510">
        <f t="shared" si="5"/>
        <v>0</v>
      </c>
      <c r="G28" s="511">
        <f t="shared" si="6"/>
        <v>0</v>
      </c>
      <c r="H28" s="477">
        <f t="shared" si="7"/>
        <v>0</v>
      </c>
      <c r="I28" s="500">
        <f t="shared" si="8"/>
        <v>0</v>
      </c>
      <c r="J28" s="500"/>
      <c r="K28" s="512"/>
      <c r="L28" s="504">
        <f t="shared" si="1"/>
        <v>0</v>
      </c>
      <c r="M28" s="512"/>
      <c r="N28" s="504">
        <f t="shared" si="2"/>
        <v>0</v>
      </c>
      <c r="O28" s="504">
        <f t="shared" si="3"/>
        <v>0</v>
      </c>
      <c r="P28" s="278"/>
      <c r="R28" s="243"/>
      <c r="S28" s="243"/>
      <c r="T28" s="243"/>
      <c r="U28" s="243"/>
    </row>
    <row r="29" spans="2:21" ht="12.5">
      <c r="B29" s="145" t="str">
        <f t="shared" si="0"/>
        <v/>
      </c>
      <c r="C29" s="495">
        <f t="shared" si="9"/>
        <v>2024</v>
      </c>
      <c r="D29" s="508"/>
      <c r="E29" s="509">
        <f t="shared" si="4"/>
        <v>0</v>
      </c>
      <c r="F29" s="510">
        <f t="shared" si="5"/>
        <v>0</v>
      </c>
      <c r="G29" s="511">
        <f t="shared" si="6"/>
        <v>0</v>
      </c>
      <c r="H29" s="477">
        <f t="shared" si="7"/>
        <v>0</v>
      </c>
      <c r="I29" s="500">
        <f t="shared" si="8"/>
        <v>0</v>
      </c>
      <c r="J29" s="500"/>
      <c r="K29" s="512"/>
      <c r="L29" s="504">
        <f t="shared" si="1"/>
        <v>0</v>
      </c>
      <c r="M29" s="512"/>
      <c r="N29" s="504">
        <f t="shared" si="2"/>
        <v>0</v>
      </c>
      <c r="O29" s="504">
        <f t="shared" si="3"/>
        <v>0</v>
      </c>
      <c r="P29" s="278"/>
      <c r="R29" s="243"/>
      <c r="S29" s="243"/>
      <c r="T29" s="243"/>
      <c r="U29" s="243"/>
    </row>
    <row r="30" spans="2:21" ht="12.5">
      <c r="B30" s="145" t="str">
        <f t="shared" si="0"/>
        <v/>
      </c>
      <c r="C30" s="495">
        <f t="shared" si="9"/>
        <v>2025</v>
      </c>
      <c r="D30" s="508"/>
      <c r="E30" s="509">
        <f t="shared" si="4"/>
        <v>0</v>
      </c>
      <c r="F30" s="510">
        <f t="shared" si="5"/>
        <v>0</v>
      </c>
      <c r="G30" s="511">
        <f t="shared" si="6"/>
        <v>0</v>
      </c>
      <c r="H30" s="477">
        <f t="shared" si="7"/>
        <v>0</v>
      </c>
      <c r="I30" s="500">
        <f t="shared" si="8"/>
        <v>0</v>
      </c>
      <c r="J30" s="500"/>
      <c r="K30" s="512"/>
      <c r="L30" s="504">
        <f t="shared" si="1"/>
        <v>0</v>
      </c>
      <c r="M30" s="512"/>
      <c r="N30" s="504">
        <f t="shared" si="2"/>
        <v>0</v>
      </c>
      <c r="O30" s="504">
        <f t="shared" si="3"/>
        <v>0</v>
      </c>
      <c r="P30" s="278"/>
      <c r="R30" s="243"/>
      <c r="S30" s="243"/>
      <c r="T30" s="243"/>
      <c r="U30" s="243"/>
    </row>
    <row r="31" spans="2:21" ht="12.5">
      <c r="B31" s="145" t="str">
        <f t="shared" si="0"/>
        <v/>
      </c>
      <c r="C31" s="495">
        <f t="shared" si="9"/>
        <v>2026</v>
      </c>
      <c r="D31" s="508"/>
      <c r="E31" s="509">
        <f t="shared" si="4"/>
        <v>0</v>
      </c>
      <c r="F31" s="510">
        <f t="shared" si="5"/>
        <v>0</v>
      </c>
      <c r="G31" s="511">
        <f t="shared" si="6"/>
        <v>0</v>
      </c>
      <c r="H31" s="477">
        <f t="shared" si="7"/>
        <v>0</v>
      </c>
      <c r="I31" s="500">
        <f t="shared" si="8"/>
        <v>0</v>
      </c>
      <c r="J31" s="500"/>
      <c r="K31" s="512"/>
      <c r="L31" s="504">
        <f t="shared" si="1"/>
        <v>0</v>
      </c>
      <c r="M31" s="512"/>
      <c r="N31" s="504">
        <f t="shared" si="2"/>
        <v>0</v>
      </c>
      <c r="O31" s="504">
        <f t="shared" si="3"/>
        <v>0</v>
      </c>
      <c r="P31" s="278"/>
      <c r="Q31" s="220"/>
      <c r="R31" s="278"/>
      <c r="S31" s="278"/>
      <c r="T31" s="278"/>
      <c r="U31" s="243"/>
    </row>
    <row r="32" spans="2:21" ht="12.5">
      <c r="B32" s="145" t="str">
        <f t="shared" si="0"/>
        <v/>
      </c>
      <c r="C32" s="495">
        <f t="shared" si="9"/>
        <v>2027</v>
      </c>
      <c r="D32" s="508"/>
      <c r="E32" s="509">
        <f t="shared" si="4"/>
        <v>0</v>
      </c>
      <c r="F32" s="510">
        <f>+D32-E32</f>
        <v>0</v>
      </c>
      <c r="G32" s="511">
        <f t="shared" si="6"/>
        <v>0</v>
      </c>
      <c r="H32" s="477">
        <f t="shared" si="7"/>
        <v>0</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 t="shared" si="9"/>
        <v>2028</v>
      </c>
      <c r="D33" s="508"/>
      <c r="E33" s="509">
        <f>IF(+I$14&lt;F31,I$14,D33)</f>
        <v>0</v>
      </c>
      <c r="F33" s="510">
        <f t="shared" si="5"/>
        <v>0</v>
      </c>
      <c r="G33" s="511">
        <f t="shared" si="6"/>
        <v>0</v>
      </c>
      <c r="H33" s="477">
        <f t="shared" si="7"/>
        <v>0</v>
      </c>
      <c r="I33" s="500">
        <f t="shared" si="8"/>
        <v>0</v>
      </c>
      <c r="J33" s="500"/>
      <c r="K33" s="512"/>
      <c r="L33" s="504">
        <f t="shared" si="1"/>
        <v>0</v>
      </c>
      <c r="M33" s="512"/>
      <c r="N33" s="504">
        <f t="shared" si="2"/>
        <v>0</v>
      </c>
      <c r="O33" s="504">
        <f t="shared" si="3"/>
        <v>0</v>
      </c>
      <c r="P33" s="278"/>
      <c r="R33" s="243"/>
      <c r="S33" s="243"/>
      <c r="T33" s="243"/>
      <c r="U33" s="243"/>
    </row>
    <row r="34" spans="2:21" ht="12.5">
      <c r="B34" s="145" t="str">
        <f t="shared" si="0"/>
        <v/>
      </c>
      <c r="C34" s="495">
        <f t="shared" si="9"/>
        <v>2029</v>
      </c>
      <c r="D34" s="508"/>
      <c r="E34" s="509">
        <f t="shared" ref="E34:E73" si="10">IF(+I$14&lt;F33,I$14,D34)</f>
        <v>0</v>
      </c>
      <c r="F34" s="510">
        <f t="shared" si="5"/>
        <v>0</v>
      </c>
      <c r="G34" s="511">
        <f t="shared" si="6"/>
        <v>0</v>
      </c>
      <c r="H34" s="477">
        <f t="shared" si="7"/>
        <v>0</v>
      </c>
      <c r="I34" s="500">
        <f t="shared" si="8"/>
        <v>0</v>
      </c>
      <c r="J34" s="500"/>
      <c r="K34" s="512"/>
      <c r="L34" s="504">
        <f t="shared" si="1"/>
        <v>0</v>
      </c>
      <c r="M34" s="512"/>
      <c r="N34" s="504">
        <f t="shared" si="2"/>
        <v>0</v>
      </c>
      <c r="O34" s="504">
        <f t="shared" si="3"/>
        <v>0</v>
      </c>
      <c r="P34" s="522"/>
      <c r="Q34" s="216"/>
      <c r="R34" s="522"/>
      <c r="S34" s="522"/>
      <c r="T34" s="522"/>
      <c r="U34" s="243"/>
    </row>
    <row r="35" spans="2:21" ht="12.5">
      <c r="B35" s="145" t="str">
        <f t="shared" si="0"/>
        <v/>
      </c>
      <c r="C35" s="495">
        <f t="shared" si="9"/>
        <v>2030</v>
      </c>
      <c r="D35" s="508"/>
      <c r="E35" s="509">
        <f t="shared" si="10"/>
        <v>0</v>
      </c>
      <c r="F35" s="510">
        <f t="shared" si="5"/>
        <v>0</v>
      </c>
      <c r="G35" s="511">
        <f t="shared" si="6"/>
        <v>0</v>
      </c>
      <c r="H35" s="477">
        <f t="shared" si="7"/>
        <v>0</v>
      </c>
      <c r="I35" s="500">
        <f t="shared" si="8"/>
        <v>0</v>
      </c>
      <c r="J35" s="500"/>
      <c r="K35" s="512"/>
      <c r="L35" s="504">
        <f t="shared" si="1"/>
        <v>0</v>
      </c>
      <c r="M35" s="512"/>
      <c r="N35" s="504">
        <f t="shared" si="2"/>
        <v>0</v>
      </c>
      <c r="O35" s="504">
        <f t="shared" si="3"/>
        <v>0</v>
      </c>
      <c r="P35" s="278"/>
      <c r="R35" s="243"/>
      <c r="S35" s="243"/>
      <c r="T35" s="243"/>
      <c r="U35" s="243"/>
    </row>
    <row r="36" spans="2:21" ht="12.5">
      <c r="B36" s="145" t="str">
        <f t="shared" si="0"/>
        <v/>
      </c>
      <c r="C36" s="495">
        <f t="shared" si="9"/>
        <v>2031</v>
      </c>
      <c r="D36" s="508"/>
      <c r="E36" s="509">
        <f t="shared" si="10"/>
        <v>0</v>
      </c>
      <c r="F36" s="510">
        <f t="shared" si="5"/>
        <v>0</v>
      </c>
      <c r="G36" s="511">
        <f t="shared" si="6"/>
        <v>0</v>
      </c>
      <c r="H36" s="477">
        <f t="shared" si="7"/>
        <v>0</v>
      </c>
      <c r="I36" s="500">
        <f t="shared" si="8"/>
        <v>0</v>
      </c>
      <c r="J36" s="500"/>
      <c r="K36" s="512"/>
      <c r="L36" s="504">
        <f t="shared" si="1"/>
        <v>0</v>
      </c>
      <c r="M36" s="512"/>
      <c r="N36" s="504">
        <f t="shared" si="2"/>
        <v>0</v>
      </c>
      <c r="O36" s="504">
        <f t="shared" si="3"/>
        <v>0</v>
      </c>
      <c r="P36" s="278"/>
      <c r="R36" s="243"/>
      <c r="S36" s="243"/>
      <c r="T36" s="243"/>
      <c r="U36" s="243"/>
    </row>
    <row r="37" spans="2:21" ht="12.5">
      <c r="B37" s="145" t="str">
        <f t="shared" si="0"/>
        <v/>
      </c>
      <c r="C37" s="495">
        <f t="shared" si="9"/>
        <v>2032</v>
      </c>
      <c r="D37" s="508"/>
      <c r="E37" s="509">
        <f t="shared" si="10"/>
        <v>0</v>
      </c>
      <c r="F37" s="510">
        <f t="shared" si="5"/>
        <v>0</v>
      </c>
      <c r="G37" s="511">
        <f t="shared" si="6"/>
        <v>0</v>
      </c>
      <c r="H37" s="477">
        <f t="shared" si="7"/>
        <v>0</v>
      </c>
      <c r="I37" s="500">
        <f t="shared" si="8"/>
        <v>0</v>
      </c>
      <c r="J37" s="500"/>
      <c r="K37" s="512"/>
      <c r="L37" s="504">
        <f t="shared" si="1"/>
        <v>0</v>
      </c>
      <c r="M37" s="512"/>
      <c r="N37" s="504">
        <f t="shared" si="2"/>
        <v>0</v>
      </c>
      <c r="O37" s="504">
        <f t="shared" si="3"/>
        <v>0</v>
      </c>
      <c r="P37" s="278"/>
      <c r="R37" s="243"/>
      <c r="S37" s="243"/>
      <c r="T37" s="243"/>
      <c r="U37" s="243"/>
    </row>
    <row r="38" spans="2:21" ht="12.5">
      <c r="B38" s="145" t="str">
        <f t="shared" si="0"/>
        <v/>
      </c>
      <c r="C38" s="495">
        <f t="shared" si="9"/>
        <v>2033</v>
      </c>
      <c r="D38" s="508"/>
      <c r="E38" s="509">
        <f t="shared" si="10"/>
        <v>0</v>
      </c>
      <c r="F38" s="510">
        <f t="shared" si="5"/>
        <v>0</v>
      </c>
      <c r="G38" s="511">
        <f t="shared" si="6"/>
        <v>0</v>
      </c>
      <c r="H38" s="477">
        <f t="shared" si="7"/>
        <v>0</v>
      </c>
      <c r="I38" s="500">
        <f t="shared" si="8"/>
        <v>0</v>
      </c>
      <c r="J38" s="500"/>
      <c r="K38" s="512"/>
      <c r="L38" s="504">
        <f t="shared" si="1"/>
        <v>0</v>
      </c>
      <c r="M38" s="512"/>
      <c r="N38" s="504">
        <f t="shared" si="2"/>
        <v>0</v>
      </c>
      <c r="O38" s="504">
        <f t="shared" si="3"/>
        <v>0</v>
      </c>
      <c r="P38" s="278"/>
      <c r="R38" s="243"/>
      <c r="S38" s="243"/>
      <c r="T38" s="243"/>
      <c r="U38" s="243"/>
    </row>
    <row r="39" spans="2:21" ht="12.5">
      <c r="B39" s="145" t="str">
        <f t="shared" si="0"/>
        <v/>
      </c>
      <c r="C39" s="495">
        <f t="shared" si="9"/>
        <v>2034</v>
      </c>
      <c r="D39" s="508"/>
      <c r="E39" s="509">
        <f t="shared" si="10"/>
        <v>0</v>
      </c>
      <c r="F39" s="510">
        <f t="shared" si="5"/>
        <v>0</v>
      </c>
      <c r="G39" s="511">
        <f t="shared" si="6"/>
        <v>0</v>
      </c>
      <c r="H39" s="477">
        <f t="shared" si="7"/>
        <v>0</v>
      </c>
      <c r="I39" s="500">
        <f t="shared" si="8"/>
        <v>0</v>
      </c>
      <c r="J39" s="500"/>
      <c r="K39" s="512"/>
      <c r="L39" s="504">
        <f t="shared" si="1"/>
        <v>0</v>
      </c>
      <c r="M39" s="512"/>
      <c r="N39" s="504">
        <f t="shared" si="2"/>
        <v>0</v>
      </c>
      <c r="O39" s="504">
        <f t="shared" si="3"/>
        <v>0</v>
      </c>
      <c r="P39" s="278"/>
      <c r="R39" s="243"/>
      <c r="S39" s="243"/>
      <c r="T39" s="243"/>
      <c r="U39" s="243"/>
    </row>
    <row r="40" spans="2:21" ht="12.5">
      <c r="B40" s="145" t="str">
        <f t="shared" si="0"/>
        <v/>
      </c>
      <c r="C40" s="495">
        <f t="shared" si="9"/>
        <v>2035</v>
      </c>
      <c r="D40" s="508"/>
      <c r="E40" s="509">
        <f t="shared" si="10"/>
        <v>0</v>
      </c>
      <c r="F40" s="510">
        <f t="shared" si="5"/>
        <v>0</v>
      </c>
      <c r="G40" s="511">
        <f t="shared" si="6"/>
        <v>0</v>
      </c>
      <c r="H40" s="477">
        <f t="shared" si="7"/>
        <v>0</v>
      </c>
      <c r="I40" s="500">
        <f t="shared" si="8"/>
        <v>0</v>
      </c>
      <c r="J40" s="500"/>
      <c r="K40" s="512"/>
      <c r="L40" s="504">
        <f t="shared" si="1"/>
        <v>0</v>
      </c>
      <c r="M40" s="512"/>
      <c r="N40" s="504">
        <f t="shared" si="2"/>
        <v>0</v>
      </c>
      <c r="O40" s="504">
        <f t="shared" si="3"/>
        <v>0</v>
      </c>
      <c r="P40" s="278"/>
      <c r="R40" s="243"/>
      <c r="S40" s="243"/>
      <c r="T40" s="243"/>
      <c r="U40" s="243"/>
    </row>
    <row r="41" spans="2:21" ht="12.5">
      <c r="B41" s="145" t="str">
        <f t="shared" si="0"/>
        <v/>
      </c>
      <c r="C41" s="495">
        <f t="shared" si="9"/>
        <v>2036</v>
      </c>
      <c r="D41" s="508"/>
      <c r="E41" s="509">
        <f t="shared" si="10"/>
        <v>0</v>
      </c>
      <c r="F41" s="510">
        <f t="shared" si="5"/>
        <v>0</v>
      </c>
      <c r="G41" s="511">
        <f t="shared" si="6"/>
        <v>0</v>
      </c>
      <c r="H41" s="477">
        <f t="shared" si="7"/>
        <v>0</v>
      </c>
      <c r="I41" s="500">
        <f t="shared" si="8"/>
        <v>0</v>
      </c>
      <c r="J41" s="500"/>
      <c r="K41" s="512"/>
      <c r="L41" s="504">
        <f t="shared" si="1"/>
        <v>0</v>
      </c>
      <c r="M41" s="512"/>
      <c r="N41" s="504">
        <f t="shared" si="2"/>
        <v>0</v>
      </c>
      <c r="O41" s="504">
        <f t="shared" si="3"/>
        <v>0</v>
      </c>
      <c r="P41" s="278"/>
      <c r="R41" s="243"/>
      <c r="S41" s="243"/>
      <c r="T41" s="243"/>
      <c r="U41" s="243"/>
    </row>
    <row r="42" spans="2:21" ht="12.5">
      <c r="B42" s="145" t="str">
        <f t="shared" si="0"/>
        <v/>
      </c>
      <c r="C42" s="495">
        <f t="shared" si="9"/>
        <v>2037</v>
      </c>
      <c r="D42" s="508"/>
      <c r="E42" s="509">
        <f t="shared" si="10"/>
        <v>0</v>
      </c>
      <c r="F42" s="510">
        <f t="shared" si="5"/>
        <v>0</v>
      </c>
      <c r="G42" s="511">
        <f t="shared" si="6"/>
        <v>0</v>
      </c>
      <c r="H42" s="477">
        <f t="shared" si="7"/>
        <v>0</v>
      </c>
      <c r="I42" s="500">
        <f t="shared" si="8"/>
        <v>0</v>
      </c>
      <c r="J42" s="500"/>
      <c r="K42" s="512"/>
      <c r="L42" s="504">
        <f t="shared" si="1"/>
        <v>0</v>
      </c>
      <c r="M42" s="512"/>
      <c r="N42" s="504">
        <f t="shared" si="2"/>
        <v>0</v>
      </c>
      <c r="O42" s="504">
        <f t="shared" si="3"/>
        <v>0</v>
      </c>
      <c r="P42" s="278"/>
      <c r="R42" s="243"/>
      <c r="S42" s="243"/>
      <c r="T42" s="243"/>
      <c r="U42" s="243"/>
    </row>
    <row r="43" spans="2:21" ht="12.5">
      <c r="B43" s="145" t="str">
        <f t="shared" si="0"/>
        <v/>
      </c>
      <c r="C43" s="495">
        <f t="shared" si="9"/>
        <v>2038</v>
      </c>
      <c r="D43" s="508"/>
      <c r="E43" s="509">
        <f t="shared" si="10"/>
        <v>0</v>
      </c>
      <c r="F43" s="510">
        <f t="shared" si="5"/>
        <v>0</v>
      </c>
      <c r="G43" s="511">
        <f t="shared" si="6"/>
        <v>0</v>
      </c>
      <c r="H43" s="477">
        <f t="shared" si="7"/>
        <v>0</v>
      </c>
      <c r="I43" s="500">
        <f t="shared" si="8"/>
        <v>0</v>
      </c>
      <c r="J43" s="500"/>
      <c r="K43" s="512"/>
      <c r="L43" s="504">
        <f t="shared" si="1"/>
        <v>0</v>
      </c>
      <c r="M43" s="512"/>
      <c r="N43" s="504">
        <f t="shared" si="2"/>
        <v>0</v>
      </c>
      <c r="O43" s="504">
        <f t="shared" si="3"/>
        <v>0</v>
      </c>
      <c r="P43" s="278"/>
      <c r="R43" s="243"/>
      <c r="S43" s="243"/>
      <c r="T43" s="243"/>
      <c r="U43" s="243"/>
    </row>
    <row r="44" spans="2:21" ht="12.5">
      <c r="B44" s="145" t="str">
        <f t="shared" si="0"/>
        <v/>
      </c>
      <c r="C44" s="495">
        <f t="shared" si="9"/>
        <v>2039</v>
      </c>
      <c r="D44" s="508"/>
      <c r="E44" s="509">
        <f t="shared" si="10"/>
        <v>0</v>
      </c>
      <c r="F44" s="510">
        <f t="shared" si="5"/>
        <v>0</v>
      </c>
      <c r="G44" s="511">
        <f t="shared" si="6"/>
        <v>0</v>
      </c>
      <c r="H44" s="477">
        <f t="shared" si="7"/>
        <v>0</v>
      </c>
      <c r="I44" s="500">
        <f t="shared" si="8"/>
        <v>0</v>
      </c>
      <c r="J44" s="500"/>
      <c r="K44" s="512"/>
      <c r="L44" s="504">
        <f t="shared" si="1"/>
        <v>0</v>
      </c>
      <c r="M44" s="512"/>
      <c r="N44" s="504">
        <f t="shared" si="2"/>
        <v>0</v>
      </c>
      <c r="O44" s="504">
        <f t="shared" si="3"/>
        <v>0</v>
      </c>
      <c r="P44" s="278"/>
      <c r="R44" s="243"/>
      <c r="S44" s="243"/>
      <c r="T44" s="243"/>
      <c r="U44" s="243"/>
    </row>
    <row r="45" spans="2:21" ht="12.5">
      <c r="B45" s="145" t="str">
        <f t="shared" si="0"/>
        <v/>
      </c>
      <c r="C45" s="495">
        <f t="shared" si="9"/>
        <v>2040</v>
      </c>
      <c r="D45" s="508"/>
      <c r="E45" s="509">
        <f t="shared" si="10"/>
        <v>0</v>
      </c>
      <c r="F45" s="510">
        <f t="shared" si="5"/>
        <v>0</v>
      </c>
      <c r="G45" s="511">
        <f t="shared" si="6"/>
        <v>0</v>
      </c>
      <c r="H45" s="477">
        <f t="shared" si="7"/>
        <v>0</v>
      </c>
      <c r="I45" s="500">
        <f t="shared" si="8"/>
        <v>0</v>
      </c>
      <c r="J45" s="500"/>
      <c r="K45" s="512"/>
      <c r="L45" s="504">
        <f t="shared" si="1"/>
        <v>0</v>
      </c>
      <c r="M45" s="512"/>
      <c r="N45" s="504">
        <f t="shared" si="2"/>
        <v>0</v>
      </c>
      <c r="O45" s="504">
        <f t="shared" si="3"/>
        <v>0</v>
      </c>
      <c r="P45" s="278"/>
      <c r="R45" s="243"/>
      <c r="S45" s="243"/>
      <c r="T45" s="243"/>
      <c r="U45" s="243"/>
    </row>
    <row r="46" spans="2:21" ht="12.5">
      <c r="B46" s="145" t="str">
        <f t="shared" si="0"/>
        <v/>
      </c>
      <c r="C46" s="495">
        <f t="shared" si="9"/>
        <v>2041</v>
      </c>
      <c r="D46" s="508"/>
      <c r="E46" s="509">
        <f t="shared" si="10"/>
        <v>0</v>
      </c>
      <c r="F46" s="510">
        <f t="shared" si="5"/>
        <v>0</v>
      </c>
      <c r="G46" s="511">
        <f t="shared" si="6"/>
        <v>0</v>
      </c>
      <c r="H46" s="477">
        <f t="shared" si="7"/>
        <v>0</v>
      </c>
      <c r="I46" s="500">
        <f t="shared" si="8"/>
        <v>0</v>
      </c>
      <c r="J46" s="500"/>
      <c r="K46" s="512"/>
      <c r="L46" s="504">
        <f t="shared" si="1"/>
        <v>0</v>
      </c>
      <c r="M46" s="512"/>
      <c r="N46" s="504">
        <f t="shared" si="2"/>
        <v>0</v>
      </c>
      <c r="O46" s="504">
        <f t="shared" si="3"/>
        <v>0</v>
      </c>
      <c r="P46" s="278"/>
      <c r="R46" s="243"/>
      <c r="S46" s="243"/>
      <c r="T46" s="243"/>
      <c r="U46" s="243"/>
    </row>
    <row r="47" spans="2:21" ht="12.5">
      <c r="B47" s="145" t="str">
        <f t="shared" si="0"/>
        <v/>
      </c>
      <c r="C47" s="495">
        <f t="shared" si="9"/>
        <v>2042</v>
      </c>
      <c r="D47" s="508"/>
      <c r="E47" s="509">
        <f t="shared" si="10"/>
        <v>0</v>
      </c>
      <c r="F47" s="510">
        <f t="shared" si="5"/>
        <v>0</v>
      </c>
      <c r="G47" s="511">
        <f t="shared" si="6"/>
        <v>0</v>
      </c>
      <c r="H47" s="477">
        <f t="shared" si="7"/>
        <v>0</v>
      </c>
      <c r="I47" s="500">
        <f t="shared" si="8"/>
        <v>0</v>
      </c>
      <c r="J47" s="500"/>
      <c r="K47" s="512"/>
      <c r="L47" s="504">
        <f t="shared" si="1"/>
        <v>0</v>
      </c>
      <c r="M47" s="512"/>
      <c r="N47" s="504">
        <f t="shared" si="2"/>
        <v>0</v>
      </c>
      <c r="O47" s="504">
        <f t="shared" si="3"/>
        <v>0</v>
      </c>
      <c r="P47" s="278"/>
      <c r="R47" s="243"/>
      <c r="S47" s="243"/>
      <c r="T47" s="243"/>
      <c r="U47" s="243"/>
    </row>
    <row r="48" spans="2:21" ht="12.5">
      <c r="B48" s="145" t="str">
        <f t="shared" si="0"/>
        <v/>
      </c>
      <c r="C48" s="495">
        <f t="shared" si="9"/>
        <v>2043</v>
      </c>
      <c r="D48" s="508"/>
      <c r="E48" s="509">
        <f t="shared" si="10"/>
        <v>0</v>
      </c>
      <c r="F48" s="510">
        <f t="shared" si="5"/>
        <v>0</v>
      </c>
      <c r="G48" s="511">
        <f t="shared" si="6"/>
        <v>0</v>
      </c>
      <c r="H48" s="477">
        <f t="shared" si="7"/>
        <v>0</v>
      </c>
      <c r="I48" s="500">
        <f t="shared" si="8"/>
        <v>0</v>
      </c>
      <c r="J48" s="500"/>
      <c r="K48" s="512"/>
      <c r="L48" s="504">
        <f t="shared" si="1"/>
        <v>0</v>
      </c>
      <c r="M48" s="512"/>
      <c r="N48" s="504">
        <f t="shared" si="2"/>
        <v>0</v>
      </c>
      <c r="O48" s="504">
        <f t="shared" si="3"/>
        <v>0</v>
      </c>
      <c r="P48" s="278"/>
      <c r="R48" s="243"/>
      <c r="S48" s="243"/>
      <c r="T48" s="243"/>
      <c r="U48" s="243"/>
    </row>
    <row r="49" spans="2:21" ht="12.5">
      <c r="B49" s="145" t="str">
        <f t="shared" si="0"/>
        <v/>
      </c>
      <c r="C49" s="495">
        <f t="shared" si="9"/>
        <v>2044</v>
      </c>
      <c r="D49" s="508"/>
      <c r="E49" s="509">
        <f t="shared" si="10"/>
        <v>0</v>
      </c>
      <c r="F49" s="510">
        <f t="shared" si="5"/>
        <v>0</v>
      </c>
      <c r="G49" s="511">
        <f t="shared" si="6"/>
        <v>0</v>
      </c>
      <c r="H49" s="477">
        <f t="shared" si="7"/>
        <v>0</v>
      </c>
      <c r="I49" s="500">
        <f t="shared" si="8"/>
        <v>0</v>
      </c>
      <c r="J49" s="500"/>
      <c r="K49" s="512"/>
      <c r="L49" s="504">
        <f t="shared" si="1"/>
        <v>0</v>
      </c>
      <c r="M49" s="512"/>
      <c r="N49" s="504">
        <f t="shared" si="2"/>
        <v>0</v>
      </c>
      <c r="O49" s="504">
        <f t="shared" si="3"/>
        <v>0</v>
      </c>
      <c r="P49" s="278"/>
      <c r="R49" s="243"/>
      <c r="S49" s="243"/>
      <c r="T49" s="243"/>
      <c r="U49" s="243"/>
    </row>
    <row r="50" spans="2:21" ht="12.5">
      <c r="B50" s="145" t="str">
        <f t="shared" ref="B50:B73" si="11">IF(D50=F49,"","IU")</f>
        <v/>
      </c>
      <c r="C50" s="495">
        <f t="shared" si="9"/>
        <v>2045</v>
      </c>
      <c r="D50" s="508"/>
      <c r="E50" s="509">
        <f t="shared" si="10"/>
        <v>0</v>
      </c>
      <c r="F50" s="510">
        <f t="shared" ref="F50:F73" si="12">+D50-E50</f>
        <v>0</v>
      </c>
      <c r="G50" s="511">
        <f t="shared" si="6"/>
        <v>0</v>
      </c>
      <c r="H50" s="477">
        <f t="shared" si="7"/>
        <v>0</v>
      </c>
      <c r="I50" s="500">
        <f t="shared" ref="I50:I73" si="13">H50-G50</f>
        <v>0</v>
      </c>
      <c r="J50" s="500"/>
      <c r="K50" s="512"/>
      <c r="L50" s="504">
        <f t="shared" ref="L50:L73" si="14">IF(K50&lt;&gt;0,+G50-K50,0)</f>
        <v>0</v>
      </c>
      <c r="M50" s="512"/>
      <c r="N50" s="504">
        <f t="shared" ref="N50:N73" si="15">IF(M50&lt;&gt;0,+H50-M50,0)</f>
        <v>0</v>
      </c>
      <c r="O50" s="504">
        <f t="shared" ref="O50:O73" si="16">+N50-L50</f>
        <v>0</v>
      </c>
      <c r="P50" s="278"/>
      <c r="R50" s="243"/>
      <c r="S50" s="243"/>
      <c r="T50" s="243"/>
      <c r="U50" s="243"/>
    </row>
    <row r="51" spans="2:21" ht="12.5">
      <c r="B51" s="145" t="str">
        <f t="shared" si="11"/>
        <v/>
      </c>
      <c r="C51" s="495">
        <f t="shared" si="9"/>
        <v>2046</v>
      </c>
      <c r="D51" s="508"/>
      <c r="E51" s="509">
        <f t="shared" si="10"/>
        <v>0</v>
      </c>
      <c r="F51" s="510">
        <f t="shared" si="12"/>
        <v>0</v>
      </c>
      <c r="G51" s="511">
        <f t="shared" si="6"/>
        <v>0</v>
      </c>
      <c r="H51" s="477">
        <f t="shared" si="7"/>
        <v>0</v>
      </c>
      <c r="I51" s="500">
        <f t="shared" si="13"/>
        <v>0</v>
      </c>
      <c r="J51" s="500"/>
      <c r="K51" s="512"/>
      <c r="L51" s="504">
        <f t="shared" si="14"/>
        <v>0</v>
      </c>
      <c r="M51" s="512"/>
      <c r="N51" s="504">
        <f t="shared" si="15"/>
        <v>0</v>
      </c>
      <c r="O51" s="504">
        <f t="shared" si="16"/>
        <v>0</v>
      </c>
      <c r="P51" s="278"/>
      <c r="R51" s="243"/>
      <c r="S51" s="243"/>
      <c r="T51" s="243"/>
      <c r="U51" s="243"/>
    </row>
    <row r="52" spans="2:21" ht="12.5">
      <c r="B52" s="145" t="str">
        <f t="shared" si="11"/>
        <v/>
      </c>
      <c r="C52" s="495">
        <f t="shared" si="9"/>
        <v>2047</v>
      </c>
      <c r="D52" s="508"/>
      <c r="E52" s="509">
        <f t="shared" si="10"/>
        <v>0</v>
      </c>
      <c r="F52" s="510">
        <f t="shared" si="12"/>
        <v>0</v>
      </c>
      <c r="G52" s="511">
        <f t="shared" si="6"/>
        <v>0</v>
      </c>
      <c r="H52" s="477">
        <f t="shared" si="7"/>
        <v>0</v>
      </c>
      <c r="I52" s="500">
        <f t="shared" si="13"/>
        <v>0</v>
      </c>
      <c r="J52" s="500"/>
      <c r="K52" s="512"/>
      <c r="L52" s="504">
        <f t="shared" si="14"/>
        <v>0</v>
      </c>
      <c r="M52" s="512"/>
      <c r="N52" s="504">
        <f t="shared" si="15"/>
        <v>0</v>
      </c>
      <c r="O52" s="504">
        <f t="shared" si="16"/>
        <v>0</v>
      </c>
      <c r="P52" s="278"/>
      <c r="R52" s="243"/>
      <c r="S52" s="243"/>
      <c r="T52" s="243"/>
      <c r="U52" s="243"/>
    </row>
    <row r="53" spans="2:21" ht="12.5">
      <c r="B53" s="145" t="str">
        <f t="shared" si="11"/>
        <v/>
      </c>
      <c r="C53" s="495">
        <f t="shared" si="9"/>
        <v>2048</v>
      </c>
      <c r="D53" s="508"/>
      <c r="E53" s="509">
        <f t="shared" si="10"/>
        <v>0</v>
      </c>
      <c r="F53" s="510">
        <f t="shared" si="12"/>
        <v>0</v>
      </c>
      <c r="G53" s="511">
        <f t="shared" si="6"/>
        <v>0</v>
      </c>
      <c r="H53" s="477">
        <f t="shared" si="7"/>
        <v>0</v>
      </c>
      <c r="I53" s="500">
        <f t="shared" si="13"/>
        <v>0</v>
      </c>
      <c r="J53" s="500"/>
      <c r="K53" s="512"/>
      <c r="L53" s="504">
        <f t="shared" si="14"/>
        <v>0</v>
      </c>
      <c r="M53" s="512"/>
      <c r="N53" s="504">
        <f t="shared" si="15"/>
        <v>0</v>
      </c>
      <c r="O53" s="504">
        <f t="shared" si="16"/>
        <v>0</v>
      </c>
      <c r="P53" s="278"/>
      <c r="R53" s="243"/>
      <c r="S53" s="243"/>
      <c r="T53" s="243"/>
      <c r="U53" s="243"/>
    </row>
    <row r="54" spans="2:21" ht="12.5">
      <c r="B54" s="145" t="str">
        <f t="shared" si="11"/>
        <v/>
      </c>
      <c r="C54" s="495">
        <f t="shared" si="9"/>
        <v>2049</v>
      </c>
      <c r="D54" s="508"/>
      <c r="E54" s="509">
        <f t="shared" si="10"/>
        <v>0</v>
      </c>
      <c r="F54" s="510">
        <f t="shared" si="12"/>
        <v>0</v>
      </c>
      <c r="G54" s="511">
        <f t="shared" si="6"/>
        <v>0</v>
      </c>
      <c r="H54" s="477">
        <f t="shared" si="7"/>
        <v>0</v>
      </c>
      <c r="I54" s="500">
        <f t="shared" si="13"/>
        <v>0</v>
      </c>
      <c r="J54" s="500"/>
      <c r="K54" s="512"/>
      <c r="L54" s="504">
        <f t="shared" si="14"/>
        <v>0</v>
      </c>
      <c r="M54" s="512"/>
      <c r="N54" s="504">
        <f t="shared" si="15"/>
        <v>0</v>
      </c>
      <c r="O54" s="504">
        <f t="shared" si="16"/>
        <v>0</v>
      </c>
      <c r="P54" s="278"/>
      <c r="R54" s="243"/>
      <c r="S54" s="243"/>
      <c r="T54" s="243"/>
      <c r="U54" s="243"/>
    </row>
    <row r="55" spans="2:21" ht="12.5">
      <c r="B55" s="145" t="str">
        <f t="shared" si="11"/>
        <v/>
      </c>
      <c r="C55" s="495">
        <f t="shared" si="9"/>
        <v>2050</v>
      </c>
      <c r="D55" s="508"/>
      <c r="E55" s="509">
        <f t="shared" si="10"/>
        <v>0</v>
      </c>
      <c r="F55" s="510">
        <f t="shared" si="12"/>
        <v>0</v>
      </c>
      <c r="G55" s="511">
        <f t="shared" si="6"/>
        <v>0</v>
      </c>
      <c r="H55" s="477">
        <f t="shared" si="7"/>
        <v>0</v>
      </c>
      <c r="I55" s="500">
        <f t="shared" si="13"/>
        <v>0</v>
      </c>
      <c r="J55" s="500"/>
      <c r="K55" s="512"/>
      <c r="L55" s="504">
        <f t="shared" si="14"/>
        <v>0</v>
      </c>
      <c r="M55" s="512"/>
      <c r="N55" s="504">
        <f t="shared" si="15"/>
        <v>0</v>
      </c>
      <c r="O55" s="504">
        <f t="shared" si="16"/>
        <v>0</v>
      </c>
      <c r="P55" s="278"/>
      <c r="R55" s="243"/>
      <c r="S55" s="243"/>
      <c r="T55" s="243"/>
      <c r="U55" s="243"/>
    </row>
    <row r="56" spans="2:21" ht="12.5">
      <c r="B56" s="145" t="str">
        <f t="shared" si="11"/>
        <v/>
      </c>
      <c r="C56" s="495">
        <f t="shared" si="9"/>
        <v>2051</v>
      </c>
      <c r="D56" s="508"/>
      <c r="E56" s="509">
        <f t="shared" si="10"/>
        <v>0</v>
      </c>
      <c r="F56" s="510">
        <f t="shared" si="12"/>
        <v>0</v>
      </c>
      <c r="G56" s="511">
        <f t="shared" si="6"/>
        <v>0</v>
      </c>
      <c r="H56" s="477">
        <f t="shared" si="7"/>
        <v>0</v>
      </c>
      <c r="I56" s="500">
        <f t="shared" si="13"/>
        <v>0</v>
      </c>
      <c r="J56" s="500"/>
      <c r="K56" s="512"/>
      <c r="L56" s="504">
        <f t="shared" si="14"/>
        <v>0</v>
      </c>
      <c r="M56" s="512"/>
      <c r="N56" s="504">
        <f t="shared" si="15"/>
        <v>0</v>
      </c>
      <c r="O56" s="504">
        <f t="shared" si="16"/>
        <v>0</v>
      </c>
      <c r="P56" s="278"/>
      <c r="R56" s="243"/>
      <c r="S56" s="243"/>
      <c r="T56" s="243"/>
      <c r="U56" s="243"/>
    </row>
    <row r="57" spans="2:21" ht="12.5">
      <c r="B57" s="145" t="str">
        <f t="shared" si="11"/>
        <v/>
      </c>
      <c r="C57" s="495">
        <f t="shared" si="9"/>
        <v>2052</v>
      </c>
      <c r="D57" s="508"/>
      <c r="E57" s="509">
        <f t="shared" si="10"/>
        <v>0</v>
      </c>
      <c r="F57" s="510">
        <f t="shared" si="12"/>
        <v>0</v>
      </c>
      <c r="G57" s="511">
        <f t="shared" si="6"/>
        <v>0</v>
      </c>
      <c r="H57" s="477">
        <f t="shared" si="7"/>
        <v>0</v>
      </c>
      <c r="I57" s="500">
        <f t="shared" si="13"/>
        <v>0</v>
      </c>
      <c r="J57" s="500"/>
      <c r="K57" s="512"/>
      <c r="L57" s="504">
        <f t="shared" si="14"/>
        <v>0</v>
      </c>
      <c r="M57" s="512"/>
      <c r="N57" s="504">
        <f t="shared" si="15"/>
        <v>0</v>
      </c>
      <c r="O57" s="504">
        <f t="shared" si="16"/>
        <v>0</v>
      </c>
      <c r="P57" s="278"/>
      <c r="R57" s="243"/>
      <c r="S57" s="243"/>
      <c r="T57" s="243"/>
      <c r="U57" s="243"/>
    </row>
    <row r="58" spans="2:21" ht="12.5">
      <c r="B58" s="145" t="str">
        <f t="shared" si="11"/>
        <v/>
      </c>
      <c r="C58" s="495">
        <f t="shared" si="9"/>
        <v>2053</v>
      </c>
      <c r="D58" s="508"/>
      <c r="E58" s="509">
        <f t="shared" si="10"/>
        <v>0</v>
      </c>
      <c r="F58" s="510">
        <f t="shared" si="12"/>
        <v>0</v>
      </c>
      <c r="G58" s="511">
        <f t="shared" si="6"/>
        <v>0</v>
      </c>
      <c r="H58" s="477">
        <f t="shared" si="7"/>
        <v>0</v>
      </c>
      <c r="I58" s="500">
        <f t="shared" si="13"/>
        <v>0</v>
      </c>
      <c r="J58" s="500"/>
      <c r="K58" s="512"/>
      <c r="L58" s="504">
        <f t="shared" si="14"/>
        <v>0</v>
      </c>
      <c r="M58" s="512"/>
      <c r="N58" s="504">
        <f t="shared" si="15"/>
        <v>0</v>
      </c>
      <c r="O58" s="504">
        <f t="shared" si="16"/>
        <v>0</v>
      </c>
      <c r="P58" s="278"/>
      <c r="R58" s="243"/>
      <c r="S58" s="243"/>
      <c r="T58" s="243"/>
      <c r="U58" s="243"/>
    </row>
    <row r="59" spans="2:21" ht="12.5">
      <c r="B59" s="145" t="str">
        <f t="shared" si="11"/>
        <v/>
      </c>
      <c r="C59" s="495">
        <f t="shared" si="9"/>
        <v>2054</v>
      </c>
      <c r="D59" s="508"/>
      <c r="E59" s="509">
        <f t="shared" si="10"/>
        <v>0</v>
      </c>
      <c r="F59" s="510">
        <f t="shared" si="12"/>
        <v>0</v>
      </c>
      <c r="G59" s="511">
        <f t="shared" si="6"/>
        <v>0</v>
      </c>
      <c r="H59" s="477">
        <f t="shared" si="7"/>
        <v>0</v>
      </c>
      <c r="I59" s="500">
        <f t="shared" si="13"/>
        <v>0</v>
      </c>
      <c r="J59" s="500"/>
      <c r="K59" s="512"/>
      <c r="L59" s="504">
        <f t="shared" si="14"/>
        <v>0</v>
      </c>
      <c r="M59" s="512"/>
      <c r="N59" s="504">
        <f t="shared" si="15"/>
        <v>0</v>
      </c>
      <c r="O59" s="504">
        <f t="shared" si="16"/>
        <v>0</v>
      </c>
      <c r="P59" s="278"/>
      <c r="R59" s="243"/>
      <c r="S59" s="243"/>
      <c r="T59" s="243"/>
      <c r="U59" s="243"/>
    </row>
    <row r="60" spans="2:21" ht="12.5">
      <c r="B60" s="145" t="str">
        <f t="shared" si="11"/>
        <v/>
      </c>
      <c r="C60" s="495">
        <f t="shared" si="9"/>
        <v>2055</v>
      </c>
      <c r="D60" s="508"/>
      <c r="E60" s="509">
        <f t="shared" si="10"/>
        <v>0</v>
      </c>
      <c r="F60" s="510">
        <f t="shared" si="12"/>
        <v>0</v>
      </c>
      <c r="G60" s="511">
        <f t="shared" si="6"/>
        <v>0</v>
      </c>
      <c r="H60" s="477">
        <f t="shared" si="7"/>
        <v>0</v>
      </c>
      <c r="I60" s="500">
        <f t="shared" si="13"/>
        <v>0</v>
      </c>
      <c r="J60" s="500"/>
      <c r="K60" s="512"/>
      <c r="L60" s="504">
        <f t="shared" si="14"/>
        <v>0</v>
      </c>
      <c r="M60" s="512"/>
      <c r="N60" s="504">
        <f t="shared" si="15"/>
        <v>0</v>
      </c>
      <c r="O60" s="504">
        <f t="shared" si="16"/>
        <v>0</v>
      </c>
      <c r="P60" s="278"/>
      <c r="R60" s="243"/>
      <c r="S60" s="243"/>
      <c r="T60" s="243"/>
      <c r="U60" s="243"/>
    </row>
    <row r="61" spans="2:21" ht="12.5">
      <c r="B61" s="145" t="str">
        <f t="shared" si="11"/>
        <v/>
      </c>
      <c r="C61" s="495">
        <f t="shared" si="9"/>
        <v>2056</v>
      </c>
      <c r="D61" s="508"/>
      <c r="E61" s="509">
        <f t="shared" si="10"/>
        <v>0</v>
      </c>
      <c r="F61" s="510">
        <f t="shared" si="12"/>
        <v>0</v>
      </c>
      <c r="G61" s="511">
        <f t="shared" si="6"/>
        <v>0</v>
      </c>
      <c r="H61" s="477">
        <f t="shared" si="7"/>
        <v>0</v>
      </c>
      <c r="I61" s="500">
        <f t="shared" si="13"/>
        <v>0</v>
      </c>
      <c r="J61" s="500"/>
      <c r="K61" s="512"/>
      <c r="L61" s="504">
        <f t="shared" si="14"/>
        <v>0</v>
      </c>
      <c r="M61" s="512"/>
      <c r="N61" s="504">
        <f t="shared" si="15"/>
        <v>0</v>
      </c>
      <c r="O61" s="504">
        <f t="shared" si="16"/>
        <v>0</v>
      </c>
      <c r="P61" s="278"/>
      <c r="R61" s="243"/>
      <c r="S61" s="243"/>
      <c r="T61" s="243"/>
      <c r="U61" s="243"/>
    </row>
    <row r="62" spans="2:21" ht="12.5">
      <c r="B62" s="145" t="str">
        <f t="shared" si="11"/>
        <v/>
      </c>
      <c r="C62" s="495">
        <f t="shared" si="9"/>
        <v>2057</v>
      </c>
      <c r="D62" s="508"/>
      <c r="E62" s="509">
        <f t="shared" si="10"/>
        <v>0</v>
      </c>
      <c r="F62" s="510">
        <f t="shared" si="12"/>
        <v>0</v>
      </c>
      <c r="G62" s="523">
        <f t="shared" si="6"/>
        <v>0</v>
      </c>
      <c r="H62" s="477">
        <f t="shared" si="7"/>
        <v>0</v>
      </c>
      <c r="I62" s="500">
        <f t="shared" si="13"/>
        <v>0</v>
      </c>
      <c r="J62" s="500"/>
      <c r="K62" s="512"/>
      <c r="L62" s="504">
        <f t="shared" si="14"/>
        <v>0</v>
      </c>
      <c r="M62" s="512"/>
      <c r="N62" s="504">
        <f t="shared" si="15"/>
        <v>0</v>
      </c>
      <c r="O62" s="504">
        <f t="shared" si="16"/>
        <v>0</v>
      </c>
      <c r="P62" s="278"/>
      <c r="R62" s="243"/>
      <c r="S62" s="243"/>
      <c r="T62" s="243"/>
      <c r="U62" s="243"/>
    </row>
    <row r="63" spans="2:21" ht="12.5">
      <c r="B63" s="145" t="str">
        <f t="shared" si="11"/>
        <v/>
      </c>
      <c r="C63" s="495">
        <f t="shared" si="9"/>
        <v>2058</v>
      </c>
      <c r="D63" s="508"/>
      <c r="E63" s="509">
        <f t="shared" si="10"/>
        <v>0</v>
      </c>
      <c r="F63" s="510">
        <f t="shared" si="12"/>
        <v>0</v>
      </c>
      <c r="G63" s="523">
        <f t="shared" si="6"/>
        <v>0</v>
      </c>
      <c r="H63" s="477">
        <f t="shared" si="7"/>
        <v>0</v>
      </c>
      <c r="I63" s="500">
        <f t="shared" si="13"/>
        <v>0</v>
      </c>
      <c r="J63" s="500"/>
      <c r="K63" s="512"/>
      <c r="L63" s="504">
        <f t="shared" si="14"/>
        <v>0</v>
      </c>
      <c r="M63" s="512"/>
      <c r="N63" s="504">
        <f t="shared" si="15"/>
        <v>0</v>
      </c>
      <c r="O63" s="504">
        <f t="shared" si="16"/>
        <v>0</v>
      </c>
      <c r="P63" s="278"/>
      <c r="R63" s="243"/>
      <c r="S63" s="243"/>
      <c r="T63" s="243"/>
      <c r="U63" s="243"/>
    </row>
    <row r="64" spans="2:21" ht="12.5">
      <c r="B64" s="145" t="str">
        <f t="shared" si="11"/>
        <v/>
      </c>
      <c r="C64" s="495">
        <f t="shared" si="9"/>
        <v>2059</v>
      </c>
      <c r="D64" s="508"/>
      <c r="E64" s="509">
        <f t="shared" si="10"/>
        <v>0</v>
      </c>
      <c r="F64" s="510">
        <f t="shared" si="12"/>
        <v>0</v>
      </c>
      <c r="G64" s="523">
        <f t="shared" si="6"/>
        <v>0</v>
      </c>
      <c r="H64" s="477">
        <f t="shared" si="7"/>
        <v>0</v>
      </c>
      <c r="I64" s="500">
        <f t="shared" si="13"/>
        <v>0</v>
      </c>
      <c r="J64" s="500"/>
      <c r="K64" s="512"/>
      <c r="L64" s="504">
        <f t="shared" si="14"/>
        <v>0</v>
      </c>
      <c r="M64" s="512"/>
      <c r="N64" s="504">
        <f t="shared" si="15"/>
        <v>0</v>
      </c>
      <c r="O64" s="504">
        <f t="shared" si="16"/>
        <v>0</v>
      </c>
      <c r="P64" s="278"/>
      <c r="R64" s="243"/>
      <c r="S64" s="243"/>
      <c r="T64" s="243"/>
      <c r="U64" s="243"/>
    </row>
    <row r="65" spans="2:21" ht="12.5">
      <c r="B65" s="145" t="str">
        <f t="shared" si="11"/>
        <v/>
      </c>
      <c r="C65" s="495">
        <f t="shared" si="9"/>
        <v>2060</v>
      </c>
      <c r="D65" s="508"/>
      <c r="E65" s="509">
        <f t="shared" si="10"/>
        <v>0</v>
      </c>
      <c r="F65" s="510">
        <f t="shared" si="12"/>
        <v>0</v>
      </c>
      <c r="G65" s="523">
        <f t="shared" si="6"/>
        <v>0</v>
      </c>
      <c r="H65" s="477">
        <f t="shared" si="7"/>
        <v>0</v>
      </c>
      <c r="I65" s="500">
        <f t="shared" si="13"/>
        <v>0</v>
      </c>
      <c r="J65" s="500"/>
      <c r="K65" s="512"/>
      <c r="L65" s="504">
        <f t="shared" si="14"/>
        <v>0</v>
      </c>
      <c r="M65" s="512"/>
      <c r="N65" s="504">
        <f t="shared" si="15"/>
        <v>0</v>
      </c>
      <c r="O65" s="504">
        <f t="shared" si="16"/>
        <v>0</v>
      </c>
      <c r="P65" s="278"/>
      <c r="R65" s="243"/>
      <c r="S65" s="243"/>
      <c r="T65" s="243"/>
      <c r="U65" s="243"/>
    </row>
    <row r="66" spans="2:21" ht="12.5">
      <c r="B66" s="145" t="str">
        <f t="shared" si="11"/>
        <v/>
      </c>
      <c r="C66" s="495">
        <f t="shared" si="9"/>
        <v>2061</v>
      </c>
      <c r="D66" s="508"/>
      <c r="E66" s="509">
        <f t="shared" si="10"/>
        <v>0</v>
      </c>
      <c r="F66" s="510">
        <f t="shared" si="12"/>
        <v>0</v>
      </c>
      <c r="G66" s="523">
        <f t="shared" si="6"/>
        <v>0</v>
      </c>
      <c r="H66" s="477">
        <f t="shared" si="7"/>
        <v>0</v>
      </c>
      <c r="I66" s="500">
        <f t="shared" si="13"/>
        <v>0</v>
      </c>
      <c r="J66" s="500"/>
      <c r="K66" s="512"/>
      <c r="L66" s="504">
        <f t="shared" si="14"/>
        <v>0</v>
      </c>
      <c r="M66" s="512"/>
      <c r="N66" s="504">
        <f t="shared" si="15"/>
        <v>0</v>
      </c>
      <c r="O66" s="504">
        <f t="shared" si="16"/>
        <v>0</v>
      </c>
      <c r="P66" s="278"/>
      <c r="R66" s="243"/>
      <c r="S66" s="243"/>
      <c r="T66" s="243"/>
      <c r="U66" s="243"/>
    </row>
    <row r="67" spans="2:21" ht="12.5">
      <c r="B67" s="145" t="str">
        <f t="shared" si="11"/>
        <v/>
      </c>
      <c r="C67" s="495">
        <f t="shared" si="9"/>
        <v>2062</v>
      </c>
      <c r="D67" s="508"/>
      <c r="E67" s="509">
        <f t="shared" si="10"/>
        <v>0</v>
      </c>
      <c r="F67" s="510">
        <f t="shared" si="12"/>
        <v>0</v>
      </c>
      <c r="G67" s="523">
        <f t="shared" si="6"/>
        <v>0</v>
      </c>
      <c r="H67" s="477">
        <f t="shared" si="7"/>
        <v>0</v>
      </c>
      <c r="I67" s="500">
        <f t="shared" si="13"/>
        <v>0</v>
      </c>
      <c r="J67" s="500"/>
      <c r="K67" s="512"/>
      <c r="L67" s="504">
        <f t="shared" si="14"/>
        <v>0</v>
      </c>
      <c r="M67" s="512"/>
      <c r="N67" s="504">
        <f t="shared" si="15"/>
        <v>0</v>
      </c>
      <c r="O67" s="504">
        <f t="shared" si="16"/>
        <v>0</v>
      </c>
      <c r="P67" s="278"/>
      <c r="R67" s="243"/>
      <c r="S67" s="243"/>
      <c r="T67" s="243"/>
      <c r="U67" s="243"/>
    </row>
    <row r="68" spans="2:21" ht="12.5">
      <c r="B68" s="145" t="str">
        <f t="shared" si="11"/>
        <v/>
      </c>
      <c r="C68" s="495">
        <f t="shared" si="9"/>
        <v>2063</v>
      </c>
      <c r="D68" s="508"/>
      <c r="E68" s="509">
        <f t="shared" si="10"/>
        <v>0</v>
      </c>
      <c r="F68" s="510">
        <f t="shared" si="12"/>
        <v>0</v>
      </c>
      <c r="G68" s="523">
        <f t="shared" si="6"/>
        <v>0</v>
      </c>
      <c r="H68" s="477">
        <f t="shared" si="7"/>
        <v>0</v>
      </c>
      <c r="I68" s="500">
        <f t="shared" si="13"/>
        <v>0</v>
      </c>
      <c r="J68" s="500"/>
      <c r="K68" s="512"/>
      <c r="L68" s="504">
        <f t="shared" si="14"/>
        <v>0</v>
      </c>
      <c r="M68" s="512"/>
      <c r="N68" s="504">
        <f t="shared" si="15"/>
        <v>0</v>
      </c>
      <c r="O68" s="504">
        <f t="shared" si="16"/>
        <v>0</v>
      </c>
      <c r="P68" s="278"/>
      <c r="R68" s="243"/>
      <c r="S68" s="243"/>
      <c r="T68" s="243"/>
      <c r="U68" s="243"/>
    </row>
    <row r="69" spans="2:21" ht="12.5">
      <c r="B69" s="145" t="str">
        <f t="shared" si="11"/>
        <v/>
      </c>
      <c r="C69" s="495">
        <f t="shared" si="9"/>
        <v>2064</v>
      </c>
      <c r="D69" s="508"/>
      <c r="E69" s="509">
        <f t="shared" si="10"/>
        <v>0</v>
      </c>
      <c r="F69" s="510">
        <f t="shared" si="12"/>
        <v>0</v>
      </c>
      <c r="G69" s="523">
        <f t="shared" si="6"/>
        <v>0</v>
      </c>
      <c r="H69" s="477">
        <f t="shared" si="7"/>
        <v>0</v>
      </c>
      <c r="I69" s="500">
        <f t="shared" si="13"/>
        <v>0</v>
      </c>
      <c r="J69" s="500"/>
      <c r="K69" s="512"/>
      <c r="L69" s="504">
        <f t="shared" si="14"/>
        <v>0</v>
      </c>
      <c r="M69" s="512"/>
      <c r="N69" s="504">
        <f t="shared" si="15"/>
        <v>0</v>
      </c>
      <c r="O69" s="504">
        <f t="shared" si="16"/>
        <v>0</v>
      </c>
      <c r="P69" s="278"/>
      <c r="R69" s="243"/>
      <c r="S69" s="243"/>
      <c r="T69" s="243"/>
      <c r="U69" s="243"/>
    </row>
    <row r="70" spans="2:21" ht="12.5">
      <c r="B70" s="145" t="str">
        <f t="shared" si="11"/>
        <v/>
      </c>
      <c r="C70" s="495">
        <f t="shared" si="9"/>
        <v>2065</v>
      </c>
      <c r="D70" s="508"/>
      <c r="E70" s="509">
        <f t="shared" si="10"/>
        <v>0</v>
      </c>
      <c r="F70" s="510">
        <f t="shared" si="12"/>
        <v>0</v>
      </c>
      <c r="G70" s="523">
        <f t="shared" si="6"/>
        <v>0</v>
      </c>
      <c r="H70" s="477">
        <f t="shared" si="7"/>
        <v>0</v>
      </c>
      <c r="I70" s="500">
        <f t="shared" si="13"/>
        <v>0</v>
      </c>
      <c r="J70" s="500"/>
      <c r="K70" s="512"/>
      <c r="L70" s="504">
        <f t="shared" si="14"/>
        <v>0</v>
      </c>
      <c r="M70" s="512"/>
      <c r="N70" s="504">
        <f t="shared" si="15"/>
        <v>0</v>
      </c>
      <c r="O70" s="504">
        <f t="shared" si="16"/>
        <v>0</v>
      </c>
      <c r="P70" s="278"/>
      <c r="R70" s="243"/>
      <c r="S70" s="243"/>
      <c r="T70" s="243"/>
      <c r="U70" s="243"/>
    </row>
    <row r="71" spans="2:21" ht="12.5">
      <c r="B71" s="145" t="str">
        <f t="shared" si="11"/>
        <v/>
      </c>
      <c r="C71" s="495">
        <f t="shared" si="9"/>
        <v>2066</v>
      </c>
      <c r="D71" s="508"/>
      <c r="E71" s="509">
        <f t="shared" si="10"/>
        <v>0</v>
      </c>
      <c r="F71" s="510">
        <f t="shared" si="12"/>
        <v>0</v>
      </c>
      <c r="G71" s="523">
        <f t="shared" si="6"/>
        <v>0</v>
      </c>
      <c r="H71" s="477">
        <f t="shared" si="7"/>
        <v>0</v>
      </c>
      <c r="I71" s="500">
        <f t="shared" si="13"/>
        <v>0</v>
      </c>
      <c r="J71" s="500"/>
      <c r="K71" s="512"/>
      <c r="L71" s="504">
        <f t="shared" si="14"/>
        <v>0</v>
      </c>
      <c r="M71" s="512"/>
      <c r="N71" s="504">
        <f t="shared" si="15"/>
        <v>0</v>
      </c>
      <c r="O71" s="504">
        <f t="shared" si="16"/>
        <v>0</v>
      </c>
      <c r="P71" s="278"/>
      <c r="R71" s="243"/>
      <c r="S71" s="243"/>
      <c r="T71" s="243"/>
      <c r="U71" s="243"/>
    </row>
    <row r="72" spans="2:21" ht="12.5">
      <c r="B72" s="145" t="str">
        <f t="shared" si="11"/>
        <v/>
      </c>
      <c r="C72" s="495">
        <f t="shared" si="9"/>
        <v>2067</v>
      </c>
      <c r="D72" s="508"/>
      <c r="E72" s="509">
        <f t="shared" si="10"/>
        <v>0</v>
      </c>
      <c r="F72" s="510">
        <f t="shared" si="12"/>
        <v>0</v>
      </c>
      <c r="G72" s="523">
        <f t="shared" si="6"/>
        <v>0</v>
      </c>
      <c r="H72" s="477">
        <f t="shared" si="7"/>
        <v>0</v>
      </c>
      <c r="I72" s="500">
        <f t="shared" si="13"/>
        <v>0</v>
      </c>
      <c r="J72" s="500"/>
      <c r="K72" s="512"/>
      <c r="L72" s="504">
        <f t="shared" si="14"/>
        <v>0</v>
      </c>
      <c r="M72" s="512"/>
      <c r="N72" s="504">
        <f t="shared" si="15"/>
        <v>0</v>
      </c>
      <c r="O72" s="504">
        <f t="shared" si="16"/>
        <v>0</v>
      </c>
      <c r="P72" s="278"/>
      <c r="R72" s="243"/>
      <c r="S72" s="243"/>
      <c r="T72" s="243"/>
      <c r="U72" s="243"/>
    </row>
    <row r="73" spans="2:21" ht="13" thickBot="1">
      <c r="B73" s="145" t="str">
        <f t="shared" si="11"/>
        <v/>
      </c>
      <c r="C73" s="524">
        <f t="shared" si="9"/>
        <v>2068</v>
      </c>
      <c r="D73" s="525"/>
      <c r="E73" s="526">
        <f t="shared" si="10"/>
        <v>0</v>
      </c>
      <c r="F73" s="527">
        <f t="shared" si="12"/>
        <v>0</v>
      </c>
      <c r="G73" s="528">
        <f t="shared" si="6"/>
        <v>0</v>
      </c>
      <c r="H73" s="458">
        <f t="shared" si="7"/>
        <v>0</v>
      </c>
      <c r="I73" s="529">
        <f t="shared" si="13"/>
        <v>0</v>
      </c>
      <c r="J73" s="500"/>
      <c r="K73" s="530"/>
      <c r="L73" s="531">
        <f t="shared" si="14"/>
        <v>0</v>
      </c>
      <c r="M73" s="530"/>
      <c r="N73" s="531">
        <f t="shared" si="15"/>
        <v>0</v>
      </c>
      <c r="O73" s="531">
        <f t="shared" si="16"/>
        <v>0</v>
      </c>
      <c r="P73" s="278"/>
      <c r="R73" s="243"/>
      <c r="S73" s="243"/>
      <c r="T73" s="243"/>
      <c r="U73" s="243"/>
    </row>
    <row r="74" spans="2:21" ht="12.5">
      <c r="C74" s="349" t="s">
        <v>75</v>
      </c>
      <c r="D74" s="294"/>
      <c r="E74" s="294">
        <f>SUM(E17:E73)</f>
        <v>45573.039110189922</v>
      </c>
      <c r="F74" s="294"/>
      <c r="G74" s="294">
        <f>SUM(G17:G73)</f>
        <v>423078.95453720703</v>
      </c>
      <c r="H74" s="294">
        <f>SUM(H17:H73)</f>
        <v>423078.95453720703</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5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0</v>
      </c>
      <c r="N88" s="544">
        <f>IF(J93&lt;D11,0,VLOOKUP(J93,C17:O73,11))</f>
        <v>0</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0</v>
      </c>
      <c r="N89" s="548">
        <f>IF(J93&lt;D11,0,VLOOKUP(J93,C100:P155,7))</f>
        <v>0</v>
      </c>
      <c r="O89" s="549">
        <f>+N89-M89</f>
        <v>0</v>
      </c>
      <c r="P89" s="243"/>
      <c r="Q89" s="243"/>
      <c r="R89" s="243"/>
      <c r="S89" s="243"/>
      <c r="T89" s="243"/>
      <c r="U89" s="243"/>
    </row>
    <row r="90" spans="1:21" ht="13.5" thickBot="1">
      <c r="C90" s="454" t="s">
        <v>82</v>
      </c>
      <c r="D90" s="550" t="str">
        <f>+D7</f>
        <v>Install 345kV terminal at Valliant***</v>
      </c>
      <c r="E90" s="243"/>
      <c r="F90" s="243"/>
      <c r="G90" s="243"/>
      <c r="H90" s="243"/>
      <c r="I90" s="325"/>
      <c r="J90" s="325"/>
      <c r="K90" s="551"/>
      <c r="L90" s="552" t="s">
        <v>135</v>
      </c>
      <c r="M90" s="553">
        <f>+M89-M88</f>
        <v>0</v>
      </c>
      <c r="N90" s="553">
        <f>+N89-N88</f>
        <v>0</v>
      </c>
      <c r="O90" s="554">
        <f>+O89-O88</f>
        <v>0</v>
      </c>
      <c r="P90" s="243"/>
      <c r="Q90" s="243"/>
      <c r="R90" s="243"/>
      <c r="S90" s="243"/>
      <c r="T90" s="243"/>
      <c r="U90" s="243"/>
    </row>
    <row r="91" spans="1:21" ht="13.5" thickBot="1">
      <c r="C91" s="532"/>
      <c r="D91" s="604" t="s">
        <v>210</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TP2007167</v>
      </c>
      <c r="E92" s="558"/>
      <c r="F92" s="558"/>
      <c r="G92" s="558"/>
      <c r="H92" s="558"/>
      <c r="I92" s="558"/>
      <c r="J92" s="558"/>
      <c r="K92" s="560"/>
      <c r="P92" s="468"/>
      <c r="Q92" s="243"/>
      <c r="R92" s="243"/>
      <c r="S92" s="243"/>
      <c r="T92" s="243"/>
      <c r="U92" s="243"/>
    </row>
    <row r="93" spans="1:21" ht="13">
      <c r="C93" s="472" t="s">
        <v>49</v>
      </c>
      <c r="D93" s="582">
        <f>IF(D11=I10,0,D10)</f>
        <v>0</v>
      </c>
      <c r="E93" s="248" t="s">
        <v>84</v>
      </c>
      <c r="H93" s="408"/>
      <c r="I93" s="408"/>
      <c r="J93" s="471">
        <f>+'OKT.WS.G.BPU.ATRR.True-up'!M16</f>
        <v>2019</v>
      </c>
      <c r="K93" s="467"/>
      <c r="L93" s="294" t="s">
        <v>85</v>
      </c>
      <c r="P93" s="278"/>
      <c r="Q93" s="243"/>
      <c r="R93" s="243"/>
      <c r="S93" s="243"/>
      <c r="T93" s="243"/>
      <c r="U93" s="243"/>
    </row>
    <row r="94" spans="1:21" ht="12.5">
      <c r="C94" s="472" t="s">
        <v>52</v>
      </c>
      <c r="D94" s="561">
        <f>IF(D11=I10,"",D11)</f>
        <v>2012</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f>IF(D11=I10,"",D12)</f>
        <v>4</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0</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31" si="17">IF(D100=F99,"","IU")</f>
        <v>IU</v>
      </c>
      <c r="C100" s="495">
        <f>IF(D94= "","-",D94)</f>
        <v>2012</v>
      </c>
      <c r="D100" s="349">
        <f>IF(D94=C100,0,IF(D93&lt;100000,0,D93))</f>
        <v>0</v>
      </c>
      <c r="E100" s="511">
        <f>IF(OR(D11=I10,D93&lt;100000),0,J97/12*(12-D95))</f>
        <v>0</v>
      </c>
      <c r="F100" s="510">
        <f>IF(D94=C100,+D93-E100,+D100-E100)</f>
        <v>0</v>
      </c>
      <c r="G100" s="605">
        <f t="shared" ref="G100:G131" si="18">+(F100+D100)/2</f>
        <v>0</v>
      </c>
      <c r="H100" s="605">
        <f t="shared" ref="H100:H131" si="19">+J$95*G100+E100</f>
        <v>0</v>
      </c>
      <c r="I100" s="605">
        <f t="shared" ref="I100:I131" si="20">+J$96*G100+E100</f>
        <v>0</v>
      </c>
      <c r="J100" s="504">
        <f t="shared" ref="J100:J131" si="21">+I100-H100</f>
        <v>0</v>
      </c>
      <c r="K100" s="504"/>
      <c r="L100" s="606"/>
      <c r="M100" s="503">
        <f t="shared" ref="M100:M131" si="22">IF(L100&lt;&gt;0,+H100-L100,0)</f>
        <v>0</v>
      </c>
      <c r="N100" s="606"/>
      <c r="O100" s="503">
        <f t="shared" ref="O100:O131" si="23">IF(N100&lt;&gt;0,+I100-N100,0)</f>
        <v>0</v>
      </c>
      <c r="P100" s="503">
        <f t="shared" ref="P100:P131" si="24">+O100-M100</f>
        <v>0</v>
      </c>
      <c r="Q100" s="243"/>
      <c r="R100" s="243"/>
      <c r="S100" s="243"/>
      <c r="T100" s="243"/>
      <c r="U100" s="243"/>
    </row>
    <row r="101" spans="1:21" ht="12.5">
      <c r="B101" s="145" t="str">
        <f t="shared" si="17"/>
        <v/>
      </c>
      <c r="C101" s="495">
        <f>IF(D94="","-",+C100+1)</f>
        <v>2013</v>
      </c>
      <c r="D101" s="349">
        <f>IF(F100+SUM(E$100:E100)=D$93,F100,D$93-SUM(E$100:E100))</f>
        <v>0</v>
      </c>
      <c r="E101" s="509">
        <f>IF(+J97&lt;F100,J97,D101)</f>
        <v>0</v>
      </c>
      <c r="F101" s="510">
        <f t="shared" ref="F101:F132" si="25">+D101-E101</f>
        <v>0</v>
      </c>
      <c r="G101" s="510">
        <f t="shared" si="18"/>
        <v>0</v>
      </c>
      <c r="H101" s="523">
        <f t="shared" si="19"/>
        <v>0</v>
      </c>
      <c r="I101" s="572">
        <f t="shared" si="20"/>
        <v>0</v>
      </c>
      <c r="J101" s="504">
        <f t="shared" si="21"/>
        <v>0</v>
      </c>
      <c r="K101" s="504"/>
      <c r="L101" s="512"/>
      <c r="M101" s="504">
        <f t="shared" si="22"/>
        <v>0</v>
      </c>
      <c r="N101" s="512"/>
      <c r="O101" s="504">
        <f t="shared" si="23"/>
        <v>0</v>
      </c>
      <c r="P101" s="504">
        <f t="shared" si="24"/>
        <v>0</v>
      </c>
      <c r="Q101" s="243"/>
      <c r="R101" s="243"/>
      <c r="S101" s="243"/>
      <c r="T101" s="243"/>
      <c r="U101" s="243"/>
    </row>
    <row r="102" spans="1:21" ht="12.5">
      <c r="B102" s="145" t="str">
        <f t="shared" si="17"/>
        <v/>
      </c>
      <c r="C102" s="495">
        <f>IF(D94="","-",+C101+1)</f>
        <v>2014</v>
      </c>
      <c r="D102" s="349">
        <f>IF(F101+SUM(E$100:E101)=D$93,F101,D$93-SUM(E$100:E101))</f>
        <v>0</v>
      </c>
      <c r="E102" s="509">
        <f>IF(+J97&lt;F101,J97,D102)</f>
        <v>0</v>
      </c>
      <c r="F102" s="510">
        <f t="shared" si="25"/>
        <v>0</v>
      </c>
      <c r="G102" s="510">
        <f t="shared" si="18"/>
        <v>0</v>
      </c>
      <c r="H102" s="523">
        <f t="shared" si="19"/>
        <v>0</v>
      </c>
      <c r="I102" s="572">
        <f t="shared" si="20"/>
        <v>0</v>
      </c>
      <c r="J102" s="504">
        <f t="shared" si="21"/>
        <v>0</v>
      </c>
      <c r="K102" s="504"/>
      <c r="L102" s="512"/>
      <c r="M102" s="504">
        <f t="shared" si="22"/>
        <v>0</v>
      </c>
      <c r="N102" s="512"/>
      <c r="O102" s="504">
        <f t="shared" si="23"/>
        <v>0</v>
      </c>
      <c r="P102" s="504">
        <f t="shared" si="24"/>
        <v>0</v>
      </c>
      <c r="Q102" s="243"/>
      <c r="R102" s="243"/>
      <c r="S102" s="243"/>
      <c r="T102" s="243"/>
      <c r="U102" s="243"/>
    </row>
    <row r="103" spans="1:21" ht="12.5">
      <c r="B103" s="145" t="str">
        <f t="shared" si="17"/>
        <v/>
      </c>
      <c r="C103" s="495">
        <f>IF(D94="","-",+C102+1)</f>
        <v>2015</v>
      </c>
      <c r="D103" s="349">
        <f>IF(F102+SUM(E$100:E102)=D$93,F102,D$93-SUM(E$100:E102))</f>
        <v>0</v>
      </c>
      <c r="E103" s="509">
        <f>IF(+J97&lt;F102,J97,D103)</f>
        <v>0</v>
      </c>
      <c r="F103" s="510">
        <f t="shared" si="25"/>
        <v>0</v>
      </c>
      <c r="G103" s="510">
        <f t="shared" si="18"/>
        <v>0</v>
      </c>
      <c r="H103" s="523">
        <f t="shared" si="19"/>
        <v>0</v>
      </c>
      <c r="I103" s="572">
        <f t="shared" si="20"/>
        <v>0</v>
      </c>
      <c r="J103" s="504">
        <f t="shared" si="21"/>
        <v>0</v>
      </c>
      <c r="K103" s="504"/>
      <c r="L103" s="512"/>
      <c r="M103" s="504">
        <f t="shared" si="22"/>
        <v>0</v>
      </c>
      <c r="N103" s="512"/>
      <c r="O103" s="504">
        <f t="shared" si="23"/>
        <v>0</v>
      </c>
      <c r="P103" s="504">
        <f t="shared" si="24"/>
        <v>0</v>
      </c>
      <c r="Q103" s="243"/>
      <c r="R103" s="243"/>
      <c r="S103" s="243"/>
      <c r="T103" s="243"/>
      <c r="U103" s="243"/>
    </row>
    <row r="104" spans="1:21" ht="12.5">
      <c r="B104" s="145" t="str">
        <f t="shared" si="17"/>
        <v/>
      </c>
      <c r="C104" s="495">
        <f>IF(D94="","-",+C103+1)</f>
        <v>2016</v>
      </c>
      <c r="D104" s="349">
        <f>IF(F103+SUM(E$100:E103)=D$93,F103,D$93-SUM(E$100:E103))</f>
        <v>0</v>
      </c>
      <c r="E104" s="509">
        <f>IF(+J97&lt;F103,J97,D104)</f>
        <v>0</v>
      </c>
      <c r="F104" s="510">
        <f t="shared" si="25"/>
        <v>0</v>
      </c>
      <c r="G104" s="510">
        <f t="shared" si="18"/>
        <v>0</v>
      </c>
      <c r="H104" s="523">
        <f t="shared" si="19"/>
        <v>0</v>
      </c>
      <c r="I104" s="572">
        <f t="shared" si="20"/>
        <v>0</v>
      </c>
      <c r="J104" s="504">
        <f t="shared" si="21"/>
        <v>0</v>
      </c>
      <c r="K104" s="504"/>
      <c r="L104" s="512"/>
      <c r="M104" s="504">
        <f t="shared" si="22"/>
        <v>0</v>
      </c>
      <c r="N104" s="512"/>
      <c r="O104" s="504">
        <f t="shared" si="23"/>
        <v>0</v>
      </c>
      <c r="P104" s="504">
        <f t="shared" si="24"/>
        <v>0</v>
      </c>
      <c r="Q104" s="243"/>
      <c r="R104" s="243"/>
      <c r="S104" s="243"/>
      <c r="T104" s="243"/>
      <c r="U104" s="243"/>
    </row>
    <row r="105" spans="1:21" ht="12.5">
      <c r="B105" s="145" t="str">
        <f t="shared" si="17"/>
        <v/>
      </c>
      <c r="C105" s="495">
        <f>IF(D94="","-",+C104+1)</f>
        <v>2017</v>
      </c>
      <c r="D105" s="349">
        <f>IF(F104+SUM(E$100:E104)=D$93,F104,D$93-SUM(E$100:E104))</f>
        <v>0</v>
      </c>
      <c r="E105" s="509">
        <f>IF(+J97&lt;F104,J97,D105)</f>
        <v>0</v>
      </c>
      <c r="F105" s="510">
        <f t="shared" si="25"/>
        <v>0</v>
      </c>
      <c r="G105" s="510">
        <f t="shared" si="18"/>
        <v>0</v>
      </c>
      <c r="H105" s="523">
        <f t="shared" si="19"/>
        <v>0</v>
      </c>
      <c r="I105" s="572">
        <f t="shared" si="20"/>
        <v>0</v>
      </c>
      <c r="J105" s="504">
        <f t="shared" si="21"/>
        <v>0</v>
      </c>
      <c r="K105" s="504"/>
      <c r="L105" s="512"/>
      <c r="M105" s="504">
        <f t="shared" si="22"/>
        <v>0</v>
      </c>
      <c r="N105" s="512"/>
      <c r="O105" s="504">
        <f t="shared" si="23"/>
        <v>0</v>
      </c>
      <c r="P105" s="504">
        <f t="shared" si="24"/>
        <v>0</v>
      </c>
      <c r="Q105" s="243"/>
      <c r="R105" s="243"/>
      <c r="S105" s="243"/>
      <c r="T105" s="243"/>
      <c r="U105" s="243"/>
    </row>
    <row r="106" spans="1:21" ht="12.5">
      <c r="B106" s="145" t="str">
        <f t="shared" si="17"/>
        <v/>
      </c>
      <c r="C106" s="495">
        <f>IF(D94="","-",+C105+1)</f>
        <v>2018</v>
      </c>
      <c r="D106" s="349">
        <f>IF(F105+SUM(E$100:E105)=D$93,F105,D$93-SUM(E$100:E105))</f>
        <v>0</v>
      </c>
      <c r="E106" s="509">
        <f>IF(+J97&lt;F105,J97,D106)</f>
        <v>0</v>
      </c>
      <c r="F106" s="510">
        <f t="shared" si="25"/>
        <v>0</v>
      </c>
      <c r="G106" s="510">
        <f t="shared" si="18"/>
        <v>0</v>
      </c>
      <c r="H106" s="523">
        <f t="shared" si="19"/>
        <v>0</v>
      </c>
      <c r="I106" s="572">
        <f t="shared" si="20"/>
        <v>0</v>
      </c>
      <c r="J106" s="504">
        <f t="shared" si="21"/>
        <v>0</v>
      </c>
      <c r="K106" s="504"/>
      <c r="L106" s="512"/>
      <c r="M106" s="504">
        <f t="shared" si="22"/>
        <v>0</v>
      </c>
      <c r="N106" s="512"/>
      <c r="O106" s="504">
        <f t="shared" si="23"/>
        <v>0</v>
      </c>
      <c r="P106" s="504">
        <f t="shared" si="24"/>
        <v>0</v>
      </c>
      <c r="Q106" s="243"/>
      <c r="R106" s="243"/>
      <c r="S106" s="243"/>
      <c r="T106" s="243"/>
      <c r="U106" s="243"/>
    </row>
    <row r="107" spans="1:21" ht="12.5">
      <c r="B107" s="145" t="str">
        <f t="shared" si="17"/>
        <v/>
      </c>
      <c r="C107" s="495">
        <f>IF(D94="","-",+C106+1)</f>
        <v>2019</v>
      </c>
      <c r="D107" s="349">
        <f>IF(F106+SUM(E$100:E106)=D$93,F106,D$93-SUM(E$100:E106))</f>
        <v>0</v>
      </c>
      <c r="E107" s="509">
        <f>IF(+J97&lt;F106,J97,D107)</f>
        <v>0</v>
      </c>
      <c r="F107" s="510">
        <f t="shared" si="25"/>
        <v>0</v>
      </c>
      <c r="G107" s="510">
        <f t="shared" si="18"/>
        <v>0</v>
      </c>
      <c r="H107" s="523">
        <f t="shared" si="19"/>
        <v>0</v>
      </c>
      <c r="I107" s="572">
        <f t="shared" si="20"/>
        <v>0</v>
      </c>
      <c r="J107" s="504">
        <f t="shared" si="21"/>
        <v>0</v>
      </c>
      <c r="K107" s="504"/>
      <c r="L107" s="512"/>
      <c r="M107" s="504">
        <f t="shared" si="22"/>
        <v>0</v>
      </c>
      <c r="N107" s="512"/>
      <c r="O107" s="504">
        <f t="shared" si="23"/>
        <v>0</v>
      </c>
      <c r="P107" s="504">
        <f t="shared" si="24"/>
        <v>0</v>
      </c>
      <c r="Q107" s="243"/>
      <c r="R107" s="243"/>
      <c r="S107" s="243"/>
      <c r="T107" s="243"/>
      <c r="U107" s="243"/>
    </row>
    <row r="108" spans="1:21" ht="12.5">
      <c r="B108" s="145" t="str">
        <f t="shared" si="17"/>
        <v/>
      </c>
      <c r="C108" s="495">
        <f>IF(D94="","-",+C107+1)</f>
        <v>2020</v>
      </c>
      <c r="D108" s="349">
        <f>IF(F107+SUM(E$100:E107)=D$93,F107,D$93-SUM(E$100:E107))</f>
        <v>0</v>
      </c>
      <c r="E108" s="509">
        <f>IF(+J97&lt;F107,J97,D108)</f>
        <v>0</v>
      </c>
      <c r="F108" s="510">
        <f t="shared" si="25"/>
        <v>0</v>
      </c>
      <c r="G108" s="510">
        <f t="shared" si="18"/>
        <v>0</v>
      </c>
      <c r="H108" s="523">
        <f t="shared" si="19"/>
        <v>0</v>
      </c>
      <c r="I108" s="572">
        <f t="shared" si="20"/>
        <v>0</v>
      </c>
      <c r="J108" s="504">
        <f t="shared" si="21"/>
        <v>0</v>
      </c>
      <c r="K108" s="504"/>
      <c r="L108" s="512"/>
      <c r="M108" s="504">
        <f t="shared" si="22"/>
        <v>0</v>
      </c>
      <c r="N108" s="512"/>
      <c r="O108" s="504">
        <f t="shared" si="23"/>
        <v>0</v>
      </c>
      <c r="P108" s="504">
        <f t="shared" si="24"/>
        <v>0</v>
      </c>
      <c r="Q108" s="243"/>
      <c r="R108" s="243"/>
      <c r="S108" s="243"/>
      <c r="T108" s="243"/>
      <c r="U108" s="243"/>
    </row>
    <row r="109" spans="1:21" ht="12.5">
      <c r="B109" s="145" t="str">
        <f t="shared" si="17"/>
        <v/>
      </c>
      <c r="C109" s="495">
        <f>IF(D94="","-",+C108+1)</f>
        <v>2021</v>
      </c>
      <c r="D109" s="349">
        <f>IF(F108+SUM(E$100:E108)=D$93,F108,D$93-SUM(E$100:E108))</f>
        <v>0</v>
      </c>
      <c r="E109" s="509">
        <f>IF(+J97&lt;F108,J97,D109)</f>
        <v>0</v>
      </c>
      <c r="F109" s="510">
        <f t="shared" si="25"/>
        <v>0</v>
      </c>
      <c r="G109" s="510">
        <f t="shared" si="18"/>
        <v>0</v>
      </c>
      <c r="H109" s="523">
        <f t="shared" si="19"/>
        <v>0</v>
      </c>
      <c r="I109" s="572">
        <f t="shared" si="20"/>
        <v>0</v>
      </c>
      <c r="J109" s="504">
        <f t="shared" si="21"/>
        <v>0</v>
      </c>
      <c r="K109" s="504"/>
      <c r="L109" s="512"/>
      <c r="M109" s="504">
        <f t="shared" si="22"/>
        <v>0</v>
      </c>
      <c r="N109" s="512"/>
      <c r="O109" s="504">
        <f t="shared" si="23"/>
        <v>0</v>
      </c>
      <c r="P109" s="504">
        <f t="shared" si="24"/>
        <v>0</v>
      </c>
      <c r="Q109" s="243"/>
      <c r="R109" s="243"/>
      <c r="S109" s="243"/>
      <c r="T109" s="243"/>
      <c r="U109" s="243"/>
    </row>
    <row r="110" spans="1:21" ht="12.5">
      <c r="B110" s="145" t="str">
        <f t="shared" si="17"/>
        <v/>
      </c>
      <c r="C110" s="495">
        <f>IF(D94="","-",+C109+1)</f>
        <v>2022</v>
      </c>
      <c r="D110" s="349">
        <f>IF(F109+SUM(E$100:E109)=D$93,F109,D$93-SUM(E$100:E109))</f>
        <v>0</v>
      </c>
      <c r="E110" s="509">
        <f>IF(+J97&lt;F109,J97,D110)</f>
        <v>0</v>
      </c>
      <c r="F110" s="510">
        <f t="shared" si="25"/>
        <v>0</v>
      </c>
      <c r="G110" s="510">
        <f t="shared" si="18"/>
        <v>0</v>
      </c>
      <c r="H110" s="523">
        <f t="shared" si="19"/>
        <v>0</v>
      </c>
      <c r="I110" s="572">
        <f t="shared" si="20"/>
        <v>0</v>
      </c>
      <c r="J110" s="504">
        <f t="shared" si="21"/>
        <v>0</v>
      </c>
      <c r="K110" s="504"/>
      <c r="L110" s="512"/>
      <c r="M110" s="504">
        <f t="shared" si="22"/>
        <v>0</v>
      </c>
      <c r="N110" s="512"/>
      <c r="O110" s="504">
        <f t="shared" si="23"/>
        <v>0</v>
      </c>
      <c r="P110" s="504">
        <f t="shared" si="24"/>
        <v>0</v>
      </c>
      <c r="Q110" s="243"/>
      <c r="R110" s="243"/>
      <c r="S110" s="243"/>
      <c r="T110" s="243"/>
      <c r="U110" s="243"/>
    </row>
    <row r="111" spans="1:21" ht="12.5">
      <c r="B111" s="145" t="str">
        <f t="shared" si="17"/>
        <v/>
      </c>
      <c r="C111" s="495">
        <f>IF(D94="","-",+C110+1)</f>
        <v>2023</v>
      </c>
      <c r="D111" s="349">
        <f>IF(F110+SUM(E$100:E110)=D$93,F110,D$93-SUM(E$100:E110))</f>
        <v>0</v>
      </c>
      <c r="E111" s="509">
        <f>IF(+J97&lt;F110,J97,D111)</f>
        <v>0</v>
      </c>
      <c r="F111" s="510">
        <f t="shared" si="25"/>
        <v>0</v>
      </c>
      <c r="G111" s="510">
        <f t="shared" si="18"/>
        <v>0</v>
      </c>
      <c r="H111" s="523">
        <f t="shared" si="19"/>
        <v>0</v>
      </c>
      <c r="I111" s="572">
        <f t="shared" si="20"/>
        <v>0</v>
      </c>
      <c r="J111" s="504">
        <f t="shared" si="21"/>
        <v>0</v>
      </c>
      <c r="K111" s="504"/>
      <c r="L111" s="512"/>
      <c r="M111" s="504">
        <f t="shared" si="22"/>
        <v>0</v>
      </c>
      <c r="N111" s="512"/>
      <c r="O111" s="504">
        <f t="shared" si="23"/>
        <v>0</v>
      </c>
      <c r="P111" s="504">
        <f t="shared" si="24"/>
        <v>0</v>
      </c>
      <c r="Q111" s="243"/>
      <c r="R111" s="243"/>
      <c r="S111" s="243"/>
      <c r="T111" s="243"/>
      <c r="U111" s="243"/>
    </row>
    <row r="112" spans="1:21" ht="12.5">
      <c r="B112" s="145" t="str">
        <f t="shared" si="17"/>
        <v/>
      </c>
      <c r="C112" s="495">
        <f>IF(D94="","-",+C111+1)</f>
        <v>2024</v>
      </c>
      <c r="D112" s="349">
        <f>IF(F111+SUM(E$100:E111)=D$93,F111,D$93-SUM(E$100:E111))</f>
        <v>0</v>
      </c>
      <c r="E112" s="509">
        <f>IF(+J97&lt;F111,J97,D112)</f>
        <v>0</v>
      </c>
      <c r="F112" s="510">
        <f t="shared" si="25"/>
        <v>0</v>
      </c>
      <c r="G112" s="510">
        <f t="shared" si="18"/>
        <v>0</v>
      </c>
      <c r="H112" s="523">
        <f t="shared" si="19"/>
        <v>0</v>
      </c>
      <c r="I112" s="572">
        <f t="shared" si="20"/>
        <v>0</v>
      </c>
      <c r="J112" s="504">
        <f t="shared" si="21"/>
        <v>0</v>
      </c>
      <c r="K112" s="504"/>
      <c r="L112" s="512"/>
      <c r="M112" s="504">
        <f t="shared" si="22"/>
        <v>0</v>
      </c>
      <c r="N112" s="512"/>
      <c r="O112" s="504">
        <f t="shared" si="23"/>
        <v>0</v>
      </c>
      <c r="P112" s="504">
        <f t="shared" si="24"/>
        <v>0</v>
      </c>
      <c r="Q112" s="243"/>
      <c r="R112" s="243"/>
      <c r="S112" s="243"/>
      <c r="T112" s="243"/>
      <c r="U112" s="243"/>
    </row>
    <row r="113" spans="2:21" ht="12.5">
      <c r="B113" s="145" t="str">
        <f t="shared" si="17"/>
        <v/>
      </c>
      <c r="C113" s="495">
        <f>IF(D94="","-",+C112+1)</f>
        <v>2025</v>
      </c>
      <c r="D113" s="349">
        <f>IF(F112+SUM(E$100:E112)=D$93,F112,D$93-SUM(E$100:E112))</f>
        <v>0</v>
      </c>
      <c r="E113" s="509">
        <f>IF(+J97&lt;F112,J97,D113)</f>
        <v>0</v>
      </c>
      <c r="F113" s="510">
        <f t="shared" si="25"/>
        <v>0</v>
      </c>
      <c r="G113" s="510">
        <f t="shared" si="18"/>
        <v>0</v>
      </c>
      <c r="H113" s="523">
        <f t="shared" si="19"/>
        <v>0</v>
      </c>
      <c r="I113" s="572">
        <f t="shared" si="20"/>
        <v>0</v>
      </c>
      <c r="J113" s="504">
        <f t="shared" si="21"/>
        <v>0</v>
      </c>
      <c r="K113" s="504"/>
      <c r="L113" s="512"/>
      <c r="M113" s="504">
        <f t="shared" si="22"/>
        <v>0</v>
      </c>
      <c r="N113" s="512"/>
      <c r="O113" s="504">
        <f t="shared" si="23"/>
        <v>0</v>
      </c>
      <c r="P113" s="504">
        <f t="shared" si="24"/>
        <v>0</v>
      </c>
      <c r="Q113" s="243"/>
      <c r="R113" s="243"/>
      <c r="S113" s="243"/>
      <c r="T113" s="243"/>
      <c r="U113" s="243"/>
    </row>
    <row r="114" spans="2:21" ht="12.5">
      <c r="B114" s="145" t="str">
        <f t="shared" si="17"/>
        <v/>
      </c>
      <c r="C114" s="495">
        <f>IF(D94="","-",+C113+1)</f>
        <v>2026</v>
      </c>
      <c r="D114" s="349">
        <f>IF(F113+SUM(E$100:E113)=D$93,F113,D$93-SUM(E$100:E113))</f>
        <v>0</v>
      </c>
      <c r="E114" s="509">
        <f>IF(+J97&lt;F113,J97,D114)</f>
        <v>0</v>
      </c>
      <c r="F114" s="510">
        <f t="shared" si="25"/>
        <v>0</v>
      </c>
      <c r="G114" s="510">
        <f t="shared" si="18"/>
        <v>0</v>
      </c>
      <c r="H114" s="523">
        <f t="shared" si="19"/>
        <v>0</v>
      </c>
      <c r="I114" s="572">
        <f t="shared" si="20"/>
        <v>0</v>
      </c>
      <c r="J114" s="504">
        <f t="shared" si="21"/>
        <v>0</v>
      </c>
      <c r="K114" s="504"/>
      <c r="L114" s="512"/>
      <c r="M114" s="504">
        <f t="shared" si="22"/>
        <v>0</v>
      </c>
      <c r="N114" s="512"/>
      <c r="O114" s="504">
        <f t="shared" si="23"/>
        <v>0</v>
      </c>
      <c r="P114" s="504">
        <f t="shared" si="24"/>
        <v>0</v>
      </c>
      <c r="Q114" s="243"/>
      <c r="R114" s="243"/>
      <c r="S114" s="243"/>
      <c r="T114" s="243"/>
      <c r="U114" s="243"/>
    </row>
    <row r="115" spans="2:21" ht="12.5">
      <c r="B115" s="145" t="str">
        <f t="shared" si="17"/>
        <v/>
      </c>
      <c r="C115" s="495">
        <f>IF(D94="","-",+C114+1)</f>
        <v>2027</v>
      </c>
      <c r="D115" s="349">
        <f>IF(F114+SUM(E$100:E114)=D$93,F114,D$93-SUM(E$100:E114))</f>
        <v>0</v>
      </c>
      <c r="E115" s="509">
        <f>IF(+J97&lt;F114,J97,D115)</f>
        <v>0</v>
      </c>
      <c r="F115" s="510">
        <f t="shared" si="25"/>
        <v>0</v>
      </c>
      <c r="G115" s="510">
        <f t="shared" si="18"/>
        <v>0</v>
      </c>
      <c r="H115" s="523">
        <f t="shared" si="19"/>
        <v>0</v>
      </c>
      <c r="I115" s="572">
        <f t="shared" si="20"/>
        <v>0</v>
      </c>
      <c r="J115" s="504">
        <f t="shared" si="21"/>
        <v>0</v>
      </c>
      <c r="K115" s="504"/>
      <c r="L115" s="512"/>
      <c r="M115" s="504">
        <f t="shared" si="22"/>
        <v>0</v>
      </c>
      <c r="N115" s="512"/>
      <c r="O115" s="504">
        <f t="shared" si="23"/>
        <v>0</v>
      </c>
      <c r="P115" s="504">
        <f t="shared" si="24"/>
        <v>0</v>
      </c>
      <c r="Q115" s="243"/>
      <c r="R115" s="243"/>
      <c r="S115" s="243"/>
      <c r="T115" s="243"/>
      <c r="U115" s="243"/>
    </row>
    <row r="116" spans="2:21" ht="12.5">
      <c r="B116" s="145" t="str">
        <f t="shared" si="17"/>
        <v/>
      </c>
      <c r="C116" s="495">
        <f>IF(D94="","-",+C115+1)</f>
        <v>2028</v>
      </c>
      <c r="D116" s="349">
        <f>IF(F115+SUM(E$100:E115)=D$93,F115,D$93-SUM(E$100:E115))</f>
        <v>0</v>
      </c>
      <c r="E116" s="509">
        <f>IF(+J97&lt;F115,J97,D116)</f>
        <v>0</v>
      </c>
      <c r="F116" s="510">
        <f t="shared" si="25"/>
        <v>0</v>
      </c>
      <c r="G116" s="510">
        <f t="shared" si="18"/>
        <v>0</v>
      </c>
      <c r="H116" s="523">
        <f t="shared" si="19"/>
        <v>0</v>
      </c>
      <c r="I116" s="572">
        <f t="shared" si="20"/>
        <v>0</v>
      </c>
      <c r="J116" s="504">
        <f t="shared" si="21"/>
        <v>0</v>
      </c>
      <c r="K116" s="504"/>
      <c r="L116" s="512"/>
      <c r="M116" s="504">
        <f t="shared" si="22"/>
        <v>0</v>
      </c>
      <c r="N116" s="512"/>
      <c r="O116" s="504">
        <f t="shared" si="23"/>
        <v>0</v>
      </c>
      <c r="P116" s="504">
        <f t="shared" si="24"/>
        <v>0</v>
      </c>
      <c r="Q116" s="243"/>
      <c r="R116" s="243"/>
      <c r="S116" s="243"/>
      <c r="T116" s="243"/>
      <c r="U116" s="243"/>
    </row>
    <row r="117" spans="2:21" ht="12.5">
      <c r="B117" s="145" t="str">
        <f t="shared" si="17"/>
        <v/>
      </c>
      <c r="C117" s="495">
        <f>IF(D94="","-",+C116+1)</f>
        <v>2029</v>
      </c>
      <c r="D117" s="349">
        <f>IF(F116+SUM(E$100:E116)=D$93,F116,D$93-SUM(E$100:E116))</f>
        <v>0</v>
      </c>
      <c r="E117" s="509">
        <f>IF(+J97&lt;F116,J97,D117)</f>
        <v>0</v>
      </c>
      <c r="F117" s="510">
        <f t="shared" si="25"/>
        <v>0</v>
      </c>
      <c r="G117" s="510">
        <f t="shared" si="18"/>
        <v>0</v>
      </c>
      <c r="H117" s="523">
        <f t="shared" si="19"/>
        <v>0</v>
      </c>
      <c r="I117" s="572">
        <f t="shared" si="20"/>
        <v>0</v>
      </c>
      <c r="J117" s="504">
        <f t="shared" si="21"/>
        <v>0</v>
      </c>
      <c r="K117" s="504"/>
      <c r="L117" s="512"/>
      <c r="M117" s="504">
        <f t="shared" si="22"/>
        <v>0</v>
      </c>
      <c r="N117" s="512"/>
      <c r="O117" s="504">
        <f t="shared" si="23"/>
        <v>0</v>
      </c>
      <c r="P117" s="504">
        <f t="shared" si="24"/>
        <v>0</v>
      </c>
      <c r="Q117" s="243"/>
      <c r="R117" s="243"/>
      <c r="S117" s="243"/>
      <c r="T117" s="243"/>
      <c r="U117" s="243"/>
    </row>
    <row r="118" spans="2:21" ht="12.5">
      <c r="B118" s="145" t="str">
        <f t="shared" si="17"/>
        <v/>
      </c>
      <c r="C118" s="495">
        <f>IF(D94="","-",+C117+1)</f>
        <v>2030</v>
      </c>
      <c r="D118" s="349">
        <f>IF(F117+SUM(E$100:E117)=D$93,F117,D$93-SUM(E$100:E117))</f>
        <v>0</v>
      </c>
      <c r="E118" s="509">
        <f>IF(+J97&lt;F117,J97,D118)</f>
        <v>0</v>
      </c>
      <c r="F118" s="510">
        <f t="shared" si="25"/>
        <v>0</v>
      </c>
      <c r="G118" s="510">
        <f t="shared" si="18"/>
        <v>0</v>
      </c>
      <c r="H118" s="523">
        <f t="shared" si="19"/>
        <v>0</v>
      </c>
      <c r="I118" s="572">
        <f t="shared" si="20"/>
        <v>0</v>
      </c>
      <c r="J118" s="504">
        <f t="shared" si="21"/>
        <v>0</v>
      </c>
      <c r="K118" s="504"/>
      <c r="L118" s="512"/>
      <c r="M118" s="504">
        <f t="shared" si="22"/>
        <v>0</v>
      </c>
      <c r="N118" s="512"/>
      <c r="O118" s="504">
        <f t="shared" si="23"/>
        <v>0</v>
      </c>
      <c r="P118" s="504">
        <f t="shared" si="24"/>
        <v>0</v>
      </c>
      <c r="Q118" s="243"/>
      <c r="R118" s="243"/>
      <c r="S118" s="243"/>
      <c r="T118" s="243"/>
      <c r="U118" s="243"/>
    </row>
    <row r="119" spans="2:21" ht="12.5">
      <c r="B119" s="145" t="str">
        <f t="shared" si="17"/>
        <v/>
      </c>
      <c r="C119" s="495">
        <f>IF(D94="","-",+C118+1)</f>
        <v>2031</v>
      </c>
      <c r="D119" s="349">
        <f>IF(F118+SUM(E$100:E118)=D$93,F118,D$93-SUM(E$100:E118))</f>
        <v>0</v>
      </c>
      <c r="E119" s="509">
        <f>IF(+J97&lt;F118,J97,D119)</f>
        <v>0</v>
      </c>
      <c r="F119" s="510">
        <f t="shared" si="25"/>
        <v>0</v>
      </c>
      <c r="G119" s="510">
        <f t="shared" si="18"/>
        <v>0</v>
      </c>
      <c r="H119" s="523">
        <f t="shared" si="19"/>
        <v>0</v>
      </c>
      <c r="I119" s="572">
        <f t="shared" si="20"/>
        <v>0</v>
      </c>
      <c r="J119" s="504">
        <f t="shared" si="21"/>
        <v>0</v>
      </c>
      <c r="K119" s="504"/>
      <c r="L119" s="512"/>
      <c r="M119" s="504">
        <f t="shared" si="22"/>
        <v>0</v>
      </c>
      <c r="N119" s="512"/>
      <c r="O119" s="504">
        <f t="shared" si="23"/>
        <v>0</v>
      </c>
      <c r="P119" s="504">
        <f t="shared" si="24"/>
        <v>0</v>
      </c>
      <c r="Q119" s="243"/>
      <c r="R119" s="243"/>
      <c r="S119" s="243"/>
      <c r="T119" s="243"/>
      <c r="U119" s="243"/>
    </row>
    <row r="120" spans="2:21" ht="12.5">
      <c r="B120" s="145" t="str">
        <f t="shared" si="17"/>
        <v/>
      </c>
      <c r="C120" s="495">
        <f>IF(D94="","-",+C119+1)</f>
        <v>2032</v>
      </c>
      <c r="D120" s="349">
        <f>IF(F119+SUM(E$100:E119)=D$93,F119,D$93-SUM(E$100:E119))</f>
        <v>0</v>
      </c>
      <c r="E120" s="509">
        <f>IF(+J97&lt;F119,J97,D120)</f>
        <v>0</v>
      </c>
      <c r="F120" s="510">
        <f t="shared" si="25"/>
        <v>0</v>
      </c>
      <c r="G120" s="510">
        <f t="shared" si="18"/>
        <v>0</v>
      </c>
      <c r="H120" s="523">
        <f t="shared" si="19"/>
        <v>0</v>
      </c>
      <c r="I120" s="572">
        <f t="shared" si="20"/>
        <v>0</v>
      </c>
      <c r="J120" s="504">
        <f t="shared" si="21"/>
        <v>0</v>
      </c>
      <c r="K120" s="504"/>
      <c r="L120" s="512"/>
      <c r="M120" s="504">
        <f t="shared" si="22"/>
        <v>0</v>
      </c>
      <c r="N120" s="512"/>
      <c r="O120" s="504">
        <f t="shared" si="23"/>
        <v>0</v>
      </c>
      <c r="P120" s="504">
        <f t="shared" si="24"/>
        <v>0</v>
      </c>
      <c r="Q120" s="243"/>
      <c r="R120" s="243"/>
      <c r="S120" s="243"/>
      <c r="T120" s="243"/>
      <c r="U120" s="243"/>
    </row>
    <row r="121" spans="2:21" ht="12.5">
      <c r="B121" s="145" t="str">
        <f t="shared" si="17"/>
        <v/>
      </c>
      <c r="C121" s="495">
        <f>IF(D94="","-",+C120+1)</f>
        <v>2033</v>
      </c>
      <c r="D121" s="349">
        <f>IF(F120+SUM(E$100:E120)=D$93,F120,D$93-SUM(E$100:E120))</f>
        <v>0</v>
      </c>
      <c r="E121" s="509">
        <f>IF(+J97&lt;F120,J97,D121)</f>
        <v>0</v>
      </c>
      <c r="F121" s="510">
        <f t="shared" si="25"/>
        <v>0</v>
      </c>
      <c r="G121" s="510">
        <f t="shared" si="18"/>
        <v>0</v>
      </c>
      <c r="H121" s="523">
        <f t="shared" si="19"/>
        <v>0</v>
      </c>
      <c r="I121" s="572">
        <f t="shared" si="20"/>
        <v>0</v>
      </c>
      <c r="J121" s="504">
        <f t="shared" si="21"/>
        <v>0</v>
      </c>
      <c r="K121" s="504"/>
      <c r="L121" s="512"/>
      <c r="M121" s="504">
        <f t="shared" si="22"/>
        <v>0</v>
      </c>
      <c r="N121" s="512"/>
      <c r="O121" s="504">
        <f t="shared" si="23"/>
        <v>0</v>
      </c>
      <c r="P121" s="504">
        <f t="shared" si="24"/>
        <v>0</v>
      </c>
      <c r="Q121" s="243"/>
      <c r="R121" s="243"/>
      <c r="S121" s="243"/>
      <c r="T121" s="243"/>
      <c r="U121" s="243"/>
    </row>
    <row r="122" spans="2:21" ht="12.5">
      <c r="B122" s="145" t="str">
        <f t="shared" si="17"/>
        <v/>
      </c>
      <c r="C122" s="495">
        <f>IF(D94="","-",+C121+1)</f>
        <v>2034</v>
      </c>
      <c r="D122" s="349">
        <f>IF(F121+SUM(E$100:E121)=D$93,F121,D$93-SUM(E$100:E121))</f>
        <v>0</v>
      </c>
      <c r="E122" s="509">
        <f>IF(+J97&lt;F121,J97,D122)</f>
        <v>0</v>
      </c>
      <c r="F122" s="510">
        <f t="shared" si="25"/>
        <v>0</v>
      </c>
      <c r="G122" s="510">
        <f t="shared" si="18"/>
        <v>0</v>
      </c>
      <c r="H122" s="523">
        <f t="shared" si="19"/>
        <v>0</v>
      </c>
      <c r="I122" s="572">
        <f t="shared" si="20"/>
        <v>0</v>
      </c>
      <c r="J122" s="504">
        <f t="shared" si="21"/>
        <v>0</v>
      </c>
      <c r="K122" s="504"/>
      <c r="L122" s="512"/>
      <c r="M122" s="504">
        <f t="shared" si="22"/>
        <v>0</v>
      </c>
      <c r="N122" s="512"/>
      <c r="O122" s="504">
        <f t="shared" si="23"/>
        <v>0</v>
      </c>
      <c r="P122" s="504">
        <f t="shared" si="24"/>
        <v>0</v>
      </c>
      <c r="Q122" s="243"/>
      <c r="R122" s="243"/>
      <c r="S122" s="243"/>
      <c r="T122" s="243"/>
      <c r="U122" s="243"/>
    </row>
    <row r="123" spans="2:21" ht="12.5">
      <c r="B123" s="145" t="str">
        <f t="shared" si="17"/>
        <v/>
      </c>
      <c r="C123" s="495">
        <f>IF(D94="","-",+C122+1)</f>
        <v>2035</v>
      </c>
      <c r="D123" s="349">
        <f>IF(F122+SUM(E$100:E122)=D$93,F122,D$93-SUM(E$100:E122))</f>
        <v>0</v>
      </c>
      <c r="E123" s="509">
        <f>IF(+J97&lt;F122,J97,D123)</f>
        <v>0</v>
      </c>
      <c r="F123" s="510">
        <f t="shared" si="25"/>
        <v>0</v>
      </c>
      <c r="G123" s="510">
        <f t="shared" si="18"/>
        <v>0</v>
      </c>
      <c r="H123" s="523">
        <f t="shared" si="19"/>
        <v>0</v>
      </c>
      <c r="I123" s="572">
        <f t="shared" si="20"/>
        <v>0</v>
      </c>
      <c r="J123" s="504">
        <f t="shared" si="21"/>
        <v>0</v>
      </c>
      <c r="K123" s="504"/>
      <c r="L123" s="512"/>
      <c r="M123" s="504">
        <f t="shared" si="22"/>
        <v>0</v>
      </c>
      <c r="N123" s="512"/>
      <c r="O123" s="504">
        <f t="shared" si="23"/>
        <v>0</v>
      </c>
      <c r="P123" s="504">
        <f t="shared" si="24"/>
        <v>0</v>
      </c>
      <c r="Q123" s="243"/>
      <c r="R123" s="243"/>
      <c r="S123" s="243"/>
      <c r="T123" s="243"/>
      <c r="U123" s="243"/>
    </row>
    <row r="124" spans="2:21" ht="12.5">
      <c r="B124" s="145" t="str">
        <f t="shared" si="17"/>
        <v/>
      </c>
      <c r="C124" s="495">
        <f>IF(D94="","-",+C123+1)</f>
        <v>2036</v>
      </c>
      <c r="D124" s="349">
        <f>IF(F123+SUM(E$100:E123)=D$93,F123,D$93-SUM(E$100:E123))</f>
        <v>0</v>
      </c>
      <c r="E124" s="509">
        <f>IF(+J97&lt;F123,J97,D124)</f>
        <v>0</v>
      </c>
      <c r="F124" s="510">
        <f t="shared" si="25"/>
        <v>0</v>
      </c>
      <c r="G124" s="510">
        <f t="shared" si="18"/>
        <v>0</v>
      </c>
      <c r="H124" s="523">
        <f t="shared" si="19"/>
        <v>0</v>
      </c>
      <c r="I124" s="572">
        <f t="shared" si="20"/>
        <v>0</v>
      </c>
      <c r="J124" s="504">
        <f t="shared" si="21"/>
        <v>0</v>
      </c>
      <c r="K124" s="504"/>
      <c r="L124" s="512"/>
      <c r="M124" s="504">
        <f t="shared" si="22"/>
        <v>0</v>
      </c>
      <c r="N124" s="512"/>
      <c r="O124" s="504">
        <f t="shared" si="23"/>
        <v>0</v>
      </c>
      <c r="P124" s="504">
        <f t="shared" si="24"/>
        <v>0</v>
      </c>
      <c r="Q124" s="243"/>
      <c r="R124" s="243"/>
      <c r="S124" s="243"/>
      <c r="T124" s="243"/>
      <c r="U124" s="243"/>
    </row>
    <row r="125" spans="2:21" ht="12.5">
      <c r="B125" s="145" t="str">
        <f t="shared" si="17"/>
        <v/>
      </c>
      <c r="C125" s="495">
        <f>IF(D94="","-",+C124+1)</f>
        <v>2037</v>
      </c>
      <c r="D125" s="349">
        <f>IF(F124+SUM(E$100:E124)=D$93,F124,D$93-SUM(E$100:E124))</f>
        <v>0</v>
      </c>
      <c r="E125" s="509">
        <f>IF(+J97&lt;F124,J97,D125)</f>
        <v>0</v>
      </c>
      <c r="F125" s="510">
        <f t="shared" si="25"/>
        <v>0</v>
      </c>
      <c r="G125" s="510">
        <f t="shared" si="18"/>
        <v>0</v>
      </c>
      <c r="H125" s="523">
        <f t="shared" si="19"/>
        <v>0</v>
      </c>
      <c r="I125" s="572">
        <f t="shared" si="20"/>
        <v>0</v>
      </c>
      <c r="J125" s="504">
        <f t="shared" si="21"/>
        <v>0</v>
      </c>
      <c r="K125" s="504"/>
      <c r="L125" s="512"/>
      <c r="M125" s="504">
        <f t="shared" si="22"/>
        <v>0</v>
      </c>
      <c r="N125" s="512"/>
      <c r="O125" s="504">
        <f t="shared" si="23"/>
        <v>0</v>
      </c>
      <c r="P125" s="504">
        <f t="shared" si="24"/>
        <v>0</v>
      </c>
      <c r="Q125" s="243"/>
      <c r="R125" s="243"/>
      <c r="S125" s="243"/>
      <c r="T125" s="243"/>
      <c r="U125" s="243"/>
    </row>
    <row r="126" spans="2:21" ht="12.5">
      <c r="B126" s="145" t="str">
        <f t="shared" si="17"/>
        <v/>
      </c>
      <c r="C126" s="495">
        <f>IF(D94="","-",+C125+1)</f>
        <v>2038</v>
      </c>
      <c r="D126" s="349">
        <f>IF(F125+SUM(E$100:E125)=D$93,F125,D$93-SUM(E$100:E125))</f>
        <v>0</v>
      </c>
      <c r="E126" s="509">
        <f>IF(+J97&lt;F125,J97,D126)</f>
        <v>0</v>
      </c>
      <c r="F126" s="510">
        <f t="shared" si="25"/>
        <v>0</v>
      </c>
      <c r="G126" s="510">
        <f t="shared" si="18"/>
        <v>0</v>
      </c>
      <c r="H126" s="523">
        <f t="shared" si="19"/>
        <v>0</v>
      </c>
      <c r="I126" s="572">
        <f t="shared" si="20"/>
        <v>0</v>
      </c>
      <c r="J126" s="504">
        <f t="shared" si="21"/>
        <v>0</v>
      </c>
      <c r="K126" s="504"/>
      <c r="L126" s="512"/>
      <c r="M126" s="504">
        <f t="shared" si="22"/>
        <v>0</v>
      </c>
      <c r="N126" s="512"/>
      <c r="O126" s="504">
        <f t="shared" si="23"/>
        <v>0</v>
      </c>
      <c r="P126" s="504">
        <f t="shared" si="24"/>
        <v>0</v>
      </c>
      <c r="Q126" s="243"/>
      <c r="R126" s="243"/>
      <c r="S126" s="243"/>
      <c r="T126" s="243"/>
      <c r="U126" s="243"/>
    </row>
    <row r="127" spans="2:21" ht="12.5">
      <c r="B127" s="145" t="str">
        <f t="shared" si="17"/>
        <v/>
      </c>
      <c r="C127" s="495">
        <f>IF(D94="","-",+C126+1)</f>
        <v>2039</v>
      </c>
      <c r="D127" s="349">
        <f>IF(F126+SUM(E$100:E126)=D$93,F126,D$93-SUM(E$100:E126))</f>
        <v>0</v>
      </c>
      <c r="E127" s="509">
        <f>IF(+J97&lt;F126,J97,D127)</f>
        <v>0</v>
      </c>
      <c r="F127" s="510">
        <f t="shared" si="25"/>
        <v>0</v>
      </c>
      <c r="G127" s="510">
        <f t="shared" si="18"/>
        <v>0</v>
      </c>
      <c r="H127" s="523">
        <f t="shared" si="19"/>
        <v>0</v>
      </c>
      <c r="I127" s="572">
        <f t="shared" si="20"/>
        <v>0</v>
      </c>
      <c r="J127" s="504">
        <f t="shared" si="21"/>
        <v>0</v>
      </c>
      <c r="K127" s="504"/>
      <c r="L127" s="512"/>
      <c r="M127" s="504">
        <f t="shared" si="22"/>
        <v>0</v>
      </c>
      <c r="N127" s="512"/>
      <c r="O127" s="504">
        <f t="shared" si="23"/>
        <v>0</v>
      </c>
      <c r="P127" s="504">
        <f t="shared" si="24"/>
        <v>0</v>
      </c>
      <c r="Q127" s="243"/>
      <c r="R127" s="243"/>
      <c r="S127" s="243"/>
      <c r="T127" s="243"/>
      <c r="U127" s="243"/>
    </row>
    <row r="128" spans="2:21" ht="12.5">
      <c r="B128" s="145" t="str">
        <f t="shared" si="17"/>
        <v/>
      </c>
      <c r="C128" s="495">
        <f>IF(D94="","-",+C127+1)</f>
        <v>2040</v>
      </c>
      <c r="D128" s="349">
        <f>IF(F127+SUM(E$100:E127)=D$93,F127,D$93-SUM(E$100:E127))</f>
        <v>0</v>
      </c>
      <c r="E128" s="509">
        <f>IF(+J97&lt;F127,J97,D128)</f>
        <v>0</v>
      </c>
      <c r="F128" s="510">
        <f t="shared" si="25"/>
        <v>0</v>
      </c>
      <c r="G128" s="510">
        <f t="shared" si="18"/>
        <v>0</v>
      </c>
      <c r="H128" s="523">
        <f t="shared" si="19"/>
        <v>0</v>
      </c>
      <c r="I128" s="572">
        <f t="shared" si="20"/>
        <v>0</v>
      </c>
      <c r="J128" s="504">
        <f t="shared" si="21"/>
        <v>0</v>
      </c>
      <c r="K128" s="504"/>
      <c r="L128" s="512"/>
      <c r="M128" s="504">
        <f t="shared" si="22"/>
        <v>0</v>
      </c>
      <c r="N128" s="512"/>
      <c r="O128" s="504">
        <f t="shared" si="23"/>
        <v>0</v>
      </c>
      <c r="P128" s="504">
        <f t="shared" si="24"/>
        <v>0</v>
      </c>
      <c r="Q128" s="243"/>
      <c r="R128" s="243"/>
      <c r="S128" s="243"/>
      <c r="T128" s="243"/>
      <c r="U128" s="243"/>
    </row>
    <row r="129" spans="2:21" ht="12.5">
      <c r="B129" s="145" t="str">
        <f t="shared" si="17"/>
        <v/>
      </c>
      <c r="C129" s="495">
        <f>IF(D94="","-",+C128+1)</f>
        <v>2041</v>
      </c>
      <c r="D129" s="349">
        <f>IF(F128+SUM(E$100:E128)=D$93,F128,D$93-SUM(E$100:E128))</f>
        <v>0</v>
      </c>
      <c r="E129" s="509">
        <f>IF(+J97&lt;F128,J97,D129)</f>
        <v>0</v>
      </c>
      <c r="F129" s="510">
        <f t="shared" si="25"/>
        <v>0</v>
      </c>
      <c r="G129" s="510">
        <f t="shared" si="18"/>
        <v>0</v>
      </c>
      <c r="H129" s="523">
        <f t="shared" si="19"/>
        <v>0</v>
      </c>
      <c r="I129" s="572">
        <f t="shared" si="20"/>
        <v>0</v>
      </c>
      <c r="J129" s="504">
        <f t="shared" si="21"/>
        <v>0</v>
      </c>
      <c r="K129" s="504"/>
      <c r="L129" s="512"/>
      <c r="M129" s="504">
        <f t="shared" si="22"/>
        <v>0</v>
      </c>
      <c r="N129" s="512"/>
      <c r="O129" s="504">
        <f t="shared" si="23"/>
        <v>0</v>
      </c>
      <c r="P129" s="504">
        <f t="shared" si="24"/>
        <v>0</v>
      </c>
      <c r="Q129" s="243"/>
      <c r="R129" s="243"/>
      <c r="S129" s="243"/>
      <c r="T129" s="243"/>
      <c r="U129" s="243"/>
    </row>
    <row r="130" spans="2:21" ht="12.5">
      <c r="B130" s="145" t="str">
        <f t="shared" si="17"/>
        <v/>
      </c>
      <c r="C130" s="495">
        <f>IF(D94="","-",+C129+1)</f>
        <v>2042</v>
      </c>
      <c r="D130" s="349">
        <f>IF(F129+SUM(E$100:E129)=D$93,F129,D$93-SUM(E$100:E129))</f>
        <v>0</v>
      </c>
      <c r="E130" s="509">
        <f>IF(+J97&lt;F129,J97,D130)</f>
        <v>0</v>
      </c>
      <c r="F130" s="510">
        <f t="shared" si="25"/>
        <v>0</v>
      </c>
      <c r="G130" s="510">
        <f t="shared" si="18"/>
        <v>0</v>
      </c>
      <c r="H130" s="523">
        <f t="shared" si="19"/>
        <v>0</v>
      </c>
      <c r="I130" s="572">
        <f t="shared" si="20"/>
        <v>0</v>
      </c>
      <c r="J130" s="504">
        <f t="shared" si="21"/>
        <v>0</v>
      </c>
      <c r="K130" s="504"/>
      <c r="L130" s="512"/>
      <c r="M130" s="504">
        <f t="shared" si="22"/>
        <v>0</v>
      </c>
      <c r="N130" s="512"/>
      <c r="O130" s="504">
        <f t="shared" si="23"/>
        <v>0</v>
      </c>
      <c r="P130" s="504">
        <f t="shared" si="24"/>
        <v>0</v>
      </c>
      <c r="Q130" s="243"/>
      <c r="R130" s="243"/>
      <c r="S130" s="243"/>
      <c r="T130" s="243"/>
      <c r="U130" s="243"/>
    </row>
    <row r="131" spans="2:21" ht="12.5">
      <c r="B131" s="145" t="str">
        <f t="shared" si="17"/>
        <v/>
      </c>
      <c r="C131" s="495">
        <f>IF(D94="","-",+C130+1)</f>
        <v>2043</v>
      </c>
      <c r="D131" s="349">
        <f>IF(F130+SUM(E$100:E130)=D$93,F130,D$93-SUM(E$100:E130))</f>
        <v>0</v>
      </c>
      <c r="E131" s="509">
        <f>IF(+J97&lt;F130,J97,D131)</f>
        <v>0</v>
      </c>
      <c r="F131" s="510">
        <f t="shared" si="25"/>
        <v>0</v>
      </c>
      <c r="G131" s="510">
        <f t="shared" si="18"/>
        <v>0</v>
      </c>
      <c r="H131" s="523">
        <f t="shared" si="19"/>
        <v>0</v>
      </c>
      <c r="I131" s="572">
        <f t="shared" si="20"/>
        <v>0</v>
      </c>
      <c r="J131" s="504">
        <f t="shared" si="21"/>
        <v>0</v>
      </c>
      <c r="K131" s="504"/>
      <c r="L131" s="512"/>
      <c r="M131" s="504">
        <f t="shared" si="22"/>
        <v>0</v>
      </c>
      <c r="N131" s="512"/>
      <c r="O131" s="504">
        <f t="shared" si="23"/>
        <v>0</v>
      </c>
      <c r="P131" s="504">
        <f t="shared" si="24"/>
        <v>0</v>
      </c>
      <c r="Q131" s="243"/>
      <c r="R131" s="243"/>
      <c r="S131" s="243"/>
      <c r="T131" s="243"/>
      <c r="U131" s="243"/>
    </row>
    <row r="132" spans="2:21" ht="12.5">
      <c r="B132" s="145" t="str">
        <f t="shared" ref="B132:B155" si="26">IF(D132=F131,"","IU")</f>
        <v/>
      </c>
      <c r="C132" s="495">
        <f>IF(D94="","-",+C131+1)</f>
        <v>2044</v>
      </c>
      <c r="D132" s="349">
        <f>IF(F131+SUM(E$100:E131)=D$93,F131,D$93-SUM(E$100:E131))</f>
        <v>0</v>
      </c>
      <c r="E132" s="509">
        <f>IF(+J97&lt;F131,J97,D132)</f>
        <v>0</v>
      </c>
      <c r="F132" s="510">
        <f t="shared" si="25"/>
        <v>0</v>
      </c>
      <c r="G132" s="510">
        <f t="shared" ref="G132:G155" si="27">+(F132+D132)/2</f>
        <v>0</v>
      </c>
      <c r="H132" s="523">
        <f t="shared" ref="H132:H155" si="28">+J$95*G132+E132</f>
        <v>0</v>
      </c>
      <c r="I132" s="572">
        <f t="shared" ref="I132:I155" si="29">+J$96*G132+E132</f>
        <v>0</v>
      </c>
      <c r="J132" s="504">
        <f t="shared" ref="J132:J155" si="30">+I132-H132</f>
        <v>0</v>
      </c>
      <c r="K132" s="504"/>
      <c r="L132" s="512"/>
      <c r="M132" s="504">
        <f t="shared" ref="M132:M155" si="31">IF(L132&lt;&gt;0,+H132-L132,0)</f>
        <v>0</v>
      </c>
      <c r="N132" s="512"/>
      <c r="O132" s="504">
        <f t="shared" ref="O132:O155" si="32">IF(N132&lt;&gt;0,+I132-N132,0)</f>
        <v>0</v>
      </c>
      <c r="P132" s="504">
        <f t="shared" ref="P132:P155" si="33">+O132-M132</f>
        <v>0</v>
      </c>
      <c r="Q132" s="243"/>
      <c r="R132" s="243"/>
      <c r="S132" s="243"/>
      <c r="T132" s="243"/>
      <c r="U132" s="243"/>
    </row>
    <row r="133" spans="2:21" ht="12.5">
      <c r="B133" s="145" t="str">
        <f t="shared" si="26"/>
        <v/>
      </c>
      <c r="C133" s="495">
        <f>IF(D94="","-",+C132+1)</f>
        <v>2045</v>
      </c>
      <c r="D133" s="349">
        <f>IF(F132+SUM(E$100:E132)=D$93,F132,D$93-SUM(E$100:E132))</f>
        <v>0</v>
      </c>
      <c r="E133" s="509">
        <f>IF(+J97&lt;F132,J97,D133)</f>
        <v>0</v>
      </c>
      <c r="F133" s="510">
        <f t="shared" ref="F133:F155" si="34">+D133-E133</f>
        <v>0</v>
      </c>
      <c r="G133" s="510">
        <f t="shared" si="27"/>
        <v>0</v>
      </c>
      <c r="H133" s="523">
        <f t="shared" si="28"/>
        <v>0</v>
      </c>
      <c r="I133" s="572">
        <f t="shared" si="29"/>
        <v>0</v>
      </c>
      <c r="J133" s="504">
        <f t="shared" si="30"/>
        <v>0</v>
      </c>
      <c r="K133" s="504"/>
      <c r="L133" s="512"/>
      <c r="M133" s="504">
        <f t="shared" si="31"/>
        <v>0</v>
      </c>
      <c r="N133" s="512"/>
      <c r="O133" s="504">
        <f t="shared" si="32"/>
        <v>0</v>
      </c>
      <c r="P133" s="504">
        <f t="shared" si="33"/>
        <v>0</v>
      </c>
      <c r="Q133" s="243"/>
      <c r="R133" s="243"/>
      <c r="S133" s="243"/>
      <c r="T133" s="243"/>
      <c r="U133" s="243"/>
    </row>
    <row r="134" spans="2:21" ht="12.5">
      <c r="B134" s="145" t="str">
        <f t="shared" si="26"/>
        <v/>
      </c>
      <c r="C134" s="495">
        <f>IF(D94="","-",+C133+1)</f>
        <v>2046</v>
      </c>
      <c r="D134" s="349">
        <f>IF(F133+SUM(E$100:E133)=D$93,F133,D$93-SUM(E$100:E133))</f>
        <v>0</v>
      </c>
      <c r="E134" s="509">
        <f>IF(+J97&lt;F133,J97,D134)</f>
        <v>0</v>
      </c>
      <c r="F134" s="510">
        <f t="shared" si="34"/>
        <v>0</v>
      </c>
      <c r="G134" s="510">
        <f t="shared" si="27"/>
        <v>0</v>
      </c>
      <c r="H134" s="523">
        <f t="shared" si="28"/>
        <v>0</v>
      </c>
      <c r="I134" s="572">
        <f t="shared" si="29"/>
        <v>0</v>
      </c>
      <c r="J134" s="504">
        <f t="shared" si="30"/>
        <v>0</v>
      </c>
      <c r="K134" s="504"/>
      <c r="L134" s="512"/>
      <c r="M134" s="504">
        <f t="shared" si="31"/>
        <v>0</v>
      </c>
      <c r="N134" s="512"/>
      <c r="O134" s="504">
        <f t="shared" si="32"/>
        <v>0</v>
      </c>
      <c r="P134" s="504">
        <f t="shared" si="33"/>
        <v>0</v>
      </c>
      <c r="Q134" s="243"/>
      <c r="R134" s="243"/>
      <c r="S134" s="243"/>
      <c r="T134" s="243"/>
      <c r="U134" s="243"/>
    </row>
    <row r="135" spans="2:21" ht="12.5">
      <c r="B135" s="145" t="str">
        <f t="shared" si="26"/>
        <v/>
      </c>
      <c r="C135" s="495">
        <f>IF(D94="","-",+C134+1)</f>
        <v>2047</v>
      </c>
      <c r="D135" s="349">
        <f>IF(F134+SUM(E$100:E134)=D$93,F134,D$93-SUM(E$100:E134))</f>
        <v>0</v>
      </c>
      <c r="E135" s="509">
        <f>IF(+J97&lt;F134,J97,D135)</f>
        <v>0</v>
      </c>
      <c r="F135" s="510">
        <f t="shared" si="34"/>
        <v>0</v>
      </c>
      <c r="G135" s="510">
        <f t="shared" si="27"/>
        <v>0</v>
      </c>
      <c r="H135" s="523">
        <f t="shared" si="28"/>
        <v>0</v>
      </c>
      <c r="I135" s="572">
        <f t="shared" si="29"/>
        <v>0</v>
      </c>
      <c r="J135" s="504">
        <f t="shared" si="30"/>
        <v>0</v>
      </c>
      <c r="K135" s="504"/>
      <c r="L135" s="512"/>
      <c r="M135" s="504">
        <f t="shared" si="31"/>
        <v>0</v>
      </c>
      <c r="N135" s="512"/>
      <c r="O135" s="504">
        <f t="shared" si="32"/>
        <v>0</v>
      </c>
      <c r="P135" s="504">
        <f t="shared" si="33"/>
        <v>0</v>
      </c>
      <c r="Q135" s="243"/>
      <c r="R135" s="243"/>
      <c r="S135" s="243"/>
      <c r="T135" s="243"/>
      <c r="U135" s="243"/>
    </row>
    <row r="136" spans="2:21" ht="12.5">
      <c r="B136" s="145" t="str">
        <f t="shared" si="26"/>
        <v/>
      </c>
      <c r="C136" s="495">
        <f>IF(D94="","-",+C135+1)</f>
        <v>2048</v>
      </c>
      <c r="D136" s="349">
        <f>IF(F135+SUM(E$100:E135)=D$93,F135,D$93-SUM(E$100:E135))</f>
        <v>0</v>
      </c>
      <c r="E136" s="509">
        <f>IF(+J97&lt;F135,J97,D136)</f>
        <v>0</v>
      </c>
      <c r="F136" s="510">
        <f t="shared" si="34"/>
        <v>0</v>
      </c>
      <c r="G136" s="510">
        <f t="shared" si="27"/>
        <v>0</v>
      </c>
      <c r="H136" s="523">
        <f t="shared" si="28"/>
        <v>0</v>
      </c>
      <c r="I136" s="572">
        <f t="shared" si="29"/>
        <v>0</v>
      </c>
      <c r="J136" s="504">
        <f t="shared" si="30"/>
        <v>0</v>
      </c>
      <c r="K136" s="504"/>
      <c r="L136" s="512"/>
      <c r="M136" s="504">
        <f t="shared" si="31"/>
        <v>0</v>
      </c>
      <c r="N136" s="512"/>
      <c r="O136" s="504">
        <f t="shared" si="32"/>
        <v>0</v>
      </c>
      <c r="P136" s="504">
        <f t="shared" si="33"/>
        <v>0</v>
      </c>
      <c r="Q136" s="243"/>
      <c r="R136" s="243"/>
      <c r="S136" s="243"/>
      <c r="T136" s="243"/>
      <c r="U136" s="243"/>
    </row>
    <row r="137" spans="2:21" ht="12.5">
      <c r="B137" s="145" t="str">
        <f t="shared" si="26"/>
        <v/>
      </c>
      <c r="C137" s="495">
        <f>IF(D94="","-",+C136+1)</f>
        <v>2049</v>
      </c>
      <c r="D137" s="349">
        <f>IF(F136+SUM(E$100:E136)=D$93,F136,D$93-SUM(E$100:E136))</f>
        <v>0</v>
      </c>
      <c r="E137" s="509">
        <f>IF(+J97&lt;F136,J97,D137)</f>
        <v>0</v>
      </c>
      <c r="F137" s="510">
        <f t="shared" si="34"/>
        <v>0</v>
      </c>
      <c r="G137" s="510">
        <f t="shared" si="27"/>
        <v>0</v>
      </c>
      <c r="H137" s="523">
        <f t="shared" si="28"/>
        <v>0</v>
      </c>
      <c r="I137" s="572">
        <f t="shared" si="29"/>
        <v>0</v>
      </c>
      <c r="J137" s="504">
        <f t="shared" si="30"/>
        <v>0</v>
      </c>
      <c r="K137" s="504"/>
      <c r="L137" s="512"/>
      <c r="M137" s="504">
        <f t="shared" si="31"/>
        <v>0</v>
      </c>
      <c r="N137" s="512"/>
      <c r="O137" s="504">
        <f t="shared" si="32"/>
        <v>0</v>
      </c>
      <c r="P137" s="504">
        <f t="shared" si="33"/>
        <v>0</v>
      </c>
      <c r="Q137" s="243"/>
      <c r="R137" s="243"/>
      <c r="S137" s="243"/>
      <c r="T137" s="243"/>
      <c r="U137" s="243"/>
    </row>
    <row r="138" spans="2:21" ht="12.5">
      <c r="B138" s="145" t="str">
        <f t="shared" si="26"/>
        <v/>
      </c>
      <c r="C138" s="495">
        <f>IF(D94="","-",+C137+1)</f>
        <v>2050</v>
      </c>
      <c r="D138" s="349">
        <f>IF(F137+SUM(E$100:E137)=D$93,F137,D$93-SUM(E$100:E137))</f>
        <v>0</v>
      </c>
      <c r="E138" s="509">
        <f>IF(+J97&lt;F137,J97,D138)</f>
        <v>0</v>
      </c>
      <c r="F138" s="510">
        <f t="shared" si="34"/>
        <v>0</v>
      </c>
      <c r="G138" s="510">
        <f t="shared" si="27"/>
        <v>0</v>
      </c>
      <c r="H138" s="523">
        <f t="shared" si="28"/>
        <v>0</v>
      </c>
      <c r="I138" s="572">
        <f t="shared" si="29"/>
        <v>0</v>
      </c>
      <c r="J138" s="504">
        <f t="shared" si="30"/>
        <v>0</v>
      </c>
      <c r="K138" s="504"/>
      <c r="L138" s="512"/>
      <c r="M138" s="504">
        <f t="shared" si="31"/>
        <v>0</v>
      </c>
      <c r="N138" s="512"/>
      <c r="O138" s="504">
        <f t="shared" si="32"/>
        <v>0</v>
      </c>
      <c r="P138" s="504">
        <f t="shared" si="33"/>
        <v>0</v>
      </c>
      <c r="Q138" s="243"/>
      <c r="R138" s="243"/>
      <c r="S138" s="243"/>
      <c r="T138" s="243"/>
      <c r="U138" s="243"/>
    </row>
    <row r="139" spans="2:21" ht="12.5">
      <c r="B139" s="145" t="str">
        <f t="shared" si="26"/>
        <v/>
      </c>
      <c r="C139" s="495">
        <f>IF(D94="","-",+C138+1)</f>
        <v>2051</v>
      </c>
      <c r="D139" s="349">
        <f>IF(F138+SUM(E$100:E138)=D$93,F138,D$93-SUM(E$100:E138))</f>
        <v>0</v>
      </c>
      <c r="E139" s="509">
        <f>IF(+J97&lt;F138,J97,D139)</f>
        <v>0</v>
      </c>
      <c r="F139" s="510">
        <f t="shared" si="34"/>
        <v>0</v>
      </c>
      <c r="G139" s="510">
        <f t="shared" si="27"/>
        <v>0</v>
      </c>
      <c r="H139" s="523">
        <f t="shared" si="28"/>
        <v>0</v>
      </c>
      <c r="I139" s="572">
        <f t="shared" si="29"/>
        <v>0</v>
      </c>
      <c r="J139" s="504">
        <f t="shared" si="30"/>
        <v>0</v>
      </c>
      <c r="K139" s="504"/>
      <c r="L139" s="512"/>
      <c r="M139" s="504">
        <f t="shared" si="31"/>
        <v>0</v>
      </c>
      <c r="N139" s="512"/>
      <c r="O139" s="504">
        <f t="shared" si="32"/>
        <v>0</v>
      </c>
      <c r="P139" s="504">
        <f t="shared" si="33"/>
        <v>0</v>
      </c>
      <c r="Q139" s="243"/>
      <c r="R139" s="243"/>
      <c r="S139" s="243"/>
      <c r="T139" s="243"/>
      <c r="U139" s="243"/>
    </row>
    <row r="140" spans="2:21" ht="12.5">
      <c r="B140" s="145" t="str">
        <f t="shared" si="26"/>
        <v/>
      </c>
      <c r="C140" s="495">
        <f>IF(D94="","-",+C139+1)</f>
        <v>2052</v>
      </c>
      <c r="D140" s="349">
        <f>IF(F139+SUM(E$100:E139)=D$93,F139,D$93-SUM(E$100:E139))</f>
        <v>0</v>
      </c>
      <c r="E140" s="509">
        <f>IF(+J97&lt;F139,J97,D140)</f>
        <v>0</v>
      </c>
      <c r="F140" s="510">
        <f t="shared" si="34"/>
        <v>0</v>
      </c>
      <c r="G140" s="510">
        <f t="shared" si="27"/>
        <v>0</v>
      </c>
      <c r="H140" s="523">
        <f t="shared" si="28"/>
        <v>0</v>
      </c>
      <c r="I140" s="572">
        <f t="shared" si="29"/>
        <v>0</v>
      </c>
      <c r="J140" s="504">
        <f t="shared" si="30"/>
        <v>0</v>
      </c>
      <c r="K140" s="504"/>
      <c r="L140" s="512"/>
      <c r="M140" s="504">
        <f t="shared" si="31"/>
        <v>0</v>
      </c>
      <c r="N140" s="512"/>
      <c r="O140" s="504">
        <f t="shared" si="32"/>
        <v>0</v>
      </c>
      <c r="P140" s="504">
        <f t="shared" si="33"/>
        <v>0</v>
      </c>
      <c r="Q140" s="243"/>
      <c r="R140" s="243"/>
      <c r="S140" s="243"/>
      <c r="T140" s="243"/>
      <c r="U140" s="243"/>
    </row>
    <row r="141" spans="2:21" ht="12.5">
      <c r="B141" s="145" t="str">
        <f t="shared" si="26"/>
        <v/>
      </c>
      <c r="C141" s="495">
        <f>IF(D94="","-",+C140+1)</f>
        <v>2053</v>
      </c>
      <c r="D141" s="349">
        <f>IF(F140+SUM(E$100:E140)=D$93,F140,D$93-SUM(E$100:E140))</f>
        <v>0</v>
      </c>
      <c r="E141" s="509">
        <f>IF(+J97&lt;F140,J97,D141)</f>
        <v>0</v>
      </c>
      <c r="F141" s="510">
        <f t="shared" si="34"/>
        <v>0</v>
      </c>
      <c r="G141" s="510">
        <f t="shared" si="27"/>
        <v>0</v>
      </c>
      <c r="H141" s="523">
        <f t="shared" si="28"/>
        <v>0</v>
      </c>
      <c r="I141" s="572">
        <f t="shared" si="29"/>
        <v>0</v>
      </c>
      <c r="J141" s="504">
        <f t="shared" si="30"/>
        <v>0</v>
      </c>
      <c r="K141" s="504"/>
      <c r="L141" s="512"/>
      <c r="M141" s="504">
        <f t="shared" si="31"/>
        <v>0</v>
      </c>
      <c r="N141" s="512"/>
      <c r="O141" s="504">
        <f t="shared" si="32"/>
        <v>0</v>
      </c>
      <c r="P141" s="504">
        <f t="shared" si="33"/>
        <v>0</v>
      </c>
      <c r="Q141" s="243"/>
      <c r="R141" s="243"/>
      <c r="S141" s="243"/>
      <c r="T141" s="243"/>
      <c r="U141" s="243"/>
    </row>
    <row r="142" spans="2:21" ht="12.5">
      <c r="B142" s="145" t="str">
        <f t="shared" si="26"/>
        <v/>
      </c>
      <c r="C142" s="495">
        <f>IF(D94="","-",+C141+1)</f>
        <v>2054</v>
      </c>
      <c r="D142" s="349">
        <f>IF(F141+SUM(E$100:E141)=D$93,F141,D$93-SUM(E$100:E141))</f>
        <v>0</v>
      </c>
      <c r="E142" s="509">
        <f>IF(+J97&lt;F141,J97,D142)</f>
        <v>0</v>
      </c>
      <c r="F142" s="510">
        <f t="shared" si="34"/>
        <v>0</v>
      </c>
      <c r="G142" s="510">
        <f t="shared" si="27"/>
        <v>0</v>
      </c>
      <c r="H142" s="523">
        <f t="shared" si="28"/>
        <v>0</v>
      </c>
      <c r="I142" s="572">
        <f t="shared" si="29"/>
        <v>0</v>
      </c>
      <c r="J142" s="504">
        <f t="shared" si="30"/>
        <v>0</v>
      </c>
      <c r="K142" s="504"/>
      <c r="L142" s="512"/>
      <c r="M142" s="504">
        <f t="shared" si="31"/>
        <v>0</v>
      </c>
      <c r="N142" s="512"/>
      <c r="O142" s="504">
        <f t="shared" si="32"/>
        <v>0</v>
      </c>
      <c r="P142" s="504">
        <f t="shared" si="33"/>
        <v>0</v>
      </c>
      <c r="Q142" s="243"/>
      <c r="R142" s="243"/>
      <c r="S142" s="243"/>
      <c r="T142" s="243"/>
      <c r="U142" s="243"/>
    </row>
    <row r="143" spans="2:21" ht="12.5">
      <c r="B143" s="145" t="str">
        <f t="shared" si="26"/>
        <v/>
      </c>
      <c r="C143" s="495">
        <f>IF(D94="","-",+C142+1)</f>
        <v>2055</v>
      </c>
      <c r="D143" s="349">
        <f>IF(F142+SUM(E$100:E142)=D$93,F142,D$93-SUM(E$100:E142))</f>
        <v>0</v>
      </c>
      <c r="E143" s="509">
        <f>IF(+J97&lt;F142,J97,D143)</f>
        <v>0</v>
      </c>
      <c r="F143" s="510">
        <f t="shared" si="34"/>
        <v>0</v>
      </c>
      <c r="G143" s="510">
        <f t="shared" si="27"/>
        <v>0</v>
      </c>
      <c r="H143" s="523">
        <f t="shared" si="28"/>
        <v>0</v>
      </c>
      <c r="I143" s="572">
        <f t="shared" si="29"/>
        <v>0</v>
      </c>
      <c r="J143" s="504">
        <f t="shared" si="30"/>
        <v>0</v>
      </c>
      <c r="K143" s="504"/>
      <c r="L143" s="512"/>
      <c r="M143" s="504">
        <f t="shared" si="31"/>
        <v>0</v>
      </c>
      <c r="N143" s="512"/>
      <c r="O143" s="504">
        <f t="shared" si="32"/>
        <v>0</v>
      </c>
      <c r="P143" s="504">
        <f t="shared" si="33"/>
        <v>0</v>
      </c>
      <c r="Q143" s="243"/>
      <c r="R143" s="243"/>
      <c r="S143" s="243"/>
      <c r="T143" s="243"/>
      <c r="U143" s="243"/>
    </row>
    <row r="144" spans="2:21" ht="12.5">
      <c r="B144" s="145" t="str">
        <f t="shared" si="26"/>
        <v/>
      </c>
      <c r="C144" s="495">
        <f>IF(D94="","-",+C143+1)</f>
        <v>2056</v>
      </c>
      <c r="D144" s="349">
        <f>IF(F143+SUM(E$100:E143)=D$93,F143,D$93-SUM(E$100:E143))</f>
        <v>0</v>
      </c>
      <c r="E144" s="509">
        <f>IF(+J97&lt;F143,J97,D144)</f>
        <v>0</v>
      </c>
      <c r="F144" s="510">
        <f t="shared" si="34"/>
        <v>0</v>
      </c>
      <c r="G144" s="510">
        <f t="shared" si="27"/>
        <v>0</v>
      </c>
      <c r="H144" s="523">
        <f t="shared" si="28"/>
        <v>0</v>
      </c>
      <c r="I144" s="572">
        <f t="shared" si="29"/>
        <v>0</v>
      </c>
      <c r="J144" s="504">
        <f t="shared" si="30"/>
        <v>0</v>
      </c>
      <c r="K144" s="504"/>
      <c r="L144" s="512"/>
      <c r="M144" s="504">
        <f t="shared" si="31"/>
        <v>0</v>
      </c>
      <c r="N144" s="512"/>
      <c r="O144" s="504">
        <f t="shared" si="32"/>
        <v>0</v>
      </c>
      <c r="P144" s="504">
        <f t="shared" si="33"/>
        <v>0</v>
      </c>
      <c r="Q144" s="243"/>
      <c r="R144" s="243"/>
      <c r="S144" s="243"/>
      <c r="T144" s="243"/>
      <c r="U144" s="243"/>
    </row>
    <row r="145" spans="2:21" ht="12.5">
      <c r="B145" s="145" t="str">
        <f t="shared" si="26"/>
        <v/>
      </c>
      <c r="C145" s="495">
        <f>IF(D94="","-",+C144+1)</f>
        <v>2057</v>
      </c>
      <c r="D145" s="349">
        <f>IF(F144+SUM(E$100:E144)=D$93,F144,D$93-SUM(E$100:E144))</f>
        <v>0</v>
      </c>
      <c r="E145" s="509">
        <f>IF(+J97&lt;F144,J97,D145)</f>
        <v>0</v>
      </c>
      <c r="F145" s="510">
        <f t="shared" si="34"/>
        <v>0</v>
      </c>
      <c r="G145" s="510">
        <f t="shared" si="27"/>
        <v>0</v>
      </c>
      <c r="H145" s="523">
        <f t="shared" si="28"/>
        <v>0</v>
      </c>
      <c r="I145" s="572">
        <f t="shared" si="29"/>
        <v>0</v>
      </c>
      <c r="J145" s="504">
        <f t="shared" si="30"/>
        <v>0</v>
      </c>
      <c r="K145" s="504"/>
      <c r="L145" s="512"/>
      <c r="M145" s="504">
        <f t="shared" si="31"/>
        <v>0</v>
      </c>
      <c r="N145" s="512"/>
      <c r="O145" s="504">
        <f t="shared" si="32"/>
        <v>0</v>
      </c>
      <c r="P145" s="504">
        <f t="shared" si="33"/>
        <v>0</v>
      </c>
      <c r="Q145" s="243"/>
      <c r="R145" s="243"/>
      <c r="S145" s="243"/>
      <c r="T145" s="243"/>
      <c r="U145" s="243"/>
    </row>
    <row r="146" spans="2:21" ht="12.5">
      <c r="B146" s="145" t="str">
        <f t="shared" si="26"/>
        <v/>
      </c>
      <c r="C146" s="495">
        <f>IF(D94="","-",+C145+1)</f>
        <v>2058</v>
      </c>
      <c r="D146" s="349">
        <f>IF(F145+SUM(E$100:E145)=D$93,F145,D$93-SUM(E$100:E145))</f>
        <v>0</v>
      </c>
      <c r="E146" s="509">
        <f>IF(+J97&lt;F145,J97,D146)</f>
        <v>0</v>
      </c>
      <c r="F146" s="510">
        <f t="shared" si="34"/>
        <v>0</v>
      </c>
      <c r="G146" s="510">
        <f t="shared" si="27"/>
        <v>0</v>
      </c>
      <c r="H146" s="523">
        <f t="shared" si="28"/>
        <v>0</v>
      </c>
      <c r="I146" s="572">
        <f t="shared" si="29"/>
        <v>0</v>
      </c>
      <c r="J146" s="504">
        <f t="shared" si="30"/>
        <v>0</v>
      </c>
      <c r="K146" s="504"/>
      <c r="L146" s="512"/>
      <c r="M146" s="504">
        <f t="shared" si="31"/>
        <v>0</v>
      </c>
      <c r="N146" s="512"/>
      <c r="O146" s="504">
        <f t="shared" si="32"/>
        <v>0</v>
      </c>
      <c r="P146" s="504">
        <f t="shared" si="33"/>
        <v>0</v>
      </c>
      <c r="Q146" s="243"/>
      <c r="R146" s="243"/>
      <c r="S146" s="243"/>
      <c r="T146" s="243"/>
      <c r="U146" s="243"/>
    </row>
    <row r="147" spans="2:21" ht="12.5">
      <c r="B147" s="145" t="str">
        <f t="shared" si="26"/>
        <v/>
      </c>
      <c r="C147" s="495">
        <f>IF(D94="","-",+C146+1)</f>
        <v>2059</v>
      </c>
      <c r="D147" s="349">
        <f>IF(F146+SUM(E$100:E146)=D$93,F146,D$93-SUM(E$100:E146))</f>
        <v>0</v>
      </c>
      <c r="E147" s="509">
        <f>IF(+J97&lt;F146,J97,D147)</f>
        <v>0</v>
      </c>
      <c r="F147" s="510">
        <f t="shared" si="34"/>
        <v>0</v>
      </c>
      <c r="G147" s="510">
        <f t="shared" si="27"/>
        <v>0</v>
      </c>
      <c r="H147" s="523">
        <f t="shared" si="28"/>
        <v>0</v>
      </c>
      <c r="I147" s="572">
        <f t="shared" si="29"/>
        <v>0</v>
      </c>
      <c r="J147" s="504">
        <f t="shared" si="30"/>
        <v>0</v>
      </c>
      <c r="K147" s="504"/>
      <c r="L147" s="512"/>
      <c r="M147" s="504">
        <f t="shared" si="31"/>
        <v>0</v>
      </c>
      <c r="N147" s="512"/>
      <c r="O147" s="504">
        <f t="shared" si="32"/>
        <v>0</v>
      </c>
      <c r="P147" s="504">
        <f t="shared" si="33"/>
        <v>0</v>
      </c>
      <c r="Q147" s="243"/>
      <c r="R147" s="243"/>
      <c r="S147" s="243"/>
      <c r="T147" s="243"/>
      <c r="U147" s="243"/>
    </row>
    <row r="148" spans="2:21" ht="12.5">
      <c r="B148" s="145" t="str">
        <f t="shared" si="26"/>
        <v/>
      </c>
      <c r="C148" s="495">
        <f>IF(D94="","-",+C147+1)</f>
        <v>2060</v>
      </c>
      <c r="D148" s="349">
        <f>IF(F147+SUM(E$100:E147)=D$93,F147,D$93-SUM(E$100:E147))</f>
        <v>0</v>
      </c>
      <c r="E148" s="509">
        <f>IF(+J97&lt;F147,J97,D148)</f>
        <v>0</v>
      </c>
      <c r="F148" s="510">
        <f t="shared" si="34"/>
        <v>0</v>
      </c>
      <c r="G148" s="510">
        <f t="shared" si="27"/>
        <v>0</v>
      </c>
      <c r="H148" s="523">
        <f t="shared" si="28"/>
        <v>0</v>
      </c>
      <c r="I148" s="572">
        <f t="shared" si="29"/>
        <v>0</v>
      </c>
      <c r="J148" s="504">
        <f t="shared" si="30"/>
        <v>0</v>
      </c>
      <c r="K148" s="504"/>
      <c r="L148" s="512"/>
      <c r="M148" s="504">
        <f t="shared" si="31"/>
        <v>0</v>
      </c>
      <c r="N148" s="512"/>
      <c r="O148" s="504">
        <f t="shared" si="32"/>
        <v>0</v>
      </c>
      <c r="P148" s="504">
        <f t="shared" si="33"/>
        <v>0</v>
      </c>
      <c r="Q148" s="243"/>
      <c r="R148" s="243"/>
      <c r="S148" s="243"/>
      <c r="T148" s="243"/>
      <c r="U148" s="243"/>
    </row>
    <row r="149" spans="2:21" ht="12.5">
      <c r="B149" s="145" t="str">
        <f t="shared" si="26"/>
        <v/>
      </c>
      <c r="C149" s="495">
        <f>IF(D94="","-",+C148+1)</f>
        <v>2061</v>
      </c>
      <c r="D149" s="349">
        <f>IF(F148+SUM(E$100:E148)=D$93,F148,D$93-SUM(E$100:E148))</f>
        <v>0</v>
      </c>
      <c r="E149" s="509">
        <f>IF(+J97&lt;F148,J97,D149)</f>
        <v>0</v>
      </c>
      <c r="F149" s="510">
        <f t="shared" si="34"/>
        <v>0</v>
      </c>
      <c r="G149" s="510">
        <f t="shared" si="27"/>
        <v>0</v>
      </c>
      <c r="H149" s="523">
        <f t="shared" si="28"/>
        <v>0</v>
      </c>
      <c r="I149" s="572">
        <f t="shared" si="29"/>
        <v>0</v>
      </c>
      <c r="J149" s="504">
        <f t="shared" si="30"/>
        <v>0</v>
      </c>
      <c r="K149" s="504"/>
      <c r="L149" s="512"/>
      <c r="M149" s="504">
        <f t="shared" si="31"/>
        <v>0</v>
      </c>
      <c r="N149" s="512"/>
      <c r="O149" s="504">
        <f t="shared" si="32"/>
        <v>0</v>
      </c>
      <c r="P149" s="504">
        <f t="shared" si="33"/>
        <v>0</v>
      </c>
      <c r="Q149" s="243"/>
      <c r="R149" s="243"/>
      <c r="S149" s="243"/>
      <c r="T149" s="243"/>
      <c r="U149" s="243"/>
    </row>
    <row r="150" spans="2:21" ht="12.5">
      <c r="B150" s="145" t="str">
        <f t="shared" si="26"/>
        <v/>
      </c>
      <c r="C150" s="495">
        <f>IF(D94="","-",+C149+1)</f>
        <v>2062</v>
      </c>
      <c r="D150" s="349">
        <f>IF(F149+SUM(E$100:E149)=D$93,F149,D$93-SUM(E$100:E149))</f>
        <v>0</v>
      </c>
      <c r="E150" s="509">
        <f>IF(+J97&lt;F149,J97,D150)</f>
        <v>0</v>
      </c>
      <c r="F150" s="510">
        <f t="shared" si="34"/>
        <v>0</v>
      </c>
      <c r="G150" s="510">
        <f t="shared" si="27"/>
        <v>0</v>
      </c>
      <c r="H150" s="523">
        <f t="shared" si="28"/>
        <v>0</v>
      </c>
      <c r="I150" s="572">
        <f t="shared" si="29"/>
        <v>0</v>
      </c>
      <c r="J150" s="504">
        <f t="shared" si="30"/>
        <v>0</v>
      </c>
      <c r="K150" s="504"/>
      <c r="L150" s="512"/>
      <c r="M150" s="504">
        <f t="shared" si="31"/>
        <v>0</v>
      </c>
      <c r="N150" s="512"/>
      <c r="O150" s="504">
        <f t="shared" si="32"/>
        <v>0</v>
      </c>
      <c r="P150" s="504">
        <f t="shared" si="33"/>
        <v>0</v>
      </c>
      <c r="Q150" s="243"/>
      <c r="R150" s="243"/>
      <c r="S150" s="243"/>
      <c r="T150" s="243"/>
      <c r="U150" s="243"/>
    </row>
    <row r="151" spans="2:21" ht="12.5">
      <c r="B151" s="145" t="str">
        <f t="shared" si="26"/>
        <v/>
      </c>
      <c r="C151" s="495">
        <f>IF(D94="","-",+C150+1)</f>
        <v>2063</v>
      </c>
      <c r="D151" s="349">
        <f>IF(F150+SUM(E$100:E150)=D$93,F150,D$93-SUM(E$100:E150))</f>
        <v>0</v>
      </c>
      <c r="E151" s="509">
        <f>IF(+J97&lt;F150,J97,D151)</f>
        <v>0</v>
      </c>
      <c r="F151" s="510">
        <f t="shared" si="34"/>
        <v>0</v>
      </c>
      <c r="G151" s="510">
        <f t="shared" si="27"/>
        <v>0</v>
      </c>
      <c r="H151" s="523">
        <f t="shared" si="28"/>
        <v>0</v>
      </c>
      <c r="I151" s="572">
        <f t="shared" si="29"/>
        <v>0</v>
      </c>
      <c r="J151" s="504">
        <f t="shared" si="30"/>
        <v>0</v>
      </c>
      <c r="K151" s="504"/>
      <c r="L151" s="512"/>
      <c r="M151" s="504">
        <f t="shared" si="31"/>
        <v>0</v>
      </c>
      <c r="N151" s="512"/>
      <c r="O151" s="504">
        <f t="shared" si="32"/>
        <v>0</v>
      </c>
      <c r="P151" s="504">
        <f t="shared" si="33"/>
        <v>0</v>
      </c>
      <c r="Q151" s="243"/>
      <c r="R151" s="243"/>
      <c r="S151" s="243"/>
      <c r="T151" s="243"/>
      <c r="U151" s="243"/>
    </row>
    <row r="152" spans="2:21" ht="12.5">
      <c r="B152" s="145" t="str">
        <f t="shared" si="26"/>
        <v/>
      </c>
      <c r="C152" s="495">
        <f>IF(D94="","-",+C151+1)</f>
        <v>2064</v>
      </c>
      <c r="D152" s="349">
        <f>IF(F151+SUM(E$100:E151)=D$93,F151,D$93-SUM(E$100:E151))</f>
        <v>0</v>
      </c>
      <c r="E152" s="509">
        <f>IF(+J97&lt;F151,J97,D152)</f>
        <v>0</v>
      </c>
      <c r="F152" s="510">
        <f t="shared" si="34"/>
        <v>0</v>
      </c>
      <c r="G152" s="510">
        <f t="shared" si="27"/>
        <v>0</v>
      </c>
      <c r="H152" s="523">
        <f t="shared" si="28"/>
        <v>0</v>
      </c>
      <c r="I152" s="572">
        <f t="shared" si="29"/>
        <v>0</v>
      </c>
      <c r="J152" s="504">
        <f t="shared" si="30"/>
        <v>0</v>
      </c>
      <c r="K152" s="504"/>
      <c r="L152" s="512"/>
      <c r="M152" s="504">
        <f t="shared" si="31"/>
        <v>0</v>
      </c>
      <c r="N152" s="512"/>
      <c r="O152" s="504">
        <f t="shared" si="32"/>
        <v>0</v>
      </c>
      <c r="P152" s="504">
        <f t="shared" si="33"/>
        <v>0</v>
      </c>
      <c r="Q152" s="243"/>
      <c r="R152" s="243"/>
      <c r="S152" s="243"/>
      <c r="T152" s="243"/>
      <c r="U152" s="243"/>
    </row>
    <row r="153" spans="2:21" ht="12.5">
      <c r="B153" s="145" t="str">
        <f t="shared" si="26"/>
        <v/>
      </c>
      <c r="C153" s="495">
        <f>IF(D94="","-",+C152+1)</f>
        <v>2065</v>
      </c>
      <c r="D153" s="349">
        <f>IF(F152+SUM(E$100:E152)=D$93,F152,D$93-SUM(E$100:E152))</f>
        <v>0</v>
      </c>
      <c r="E153" s="509">
        <f>IF(+J97&lt;F152,J97,D153)</f>
        <v>0</v>
      </c>
      <c r="F153" s="510">
        <f t="shared" si="34"/>
        <v>0</v>
      </c>
      <c r="G153" s="510">
        <f t="shared" si="27"/>
        <v>0</v>
      </c>
      <c r="H153" s="523">
        <f t="shared" si="28"/>
        <v>0</v>
      </c>
      <c r="I153" s="572">
        <f t="shared" si="29"/>
        <v>0</v>
      </c>
      <c r="J153" s="504">
        <f t="shared" si="30"/>
        <v>0</v>
      </c>
      <c r="K153" s="504"/>
      <c r="L153" s="512"/>
      <c r="M153" s="504">
        <f t="shared" si="31"/>
        <v>0</v>
      </c>
      <c r="N153" s="512"/>
      <c r="O153" s="504">
        <f t="shared" si="32"/>
        <v>0</v>
      </c>
      <c r="P153" s="504">
        <f t="shared" si="33"/>
        <v>0</v>
      </c>
      <c r="Q153" s="243"/>
      <c r="R153" s="243"/>
      <c r="S153" s="243"/>
      <c r="T153" s="243"/>
      <c r="U153" s="243"/>
    </row>
    <row r="154" spans="2:21" ht="12.5">
      <c r="B154" s="145" t="str">
        <f t="shared" si="26"/>
        <v/>
      </c>
      <c r="C154" s="495">
        <f>IF(D94="","-",+C153+1)</f>
        <v>2066</v>
      </c>
      <c r="D154" s="349">
        <f>IF(F153+SUM(E$100:E153)=D$93,F153,D$93-SUM(E$100:E153))</f>
        <v>0</v>
      </c>
      <c r="E154" s="509">
        <f>IF(+J97&lt;F153,J97,D154)</f>
        <v>0</v>
      </c>
      <c r="F154" s="510">
        <f t="shared" si="34"/>
        <v>0</v>
      </c>
      <c r="G154" s="510">
        <f t="shared" si="27"/>
        <v>0</v>
      </c>
      <c r="H154" s="523">
        <f t="shared" si="28"/>
        <v>0</v>
      </c>
      <c r="I154" s="572">
        <f t="shared" si="29"/>
        <v>0</v>
      </c>
      <c r="J154" s="504">
        <f t="shared" si="30"/>
        <v>0</v>
      </c>
      <c r="K154" s="504"/>
      <c r="L154" s="512"/>
      <c r="M154" s="504">
        <f t="shared" si="31"/>
        <v>0</v>
      </c>
      <c r="N154" s="512"/>
      <c r="O154" s="504">
        <f t="shared" si="32"/>
        <v>0</v>
      </c>
      <c r="P154" s="504">
        <f t="shared" si="33"/>
        <v>0</v>
      </c>
      <c r="Q154" s="243"/>
      <c r="R154" s="243"/>
      <c r="S154" s="243"/>
      <c r="T154" s="243"/>
      <c r="U154" s="243"/>
    </row>
    <row r="155" spans="2:21" ht="13" thickBot="1">
      <c r="B155" s="145" t="str">
        <f t="shared" si="26"/>
        <v/>
      </c>
      <c r="C155" s="524">
        <f>IF(D94="","-",+C154+1)</f>
        <v>2067</v>
      </c>
      <c r="D155" s="527">
        <f>IF(F154+SUM(E$100:E154)=D$93,F154,D$93-SUM(E$100:E154))</f>
        <v>0</v>
      </c>
      <c r="E155" s="526">
        <f>IF(+J97&lt;F154,J97,D155)</f>
        <v>0</v>
      </c>
      <c r="F155" s="527">
        <f t="shared" si="34"/>
        <v>0</v>
      </c>
      <c r="G155" s="527">
        <f t="shared" si="27"/>
        <v>0</v>
      </c>
      <c r="H155" s="528">
        <f t="shared" si="28"/>
        <v>0</v>
      </c>
      <c r="I155" s="573">
        <f t="shared" si="29"/>
        <v>0</v>
      </c>
      <c r="J155" s="531">
        <f t="shared" si="30"/>
        <v>0</v>
      </c>
      <c r="K155" s="504"/>
      <c r="L155" s="530"/>
      <c r="M155" s="531">
        <f t="shared" si="31"/>
        <v>0</v>
      </c>
      <c r="N155" s="530"/>
      <c r="O155" s="531">
        <f t="shared" si="32"/>
        <v>0</v>
      </c>
      <c r="P155" s="531">
        <f t="shared" si="33"/>
        <v>0</v>
      </c>
      <c r="Q155" s="243"/>
      <c r="R155" s="243"/>
      <c r="S155" s="243"/>
      <c r="T155" s="243"/>
      <c r="U155" s="243"/>
    </row>
    <row r="156" spans="2:21" ht="12.5">
      <c r="C156" s="349" t="s">
        <v>75</v>
      </c>
      <c r="D156" s="294"/>
      <c r="E156" s="294">
        <f>SUM(E100:E155)</f>
        <v>0</v>
      </c>
      <c r="F156" s="294"/>
      <c r="G156" s="294"/>
      <c r="H156" s="294">
        <f>SUM(H100:H155)</f>
        <v>0</v>
      </c>
      <c r="I156" s="294">
        <f>SUM(I100:I155)</f>
        <v>0</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42" priority="1" stopIfTrue="1" operator="equal">
      <formula>$I$10</formula>
    </cfRule>
  </conditionalFormatting>
  <conditionalFormatting sqref="C100:C155">
    <cfRule type="cellIs" dxfId="41"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U163"/>
  <sheetViews>
    <sheetView view="pageBreakPreview" zoomScale="85" zoomScaleNormal="100" workbookViewId="0">
      <selection activeCell="E9" sqref="E9"/>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7" t="s">
        <v>189</v>
      </c>
      <c r="B1" s="243"/>
      <c r="C1" s="248"/>
      <c r="D1" s="292"/>
      <c r="E1" s="243"/>
      <c r="F1" s="339"/>
      <c r="G1" s="243"/>
      <c r="H1" s="325"/>
      <c r="J1" s="220"/>
      <c r="K1" s="438"/>
      <c r="L1" s="438"/>
      <c r="M1" s="438"/>
      <c r="P1" s="439" t="str">
        <f ca="1">"OKT Project "&amp;RIGHT(MID(CELL("filename",$A$1),FIND("]",CELL("filename",$A$1))+1,256),1)&amp;" of "&amp;COUNT('OKT.001:OKT.xyz - blank'!$P$3)-1</f>
        <v>OKT Project 6 of 20</v>
      </c>
      <c r="Q1" s="440"/>
      <c r="R1" s="243"/>
      <c r="S1" s="243"/>
      <c r="T1" s="243"/>
      <c r="U1" s="243">
        <v>2017</v>
      </c>
    </row>
    <row r="2" spans="1:21" ht="17.5">
      <c r="B2" s="243"/>
      <c r="C2" s="243"/>
      <c r="D2" s="292"/>
      <c r="E2" s="243"/>
      <c r="F2" s="243"/>
      <c r="G2" s="243"/>
      <c r="H2" s="325"/>
      <c r="I2" s="243"/>
      <c r="J2" s="278"/>
      <c r="K2" s="243"/>
      <c r="L2" s="243"/>
      <c r="M2" s="243"/>
      <c r="N2" s="243"/>
      <c r="P2" s="441" t="s">
        <v>131</v>
      </c>
      <c r="R2" s="243"/>
      <c r="S2" s="243"/>
      <c r="T2" s="243"/>
      <c r="U2" s="243"/>
    </row>
    <row r="3" spans="1:21" ht="18">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 thickBot="1">
      <c r="C4" s="304"/>
      <c r="D4" s="292"/>
      <c r="E4" s="243"/>
      <c r="F4" s="243"/>
      <c r="G4" s="243"/>
      <c r="H4" s="325"/>
      <c r="I4" s="325"/>
      <c r="J4" s="294"/>
      <c r="K4" s="325"/>
      <c r="L4" s="325"/>
      <c r="M4" s="325"/>
      <c r="N4" s="325"/>
      <c r="O4" s="243"/>
      <c r="P4" s="243"/>
      <c r="R4" s="243"/>
      <c r="S4" s="243"/>
      <c r="T4" s="243"/>
      <c r="U4" s="243"/>
    </row>
    <row r="5" spans="1:21" ht="15.5">
      <c r="C5" s="443" t="s">
        <v>44</v>
      </c>
      <c r="D5" s="292"/>
      <c r="E5" s="243"/>
      <c r="F5" s="243"/>
      <c r="G5" s="444"/>
      <c r="H5" s="243" t="s">
        <v>45</v>
      </c>
      <c r="I5" s="243"/>
      <c r="J5" s="278"/>
      <c r="K5" s="445" t="s">
        <v>242</v>
      </c>
      <c r="L5" s="446"/>
      <c r="M5" s="447"/>
      <c r="N5" s="448">
        <f>VLOOKUP(I10,C17:I73,5)</f>
        <v>3509415.1582725761</v>
      </c>
      <c r="P5" s="243"/>
      <c r="R5" s="243"/>
      <c r="S5" s="243"/>
      <c r="T5" s="243"/>
      <c r="U5" s="243"/>
    </row>
    <row r="6" spans="1:21" ht="15.5">
      <c r="C6" s="235"/>
      <c r="D6" s="292"/>
      <c r="E6" s="243"/>
      <c r="F6" s="243"/>
      <c r="G6" s="243"/>
      <c r="H6" s="449"/>
      <c r="I6" s="449"/>
      <c r="J6" s="450"/>
      <c r="K6" s="451" t="s">
        <v>243</v>
      </c>
      <c r="L6" s="452"/>
      <c r="M6" s="278"/>
      <c r="N6" s="453">
        <f>VLOOKUP(I10,C17:I73,6)</f>
        <v>3509415.1582725761</v>
      </c>
      <c r="O6" s="243"/>
      <c r="P6" s="243"/>
      <c r="R6" s="243"/>
      <c r="S6" s="243"/>
      <c r="T6" s="243"/>
      <c r="U6" s="243"/>
    </row>
    <row r="7" spans="1:21" ht="13.5" thickBot="1">
      <c r="C7" s="454" t="s">
        <v>46</v>
      </c>
      <c r="D7" s="455" t="s">
        <v>206</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205</v>
      </c>
      <c r="E9" s="647" t="s">
        <v>307</v>
      </c>
      <c r="F9" s="465"/>
      <c r="G9" s="465"/>
      <c r="H9" s="465"/>
      <c r="I9" s="466"/>
      <c r="J9" s="467"/>
      <c r="O9" s="468"/>
      <c r="P9" s="278"/>
      <c r="R9" s="243"/>
      <c r="S9" s="243"/>
      <c r="T9" s="243"/>
      <c r="U9" s="243"/>
    </row>
    <row r="10" spans="1:21" ht="13">
      <c r="C10" s="469" t="s">
        <v>49</v>
      </c>
      <c r="D10" s="470">
        <v>28914235.739999998</v>
      </c>
      <c r="E10" s="299" t="s">
        <v>50</v>
      </c>
      <c r="F10" s="468"/>
      <c r="G10" s="408"/>
      <c r="H10" s="408"/>
      <c r="I10" s="471">
        <f>+OKT.WS.F.BPU.ATRR.Projected!R101</f>
        <v>2021</v>
      </c>
      <c r="J10" s="467"/>
      <c r="K10" s="294" t="s">
        <v>51</v>
      </c>
      <c r="O10" s="278"/>
      <c r="P10" s="278"/>
      <c r="R10" s="243"/>
      <c r="S10" s="243"/>
      <c r="T10" s="243"/>
      <c r="U10" s="243"/>
    </row>
    <row r="11" spans="1:21" ht="12.5">
      <c r="C11" s="472" t="s">
        <v>52</v>
      </c>
      <c r="D11" s="473">
        <v>2013</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ht="12.5">
      <c r="C12" s="472" t="s">
        <v>54</v>
      </c>
      <c r="D12" s="470">
        <v>8</v>
      </c>
      <c r="E12" s="472" t="s">
        <v>55</v>
      </c>
      <c r="F12" s="408"/>
      <c r="G12" s="220"/>
      <c r="H12" s="220"/>
      <c r="I12" s="476">
        <f>OKT.WS.F.BPU.ATRR.Projected!$F$79</f>
        <v>0.10818506718567715</v>
      </c>
      <c r="J12" s="578"/>
      <c r="K12" s="145" t="s">
        <v>56</v>
      </c>
      <c r="O12" s="278"/>
      <c r="P12" s="278"/>
      <c r="R12" s="243"/>
      <c r="S12" s="243"/>
      <c r="T12" s="243"/>
      <c r="U12" s="243"/>
    </row>
    <row r="13" spans="1:21" ht="12.5">
      <c r="C13" s="472" t="s">
        <v>57</v>
      </c>
      <c r="D13" s="474">
        <f>OKT.WS.F.BPU.ATRR.Projected!F90</f>
        <v>31</v>
      </c>
      <c r="E13" s="472" t="s">
        <v>58</v>
      </c>
      <c r="F13" s="408"/>
      <c r="G13" s="220"/>
      <c r="H13" s="220"/>
      <c r="I13" s="476">
        <f>IF(G5="",I12,OKT.WS.F.BPU.ATRR.Projected!$F$78)</f>
        <v>0.10818506718567715</v>
      </c>
      <c r="J13" s="413"/>
      <c r="K13" s="294" t="s">
        <v>59</v>
      </c>
      <c r="L13" s="291"/>
      <c r="M13" s="291"/>
      <c r="N13" s="291"/>
      <c r="O13" s="278"/>
      <c r="P13" s="278"/>
      <c r="R13" s="243"/>
      <c r="S13" s="243"/>
      <c r="T13" s="243"/>
      <c r="U13" s="243"/>
    </row>
    <row r="14" spans="1:21" ht="13" thickBot="1">
      <c r="C14" s="472" t="s">
        <v>60</v>
      </c>
      <c r="D14" s="473" t="s">
        <v>61</v>
      </c>
      <c r="E14" s="278" t="s">
        <v>62</v>
      </c>
      <c r="F14" s="408"/>
      <c r="G14" s="220"/>
      <c r="H14" s="220"/>
      <c r="I14" s="477">
        <f>IF(D10=0,0,D10/D13)</f>
        <v>932717.2819354838</v>
      </c>
      <c r="J14" s="294"/>
      <c r="K14" s="294"/>
      <c r="L14" s="294"/>
      <c r="M14" s="294"/>
      <c r="N14" s="294"/>
      <c r="O14" s="278"/>
      <c r="P14" s="278"/>
      <c r="R14" s="243"/>
      <c r="S14" s="243"/>
      <c r="T14" s="243"/>
      <c r="U14" s="243"/>
    </row>
    <row r="15" spans="1:21" ht="39">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ht="12.5">
      <c r="B17" s="145" t="str">
        <f t="shared" ref="B17:B49" si="0">IF(D17=F16,"","IU")</f>
        <v>IU</v>
      </c>
      <c r="C17" s="580">
        <f>IF(D11= "","-",D11)</f>
        <v>2013</v>
      </c>
      <c r="D17" s="496">
        <v>6627800</v>
      </c>
      <c r="E17" s="497">
        <v>57327.852379007891</v>
      </c>
      <c r="F17" s="496">
        <v>6570472.1476209918</v>
      </c>
      <c r="G17" s="498">
        <v>692344.48890277033</v>
      </c>
      <c r="H17" s="499">
        <v>692344.48890277033</v>
      </c>
      <c r="I17" s="584">
        <v>0</v>
      </c>
      <c r="J17" s="500"/>
      <c r="K17" s="501">
        <f t="shared" ref="K17:K22" si="1">G17</f>
        <v>692344.48890277033</v>
      </c>
      <c r="L17" s="607">
        <f t="shared" ref="L17:L49" si="2">IF(K17&lt;&gt;0,+G17-K17,0)</f>
        <v>0</v>
      </c>
      <c r="M17" s="608">
        <f t="shared" ref="M17:M22" si="3">H17</f>
        <v>692344.48890277033</v>
      </c>
      <c r="N17" s="586">
        <f t="shared" ref="N17:N49" si="4">IF(M17&lt;&gt;0,+H17-M17,0)</f>
        <v>0</v>
      </c>
      <c r="O17" s="504">
        <f t="shared" ref="O17:O49" si="5">+N17-L17</f>
        <v>0</v>
      </c>
      <c r="P17" s="278"/>
      <c r="R17" s="243"/>
      <c r="S17" s="243"/>
      <c r="T17" s="243"/>
      <c r="U17" s="243"/>
    </row>
    <row r="18" spans="2:21" ht="12.5">
      <c r="B18" s="145" t="str">
        <f t="shared" si="0"/>
        <v>IU</v>
      </c>
      <c r="C18" s="495">
        <f>IF(D11="","-",+C17+1)</f>
        <v>2014</v>
      </c>
      <c r="D18" s="505">
        <v>28510458.147620991</v>
      </c>
      <c r="E18" s="498">
        <v>494200.13235254184</v>
      </c>
      <c r="F18" s="505">
        <v>28016258.015268449</v>
      </c>
      <c r="G18" s="498">
        <v>3554730.1038106573</v>
      </c>
      <c r="H18" s="499">
        <v>3554730.1038106573</v>
      </c>
      <c r="I18" s="500">
        <v>0</v>
      </c>
      <c r="J18" s="500"/>
      <c r="K18" s="506">
        <f t="shared" si="1"/>
        <v>3554730.1038106573</v>
      </c>
      <c r="L18" s="609">
        <f t="shared" ref="L18:L23" si="6">IF(K18&lt;&gt;0,+G18-K18,0)</f>
        <v>0</v>
      </c>
      <c r="M18" s="610">
        <f t="shared" si="3"/>
        <v>3554730.1038106573</v>
      </c>
      <c r="N18" s="500">
        <f>IF(M18&lt;&gt;0,+H18-M18,0)</f>
        <v>0</v>
      </c>
      <c r="O18" s="504">
        <f>+N18-L18</f>
        <v>0</v>
      </c>
      <c r="P18" s="278"/>
      <c r="R18" s="243"/>
      <c r="S18" s="243"/>
      <c r="T18" s="243"/>
      <c r="U18" s="243"/>
    </row>
    <row r="19" spans="2:21" ht="12.5">
      <c r="B19" s="145" t="str">
        <f t="shared" si="0"/>
        <v>IU</v>
      </c>
      <c r="C19" s="495">
        <f>IF(D11="","-",+C18+1)</f>
        <v>2015</v>
      </c>
      <c r="D19" s="505">
        <v>28130872.015268449</v>
      </c>
      <c r="E19" s="498">
        <v>496182.86401993298</v>
      </c>
      <c r="F19" s="505">
        <v>27634689.151248515</v>
      </c>
      <c r="G19" s="498">
        <v>3536753.8544176081</v>
      </c>
      <c r="H19" s="499">
        <v>3536753.8544176081</v>
      </c>
      <c r="I19" s="500">
        <v>0</v>
      </c>
      <c r="J19" s="500"/>
      <c r="K19" s="506">
        <f t="shared" si="1"/>
        <v>3536753.8544176081</v>
      </c>
      <c r="L19" s="507">
        <f t="shared" si="6"/>
        <v>0</v>
      </c>
      <c r="M19" s="506">
        <f t="shared" si="3"/>
        <v>3536753.8544176081</v>
      </c>
      <c r="N19" s="504">
        <f>IF(M19&lt;&gt;0,+H19-M19,0)</f>
        <v>0</v>
      </c>
      <c r="O19" s="504">
        <f>+N19-L19</f>
        <v>0</v>
      </c>
      <c r="P19" s="278"/>
      <c r="R19" s="243"/>
      <c r="S19" s="243"/>
      <c r="T19" s="243"/>
      <c r="U19" s="243"/>
    </row>
    <row r="20" spans="2:21" ht="12.5">
      <c r="B20" s="145" t="str">
        <f t="shared" si="0"/>
        <v>IU</v>
      </c>
      <c r="C20" s="495">
        <f>IF(D11="","-",+C19+1)</f>
        <v>2016</v>
      </c>
      <c r="D20" s="505">
        <v>27866524.891248517</v>
      </c>
      <c r="E20" s="498">
        <v>600822.03590460983</v>
      </c>
      <c r="F20" s="505">
        <v>27265702.855343908</v>
      </c>
      <c r="G20" s="498">
        <v>3542256.1502628839</v>
      </c>
      <c r="H20" s="499">
        <v>3542256.1502628839</v>
      </c>
      <c r="I20" s="500">
        <f t="shared" ref="I20:I49" si="7">H20-G20</f>
        <v>0</v>
      </c>
      <c r="J20" s="500"/>
      <c r="K20" s="506">
        <f t="shared" si="1"/>
        <v>3542256.1502628839</v>
      </c>
      <c r="L20" s="507">
        <f t="shared" si="6"/>
        <v>0</v>
      </c>
      <c r="M20" s="506">
        <f t="shared" si="3"/>
        <v>3542256.1502628839</v>
      </c>
      <c r="N20" s="504">
        <f t="shared" si="4"/>
        <v>0</v>
      </c>
      <c r="O20" s="504">
        <f t="shared" si="5"/>
        <v>0</v>
      </c>
      <c r="P20" s="278"/>
      <c r="R20" s="243"/>
      <c r="S20" s="243"/>
      <c r="T20" s="243"/>
      <c r="U20" s="243"/>
    </row>
    <row r="21" spans="2:21" ht="12.5">
      <c r="B21" s="145" t="str">
        <f t="shared" si="0"/>
        <v/>
      </c>
      <c r="C21" s="495">
        <f>IF(D12="","-",+C20+1)</f>
        <v>2017</v>
      </c>
      <c r="D21" s="505">
        <v>27265702.855343908</v>
      </c>
      <c r="E21" s="498">
        <v>568511.11858112796</v>
      </c>
      <c r="F21" s="505">
        <v>26697191.736762781</v>
      </c>
      <c r="G21" s="498">
        <v>3534850.6884225709</v>
      </c>
      <c r="H21" s="499">
        <v>3534850.6884225709</v>
      </c>
      <c r="I21" s="500">
        <f t="shared" si="7"/>
        <v>0</v>
      </c>
      <c r="J21" s="500"/>
      <c r="K21" s="506">
        <f t="shared" si="1"/>
        <v>3534850.6884225709</v>
      </c>
      <c r="L21" s="507">
        <f t="shared" si="6"/>
        <v>0</v>
      </c>
      <c r="M21" s="506">
        <f t="shared" si="3"/>
        <v>3534850.6884225709</v>
      </c>
      <c r="N21" s="504">
        <f>IF(M21&lt;&gt;0,+H21-M21,0)</f>
        <v>0</v>
      </c>
      <c r="O21" s="504">
        <f>+N21-L21</f>
        <v>0</v>
      </c>
      <c r="P21" s="278"/>
      <c r="R21" s="243"/>
      <c r="S21" s="243"/>
      <c r="T21" s="243"/>
      <c r="U21" s="243"/>
    </row>
    <row r="22" spans="2:21" ht="12.5">
      <c r="B22" s="145" t="str">
        <f t="shared" si="0"/>
        <v/>
      </c>
      <c r="C22" s="495">
        <f>IF(D11="","-",+C21+1)</f>
        <v>2018</v>
      </c>
      <c r="D22" s="505">
        <v>26697191.736762781</v>
      </c>
      <c r="E22" s="498">
        <v>709109.54353113449</v>
      </c>
      <c r="F22" s="505">
        <v>25988082.193231646</v>
      </c>
      <c r="G22" s="498">
        <v>3386144.4526302526</v>
      </c>
      <c r="H22" s="499">
        <v>3386144.4526302526</v>
      </c>
      <c r="I22" s="500">
        <v>0</v>
      </c>
      <c r="J22" s="500"/>
      <c r="K22" s="506">
        <f t="shared" si="1"/>
        <v>3386144.4526302526</v>
      </c>
      <c r="L22" s="507">
        <f t="shared" si="6"/>
        <v>0</v>
      </c>
      <c r="M22" s="506">
        <f t="shared" si="3"/>
        <v>3386144.4526302526</v>
      </c>
      <c r="N22" s="504">
        <f>IF(M22&lt;&gt;0,+H22-M22,0)</f>
        <v>0</v>
      </c>
      <c r="O22" s="504">
        <f>+N22-L22</f>
        <v>0</v>
      </c>
      <c r="P22" s="278"/>
      <c r="R22" s="243"/>
      <c r="S22" s="243"/>
      <c r="T22" s="243"/>
      <c r="U22" s="243"/>
    </row>
    <row r="23" spans="2:21" ht="12.5">
      <c r="B23" s="145" t="str">
        <f t="shared" si="0"/>
        <v/>
      </c>
      <c r="C23" s="495">
        <f>IF(D11="","-",+C22+1)</f>
        <v>2019</v>
      </c>
      <c r="D23" s="505">
        <v>25988082.193231646</v>
      </c>
      <c r="E23" s="498">
        <v>857562.89168410667</v>
      </c>
      <c r="F23" s="505">
        <v>25130519.301547538</v>
      </c>
      <c r="G23" s="498">
        <v>3514093.467191291</v>
      </c>
      <c r="H23" s="499">
        <v>3514093.467191291</v>
      </c>
      <c r="I23" s="500">
        <f t="shared" si="7"/>
        <v>0</v>
      </c>
      <c r="J23" s="500"/>
      <c r="K23" s="506">
        <f t="shared" ref="K23" si="8">G23</f>
        <v>3514093.467191291</v>
      </c>
      <c r="L23" s="507">
        <f t="shared" si="6"/>
        <v>0</v>
      </c>
      <c r="M23" s="506">
        <f t="shared" ref="M23" si="9">H23</f>
        <v>3514093.467191291</v>
      </c>
      <c r="N23" s="504">
        <f>IF(M23&lt;&gt;0,+H23-M23,0)</f>
        <v>0</v>
      </c>
      <c r="O23" s="504">
        <f>+N23-L23</f>
        <v>0</v>
      </c>
      <c r="P23" s="278"/>
      <c r="R23" s="243"/>
      <c r="S23" s="243"/>
      <c r="T23" s="243"/>
      <c r="U23" s="243"/>
    </row>
    <row r="24" spans="2:21" ht="12.5">
      <c r="B24" s="145" t="str">
        <f t="shared" si="0"/>
        <v>IU</v>
      </c>
      <c r="C24" s="495">
        <f>IF(D11="","-",+C23+1)</f>
        <v>2020</v>
      </c>
      <c r="D24" s="505">
        <v>25278972.649700511</v>
      </c>
      <c r="E24" s="498">
        <v>846660.3033934671</v>
      </c>
      <c r="F24" s="505">
        <v>24432312.346307043</v>
      </c>
      <c r="G24" s="498">
        <v>3454824.1726137344</v>
      </c>
      <c r="H24" s="499">
        <v>3454824.1726137344</v>
      </c>
      <c r="I24" s="500">
        <f t="shared" si="7"/>
        <v>0</v>
      </c>
      <c r="J24" s="500"/>
      <c r="K24" s="506">
        <f t="shared" ref="K24" si="10">G24</f>
        <v>3454824.1726137344</v>
      </c>
      <c r="L24" s="507">
        <f t="shared" ref="L24" si="11">IF(K24&lt;&gt;0,+G24-K24,0)</f>
        <v>0</v>
      </c>
      <c r="M24" s="506">
        <f t="shared" ref="M24" si="12">H24</f>
        <v>3454824.1726137344</v>
      </c>
      <c r="N24" s="504">
        <f>IF(M24&lt;&gt;0,+H24-M24,0)</f>
        <v>0</v>
      </c>
      <c r="O24" s="504">
        <f>+N24-L24</f>
        <v>0</v>
      </c>
      <c r="P24" s="278"/>
      <c r="R24" s="243"/>
      <c r="S24" s="243"/>
      <c r="T24" s="243"/>
      <c r="U24" s="243"/>
    </row>
    <row r="25" spans="2:21" ht="12.5">
      <c r="B25" s="145" t="str">
        <f t="shared" si="0"/>
        <v>IU</v>
      </c>
      <c r="C25" s="495">
        <f>IF(D11="","-",+C24+1)</f>
        <v>2021</v>
      </c>
      <c r="D25" s="508">
        <f>IF(F24+SUM(E$17:E24)=D$10,F24,D$10-SUM(E$17:E24))</f>
        <v>24283858.99815407</v>
      </c>
      <c r="E25" s="509">
        <f>IF(+I14&lt;F24,I14,D25)</f>
        <v>932717.2819354838</v>
      </c>
      <c r="F25" s="510">
        <f t="shared" ref="F25:F49" si="13">+D25-E25</f>
        <v>23351141.716218587</v>
      </c>
      <c r="G25" s="511">
        <f t="shared" ref="G25:G73" si="14">(D25+F25)/2*I$12+E25</f>
        <v>3509415.1582725761</v>
      </c>
      <c r="H25" s="477">
        <f t="shared" ref="H25:H73" si="15">+(D25+F25)/2*I$13+E25</f>
        <v>3509415.1582725761</v>
      </c>
      <c r="I25" s="500">
        <f t="shared" si="7"/>
        <v>0</v>
      </c>
      <c r="J25" s="500"/>
      <c r="K25" s="512"/>
      <c r="L25" s="504">
        <f t="shared" si="2"/>
        <v>0</v>
      </c>
      <c r="M25" s="512"/>
      <c r="N25" s="504">
        <f t="shared" si="4"/>
        <v>0</v>
      </c>
      <c r="O25" s="504">
        <f t="shared" si="5"/>
        <v>0</v>
      </c>
      <c r="P25" s="278"/>
      <c r="R25" s="243"/>
      <c r="S25" s="243"/>
      <c r="T25" s="243"/>
      <c r="U25" s="243"/>
    </row>
    <row r="26" spans="2:21" ht="12.5">
      <c r="B26" s="145" t="str">
        <f t="shared" si="0"/>
        <v/>
      </c>
      <c r="C26" s="495">
        <f>IF(D11="","-",+C25+1)</f>
        <v>2022</v>
      </c>
      <c r="D26" s="508">
        <f>IF(F25+SUM(E$17:E25)=D$10,F25,D$10-SUM(E$17:E25))</f>
        <v>23351141.716218587</v>
      </c>
      <c r="E26" s="509">
        <f>IF(+I14&lt;F25,I14,D26)</f>
        <v>932717.2819354838</v>
      </c>
      <c r="F26" s="510">
        <f t="shared" si="13"/>
        <v>22418424.434283104</v>
      </c>
      <c r="G26" s="511">
        <f t="shared" si="14"/>
        <v>3408509.0764611438</v>
      </c>
      <c r="H26" s="477">
        <f t="shared" si="15"/>
        <v>3408509.0764611438</v>
      </c>
      <c r="I26" s="500">
        <f t="shared" si="7"/>
        <v>0</v>
      </c>
      <c r="J26" s="500"/>
      <c r="K26" s="512"/>
      <c r="L26" s="504">
        <f t="shared" si="2"/>
        <v>0</v>
      </c>
      <c r="M26" s="512"/>
      <c r="N26" s="504">
        <f t="shared" si="4"/>
        <v>0</v>
      </c>
      <c r="O26" s="504">
        <f t="shared" si="5"/>
        <v>0</v>
      </c>
      <c r="P26" s="278"/>
      <c r="R26" s="243"/>
      <c r="S26" s="243"/>
      <c r="T26" s="243"/>
      <c r="U26" s="243"/>
    </row>
    <row r="27" spans="2:21" ht="12.5">
      <c r="B27" s="145" t="str">
        <f t="shared" si="0"/>
        <v/>
      </c>
      <c r="C27" s="495">
        <f>IF(D11="","-",+C26+1)</f>
        <v>2023</v>
      </c>
      <c r="D27" s="508">
        <f>IF(F26+SUM(E$17:E26)=D$10,F26,D$10-SUM(E$17:E26))</f>
        <v>22418424.434283104</v>
      </c>
      <c r="E27" s="509">
        <f>IF(+I14&lt;F26,I14,D27)</f>
        <v>932717.2819354838</v>
      </c>
      <c r="F27" s="510">
        <f t="shared" si="13"/>
        <v>21485707.152347621</v>
      </c>
      <c r="G27" s="511">
        <f t="shared" si="14"/>
        <v>3307602.9946497115</v>
      </c>
      <c r="H27" s="477">
        <f t="shared" si="15"/>
        <v>3307602.9946497115</v>
      </c>
      <c r="I27" s="500">
        <f t="shared" si="7"/>
        <v>0</v>
      </c>
      <c r="J27" s="500"/>
      <c r="K27" s="512"/>
      <c r="L27" s="504">
        <f t="shared" si="2"/>
        <v>0</v>
      </c>
      <c r="M27" s="512"/>
      <c r="N27" s="504">
        <f t="shared" si="4"/>
        <v>0</v>
      </c>
      <c r="O27" s="504">
        <f t="shared" si="5"/>
        <v>0</v>
      </c>
      <c r="P27" s="278"/>
      <c r="R27" s="243"/>
      <c r="S27" s="243"/>
      <c r="T27" s="243"/>
      <c r="U27" s="243"/>
    </row>
    <row r="28" spans="2:21" ht="12.5">
      <c r="B28" s="145" t="str">
        <f t="shared" si="0"/>
        <v/>
      </c>
      <c r="C28" s="495">
        <f>IF(D11="","-",+C27+1)</f>
        <v>2024</v>
      </c>
      <c r="D28" s="508">
        <f>IF(F27+SUM(E$17:E27)=D$10,F27,D$10-SUM(E$17:E27))</f>
        <v>21485707.152347621</v>
      </c>
      <c r="E28" s="509">
        <f>IF(+I14&lt;F27,I14,D28)</f>
        <v>932717.2819354838</v>
      </c>
      <c r="F28" s="510">
        <f t="shared" si="13"/>
        <v>20552989.870412137</v>
      </c>
      <c r="G28" s="511">
        <f t="shared" si="14"/>
        <v>3206696.9128382788</v>
      </c>
      <c r="H28" s="477">
        <f t="shared" si="15"/>
        <v>3206696.9128382788</v>
      </c>
      <c r="I28" s="500">
        <f t="shared" si="7"/>
        <v>0</v>
      </c>
      <c r="J28" s="500"/>
      <c r="K28" s="512"/>
      <c r="L28" s="504">
        <f t="shared" si="2"/>
        <v>0</v>
      </c>
      <c r="M28" s="512"/>
      <c r="N28" s="504">
        <f t="shared" si="4"/>
        <v>0</v>
      </c>
      <c r="O28" s="504">
        <f t="shared" si="5"/>
        <v>0</v>
      </c>
      <c r="P28" s="278"/>
      <c r="R28" s="243"/>
      <c r="S28" s="243"/>
      <c r="T28" s="243"/>
      <c r="U28" s="243"/>
    </row>
    <row r="29" spans="2:21" ht="12.5">
      <c r="B29" s="145" t="str">
        <f t="shared" si="0"/>
        <v/>
      </c>
      <c r="C29" s="495">
        <f>IF(D11="","-",+C28+1)</f>
        <v>2025</v>
      </c>
      <c r="D29" s="508">
        <f>IF(F28+SUM(E$17:E28)=D$10,F28,D$10-SUM(E$17:E28))</f>
        <v>20552989.870412137</v>
      </c>
      <c r="E29" s="509">
        <f>IF(+I14&lt;F28,I14,D29)</f>
        <v>932717.2819354838</v>
      </c>
      <c r="F29" s="510">
        <f t="shared" si="13"/>
        <v>19620272.588476654</v>
      </c>
      <c r="G29" s="511">
        <f t="shared" si="14"/>
        <v>3105790.8310268465</v>
      </c>
      <c r="H29" s="477">
        <f t="shared" si="15"/>
        <v>3105790.8310268465</v>
      </c>
      <c r="I29" s="500">
        <f t="shared" si="7"/>
        <v>0</v>
      </c>
      <c r="J29" s="500"/>
      <c r="K29" s="512"/>
      <c r="L29" s="504">
        <f t="shared" si="2"/>
        <v>0</v>
      </c>
      <c r="M29" s="512"/>
      <c r="N29" s="504">
        <f t="shared" si="4"/>
        <v>0</v>
      </c>
      <c r="O29" s="504">
        <f t="shared" si="5"/>
        <v>0</v>
      </c>
      <c r="P29" s="278"/>
      <c r="R29" s="243"/>
      <c r="S29" s="243"/>
      <c r="T29" s="243"/>
      <c r="U29" s="243"/>
    </row>
    <row r="30" spans="2:21" ht="12.5">
      <c r="B30" s="145" t="str">
        <f t="shared" si="0"/>
        <v/>
      </c>
      <c r="C30" s="495">
        <f>IF(D11="","-",+C29+1)</f>
        <v>2026</v>
      </c>
      <c r="D30" s="508">
        <f>IF(F29+SUM(E$17:E29)=D$10,F29,D$10-SUM(E$17:E29))</f>
        <v>19620272.588476654</v>
      </c>
      <c r="E30" s="509">
        <f>IF(+I14&lt;F29,I14,D30)</f>
        <v>932717.2819354838</v>
      </c>
      <c r="F30" s="510">
        <f t="shared" si="13"/>
        <v>18687555.306541171</v>
      </c>
      <c r="G30" s="511">
        <f t="shared" si="14"/>
        <v>3004884.7492154143</v>
      </c>
      <c r="H30" s="477">
        <f t="shared" si="15"/>
        <v>3004884.7492154143</v>
      </c>
      <c r="I30" s="500">
        <f t="shared" si="7"/>
        <v>0</v>
      </c>
      <c r="J30" s="500"/>
      <c r="K30" s="512"/>
      <c r="L30" s="504">
        <f t="shared" si="2"/>
        <v>0</v>
      </c>
      <c r="M30" s="512"/>
      <c r="N30" s="504">
        <f t="shared" si="4"/>
        <v>0</v>
      </c>
      <c r="O30" s="504">
        <f t="shared" si="5"/>
        <v>0</v>
      </c>
      <c r="P30" s="278"/>
      <c r="R30" s="243"/>
      <c r="S30" s="243"/>
      <c r="T30" s="243"/>
      <c r="U30" s="243"/>
    </row>
    <row r="31" spans="2:21" ht="12.5">
      <c r="B31" s="145" t="str">
        <f t="shared" si="0"/>
        <v/>
      </c>
      <c r="C31" s="495">
        <f>IF(D11="","-",+C30+1)</f>
        <v>2027</v>
      </c>
      <c r="D31" s="508">
        <f>IF(F30+SUM(E$17:E30)=D$10,F30,D$10-SUM(E$17:E30))</f>
        <v>18687555.306541171</v>
      </c>
      <c r="E31" s="509">
        <f>IF(+I14&lt;F30,I14,D31)</f>
        <v>932717.2819354838</v>
      </c>
      <c r="F31" s="510">
        <f t="shared" si="13"/>
        <v>17754838.024605688</v>
      </c>
      <c r="G31" s="511">
        <f t="shared" si="14"/>
        <v>2903978.6674039816</v>
      </c>
      <c r="H31" s="477">
        <f t="shared" si="15"/>
        <v>2903978.6674039816</v>
      </c>
      <c r="I31" s="500">
        <f t="shared" si="7"/>
        <v>0</v>
      </c>
      <c r="J31" s="500"/>
      <c r="K31" s="512"/>
      <c r="L31" s="504">
        <f t="shared" si="2"/>
        <v>0</v>
      </c>
      <c r="M31" s="512"/>
      <c r="N31" s="504">
        <f t="shared" si="4"/>
        <v>0</v>
      </c>
      <c r="O31" s="504">
        <f t="shared" si="5"/>
        <v>0</v>
      </c>
      <c r="P31" s="278"/>
      <c r="Q31" s="220"/>
      <c r="R31" s="278"/>
      <c r="S31" s="278"/>
      <c r="T31" s="278"/>
      <c r="U31" s="243"/>
    </row>
    <row r="32" spans="2:21" ht="12.5">
      <c r="B32" s="145" t="str">
        <f t="shared" si="0"/>
        <v/>
      </c>
      <c r="C32" s="495">
        <f>IF(D12="","-",+C31+1)</f>
        <v>2028</v>
      </c>
      <c r="D32" s="508">
        <f>IF(F31+SUM(E$17:E31)=D$10,F31,D$10-SUM(E$17:E31))</f>
        <v>17754838.024605688</v>
      </c>
      <c r="E32" s="509">
        <f>IF(+I14&lt;F31,I14,D32)</f>
        <v>932717.2819354838</v>
      </c>
      <c r="F32" s="510">
        <f>+D32-E32</f>
        <v>16822120.742670204</v>
      </c>
      <c r="G32" s="511">
        <f t="shared" si="14"/>
        <v>2803072.5855925493</v>
      </c>
      <c r="H32" s="477">
        <f t="shared" si="15"/>
        <v>2803072.5855925493</v>
      </c>
      <c r="I32" s="500">
        <f>H32-G32</f>
        <v>0</v>
      </c>
      <c r="J32" s="500"/>
      <c r="K32" s="512"/>
      <c r="L32" s="504">
        <f>IF(K32&lt;&gt;0,+G32-K32,0)</f>
        <v>0</v>
      </c>
      <c r="M32" s="512"/>
      <c r="N32" s="504">
        <f>IF(M32&lt;&gt;0,+H32-M32,0)</f>
        <v>0</v>
      </c>
      <c r="O32" s="504">
        <f>+N32-L32</f>
        <v>0</v>
      </c>
      <c r="P32" s="278"/>
      <c r="Q32" s="220"/>
      <c r="R32" s="278"/>
      <c r="S32" s="278"/>
      <c r="T32" s="278"/>
      <c r="U32" s="243"/>
    </row>
    <row r="33" spans="2:21" ht="12.5">
      <c r="B33" s="145" t="str">
        <f t="shared" si="0"/>
        <v/>
      </c>
      <c r="C33" s="495">
        <f>IF(D13="","-",+C32+1)</f>
        <v>2029</v>
      </c>
      <c r="D33" s="508">
        <f>IF(F32+SUM(E$17:E32)=D$10,F32,D$10-SUM(E$17:E32))</f>
        <v>16822120.742670204</v>
      </c>
      <c r="E33" s="509">
        <f>IF(+I14&lt;F31,I14,D33)</f>
        <v>932717.2819354838</v>
      </c>
      <c r="F33" s="510">
        <f t="shared" si="13"/>
        <v>15889403.460734721</v>
      </c>
      <c r="G33" s="511">
        <f t="shared" si="14"/>
        <v>2702166.503781117</v>
      </c>
      <c r="H33" s="477">
        <f t="shared" si="15"/>
        <v>2702166.503781117</v>
      </c>
      <c r="I33" s="500">
        <f t="shared" si="7"/>
        <v>0</v>
      </c>
      <c r="J33" s="500"/>
      <c r="K33" s="512"/>
      <c r="L33" s="504">
        <f t="shared" si="2"/>
        <v>0</v>
      </c>
      <c r="M33" s="512"/>
      <c r="N33" s="504">
        <f t="shared" si="4"/>
        <v>0</v>
      </c>
      <c r="O33" s="504">
        <f t="shared" si="5"/>
        <v>0</v>
      </c>
      <c r="P33" s="278"/>
      <c r="R33" s="243"/>
      <c r="S33" s="243"/>
      <c r="T33" s="243"/>
      <c r="U33" s="243"/>
    </row>
    <row r="34" spans="2:21" ht="12.5">
      <c r="B34" s="145" t="str">
        <f t="shared" si="0"/>
        <v/>
      </c>
      <c r="C34" s="513">
        <f>IF(D11="","-",+C33+1)</f>
        <v>2030</v>
      </c>
      <c r="D34" s="514">
        <f>IF(F33+SUM(E$17:E33)=D$10,F33,D$10-SUM(E$17:E33))</f>
        <v>15889403.460734721</v>
      </c>
      <c r="E34" s="515">
        <f>IF(+I14&lt;F33,I14,D34)</f>
        <v>932717.2819354838</v>
      </c>
      <c r="F34" s="516">
        <f t="shared" si="13"/>
        <v>14956686.178799238</v>
      </c>
      <c r="G34" s="517">
        <f t="shared" si="14"/>
        <v>2601260.4219696843</v>
      </c>
      <c r="H34" s="518">
        <f t="shared" si="15"/>
        <v>2601260.4219696843</v>
      </c>
      <c r="I34" s="519">
        <f t="shared" si="7"/>
        <v>0</v>
      </c>
      <c r="J34" s="519"/>
      <c r="K34" s="520"/>
      <c r="L34" s="521">
        <f t="shared" si="2"/>
        <v>0</v>
      </c>
      <c r="M34" s="520"/>
      <c r="N34" s="521">
        <f t="shared" si="4"/>
        <v>0</v>
      </c>
      <c r="O34" s="521">
        <f t="shared" si="5"/>
        <v>0</v>
      </c>
      <c r="P34" s="522"/>
      <c r="Q34" s="216"/>
      <c r="R34" s="522"/>
      <c r="S34" s="522"/>
      <c r="T34" s="522"/>
      <c r="U34" s="243"/>
    </row>
    <row r="35" spans="2:21" ht="12.5">
      <c r="B35" s="145" t="str">
        <f t="shared" si="0"/>
        <v/>
      </c>
      <c r="C35" s="495">
        <f>IF(D11="","-",+C34+1)</f>
        <v>2031</v>
      </c>
      <c r="D35" s="508">
        <f>IF(F34+SUM(E$17:E34)=D$10,F34,D$10-SUM(E$17:E34))</f>
        <v>14956686.178799238</v>
      </c>
      <c r="E35" s="509">
        <f>IF(+I14&lt;F34,I14,D35)</f>
        <v>932717.2819354838</v>
      </c>
      <c r="F35" s="510">
        <f t="shared" si="13"/>
        <v>14023968.896863755</v>
      </c>
      <c r="G35" s="511">
        <f t="shared" si="14"/>
        <v>2500354.340158252</v>
      </c>
      <c r="H35" s="477">
        <f t="shared" si="15"/>
        <v>2500354.340158252</v>
      </c>
      <c r="I35" s="500">
        <f t="shared" si="7"/>
        <v>0</v>
      </c>
      <c r="J35" s="500"/>
      <c r="K35" s="512"/>
      <c r="L35" s="504">
        <f t="shared" si="2"/>
        <v>0</v>
      </c>
      <c r="M35" s="512"/>
      <c r="N35" s="504">
        <f t="shared" si="4"/>
        <v>0</v>
      </c>
      <c r="O35" s="504">
        <f t="shared" si="5"/>
        <v>0</v>
      </c>
      <c r="P35" s="278"/>
      <c r="R35" s="243"/>
      <c r="S35" s="243"/>
      <c r="T35" s="243"/>
      <c r="U35" s="243"/>
    </row>
    <row r="36" spans="2:21" ht="12.5">
      <c r="B36" s="145" t="str">
        <f t="shared" si="0"/>
        <v/>
      </c>
      <c r="C36" s="495">
        <f>IF(D11="","-",+C35+1)</f>
        <v>2032</v>
      </c>
      <c r="D36" s="508">
        <f>IF(F35+SUM(E$17:E35)=D$10,F35,D$10-SUM(E$17:E35))</f>
        <v>14023968.896863755</v>
      </c>
      <c r="E36" s="509">
        <f>IF(+I14&lt;F35,I14,D36)</f>
        <v>932717.2819354838</v>
      </c>
      <c r="F36" s="510">
        <f t="shared" si="13"/>
        <v>13091251.614928272</v>
      </c>
      <c r="G36" s="511">
        <f t="shared" si="14"/>
        <v>2399448.2583468198</v>
      </c>
      <c r="H36" s="477">
        <f t="shared" si="15"/>
        <v>2399448.2583468198</v>
      </c>
      <c r="I36" s="500">
        <f t="shared" si="7"/>
        <v>0</v>
      </c>
      <c r="J36" s="500"/>
      <c r="K36" s="512"/>
      <c r="L36" s="504">
        <f t="shared" si="2"/>
        <v>0</v>
      </c>
      <c r="M36" s="512"/>
      <c r="N36" s="504">
        <f t="shared" si="4"/>
        <v>0</v>
      </c>
      <c r="O36" s="504">
        <f t="shared" si="5"/>
        <v>0</v>
      </c>
      <c r="P36" s="278"/>
      <c r="R36" s="243"/>
      <c r="S36" s="243"/>
      <c r="T36" s="243"/>
      <c r="U36" s="243"/>
    </row>
    <row r="37" spans="2:21" ht="12.5">
      <c r="B37" s="145" t="str">
        <f t="shared" si="0"/>
        <v/>
      </c>
      <c r="C37" s="495">
        <f>IF(D11="","-",+C36+1)</f>
        <v>2033</v>
      </c>
      <c r="D37" s="508">
        <f>IF(F36+SUM(E$17:E36)=D$10,F36,D$10-SUM(E$17:E36))</f>
        <v>13091251.614928272</v>
      </c>
      <c r="E37" s="509">
        <f>IF(+I14&lt;F36,I14,D37)</f>
        <v>932717.2819354838</v>
      </c>
      <c r="F37" s="510">
        <f t="shared" si="13"/>
        <v>12158534.332992788</v>
      </c>
      <c r="G37" s="511">
        <f t="shared" si="14"/>
        <v>2298542.1765353871</v>
      </c>
      <c r="H37" s="477">
        <f t="shared" si="15"/>
        <v>2298542.1765353871</v>
      </c>
      <c r="I37" s="500">
        <f t="shared" si="7"/>
        <v>0</v>
      </c>
      <c r="J37" s="500"/>
      <c r="K37" s="512"/>
      <c r="L37" s="504">
        <f t="shared" si="2"/>
        <v>0</v>
      </c>
      <c r="M37" s="512"/>
      <c r="N37" s="504">
        <f t="shared" si="4"/>
        <v>0</v>
      </c>
      <c r="O37" s="504">
        <f t="shared" si="5"/>
        <v>0</v>
      </c>
      <c r="P37" s="278"/>
      <c r="R37" s="243"/>
      <c r="S37" s="243"/>
      <c r="T37" s="243"/>
      <c r="U37" s="243"/>
    </row>
    <row r="38" spans="2:21" ht="12.5">
      <c r="B38" s="145" t="str">
        <f t="shared" si="0"/>
        <v/>
      </c>
      <c r="C38" s="495">
        <f>IF(D11="","-",+C37+1)</f>
        <v>2034</v>
      </c>
      <c r="D38" s="508">
        <f>IF(F37+SUM(E$17:E37)=D$10,F37,D$10-SUM(E$17:E37))</f>
        <v>12158534.332992788</v>
      </c>
      <c r="E38" s="509">
        <f>IF(+I14&lt;F37,I14,D38)</f>
        <v>932717.2819354838</v>
      </c>
      <c r="F38" s="510">
        <f t="shared" si="13"/>
        <v>11225817.051057305</v>
      </c>
      <c r="G38" s="511">
        <f t="shared" si="14"/>
        <v>2197636.0947239548</v>
      </c>
      <c r="H38" s="477">
        <f t="shared" si="15"/>
        <v>2197636.0947239548</v>
      </c>
      <c r="I38" s="500">
        <f t="shared" si="7"/>
        <v>0</v>
      </c>
      <c r="J38" s="500"/>
      <c r="K38" s="512"/>
      <c r="L38" s="504">
        <f t="shared" si="2"/>
        <v>0</v>
      </c>
      <c r="M38" s="512"/>
      <c r="N38" s="504">
        <f t="shared" si="4"/>
        <v>0</v>
      </c>
      <c r="O38" s="504">
        <f t="shared" si="5"/>
        <v>0</v>
      </c>
      <c r="P38" s="278"/>
      <c r="R38" s="243"/>
      <c r="S38" s="243"/>
      <c r="T38" s="243"/>
      <c r="U38" s="243"/>
    </row>
    <row r="39" spans="2:21" ht="12.5">
      <c r="B39" s="145" t="str">
        <f t="shared" si="0"/>
        <v/>
      </c>
      <c r="C39" s="495">
        <f>IF(D11="","-",+C38+1)</f>
        <v>2035</v>
      </c>
      <c r="D39" s="508">
        <f>IF(F38+SUM(E$17:E38)=D$10,F38,D$10-SUM(E$17:E38))</f>
        <v>11225817.051057305</v>
      </c>
      <c r="E39" s="509">
        <f>IF(+I14&lt;F38,I14,D39)</f>
        <v>932717.2819354838</v>
      </c>
      <c r="F39" s="510">
        <f t="shared" si="13"/>
        <v>10293099.769121822</v>
      </c>
      <c r="G39" s="511">
        <f t="shared" si="14"/>
        <v>2096730.0129125221</v>
      </c>
      <c r="H39" s="477">
        <f t="shared" si="15"/>
        <v>2096730.0129125221</v>
      </c>
      <c r="I39" s="500">
        <f t="shared" si="7"/>
        <v>0</v>
      </c>
      <c r="J39" s="500"/>
      <c r="K39" s="512"/>
      <c r="L39" s="504">
        <f t="shared" si="2"/>
        <v>0</v>
      </c>
      <c r="M39" s="512"/>
      <c r="N39" s="504">
        <f t="shared" si="4"/>
        <v>0</v>
      </c>
      <c r="O39" s="504">
        <f t="shared" si="5"/>
        <v>0</v>
      </c>
      <c r="P39" s="278"/>
      <c r="R39" s="243"/>
      <c r="S39" s="243"/>
      <c r="T39" s="243"/>
      <c r="U39" s="243"/>
    </row>
    <row r="40" spans="2:21" ht="12.5">
      <c r="B40" s="145" t="str">
        <f t="shared" si="0"/>
        <v/>
      </c>
      <c r="C40" s="495">
        <f>IF(D11="","-",+C39+1)</f>
        <v>2036</v>
      </c>
      <c r="D40" s="508">
        <f>IF(F39+SUM(E$17:E39)=D$10,F39,D$10-SUM(E$17:E39))</f>
        <v>10293099.769121822</v>
      </c>
      <c r="E40" s="509">
        <f>IF(+I14&lt;F39,I14,D40)</f>
        <v>932717.2819354838</v>
      </c>
      <c r="F40" s="510">
        <f t="shared" si="13"/>
        <v>9360382.4871863388</v>
      </c>
      <c r="G40" s="511">
        <f t="shared" si="14"/>
        <v>1995823.9311010898</v>
      </c>
      <c r="H40" s="477">
        <f t="shared" si="15"/>
        <v>1995823.9311010898</v>
      </c>
      <c r="I40" s="500">
        <f t="shared" si="7"/>
        <v>0</v>
      </c>
      <c r="J40" s="500"/>
      <c r="K40" s="512"/>
      <c r="L40" s="504">
        <f t="shared" si="2"/>
        <v>0</v>
      </c>
      <c r="M40" s="512"/>
      <c r="N40" s="504">
        <f t="shared" si="4"/>
        <v>0</v>
      </c>
      <c r="O40" s="504">
        <f t="shared" si="5"/>
        <v>0</v>
      </c>
      <c r="P40" s="278"/>
      <c r="R40" s="243"/>
      <c r="S40" s="243"/>
      <c r="T40" s="243"/>
      <c r="U40" s="243"/>
    </row>
    <row r="41" spans="2:21" ht="12.5">
      <c r="B41" s="145" t="str">
        <f t="shared" si="0"/>
        <v/>
      </c>
      <c r="C41" s="495">
        <f>IF(D12="","-",+C40+1)</f>
        <v>2037</v>
      </c>
      <c r="D41" s="508">
        <f>IF(F40+SUM(E$17:E40)=D$10,F40,D$10-SUM(E$17:E40))</f>
        <v>9360382.4871863388</v>
      </c>
      <c r="E41" s="509">
        <f>IF(+I14&lt;F40,I14,D41)</f>
        <v>932717.2819354838</v>
      </c>
      <c r="F41" s="510">
        <f t="shared" si="13"/>
        <v>8427665.2052508555</v>
      </c>
      <c r="G41" s="511">
        <f t="shared" si="14"/>
        <v>1894917.8492896575</v>
      </c>
      <c r="H41" s="477">
        <f t="shared" si="15"/>
        <v>1894917.8492896575</v>
      </c>
      <c r="I41" s="500">
        <f t="shared" si="7"/>
        <v>0</v>
      </c>
      <c r="J41" s="500"/>
      <c r="K41" s="512"/>
      <c r="L41" s="504">
        <f t="shared" si="2"/>
        <v>0</v>
      </c>
      <c r="M41" s="512"/>
      <c r="N41" s="504">
        <f t="shared" si="4"/>
        <v>0</v>
      </c>
      <c r="O41" s="504">
        <f t="shared" si="5"/>
        <v>0</v>
      </c>
      <c r="P41" s="278"/>
      <c r="R41" s="243"/>
      <c r="S41" s="243"/>
      <c r="T41" s="243"/>
      <c r="U41" s="243"/>
    </row>
    <row r="42" spans="2:21" ht="12.5">
      <c r="B42" s="145" t="str">
        <f t="shared" si="0"/>
        <v/>
      </c>
      <c r="C42" s="495">
        <f>IF(D13="","-",+C41+1)</f>
        <v>2038</v>
      </c>
      <c r="D42" s="508">
        <f>IF(F41+SUM(E$17:E41)=D$10,F41,D$10-SUM(E$17:E41))</f>
        <v>8427665.2052508555</v>
      </c>
      <c r="E42" s="509">
        <f>IF(+I14&lt;F41,I14,D42)</f>
        <v>932717.2819354838</v>
      </c>
      <c r="F42" s="510">
        <f t="shared" si="13"/>
        <v>7494947.9233153714</v>
      </c>
      <c r="G42" s="511">
        <f t="shared" si="14"/>
        <v>1794011.7674782251</v>
      </c>
      <c r="H42" s="477">
        <f t="shared" si="15"/>
        <v>1794011.7674782251</v>
      </c>
      <c r="I42" s="500">
        <f t="shared" si="7"/>
        <v>0</v>
      </c>
      <c r="J42" s="500"/>
      <c r="K42" s="512"/>
      <c r="L42" s="504">
        <f t="shared" si="2"/>
        <v>0</v>
      </c>
      <c r="M42" s="512"/>
      <c r="N42" s="504">
        <f t="shared" si="4"/>
        <v>0</v>
      </c>
      <c r="O42" s="504">
        <f t="shared" si="5"/>
        <v>0</v>
      </c>
      <c r="P42" s="278"/>
      <c r="R42" s="243"/>
      <c r="S42" s="243"/>
      <c r="T42" s="243"/>
      <c r="U42" s="243"/>
    </row>
    <row r="43" spans="2:21" ht="12.5">
      <c r="B43" s="145" t="str">
        <f t="shared" si="0"/>
        <v/>
      </c>
      <c r="C43" s="495">
        <f>IF(D11="","-",+C42+1)</f>
        <v>2039</v>
      </c>
      <c r="D43" s="508">
        <f>IF(F42+SUM(E$17:E42)=D$10,F42,D$10-SUM(E$17:E42))</f>
        <v>7494947.9233153714</v>
      </c>
      <c r="E43" s="509">
        <f>IF(+I14&lt;F42,I14,D43)</f>
        <v>932717.2819354838</v>
      </c>
      <c r="F43" s="510">
        <f t="shared" si="13"/>
        <v>6562230.6413798872</v>
      </c>
      <c r="G43" s="511">
        <f t="shared" si="14"/>
        <v>1693105.6856667923</v>
      </c>
      <c r="H43" s="477">
        <f t="shared" si="15"/>
        <v>1693105.6856667923</v>
      </c>
      <c r="I43" s="500">
        <f t="shared" si="7"/>
        <v>0</v>
      </c>
      <c r="J43" s="500"/>
      <c r="K43" s="512"/>
      <c r="L43" s="504">
        <f t="shared" si="2"/>
        <v>0</v>
      </c>
      <c r="M43" s="512"/>
      <c r="N43" s="504">
        <f t="shared" si="4"/>
        <v>0</v>
      </c>
      <c r="O43" s="504">
        <f t="shared" si="5"/>
        <v>0</v>
      </c>
      <c r="P43" s="278"/>
      <c r="R43" s="243"/>
      <c r="S43" s="243"/>
      <c r="T43" s="243"/>
      <c r="U43" s="243"/>
    </row>
    <row r="44" spans="2:21" ht="12.5">
      <c r="B44" s="145" t="str">
        <f t="shared" si="0"/>
        <v/>
      </c>
      <c r="C44" s="495">
        <f>IF(D11="","-",+C43+1)</f>
        <v>2040</v>
      </c>
      <c r="D44" s="508">
        <f>IF(F43+SUM(E$17:E43)=D$10,F43,D$10-SUM(E$17:E43))</f>
        <v>6562230.6413798872</v>
      </c>
      <c r="E44" s="509">
        <f>IF(+I14&lt;F43,I14,D44)</f>
        <v>932717.2819354838</v>
      </c>
      <c r="F44" s="510">
        <f t="shared" si="13"/>
        <v>5629513.3594444031</v>
      </c>
      <c r="G44" s="511">
        <f t="shared" si="14"/>
        <v>1592199.6038553598</v>
      </c>
      <c r="H44" s="477">
        <f t="shared" si="15"/>
        <v>1592199.6038553598</v>
      </c>
      <c r="I44" s="500">
        <f t="shared" si="7"/>
        <v>0</v>
      </c>
      <c r="J44" s="500"/>
      <c r="K44" s="512"/>
      <c r="L44" s="504">
        <f t="shared" si="2"/>
        <v>0</v>
      </c>
      <c r="M44" s="512"/>
      <c r="N44" s="504">
        <f t="shared" si="4"/>
        <v>0</v>
      </c>
      <c r="O44" s="504">
        <f t="shared" si="5"/>
        <v>0</v>
      </c>
      <c r="P44" s="278"/>
      <c r="R44" s="243"/>
      <c r="S44" s="243"/>
      <c r="T44" s="243"/>
      <c r="U44" s="243"/>
    </row>
    <row r="45" spans="2:21" ht="12.5">
      <c r="B45" s="145" t="str">
        <f t="shared" si="0"/>
        <v/>
      </c>
      <c r="C45" s="495">
        <f>IF(D11="","-",+C44+1)</f>
        <v>2041</v>
      </c>
      <c r="D45" s="508">
        <f>IF(F44+SUM(E$17:E44)=D$10,F44,D$10-SUM(E$17:E44))</f>
        <v>5629513.3594444031</v>
      </c>
      <c r="E45" s="509">
        <f>IF(+I14&lt;F44,I14,D45)</f>
        <v>932717.2819354838</v>
      </c>
      <c r="F45" s="510">
        <f t="shared" si="13"/>
        <v>4696796.0775089189</v>
      </c>
      <c r="G45" s="511">
        <f t="shared" si="14"/>
        <v>1491293.5220439273</v>
      </c>
      <c r="H45" s="477">
        <f t="shared" si="15"/>
        <v>1491293.5220439273</v>
      </c>
      <c r="I45" s="500">
        <f t="shared" si="7"/>
        <v>0</v>
      </c>
      <c r="J45" s="500"/>
      <c r="K45" s="512"/>
      <c r="L45" s="504">
        <f t="shared" si="2"/>
        <v>0</v>
      </c>
      <c r="M45" s="512"/>
      <c r="N45" s="504">
        <f t="shared" si="4"/>
        <v>0</v>
      </c>
      <c r="O45" s="504">
        <f t="shared" si="5"/>
        <v>0</v>
      </c>
      <c r="P45" s="278"/>
      <c r="R45" s="243"/>
      <c r="S45" s="243"/>
      <c r="T45" s="243"/>
      <c r="U45" s="243"/>
    </row>
    <row r="46" spans="2:21" ht="12.5">
      <c r="B46" s="145" t="str">
        <f t="shared" si="0"/>
        <v/>
      </c>
      <c r="C46" s="495">
        <f>IF(D11="","-",+C45+1)</f>
        <v>2042</v>
      </c>
      <c r="D46" s="508">
        <f>IF(F45+SUM(E$17:E45)=D$10,F45,D$10-SUM(E$17:E45))</f>
        <v>4696796.0775089189</v>
      </c>
      <c r="E46" s="509">
        <f>IF(+I14&lt;F45,I14,D46)</f>
        <v>932717.2819354838</v>
      </c>
      <c r="F46" s="510">
        <f t="shared" si="13"/>
        <v>3764078.7955734353</v>
      </c>
      <c r="G46" s="511">
        <f t="shared" si="14"/>
        <v>1390387.4402324948</v>
      </c>
      <c r="H46" s="477">
        <f t="shared" si="15"/>
        <v>1390387.4402324948</v>
      </c>
      <c r="I46" s="500">
        <f t="shared" si="7"/>
        <v>0</v>
      </c>
      <c r="J46" s="500"/>
      <c r="K46" s="512"/>
      <c r="L46" s="504">
        <f t="shared" si="2"/>
        <v>0</v>
      </c>
      <c r="M46" s="512"/>
      <c r="N46" s="504">
        <f t="shared" si="4"/>
        <v>0</v>
      </c>
      <c r="O46" s="504">
        <f t="shared" si="5"/>
        <v>0</v>
      </c>
      <c r="P46" s="278"/>
      <c r="R46" s="243"/>
      <c r="S46" s="243"/>
      <c r="T46" s="243"/>
      <c r="U46" s="243"/>
    </row>
    <row r="47" spans="2:21" ht="12.5">
      <c r="B47" s="145" t="str">
        <f t="shared" si="0"/>
        <v/>
      </c>
      <c r="C47" s="495">
        <f>IF(D11="","-",+C46+1)</f>
        <v>2043</v>
      </c>
      <c r="D47" s="508">
        <f>IF(F46+SUM(E$17:E46)=D$10,F46,D$10-SUM(E$17:E46))</f>
        <v>3764078.7955734353</v>
      </c>
      <c r="E47" s="509">
        <f>IF(+I14&lt;F46,I14,D47)</f>
        <v>932717.2819354838</v>
      </c>
      <c r="F47" s="510">
        <f t="shared" si="13"/>
        <v>2831361.5136379516</v>
      </c>
      <c r="G47" s="511">
        <f t="shared" si="14"/>
        <v>1289481.3584210624</v>
      </c>
      <c r="H47" s="477">
        <f t="shared" si="15"/>
        <v>1289481.3584210624</v>
      </c>
      <c r="I47" s="500">
        <f t="shared" si="7"/>
        <v>0</v>
      </c>
      <c r="J47" s="500"/>
      <c r="K47" s="512"/>
      <c r="L47" s="504">
        <f t="shared" si="2"/>
        <v>0</v>
      </c>
      <c r="M47" s="512"/>
      <c r="N47" s="504">
        <f t="shared" si="4"/>
        <v>0</v>
      </c>
      <c r="O47" s="504">
        <f t="shared" si="5"/>
        <v>0</v>
      </c>
      <c r="P47" s="278"/>
      <c r="R47" s="243"/>
      <c r="S47" s="243"/>
      <c r="T47" s="243"/>
      <c r="U47" s="243"/>
    </row>
    <row r="48" spans="2:21" ht="12.5">
      <c r="B48" s="145" t="str">
        <f t="shared" si="0"/>
        <v/>
      </c>
      <c r="C48" s="495">
        <f>IF(D11="","-",+C47+1)</f>
        <v>2044</v>
      </c>
      <c r="D48" s="508">
        <f>IF(F47+SUM(E$17:E47)=D$10,F47,D$10-SUM(E$17:E47))</f>
        <v>2831361.5136379516</v>
      </c>
      <c r="E48" s="509">
        <f>IF(+I14&lt;F47,I14,D48)</f>
        <v>932717.2819354838</v>
      </c>
      <c r="F48" s="510">
        <f t="shared" si="13"/>
        <v>1898644.2317024679</v>
      </c>
      <c r="G48" s="511">
        <f t="shared" si="14"/>
        <v>1188575.2766096299</v>
      </c>
      <c r="H48" s="477">
        <f t="shared" si="15"/>
        <v>1188575.2766096299</v>
      </c>
      <c r="I48" s="500">
        <f t="shared" si="7"/>
        <v>0</v>
      </c>
      <c r="J48" s="500"/>
      <c r="K48" s="512"/>
      <c r="L48" s="504">
        <f t="shared" si="2"/>
        <v>0</v>
      </c>
      <c r="M48" s="512"/>
      <c r="N48" s="504">
        <f t="shared" si="4"/>
        <v>0</v>
      </c>
      <c r="O48" s="504">
        <f t="shared" si="5"/>
        <v>0</v>
      </c>
      <c r="P48" s="278"/>
      <c r="R48" s="243"/>
      <c r="S48" s="243"/>
      <c r="T48" s="243"/>
      <c r="U48" s="243"/>
    </row>
    <row r="49" spans="2:21" ht="12.5">
      <c r="B49" s="145" t="str">
        <f t="shared" si="0"/>
        <v/>
      </c>
      <c r="C49" s="495">
        <f>IF(D11="","-",+C48+1)</f>
        <v>2045</v>
      </c>
      <c r="D49" s="508">
        <f>IF(F48+SUM(E$17:E48)=D$10,F48,D$10-SUM(E$17:E48))</f>
        <v>1898644.2317024679</v>
      </c>
      <c r="E49" s="509">
        <f>IF(+I14&lt;F48,I14,D49)</f>
        <v>932717.2819354838</v>
      </c>
      <c r="F49" s="510">
        <f t="shared" si="13"/>
        <v>965926.94976698409</v>
      </c>
      <c r="G49" s="511">
        <f t="shared" si="14"/>
        <v>1087669.1947981974</v>
      </c>
      <c r="H49" s="477">
        <f t="shared" si="15"/>
        <v>1087669.1947981974</v>
      </c>
      <c r="I49" s="500">
        <f t="shared" si="7"/>
        <v>0</v>
      </c>
      <c r="J49" s="500"/>
      <c r="K49" s="512"/>
      <c r="L49" s="504">
        <f t="shared" si="2"/>
        <v>0</v>
      </c>
      <c r="M49" s="512"/>
      <c r="N49" s="504">
        <f t="shared" si="4"/>
        <v>0</v>
      </c>
      <c r="O49" s="504">
        <f t="shared" si="5"/>
        <v>0</v>
      </c>
      <c r="P49" s="278"/>
      <c r="R49" s="243"/>
      <c r="S49" s="243"/>
      <c r="T49" s="243"/>
      <c r="U49" s="243"/>
    </row>
    <row r="50" spans="2:21" ht="12.5">
      <c r="B50" s="145" t="str">
        <f t="shared" ref="B50:B73" si="16">IF(D50=F49,"","IU")</f>
        <v/>
      </c>
      <c r="C50" s="495">
        <f>IF(D11="","-",+C49+1)</f>
        <v>2046</v>
      </c>
      <c r="D50" s="508">
        <f>IF(F49+SUM(E$17:E49)=D$10,F49,D$10-SUM(E$17:E49))</f>
        <v>965926.94976698409</v>
      </c>
      <c r="E50" s="509">
        <f>IF(+I14&lt;F49,I14,D50)</f>
        <v>932717.2819354838</v>
      </c>
      <c r="F50" s="510">
        <f t="shared" ref="F50:F73" si="17">+D50-E50</f>
        <v>33209.667831500294</v>
      </c>
      <c r="G50" s="511">
        <f t="shared" si="14"/>
        <v>986763.11298676487</v>
      </c>
      <c r="H50" s="477">
        <f t="shared" si="15"/>
        <v>986763.11298676487</v>
      </c>
      <c r="I50" s="500">
        <f t="shared" ref="I50:I73" si="18">H50-G50</f>
        <v>0</v>
      </c>
      <c r="J50" s="500"/>
      <c r="K50" s="512"/>
      <c r="L50" s="504">
        <f t="shared" ref="L50:L73" si="19">IF(K50&lt;&gt;0,+G50-K50,0)</f>
        <v>0</v>
      </c>
      <c r="M50" s="512"/>
      <c r="N50" s="504">
        <f t="shared" ref="N50:N73" si="20">IF(M50&lt;&gt;0,+H50-M50,0)</f>
        <v>0</v>
      </c>
      <c r="O50" s="504">
        <f t="shared" ref="O50:O73" si="21">+N50-L50</f>
        <v>0</v>
      </c>
      <c r="P50" s="278"/>
      <c r="R50" s="243"/>
      <c r="S50" s="243"/>
      <c r="T50" s="243"/>
      <c r="U50" s="243"/>
    </row>
    <row r="51" spans="2:21" ht="12.5">
      <c r="B51" s="145" t="str">
        <f t="shared" si="16"/>
        <v/>
      </c>
      <c r="C51" s="495">
        <f>IF(D11="","-",+C50+1)</f>
        <v>2047</v>
      </c>
      <c r="D51" s="508">
        <f>IF(F50+SUM(E$17:E50)=D$10,F50,D$10-SUM(E$17:E50))</f>
        <v>33209.667831500294</v>
      </c>
      <c r="E51" s="509">
        <f>IF(+I14&lt;F50,I14,D51)</f>
        <v>33209.667831500294</v>
      </c>
      <c r="F51" s="510">
        <f t="shared" si="17"/>
        <v>0</v>
      </c>
      <c r="G51" s="511">
        <f t="shared" si="14"/>
        <v>35006.062904282735</v>
      </c>
      <c r="H51" s="477">
        <f t="shared" si="15"/>
        <v>35006.062904282735</v>
      </c>
      <c r="I51" s="500">
        <f t="shared" si="18"/>
        <v>0</v>
      </c>
      <c r="J51" s="500"/>
      <c r="K51" s="512"/>
      <c r="L51" s="504">
        <f t="shared" si="19"/>
        <v>0</v>
      </c>
      <c r="M51" s="512"/>
      <c r="N51" s="504">
        <f t="shared" si="20"/>
        <v>0</v>
      </c>
      <c r="O51" s="504">
        <f t="shared" si="21"/>
        <v>0</v>
      </c>
      <c r="P51" s="278"/>
      <c r="R51" s="243"/>
      <c r="S51" s="243"/>
      <c r="T51" s="243"/>
      <c r="U51" s="243"/>
    </row>
    <row r="52" spans="2:21" ht="12.5">
      <c r="B52" s="145" t="str">
        <f t="shared" si="16"/>
        <v/>
      </c>
      <c r="C52" s="495">
        <f>IF(D11="","-",+C51+1)</f>
        <v>2048</v>
      </c>
      <c r="D52" s="508">
        <f>IF(F51+SUM(E$17:E51)=D$10,F51,D$10-SUM(E$17:E51))</f>
        <v>0</v>
      </c>
      <c r="E52" s="509">
        <f>IF(+I14&lt;F51,I14,D52)</f>
        <v>0</v>
      </c>
      <c r="F52" s="510">
        <f t="shared" si="17"/>
        <v>0</v>
      </c>
      <c r="G52" s="511">
        <f t="shared" si="14"/>
        <v>0</v>
      </c>
      <c r="H52" s="477">
        <f t="shared" si="15"/>
        <v>0</v>
      </c>
      <c r="I52" s="500">
        <f t="shared" si="18"/>
        <v>0</v>
      </c>
      <c r="J52" s="500"/>
      <c r="K52" s="512"/>
      <c r="L52" s="504">
        <f t="shared" si="19"/>
        <v>0</v>
      </c>
      <c r="M52" s="512"/>
      <c r="N52" s="504">
        <f t="shared" si="20"/>
        <v>0</v>
      </c>
      <c r="O52" s="504">
        <f t="shared" si="21"/>
        <v>0</v>
      </c>
      <c r="P52" s="278"/>
      <c r="R52" s="243"/>
      <c r="S52" s="243"/>
      <c r="T52" s="243"/>
      <c r="U52" s="243"/>
    </row>
    <row r="53" spans="2:21" ht="12.5">
      <c r="B53" s="145" t="str">
        <f t="shared" si="16"/>
        <v/>
      </c>
      <c r="C53" s="495">
        <f>IF(D11="","-",+C52+1)</f>
        <v>2049</v>
      </c>
      <c r="D53" s="470">
        <f>IF(F52+SUM(E$17:E52)=D$10,F52,D$10-SUM(E$17:E52))</f>
        <v>0</v>
      </c>
      <c r="E53" s="509">
        <f>IF(+I14&lt;F52,I14,D53)</f>
        <v>0</v>
      </c>
      <c r="F53" s="510">
        <f t="shared" si="17"/>
        <v>0</v>
      </c>
      <c r="G53" s="511">
        <f t="shared" si="14"/>
        <v>0</v>
      </c>
      <c r="H53" s="477">
        <f t="shared" si="15"/>
        <v>0</v>
      </c>
      <c r="I53" s="500">
        <f t="shared" si="18"/>
        <v>0</v>
      </c>
      <c r="J53" s="500"/>
      <c r="K53" s="512"/>
      <c r="L53" s="504">
        <f t="shared" si="19"/>
        <v>0</v>
      </c>
      <c r="M53" s="512"/>
      <c r="N53" s="504">
        <f t="shared" si="20"/>
        <v>0</v>
      </c>
      <c r="O53" s="504">
        <f t="shared" si="21"/>
        <v>0</v>
      </c>
      <c r="P53" s="278"/>
      <c r="R53" s="243"/>
      <c r="S53" s="243"/>
      <c r="T53" s="243"/>
      <c r="U53" s="243"/>
    </row>
    <row r="54" spans="2:21" ht="12.5">
      <c r="B54" s="145" t="str">
        <f t="shared" si="16"/>
        <v/>
      </c>
      <c r="C54" s="495">
        <f>IF(D11="","-",+C53+1)</f>
        <v>2050</v>
      </c>
      <c r="D54" s="508">
        <f>IF(F53+SUM(E$17:E53)=D$10,F53,D$10-SUM(E$17:E53))</f>
        <v>0</v>
      </c>
      <c r="E54" s="509">
        <f>IF(+I14&lt;F53,I14,D54)</f>
        <v>0</v>
      </c>
      <c r="F54" s="510">
        <f t="shared" si="17"/>
        <v>0</v>
      </c>
      <c r="G54" s="511">
        <f t="shared" si="14"/>
        <v>0</v>
      </c>
      <c r="H54" s="477">
        <f t="shared" si="15"/>
        <v>0</v>
      </c>
      <c r="I54" s="500">
        <f t="shared" si="18"/>
        <v>0</v>
      </c>
      <c r="J54" s="500"/>
      <c r="K54" s="512"/>
      <c r="L54" s="504">
        <f t="shared" si="19"/>
        <v>0</v>
      </c>
      <c r="M54" s="512"/>
      <c r="N54" s="504">
        <f t="shared" si="20"/>
        <v>0</v>
      </c>
      <c r="O54" s="504">
        <f t="shared" si="21"/>
        <v>0</v>
      </c>
      <c r="P54" s="278"/>
      <c r="R54" s="243"/>
      <c r="S54" s="243"/>
      <c r="T54" s="243"/>
      <c r="U54" s="243"/>
    </row>
    <row r="55" spans="2:21" ht="12.5">
      <c r="B55" s="145" t="str">
        <f t="shared" si="16"/>
        <v/>
      </c>
      <c r="C55" s="495">
        <f>IF(D11="","-",+C54+1)</f>
        <v>2051</v>
      </c>
      <c r="D55" s="508">
        <f>IF(F54+SUM(E$17:E54)=D$10,F54,D$10-SUM(E$17:E54))</f>
        <v>0</v>
      </c>
      <c r="E55" s="509">
        <f>IF(+I14&lt;F54,I14,D55)</f>
        <v>0</v>
      </c>
      <c r="F55" s="510">
        <f t="shared" si="17"/>
        <v>0</v>
      </c>
      <c r="G55" s="511">
        <f t="shared" si="14"/>
        <v>0</v>
      </c>
      <c r="H55" s="477">
        <f t="shared" si="15"/>
        <v>0</v>
      </c>
      <c r="I55" s="500">
        <f t="shared" si="18"/>
        <v>0</v>
      </c>
      <c r="J55" s="500"/>
      <c r="K55" s="512"/>
      <c r="L55" s="504">
        <f t="shared" si="19"/>
        <v>0</v>
      </c>
      <c r="M55" s="512"/>
      <c r="N55" s="504">
        <f t="shared" si="20"/>
        <v>0</v>
      </c>
      <c r="O55" s="504">
        <f t="shared" si="21"/>
        <v>0</v>
      </c>
      <c r="P55" s="278"/>
      <c r="R55" s="243"/>
      <c r="S55" s="243"/>
      <c r="T55" s="243"/>
      <c r="U55" s="243"/>
    </row>
    <row r="56" spans="2:21" ht="12.5">
      <c r="B56" s="145" t="str">
        <f t="shared" si="16"/>
        <v/>
      </c>
      <c r="C56" s="495">
        <f>IF(D11="","-",+C55+1)</f>
        <v>2052</v>
      </c>
      <c r="D56" s="508">
        <f>IF(F55+SUM(E$17:E55)=D$10,F55,D$10-SUM(E$17:E55))</f>
        <v>0</v>
      </c>
      <c r="E56" s="509">
        <f>IF(+I14&lt;F55,I14,D56)</f>
        <v>0</v>
      </c>
      <c r="F56" s="510">
        <f t="shared" si="17"/>
        <v>0</v>
      </c>
      <c r="G56" s="511">
        <f t="shared" si="14"/>
        <v>0</v>
      </c>
      <c r="H56" s="477">
        <f t="shared" si="15"/>
        <v>0</v>
      </c>
      <c r="I56" s="500">
        <f t="shared" si="18"/>
        <v>0</v>
      </c>
      <c r="J56" s="500"/>
      <c r="K56" s="512"/>
      <c r="L56" s="504">
        <f t="shared" si="19"/>
        <v>0</v>
      </c>
      <c r="M56" s="512"/>
      <c r="N56" s="504">
        <f t="shared" si="20"/>
        <v>0</v>
      </c>
      <c r="O56" s="504">
        <f t="shared" si="21"/>
        <v>0</v>
      </c>
      <c r="P56" s="278"/>
      <c r="R56" s="243"/>
      <c r="S56" s="243"/>
      <c r="T56" s="243"/>
      <c r="U56" s="243"/>
    </row>
    <row r="57" spans="2:21" ht="12.5">
      <c r="B57" s="145" t="str">
        <f t="shared" si="16"/>
        <v/>
      </c>
      <c r="C57" s="495">
        <f>IF(D11="","-",+C56+1)</f>
        <v>2053</v>
      </c>
      <c r="D57" s="508">
        <f>IF(F56+SUM(E$17:E56)=D$10,F56,D$10-SUM(E$17:E56))</f>
        <v>0</v>
      </c>
      <c r="E57" s="509">
        <f>IF(+I14&lt;F56,I14,D57)</f>
        <v>0</v>
      </c>
      <c r="F57" s="510">
        <f t="shared" si="17"/>
        <v>0</v>
      </c>
      <c r="G57" s="511">
        <f t="shared" si="14"/>
        <v>0</v>
      </c>
      <c r="H57" s="477">
        <f t="shared" si="15"/>
        <v>0</v>
      </c>
      <c r="I57" s="500">
        <f t="shared" si="18"/>
        <v>0</v>
      </c>
      <c r="J57" s="500"/>
      <c r="K57" s="512"/>
      <c r="L57" s="504">
        <f t="shared" si="19"/>
        <v>0</v>
      </c>
      <c r="M57" s="512"/>
      <c r="N57" s="504">
        <f t="shared" si="20"/>
        <v>0</v>
      </c>
      <c r="O57" s="504">
        <f t="shared" si="21"/>
        <v>0</v>
      </c>
      <c r="P57" s="278"/>
      <c r="R57" s="243"/>
      <c r="S57" s="243"/>
      <c r="T57" s="243"/>
      <c r="U57" s="243"/>
    </row>
    <row r="58" spans="2:21" ht="12.5">
      <c r="B58" s="145" t="str">
        <f t="shared" si="16"/>
        <v/>
      </c>
      <c r="C58" s="495">
        <f>IF(D11="","-",+C57+1)</f>
        <v>2054</v>
      </c>
      <c r="D58" s="508">
        <f>IF(F57+SUM(E$17:E57)=D$10,F57,D$10-SUM(E$17:E57))</f>
        <v>0</v>
      </c>
      <c r="E58" s="509">
        <f>IF(+I14&lt;F57,I14,D58)</f>
        <v>0</v>
      </c>
      <c r="F58" s="510">
        <f t="shared" si="17"/>
        <v>0</v>
      </c>
      <c r="G58" s="511">
        <f t="shared" si="14"/>
        <v>0</v>
      </c>
      <c r="H58" s="477">
        <f t="shared" si="15"/>
        <v>0</v>
      </c>
      <c r="I58" s="500">
        <f t="shared" si="18"/>
        <v>0</v>
      </c>
      <c r="J58" s="500"/>
      <c r="K58" s="512"/>
      <c r="L58" s="504">
        <f t="shared" si="19"/>
        <v>0</v>
      </c>
      <c r="M58" s="512"/>
      <c r="N58" s="504">
        <f t="shared" si="20"/>
        <v>0</v>
      </c>
      <c r="O58" s="504">
        <f t="shared" si="21"/>
        <v>0</v>
      </c>
      <c r="P58" s="278"/>
      <c r="R58" s="243"/>
      <c r="S58" s="243"/>
      <c r="T58" s="243"/>
      <c r="U58" s="243"/>
    </row>
    <row r="59" spans="2:21" ht="12.5">
      <c r="B59" s="145" t="str">
        <f t="shared" si="16"/>
        <v/>
      </c>
      <c r="C59" s="495">
        <f>IF(D11="","-",+C58+1)</f>
        <v>2055</v>
      </c>
      <c r="D59" s="508">
        <f>IF(F58+SUM(E$17:E58)=D$10,F58,D$10-SUM(E$17:E58))</f>
        <v>0</v>
      </c>
      <c r="E59" s="509">
        <f>IF(+I14&lt;F58,I14,D59)</f>
        <v>0</v>
      </c>
      <c r="F59" s="510">
        <f t="shared" si="17"/>
        <v>0</v>
      </c>
      <c r="G59" s="511">
        <f t="shared" si="14"/>
        <v>0</v>
      </c>
      <c r="H59" s="477">
        <f t="shared" si="15"/>
        <v>0</v>
      </c>
      <c r="I59" s="500">
        <f t="shared" si="18"/>
        <v>0</v>
      </c>
      <c r="J59" s="500"/>
      <c r="K59" s="512"/>
      <c r="L59" s="504">
        <f t="shared" si="19"/>
        <v>0</v>
      </c>
      <c r="M59" s="512"/>
      <c r="N59" s="504">
        <f t="shared" si="20"/>
        <v>0</v>
      </c>
      <c r="O59" s="504">
        <f t="shared" si="21"/>
        <v>0</v>
      </c>
      <c r="P59" s="278"/>
      <c r="R59" s="243"/>
      <c r="S59" s="243"/>
      <c r="T59" s="243"/>
      <c r="U59" s="243"/>
    </row>
    <row r="60" spans="2:21" ht="12.5">
      <c r="B60" s="145" t="str">
        <f t="shared" si="16"/>
        <v/>
      </c>
      <c r="C60" s="495">
        <f>IF(D11="","-",+C59+1)</f>
        <v>2056</v>
      </c>
      <c r="D60" s="508">
        <f>IF(F59+SUM(E$17:E59)=D$10,F59,D$10-SUM(E$17:E59))</f>
        <v>0</v>
      </c>
      <c r="E60" s="509">
        <f>IF(+I14&lt;F59,I14,D60)</f>
        <v>0</v>
      </c>
      <c r="F60" s="510">
        <f t="shared" si="17"/>
        <v>0</v>
      </c>
      <c r="G60" s="511">
        <f t="shared" si="14"/>
        <v>0</v>
      </c>
      <c r="H60" s="477">
        <f t="shared" si="15"/>
        <v>0</v>
      </c>
      <c r="I60" s="500">
        <f t="shared" si="18"/>
        <v>0</v>
      </c>
      <c r="J60" s="500"/>
      <c r="K60" s="512"/>
      <c r="L60" s="504">
        <f t="shared" si="19"/>
        <v>0</v>
      </c>
      <c r="M60" s="512"/>
      <c r="N60" s="504">
        <f t="shared" si="20"/>
        <v>0</v>
      </c>
      <c r="O60" s="504">
        <f t="shared" si="21"/>
        <v>0</v>
      </c>
      <c r="P60" s="278"/>
      <c r="R60" s="243"/>
      <c r="S60" s="243"/>
      <c r="T60" s="243"/>
      <c r="U60" s="243"/>
    </row>
    <row r="61" spans="2:21" ht="12.5">
      <c r="B61" s="145" t="str">
        <f t="shared" si="16"/>
        <v/>
      </c>
      <c r="C61" s="495">
        <f>IF(D11="","-",+C60+1)</f>
        <v>2057</v>
      </c>
      <c r="D61" s="508">
        <f>IF(F60+SUM(E$17:E60)=D$10,F60,D$10-SUM(E$17:E60))</f>
        <v>0</v>
      </c>
      <c r="E61" s="509">
        <f>IF(+I14&lt;F60,I14,D61)</f>
        <v>0</v>
      </c>
      <c r="F61" s="510">
        <f t="shared" si="17"/>
        <v>0</v>
      </c>
      <c r="G61" s="511">
        <f t="shared" si="14"/>
        <v>0</v>
      </c>
      <c r="H61" s="477">
        <f t="shared" si="15"/>
        <v>0</v>
      </c>
      <c r="I61" s="500">
        <f t="shared" si="18"/>
        <v>0</v>
      </c>
      <c r="J61" s="500"/>
      <c r="K61" s="512"/>
      <c r="L61" s="504">
        <f t="shared" si="19"/>
        <v>0</v>
      </c>
      <c r="M61" s="512"/>
      <c r="N61" s="504">
        <f t="shared" si="20"/>
        <v>0</v>
      </c>
      <c r="O61" s="504">
        <f t="shared" si="21"/>
        <v>0</v>
      </c>
      <c r="P61" s="278"/>
      <c r="R61" s="243"/>
      <c r="S61" s="243"/>
      <c r="T61" s="243"/>
      <c r="U61" s="243"/>
    </row>
    <row r="62" spans="2:21" ht="12.5">
      <c r="B62" s="145" t="str">
        <f t="shared" si="16"/>
        <v/>
      </c>
      <c r="C62" s="495">
        <f>IF(D11="","-",+C61+1)</f>
        <v>2058</v>
      </c>
      <c r="D62" s="508">
        <f>IF(F61+SUM(E$17:E61)=D$10,F61,D$10-SUM(E$17:E61))</f>
        <v>0</v>
      </c>
      <c r="E62" s="509">
        <f>IF(+I14&lt;F61,I14,D62)</f>
        <v>0</v>
      </c>
      <c r="F62" s="510">
        <f t="shared" si="17"/>
        <v>0</v>
      </c>
      <c r="G62" s="523">
        <f t="shared" si="14"/>
        <v>0</v>
      </c>
      <c r="H62" s="477">
        <f t="shared" si="15"/>
        <v>0</v>
      </c>
      <c r="I62" s="500">
        <f t="shared" si="18"/>
        <v>0</v>
      </c>
      <c r="J62" s="500"/>
      <c r="K62" s="512"/>
      <c r="L62" s="504">
        <f t="shared" si="19"/>
        <v>0</v>
      </c>
      <c r="M62" s="512"/>
      <c r="N62" s="504">
        <f t="shared" si="20"/>
        <v>0</v>
      </c>
      <c r="O62" s="504">
        <f t="shared" si="21"/>
        <v>0</v>
      </c>
      <c r="P62" s="278"/>
      <c r="R62" s="243"/>
      <c r="S62" s="243"/>
      <c r="T62" s="243"/>
      <c r="U62" s="243"/>
    </row>
    <row r="63" spans="2:21" ht="12.5">
      <c r="B63" s="145" t="str">
        <f t="shared" si="16"/>
        <v/>
      </c>
      <c r="C63" s="495">
        <f>IF(D11="","-",+C62+1)</f>
        <v>2059</v>
      </c>
      <c r="D63" s="508">
        <f>IF(F62+SUM(E$17:E62)=D$10,F62,D$10-SUM(E$17:E62))</f>
        <v>0</v>
      </c>
      <c r="E63" s="509">
        <f>IF(+I14&lt;F62,I14,D63)</f>
        <v>0</v>
      </c>
      <c r="F63" s="510">
        <f t="shared" si="17"/>
        <v>0</v>
      </c>
      <c r="G63" s="523">
        <f t="shared" si="14"/>
        <v>0</v>
      </c>
      <c r="H63" s="477">
        <f t="shared" si="15"/>
        <v>0</v>
      </c>
      <c r="I63" s="500">
        <f t="shared" si="18"/>
        <v>0</v>
      </c>
      <c r="J63" s="500"/>
      <c r="K63" s="512"/>
      <c r="L63" s="504">
        <f t="shared" si="19"/>
        <v>0</v>
      </c>
      <c r="M63" s="512"/>
      <c r="N63" s="504">
        <f t="shared" si="20"/>
        <v>0</v>
      </c>
      <c r="O63" s="504">
        <f t="shared" si="21"/>
        <v>0</v>
      </c>
      <c r="P63" s="278"/>
      <c r="R63" s="243"/>
      <c r="S63" s="243"/>
      <c r="T63" s="243"/>
      <c r="U63" s="243"/>
    </row>
    <row r="64" spans="2:21" ht="12.5">
      <c r="B64" s="145" t="str">
        <f t="shared" si="16"/>
        <v/>
      </c>
      <c r="C64" s="495">
        <f>IF(D11="","-",+C63+1)</f>
        <v>2060</v>
      </c>
      <c r="D64" s="508">
        <f>IF(F63+SUM(E$17:E63)=D$10,F63,D$10-SUM(E$17:E63))</f>
        <v>0</v>
      </c>
      <c r="E64" s="509">
        <f>IF(+I14&lt;F63,I14,D64)</f>
        <v>0</v>
      </c>
      <c r="F64" s="510">
        <f t="shared" si="17"/>
        <v>0</v>
      </c>
      <c r="G64" s="523">
        <f t="shared" si="14"/>
        <v>0</v>
      </c>
      <c r="H64" s="477">
        <f t="shared" si="15"/>
        <v>0</v>
      </c>
      <c r="I64" s="500">
        <f t="shared" si="18"/>
        <v>0</v>
      </c>
      <c r="J64" s="500"/>
      <c r="K64" s="512"/>
      <c r="L64" s="504">
        <f t="shared" si="19"/>
        <v>0</v>
      </c>
      <c r="M64" s="512"/>
      <c r="N64" s="504">
        <f t="shared" si="20"/>
        <v>0</v>
      </c>
      <c r="O64" s="504">
        <f t="shared" si="21"/>
        <v>0</v>
      </c>
      <c r="P64" s="278"/>
      <c r="R64" s="243"/>
      <c r="S64" s="243"/>
      <c r="T64" s="243"/>
      <c r="U64" s="243"/>
    </row>
    <row r="65" spans="2:21" ht="12.5">
      <c r="B65" s="145" t="str">
        <f t="shared" si="16"/>
        <v/>
      </c>
      <c r="C65" s="495">
        <f>IF(D11="","-",+C64+1)</f>
        <v>2061</v>
      </c>
      <c r="D65" s="508">
        <f>IF(F64+SUM(E$17:E64)=D$10,F64,D$10-SUM(E$17:E64))</f>
        <v>0</v>
      </c>
      <c r="E65" s="509">
        <f>IF(+I14&lt;F64,I14,D65)</f>
        <v>0</v>
      </c>
      <c r="F65" s="510">
        <f t="shared" si="17"/>
        <v>0</v>
      </c>
      <c r="G65" s="523">
        <f t="shared" si="14"/>
        <v>0</v>
      </c>
      <c r="H65" s="477">
        <f t="shared" si="15"/>
        <v>0</v>
      </c>
      <c r="I65" s="500">
        <f t="shared" si="18"/>
        <v>0</v>
      </c>
      <c r="J65" s="500"/>
      <c r="K65" s="512"/>
      <c r="L65" s="504">
        <f t="shared" si="19"/>
        <v>0</v>
      </c>
      <c r="M65" s="512"/>
      <c r="N65" s="504">
        <f t="shared" si="20"/>
        <v>0</v>
      </c>
      <c r="O65" s="504">
        <f t="shared" si="21"/>
        <v>0</v>
      </c>
      <c r="P65" s="278"/>
      <c r="R65" s="243"/>
      <c r="S65" s="243"/>
      <c r="T65" s="243"/>
      <c r="U65" s="243"/>
    </row>
    <row r="66" spans="2:21" ht="12.5">
      <c r="B66" s="145" t="str">
        <f t="shared" si="16"/>
        <v/>
      </c>
      <c r="C66" s="495">
        <f>IF(D11="","-",+C65+1)</f>
        <v>2062</v>
      </c>
      <c r="D66" s="508">
        <f>IF(F65+SUM(E$17:E65)=D$10,F65,D$10-SUM(E$17:E65))</f>
        <v>0</v>
      </c>
      <c r="E66" s="509">
        <f>IF(+I14&lt;F65,I14,D66)</f>
        <v>0</v>
      </c>
      <c r="F66" s="510">
        <f t="shared" si="17"/>
        <v>0</v>
      </c>
      <c r="G66" s="523">
        <f t="shared" si="14"/>
        <v>0</v>
      </c>
      <c r="H66" s="477">
        <f t="shared" si="15"/>
        <v>0</v>
      </c>
      <c r="I66" s="500">
        <f t="shared" si="18"/>
        <v>0</v>
      </c>
      <c r="J66" s="500"/>
      <c r="K66" s="512"/>
      <c r="L66" s="504">
        <f t="shared" si="19"/>
        <v>0</v>
      </c>
      <c r="M66" s="512"/>
      <c r="N66" s="504">
        <f t="shared" si="20"/>
        <v>0</v>
      </c>
      <c r="O66" s="504">
        <f t="shared" si="21"/>
        <v>0</v>
      </c>
      <c r="P66" s="278"/>
      <c r="R66" s="243"/>
      <c r="S66" s="243"/>
      <c r="T66" s="243"/>
      <c r="U66" s="243"/>
    </row>
    <row r="67" spans="2:21" ht="12.5">
      <c r="B67" s="145" t="str">
        <f t="shared" si="16"/>
        <v/>
      </c>
      <c r="C67" s="495">
        <f>IF(D11="","-",+C66+1)</f>
        <v>2063</v>
      </c>
      <c r="D67" s="508">
        <f>IF(F66+SUM(E$17:E66)=D$10,F66,D$10-SUM(E$17:E66))</f>
        <v>0</v>
      </c>
      <c r="E67" s="509">
        <f>IF(+I14&lt;F66,I14,D67)</f>
        <v>0</v>
      </c>
      <c r="F67" s="510">
        <f t="shared" si="17"/>
        <v>0</v>
      </c>
      <c r="G67" s="523">
        <f t="shared" si="14"/>
        <v>0</v>
      </c>
      <c r="H67" s="477">
        <f t="shared" si="15"/>
        <v>0</v>
      </c>
      <c r="I67" s="500">
        <f t="shared" si="18"/>
        <v>0</v>
      </c>
      <c r="J67" s="500"/>
      <c r="K67" s="512"/>
      <c r="L67" s="504">
        <f t="shared" si="19"/>
        <v>0</v>
      </c>
      <c r="M67" s="512"/>
      <c r="N67" s="504">
        <f t="shared" si="20"/>
        <v>0</v>
      </c>
      <c r="O67" s="504">
        <f t="shared" si="21"/>
        <v>0</v>
      </c>
      <c r="P67" s="278"/>
      <c r="R67" s="243"/>
      <c r="S67" s="243"/>
      <c r="T67" s="243"/>
      <c r="U67" s="243"/>
    </row>
    <row r="68" spans="2:21" ht="12.5">
      <c r="B68" s="145" t="str">
        <f t="shared" si="16"/>
        <v/>
      </c>
      <c r="C68" s="495">
        <f>IF(D11="","-",+C67+1)</f>
        <v>2064</v>
      </c>
      <c r="D68" s="508">
        <f>IF(F67+SUM(E$17:E67)=D$10,F67,D$10-SUM(E$17:E67))</f>
        <v>0</v>
      </c>
      <c r="E68" s="509">
        <f>IF(+I14&lt;F67,I14,D68)</f>
        <v>0</v>
      </c>
      <c r="F68" s="510">
        <f t="shared" si="17"/>
        <v>0</v>
      </c>
      <c r="G68" s="523">
        <f t="shared" si="14"/>
        <v>0</v>
      </c>
      <c r="H68" s="477">
        <f t="shared" si="15"/>
        <v>0</v>
      </c>
      <c r="I68" s="500">
        <f t="shared" si="18"/>
        <v>0</v>
      </c>
      <c r="J68" s="500"/>
      <c r="K68" s="512"/>
      <c r="L68" s="504">
        <f t="shared" si="19"/>
        <v>0</v>
      </c>
      <c r="M68" s="512"/>
      <c r="N68" s="504">
        <f t="shared" si="20"/>
        <v>0</v>
      </c>
      <c r="O68" s="504">
        <f t="shared" si="21"/>
        <v>0</v>
      </c>
      <c r="P68" s="278"/>
      <c r="R68" s="243"/>
      <c r="S68" s="243"/>
      <c r="T68" s="243"/>
      <c r="U68" s="243"/>
    </row>
    <row r="69" spans="2:21" ht="12.5">
      <c r="B69" s="145" t="str">
        <f t="shared" si="16"/>
        <v/>
      </c>
      <c r="C69" s="495">
        <f>IF(D11="","-",+C68+1)</f>
        <v>2065</v>
      </c>
      <c r="D69" s="508">
        <f>IF(F68+SUM(E$17:E68)=D$10,F68,D$10-SUM(E$17:E68))</f>
        <v>0</v>
      </c>
      <c r="E69" s="509">
        <f>IF(+I14&lt;F68,I14,D69)</f>
        <v>0</v>
      </c>
      <c r="F69" s="510">
        <f t="shared" si="17"/>
        <v>0</v>
      </c>
      <c r="G69" s="523">
        <f t="shared" si="14"/>
        <v>0</v>
      </c>
      <c r="H69" s="477">
        <f t="shared" si="15"/>
        <v>0</v>
      </c>
      <c r="I69" s="500">
        <f t="shared" si="18"/>
        <v>0</v>
      </c>
      <c r="J69" s="500"/>
      <c r="K69" s="512"/>
      <c r="L69" s="504">
        <f t="shared" si="19"/>
        <v>0</v>
      </c>
      <c r="M69" s="512"/>
      <c r="N69" s="504">
        <f t="shared" si="20"/>
        <v>0</v>
      </c>
      <c r="O69" s="504">
        <f t="shared" si="21"/>
        <v>0</v>
      </c>
      <c r="P69" s="278"/>
      <c r="R69" s="243"/>
      <c r="S69" s="243"/>
      <c r="T69" s="243"/>
      <c r="U69" s="243"/>
    </row>
    <row r="70" spans="2:21" ht="12.5">
      <c r="B70" s="145" t="str">
        <f t="shared" si="16"/>
        <v/>
      </c>
      <c r="C70" s="495">
        <f>IF(D11="","-",+C69+1)</f>
        <v>2066</v>
      </c>
      <c r="D70" s="508">
        <f>IF(F69+SUM(E$17:E69)=D$10,F69,D$10-SUM(E$17:E69))</f>
        <v>0</v>
      </c>
      <c r="E70" s="509">
        <f>IF(+I14&lt;F69,I14,D70)</f>
        <v>0</v>
      </c>
      <c r="F70" s="510">
        <f t="shared" si="17"/>
        <v>0</v>
      </c>
      <c r="G70" s="523">
        <f t="shared" si="14"/>
        <v>0</v>
      </c>
      <c r="H70" s="477">
        <f t="shared" si="15"/>
        <v>0</v>
      </c>
      <c r="I70" s="500">
        <f t="shared" si="18"/>
        <v>0</v>
      </c>
      <c r="J70" s="500"/>
      <c r="K70" s="512"/>
      <c r="L70" s="504">
        <f t="shared" si="19"/>
        <v>0</v>
      </c>
      <c r="M70" s="512"/>
      <c r="N70" s="504">
        <f t="shared" si="20"/>
        <v>0</v>
      </c>
      <c r="O70" s="504">
        <f t="shared" si="21"/>
        <v>0</v>
      </c>
      <c r="P70" s="278"/>
      <c r="R70" s="243"/>
      <c r="S70" s="243"/>
      <c r="T70" s="243"/>
      <c r="U70" s="243"/>
    </row>
    <row r="71" spans="2:21" ht="12.5">
      <c r="B71" s="145" t="str">
        <f t="shared" si="16"/>
        <v/>
      </c>
      <c r="C71" s="495">
        <f>IF(D11="","-",+C70+1)</f>
        <v>2067</v>
      </c>
      <c r="D71" s="508">
        <f>IF(F70+SUM(E$17:E70)=D$10,F70,D$10-SUM(E$17:E70))</f>
        <v>0</v>
      </c>
      <c r="E71" s="509">
        <f>IF(+I14&lt;F70,I14,D71)</f>
        <v>0</v>
      </c>
      <c r="F71" s="510">
        <f t="shared" si="17"/>
        <v>0</v>
      </c>
      <c r="G71" s="523">
        <f t="shared" si="14"/>
        <v>0</v>
      </c>
      <c r="H71" s="477">
        <f t="shared" si="15"/>
        <v>0</v>
      </c>
      <c r="I71" s="500">
        <f t="shared" si="18"/>
        <v>0</v>
      </c>
      <c r="J71" s="500"/>
      <c r="K71" s="512"/>
      <c r="L71" s="504">
        <f t="shared" si="19"/>
        <v>0</v>
      </c>
      <c r="M71" s="512"/>
      <c r="N71" s="504">
        <f t="shared" si="20"/>
        <v>0</v>
      </c>
      <c r="O71" s="504">
        <f t="shared" si="21"/>
        <v>0</v>
      </c>
      <c r="P71" s="278"/>
      <c r="R71" s="243"/>
      <c r="S71" s="243"/>
      <c r="T71" s="243"/>
      <c r="U71" s="243"/>
    </row>
    <row r="72" spans="2:21" ht="12.5">
      <c r="B72" s="145" t="str">
        <f t="shared" si="16"/>
        <v/>
      </c>
      <c r="C72" s="495">
        <f>IF(D11="","-",+C71+1)</f>
        <v>2068</v>
      </c>
      <c r="D72" s="508">
        <f>IF(F71+SUM(E$17:E71)=D$10,F71,D$10-SUM(E$17:E71))</f>
        <v>0</v>
      </c>
      <c r="E72" s="509">
        <f>IF(+I14&lt;F71,I14,D72)</f>
        <v>0</v>
      </c>
      <c r="F72" s="510">
        <f t="shared" si="17"/>
        <v>0</v>
      </c>
      <c r="G72" s="523">
        <f t="shared" si="14"/>
        <v>0</v>
      </c>
      <c r="H72" s="477">
        <f t="shared" si="15"/>
        <v>0</v>
      </c>
      <c r="I72" s="500">
        <f t="shared" si="18"/>
        <v>0</v>
      </c>
      <c r="J72" s="500"/>
      <c r="K72" s="512"/>
      <c r="L72" s="504">
        <f t="shared" si="19"/>
        <v>0</v>
      </c>
      <c r="M72" s="512"/>
      <c r="N72" s="504">
        <f t="shared" si="20"/>
        <v>0</v>
      </c>
      <c r="O72" s="504">
        <f t="shared" si="21"/>
        <v>0</v>
      </c>
      <c r="P72" s="278"/>
      <c r="R72" s="243"/>
      <c r="S72" s="243"/>
      <c r="T72" s="243"/>
      <c r="U72" s="243"/>
    </row>
    <row r="73" spans="2:21" ht="13" thickBot="1">
      <c r="B73" s="145" t="str">
        <f t="shared" si="16"/>
        <v/>
      </c>
      <c r="C73" s="524">
        <f>IF(D11="","-",+C72+1)</f>
        <v>2069</v>
      </c>
      <c r="D73" s="525">
        <f>IF(F72+SUM(E$17:E72)=D$10,F72,D$10-SUM(E$17:E72))</f>
        <v>0</v>
      </c>
      <c r="E73" s="526">
        <f>IF(+I14&lt;F72,I14,D73)</f>
        <v>0</v>
      </c>
      <c r="F73" s="527">
        <f t="shared" si="17"/>
        <v>0</v>
      </c>
      <c r="G73" s="528">
        <f t="shared" si="14"/>
        <v>0</v>
      </c>
      <c r="H73" s="458">
        <f t="shared" si="15"/>
        <v>0</v>
      </c>
      <c r="I73" s="529">
        <f t="shared" si="18"/>
        <v>0</v>
      </c>
      <c r="J73" s="500"/>
      <c r="K73" s="530"/>
      <c r="L73" s="531">
        <f t="shared" si="19"/>
        <v>0</v>
      </c>
      <c r="M73" s="530"/>
      <c r="N73" s="531">
        <f t="shared" si="20"/>
        <v>0</v>
      </c>
      <c r="O73" s="531">
        <f t="shared" si="21"/>
        <v>0</v>
      </c>
      <c r="P73" s="278"/>
      <c r="R73" s="243"/>
      <c r="S73" s="243"/>
      <c r="T73" s="243"/>
      <c r="U73" s="243"/>
    </row>
    <row r="74" spans="2:21" ht="12.5">
      <c r="C74" s="349" t="s">
        <v>75</v>
      </c>
      <c r="D74" s="294"/>
      <c r="E74" s="294">
        <f>SUM(E17:E73)</f>
        <v>28914235.739999998</v>
      </c>
      <c r="F74" s="294"/>
      <c r="G74" s="294">
        <f>SUM(G17:G73)</f>
        <v>83701320.967527494</v>
      </c>
      <c r="H74" s="294">
        <f>SUM(H17:H73)</f>
        <v>83701320.967527494</v>
      </c>
      <c r="I74" s="294">
        <f>SUM(I17:I73)</f>
        <v>0</v>
      </c>
      <c r="J74" s="294"/>
      <c r="K74" s="294"/>
      <c r="L74" s="294"/>
      <c r="M74" s="294"/>
      <c r="N74" s="294"/>
      <c r="O74" s="278"/>
      <c r="P74" s="278"/>
      <c r="R74" s="243"/>
      <c r="S74" s="243"/>
      <c r="T74" s="243"/>
      <c r="U74" s="243"/>
    </row>
    <row r="75" spans="2:21" ht="12.5">
      <c r="D75" s="292"/>
      <c r="E75" s="243"/>
      <c r="F75" s="243"/>
      <c r="G75" s="243"/>
      <c r="H75" s="325"/>
      <c r="I75" s="325"/>
      <c r="J75" s="294"/>
      <c r="K75" s="325"/>
      <c r="L75" s="325"/>
      <c r="M75" s="325"/>
      <c r="N75" s="325"/>
      <c r="O75" s="243"/>
      <c r="P75" s="243"/>
      <c r="R75" s="243"/>
      <c r="S75" s="243"/>
      <c r="T75" s="243"/>
      <c r="U75" s="243"/>
    </row>
    <row r="76" spans="2:21" ht="13">
      <c r="C76" s="532" t="s">
        <v>95</v>
      </c>
      <c r="D76" s="292"/>
      <c r="E76" s="243"/>
      <c r="F76" s="243"/>
      <c r="G76" s="243"/>
      <c r="H76" s="325"/>
      <c r="I76" s="325"/>
      <c r="J76" s="294"/>
      <c r="K76" s="325"/>
      <c r="L76" s="325"/>
      <c r="M76" s="325"/>
      <c r="N76" s="325"/>
      <c r="O76" s="243"/>
      <c r="P76" s="243"/>
      <c r="R76" s="243"/>
      <c r="S76" s="243"/>
      <c r="T76" s="243"/>
      <c r="U76" s="243"/>
    </row>
    <row r="77" spans="2:21" ht="13">
      <c r="C77" s="454" t="s">
        <v>76</v>
      </c>
      <c r="D77" s="292"/>
      <c r="E77" s="243"/>
      <c r="F77" s="243"/>
      <c r="G77" s="243"/>
      <c r="H77" s="325"/>
      <c r="I77" s="325"/>
      <c r="J77" s="294"/>
      <c r="K77" s="325"/>
      <c r="L77" s="325"/>
      <c r="M77" s="325"/>
      <c r="N77" s="325"/>
      <c r="O77" s="278"/>
      <c r="P77" s="278"/>
      <c r="R77" s="243"/>
      <c r="S77" s="243"/>
      <c r="T77" s="243"/>
      <c r="U77" s="243"/>
    </row>
    <row r="78" spans="2:21" ht="13">
      <c r="C78" s="454" t="s">
        <v>77</v>
      </c>
      <c r="D78" s="349"/>
      <c r="E78" s="349"/>
      <c r="F78" s="349"/>
      <c r="G78" s="294"/>
      <c r="H78" s="294"/>
      <c r="I78" s="350"/>
      <c r="J78" s="350"/>
      <c r="K78" s="350"/>
      <c r="L78" s="350"/>
      <c r="M78" s="350"/>
      <c r="N78" s="350"/>
      <c r="O78" s="278"/>
      <c r="P78" s="278"/>
      <c r="R78" s="243"/>
      <c r="S78" s="243"/>
      <c r="T78" s="243"/>
      <c r="U78" s="243"/>
    </row>
    <row r="79" spans="2:21" ht="13">
      <c r="C79" s="454"/>
      <c r="D79" s="349"/>
      <c r="E79" s="349"/>
      <c r="F79" s="349"/>
      <c r="G79" s="294"/>
      <c r="H79" s="294"/>
      <c r="I79" s="350"/>
      <c r="J79" s="350"/>
      <c r="K79" s="350"/>
      <c r="L79" s="350"/>
      <c r="M79" s="350"/>
      <c r="N79" s="350"/>
      <c r="O79" s="278"/>
      <c r="P79" s="243"/>
      <c r="R79" s="243"/>
      <c r="S79" s="243"/>
      <c r="T79" s="243"/>
      <c r="U79" s="243"/>
    </row>
    <row r="80" spans="2:21" ht="12.5">
      <c r="B80" s="243"/>
      <c r="C80" s="248"/>
      <c r="D80" s="292"/>
      <c r="E80" s="243"/>
      <c r="F80" s="347"/>
      <c r="G80" s="243"/>
      <c r="H80" s="325"/>
      <c r="I80" s="243"/>
      <c r="J80" s="278"/>
      <c r="K80" s="243"/>
      <c r="L80" s="243"/>
      <c r="M80" s="243"/>
      <c r="N80" s="243"/>
      <c r="O80" s="243"/>
      <c r="P80" s="243"/>
      <c r="R80" s="243"/>
      <c r="S80" s="243"/>
      <c r="T80" s="243"/>
      <c r="U80" s="243"/>
    </row>
    <row r="81" spans="1:21" ht="17.5">
      <c r="B81" s="243"/>
      <c r="C81" s="535"/>
      <c r="D81" s="292"/>
      <c r="E81" s="243"/>
      <c r="F81" s="347"/>
      <c r="G81" s="243"/>
      <c r="H81" s="325"/>
      <c r="I81" s="243"/>
      <c r="J81" s="278"/>
      <c r="K81" s="243"/>
      <c r="L81" s="243"/>
      <c r="M81" s="243"/>
      <c r="N81" s="243"/>
      <c r="P81" s="536" t="s">
        <v>128</v>
      </c>
      <c r="R81" s="243"/>
      <c r="S81" s="243"/>
      <c r="T81" s="243"/>
      <c r="U81" s="243"/>
    </row>
    <row r="82" spans="1:21" ht="12.5">
      <c r="B82" s="243"/>
      <c r="C82" s="248"/>
      <c r="D82" s="292"/>
      <c r="E82" s="243"/>
      <c r="F82" s="347"/>
      <c r="G82" s="243"/>
      <c r="H82" s="325"/>
      <c r="I82" s="243"/>
      <c r="J82" s="278"/>
      <c r="K82" s="243"/>
      <c r="L82" s="243"/>
      <c r="M82" s="243"/>
      <c r="N82" s="243"/>
      <c r="O82" s="243"/>
      <c r="P82" s="243"/>
      <c r="R82" s="243"/>
      <c r="S82" s="243"/>
      <c r="T82" s="243"/>
      <c r="U82" s="243"/>
    </row>
    <row r="83" spans="1:21" ht="12.5">
      <c r="B83" s="243"/>
      <c r="C83" s="248"/>
      <c r="D83" s="292"/>
      <c r="E83" s="243"/>
      <c r="F83" s="347"/>
      <c r="G83" s="243"/>
      <c r="H83" s="325"/>
      <c r="I83" s="243"/>
      <c r="J83" s="278"/>
      <c r="K83" s="243"/>
      <c r="L83" s="243"/>
      <c r="M83" s="243"/>
      <c r="N83" s="243"/>
      <c r="O83" s="243"/>
      <c r="P83" s="243"/>
      <c r="Q83" s="243"/>
      <c r="R83" s="243"/>
      <c r="S83" s="243"/>
      <c r="T83" s="243"/>
      <c r="U83" s="243"/>
    </row>
    <row r="84" spans="1:21" ht="20">
      <c r="A84" s="437" t="s">
        <v>190</v>
      </c>
      <c r="B84" s="243"/>
      <c r="C84" s="248"/>
      <c r="D84" s="292"/>
      <c r="E84" s="243"/>
      <c r="F84" s="339"/>
      <c r="G84" s="339"/>
      <c r="H84" s="243"/>
      <c r="I84" s="325"/>
      <c r="K84" s="220"/>
      <c r="L84" s="438"/>
      <c r="M84" s="438"/>
      <c r="P84" s="533" t="str">
        <f ca="1">P1</f>
        <v>OKT Project 6 of 20</v>
      </c>
      <c r="Q84" s="243"/>
      <c r="R84" s="243"/>
      <c r="S84" s="243"/>
      <c r="T84" s="243"/>
      <c r="U84" s="243"/>
    </row>
    <row r="85" spans="1:21" ht="17.5">
      <c r="B85" s="243"/>
      <c r="C85" s="243"/>
      <c r="D85" s="292"/>
      <c r="E85" s="243"/>
      <c r="F85" s="243"/>
      <c r="G85" s="243"/>
      <c r="H85" s="243"/>
      <c r="I85" s="325"/>
      <c r="J85" s="243"/>
      <c r="K85" s="278"/>
      <c r="L85" s="243"/>
      <c r="M85" s="243"/>
      <c r="P85" s="441" t="s">
        <v>132</v>
      </c>
      <c r="Q85" s="243"/>
      <c r="R85" s="243"/>
      <c r="S85" s="243"/>
      <c r="T85" s="243"/>
      <c r="U85" s="243"/>
    </row>
    <row r="86" spans="1:21" ht="1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6" thickBot="1">
      <c r="C87" s="304"/>
      <c r="D87" s="292"/>
      <c r="E87" s="243"/>
      <c r="F87" s="243"/>
      <c r="G87" s="243"/>
      <c r="H87" s="243"/>
      <c r="I87" s="325"/>
      <c r="J87" s="325"/>
      <c r="K87" s="294"/>
      <c r="L87" s="538">
        <f>+J93</f>
        <v>2019</v>
      </c>
      <c r="M87" s="539" t="s">
        <v>9</v>
      </c>
      <c r="N87" s="540" t="s">
        <v>134</v>
      </c>
      <c r="O87" s="541" t="s">
        <v>11</v>
      </c>
      <c r="P87" s="243"/>
      <c r="Q87" s="243"/>
      <c r="R87" s="243"/>
      <c r="S87" s="243"/>
      <c r="T87" s="243"/>
      <c r="U87" s="243"/>
    </row>
    <row r="88" spans="1:21" ht="15.5">
      <c r="C88" s="232" t="s">
        <v>44</v>
      </c>
      <c r="D88" s="292"/>
      <c r="E88" s="243"/>
      <c r="F88" s="243"/>
      <c r="G88" s="243"/>
      <c r="H88" s="444"/>
      <c r="I88" s="243" t="s">
        <v>45</v>
      </c>
      <c r="J88" s="243"/>
      <c r="K88" s="542"/>
      <c r="L88" s="543" t="s">
        <v>253</v>
      </c>
      <c r="M88" s="544">
        <f>IF(J93&lt;D11,0,VLOOKUP(J93,C17:O73,9))</f>
        <v>3514093.467191291</v>
      </c>
      <c r="N88" s="544">
        <f>IF(J93&lt;D11,0,VLOOKUP(J93,C17:O73,11))</f>
        <v>3514093.467191291</v>
      </c>
      <c r="O88" s="545">
        <f>+N88-M88</f>
        <v>0</v>
      </c>
      <c r="P88" s="243"/>
      <c r="Q88" s="243"/>
      <c r="R88" s="243"/>
      <c r="S88" s="243"/>
      <c r="T88" s="243"/>
      <c r="U88" s="243"/>
    </row>
    <row r="89" spans="1:21" ht="15.5">
      <c r="C89" s="235"/>
      <c r="D89" s="292"/>
      <c r="E89" s="243"/>
      <c r="F89" s="243"/>
      <c r="G89" s="243"/>
      <c r="H89" s="243"/>
      <c r="I89" s="449"/>
      <c r="J89" s="449"/>
      <c r="K89" s="546"/>
      <c r="L89" s="547" t="s">
        <v>254</v>
      </c>
      <c r="M89" s="548">
        <f>IF(J93&lt;D11,0,VLOOKUP(J93,C100:P155,6))</f>
        <v>3598058.4586434057</v>
      </c>
      <c r="N89" s="548">
        <f>IF(J93&lt;D11,0,VLOOKUP(J93,C100:P155,7))</f>
        <v>3598058.4586434057</v>
      </c>
      <c r="O89" s="549">
        <f>+N89-M89</f>
        <v>0</v>
      </c>
      <c r="P89" s="243"/>
      <c r="Q89" s="243"/>
      <c r="R89" s="243"/>
      <c r="S89" s="243"/>
      <c r="T89" s="243"/>
      <c r="U89" s="243"/>
    </row>
    <row r="90" spans="1:21" ht="13.5" thickBot="1">
      <c r="C90" s="454" t="s">
        <v>82</v>
      </c>
      <c r="D90" s="550" t="str">
        <f>+D7</f>
        <v xml:space="preserve">Canadian River - McAlester City 138 kV Line Conversion </v>
      </c>
      <c r="E90" s="243"/>
      <c r="F90" s="243"/>
      <c r="G90" s="243"/>
      <c r="H90" s="243"/>
      <c r="I90" s="325"/>
      <c r="J90" s="325"/>
      <c r="K90" s="551"/>
      <c r="L90" s="552" t="s">
        <v>135</v>
      </c>
      <c r="M90" s="553">
        <f>+M89-M88</f>
        <v>83964.991452114657</v>
      </c>
      <c r="N90" s="553">
        <f>+N89-N88</f>
        <v>83964.991452114657</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TP2009095</v>
      </c>
      <c r="E92" s="558"/>
      <c r="F92" s="558"/>
      <c r="G92" s="558"/>
      <c r="H92" s="558"/>
      <c r="I92" s="558"/>
      <c r="J92" s="558"/>
      <c r="K92" s="560"/>
      <c r="P92" s="468"/>
      <c r="Q92" s="243"/>
      <c r="R92" s="243"/>
      <c r="S92" s="243"/>
      <c r="T92" s="243"/>
      <c r="U92" s="243"/>
    </row>
    <row r="93" spans="1:21" ht="13">
      <c r="C93" s="472" t="s">
        <v>49</v>
      </c>
      <c r="D93" s="598">
        <f>D10</f>
        <v>28914235.739999998</v>
      </c>
      <c r="E93" s="248" t="s">
        <v>84</v>
      </c>
      <c r="H93" s="408"/>
      <c r="I93" s="408"/>
      <c r="J93" s="471">
        <f>+'OKT.WS.G.BPU.ATRR.True-up'!M16</f>
        <v>2019</v>
      </c>
      <c r="K93" s="467"/>
      <c r="L93" s="294" t="s">
        <v>85</v>
      </c>
      <c r="P93" s="278"/>
      <c r="Q93" s="243"/>
      <c r="R93" s="243"/>
      <c r="S93" s="243"/>
      <c r="T93" s="243"/>
      <c r="U93" s="243"/>
    </row>
    <row r="94" spans="1:21" ht="12.5">
      <c r="C94" s="472" t="s">
        <v>52</v>
      </c>
      <c r="D94" s="561">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ht="12.5">
      <c r="C95" s="472" t="s">
        <v>54</v>
      </c>
      <c r="D95" s="561">
        <v>8</v>
      </c>
      <c r="E95" s="472" t="s">
        <v>55</v>
      </c>
      <c r="F95" s="408"/>
      <c r="G95" s="408"/>
      <c r="J95" s="476">
        <f>'OKT.WS.G.BPU.ATRR.True-up'!$F$81</f>
        <v>0.10800922592579221</v>
      </c>
      <c r="K95" s="413"/>
      <c r="L95" s="145" t="s">
        <v>86</v>
      </c>
      <c r="P95" s="278"/>
      <c r="Q95" s="243"/>
      <c r="R95" s="243"/>
      <c r="S95" s="243"/>
      <c r="T95" s="243"/>
      <c r="U95" s="243"/>
    </row>
    <row r="96" spans="1:21" ht="12.5">
      <c r="C96" s="472" t="s">
        <v>57</v>
      </c>
      <c r="D96" s="474">
        <f>'OKT.WS.G.BPU.ATRR.True-up'!F$93</f>
        <v>33</v>
      </c>
      <c r="E96" s="472" t="s">
        <v>58</v>
      </c>
      <c r="F96" s="408"/>
      <c r="G96" s="408"/>
      <c r="J96" s="476">
        <f>IF(H88="",J95,'OKT.WS.G.BPU.ATRR.True-up'!$F$80)</f>
        <v>0.10800922592579221</v>
      </c>
      <c r="K96" s="291"/>
      <c r="L96" s="294" t="s">
        <v>59</v>
      </c>
      <c r="M96" s="291"/>
      <c r="N96" s="291"/>
      <c r="O96" s="291"/>
      <c r="P96" s="278"/>
      <c r="Q96" s="243"/>
      <c r="R96" s="243"/>
      <c r="S96" s="243"/>
      <c r="T96" s="243"/>
      <c r="U96" s="243"/>
    </row>
    <row r="97" spans="1:21" ht="13" thickBot="1">
      <c r="C97" s="472" t="s">
        <v>60</v>
      </c>
      <c r="D97" s="562" t="str">
        <f>+D14</f>
        <v>No</v>
      </c>
      <c r="E97" s="563" t="s">
        <v>62</v>
      </c>
      <c r="F97" s="564"/>
      <c r="G97" s="564"/>
      <c r="H97" s="565"/>
      <c r="I97" s="565"/>
      <c r="J97" s="458">
        <f>IF(D93=0,0,D93/D96)</f>
        <v>876188.96181818179</v>
      </c>
      <c r="K97" s="294"/>
      <c r="L97" s="294"/>
      <c r="M97" s="294"/>
      <c r="N97" s="294"/>
      <c r="O97" s="294"/>
      <c r="P97" s="278"/>
      <c r="Q97" s="243"/>
      <c r="R97" s="243"/>
      <c r="S97" s="243"/>
      <c r="T97" s="243"/>
      <c r="U97" s="243"/>
    </row>
    <row r="98" spans="1:21" ht="39">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ht="12.5">
      <c r="B100" s="145" t="str">
        <f t="shared" ref="B100:B131" si="22">IF(D100=F99,"","IU")</f>
        <v>IU</v>
      </c>
      <c r="C100" s="495">
        <f>IF(D94= "","-",D94)</f>
        <v>2013</v>
      </c>
      <c r="D100" s="496">
        <v>0</v>
      </c>
      <c r="E100" s="498">
        <v>85919.706896551725</v>
      </c>
      <c r="F100" s="505">
        <v>9880766.293103449</v>
      </c>
      <c r="G100" s="571">
        <v>4940383.1465517245</v>
      </c>
      <c r="H100" s="571">
        <v>586624.79406989401</v>
      </c>
      <c r="I100" s="571">
        <v>586624.79406989401</v>
      </c>
      <c r="J100" s="504">
        <v>0</v>
      </c>
      <c r="K100" s="504"/>
      <c r="L100" s="501">
        <f t="shared" ref="L100:L105" si="23">H100</f>
        <v>586624.79406989401</v>
      </c>
      <c r="M100" s="503">
        <f t="shared" ref="M100:M105" si="24">IF(L100&lt;&gt;0,+H100-L100,0)</f>
        <v>0</v>
      </c>
      <c r="N100" s="501">
        <f t="shared" ref="N100:N105" si="25">I100</f>
        <v>586624.79406989401</v>
      </c>
      <c r="O100" s="503">
        <f>IF(N100&lt;&gt;0,+I100-N100,0)</f>
        <v>0</v>
      </c>
      <c r="P100" s="503">
        <f>+O100-M100</f>
        <v>0</v>
      </c>
      <c r="Q100" s="243"/>
      <c r="R100" s="243"/>
      <c r="S100" s="243"/>
      <c r="T100" s="243"/>
      <c r="U100" s="243"/>
    </row>
    <row r="101" spans="1:21" ht="12.5">
      <c r="B101" s="145" t="str">
        <f t="shared" si="22"/>
        <v>IU</v>
      </c>
      <c r="C101" s="495">
        <f>IF(D94="","-",+C100+1)</f>
        <v>2014</v>
      </c>
      <c r="D101" s="496">
        <v>28596480.293103449</v>
      </c>
      <c r="E101" s="498">
        <v>494524.13793103449</v>
      </c>
      <c r="F101" s="505">
        <v>28101956.155172415</v>
      </c>
      <c r="G101" s="505">
        <v>28349218.224137932</v>
      </c>
      <c r="H101" s="498">
        <v>3716695.0108773164</v>
      </c>
      <c r="I101" s="499">
        <v>3716695.0108773164</v>
      </c>
      <c r="J101" s="504">
        <v>0</v>
      </c>
      <c r="K101" s="504"/>
      <c r="L101" s="506">
        <f t="shared" si="23"/>
        <v>3716695.0108773164</v>
      </c>
      <c r="M101" s="504">
        <f t="shared" si="24"/>
        <v>0</v>
      </c>
      <c r="N101" s="506">
        <f t="shared" si="25"/>
        <v>3716695.0108773164</v>
      </c>
      <c r="O101" s="504">
        <f>IF(N101&lt;&gt;0,+I101-N101,0)</f>
        <v>0</v>
      </c>
      <c r="P101" s="504">
        <f>+O101-M101</f>
        <v>0</v>
      </c>
      <c r="Q101" s="243"/>
      <c r="R101" s="243"/>
      <c r="S101" s="243"/>
      <c r="T101" s="243"/>
      <c r="U101" s="243"/>
    </row>
    <row r="102" spans="1:21" ht="12.5">
      <c r="B102" s="145" t="str">
        <f t="shared" si="22"/>
        <v>IU</v>
      </c>
      <c r="C102" s="495">
        <f>IF(D94="","-",+C101+1)</f>
        <v>2015</v>
      </c>
      <c r="D102" s="496">
        <v>28333791.895172413</v>
      </c>
      <c r="E102" s="498">
        <v>602379.91125</v>
      </c>
      <c r="F102" s="505">
        <v>27731411.983922414</v>
      </c>
      <c r="G102" s="505">
        <v>28032601.939547412</v>
      </c>
      <c r="H102" s="498">
        <v>3723233.4671503431</v>
      </c>
      <c r="I102" s="499">
        <v>3723233.4671503431</v>
      </c>
      <c r="J102" s="504">
        <v>0</v>
      </c>
      <c r="K102" s="504"/>
      <c r="L102" s="506">
        <f t="shared" si="23"/>
        <v>3723233.4671503431</v>
      </c>
      <c r="M102" s="504">
        <f t="shared" si="24"/>
        <v>0</v>
      </c>
      <c r="N102" s="506">
        <f t="shared" si="25"/>
        <v>3723233.4671503431</v>
      </c>
      <c r="O102" s="504">
        <f t="shared" ref="O102:O131" si="26">IF(N102&lt;&gt;0,+I102-N102,0)</f>
        <v>0</v>
      </c>
      <c r="P102" s="504">
        <f t="shared" ref="P102:P131" si="27">+O102-M102</f>
        <v>0</v>
      </c>
      <c r="Q102" s="243"/>
      <c r="R102" s="243"/>
      <c r="S102" s="243"/>
      <c r="T102" s="243"/>
      <c r="U102" s="243"/>
    </row>
    <row r="103" spans="1:21" ht="12.5">
      <c r="B103" s="145" t="str">
        <f t="shared" si="22"/>
        <v/>
      </c>
      <c r="C103" s="495">
        <f>IF(D94="","-",+C102+1)</f>
        <v>2016</v>
      </c>
      <c r="D103" s="496">
        <v>27731411.983922414</v>
      </c>
      <c r="E103" s="498">
        <v>566945.79882352939</v>
      </c>
      <c r="F103" s="505">
        <v>27164466.185098886</v>
      </c>
      <c r="G103" s="505">
        <v>27447939.08451065</v>
      </c>
      <c r="H103" s="498">
        <v>3541464.1194634419</v>
      </c>
      <c r="I103" s="499">
        <v>3541464.1194634419</v>
      </c>
      <c r="J103" s="504">
        <f t="shared" ref="J103:J131" si="28">+I103-H103</f>
        <v>0</v>
      </c>
      <c r="K103" s="504"/>
      <c r="L103" s="506">
        <f t="shared" si="23"/>
        <v>3541464.1194634419</v>
      </c>
      <c r="M103" s="504">
        <f t="shared" si="24"/>
        <v>0</v>
      </c>
      <c r="N103" s="506">
        <f t="shared" si="25"/>
        <v>3541464.1194634419</v>
      </c>
      <c r="O103" s="504">
        <f>IF(N103&lt;&gt;0,+I103-N103,0)</f>
        <v>0</v>
      </c>
      <c r="P103" s="504">
        <f>+O103-M103</f>
        <v>0</v>
      </c>
      <c r="Q103" s="243"/>
      <c r="R103" s="243"/>
      <c r="S103" s="243"/>
      <c r="T103" s="243"/>
      <c r="U103" s="243"/>
    </row>
    <row r="104" spans="1:21" ht="12.5">
      <c r="B104" s="145" t="str">
        <f t="shared" si="22"/>
        <v/>
      </c>
      <c r="C104" s="495">
        <f>IF(D94="","-",+C103+1)</f>
        <v>2017</v>
      </c>
      <c r="D104" s="496">
        <v>27164466.185098886</v>
      </c>
      <c r="E104" s="498">
        <v>722855.89350000001</v>
      </c>
      <c r="F104" s="505">
        <v>26441610.291598886</v>
      </c>
      <c r="G104" s="505">
        <v>26803038.238348886</v>
      </c>
      <c r="H104" s="498">
        <v>3867813.548691513</v>
      </c>
      <c r="I104" s="499">
        <v>3867813.548691513</v>
      </c>
      <c r="J104" s="504">
        <f t="shared" si="28"/>
        <v>0</v>
      </c>
      <c r="K104" s="504"/>
      <c r="L104" s="506">
        <f t="shared" si="23"/>
        <v>3867813.548691513</v>
      </c>
      <c r="M104" s="504">
        <f t="shared" si="24"/>
        <v>0</v>
      </c>
      <c r="N104" s="506">
        <f t="shared" si="25"/>
        <v>3867813.548691513</v>
      </c>
      <c r="O104" s="504">
        <f>IF(N104&lt;&gt;0,+I104-N104,0)</f>
        <v>0</v>
      </c>
      <c r="P104" s="504">
        <f>+O104-M104</f>
        <v>0</v>
      </c>
      <c r="Q104" s="243"/>
      <c r="R104" s="243"/>
      <c r="S104" s="243"/>
      <c r="T104" s="243"/>
      <c r="U104" s="243"/>
    </row>
    <row r="105" spans="1:21" ht="12.5">
      <c r="B105" s="145" t="str">
        <f t="shared" si="22"/>
        <v/>
      </c>
      <c r="C105" s="495">
        <f>IF(D94="","-",+C104+1)</f>
        <v>2018</v>
      </c>
      <c r="D105" s="496">
        <v>26441610.291598886</v>
      </c>
      <c r="E105" s="498">
        <v>803173.21499999997</v>
      </c>
      <c r="F105" s="505">
        <v>25638437.076598886</v>
      </c>
      <c r="G105" s="505">
        <v>26040023.684098884</v>
      </c>
      <c r="H105" s="498">
        <v>3552021.8896915987</v>
      </c>
      <c r="I105" s="499">
        <v>3552021.8896915987</v>
      </c>
      <c r="J105" s="504">
        <f t="shared" si="28"/>
        <v>0</v>
      </c>
      <c r="K105" s="504"/>
      <c r="L105" s="506">
        <f t="shared" si="23"/>
        <v>3552021.8896915987</v>
      </c>
      <c r="M105" s="504">
        <f t="shared" si="24"/>
        <v>0</v>
      </c>
      <c r="N105" s="506">
        <f t="shared" si="25"/>
        <v>3552021.8896915987</v>
      </c>
      <c r="O105" s="504">
        <f>IF(N105&lt;&gt;0,+I105-N105,0)</f>
        <v>0</v>
      </c>
      <c r="P105" s="504">
        <f>+O105-M105</f>
        <v>0</v>
      </c>
      <c r="Q105" s="243"/>
      <c r="R105" s="243"/>
      <c r="S105" s="243"/>
      <c r="T105" s="243"/>
      <c r="U105" s="243"/>
    </row>
    <row r="106" spans="1:21" ht="12.5">
      <c r="B106" s="145" t="str">
        <f t="shared" si="22"/>
        <v/>
      </c>
      <c r="C106" s="495">
        <f>IF(D94="","-",+C105+1)</f>
        <v>2019</v>
      </c>
      <c r="D106" s="349">
        <f>IF(F105+SUM(E$100:E105)=D$93,F105,D$93-SUM(E$100:E105))</f>
        <v>25638437.076598886</v>
      </c>
      <c r="E106" s="509">
        <f>IF(+J97&lt;F105,J97,D106)</f>
        <v>876188.96181818179</v>
      </c>
      <c r="F106" s="510">
        <f t="shared" ref="F106:F132" si="29">+D106-E106</f>
        <v>24762248.114780705</v>
      </c>
      <c r="G106" s="510">
        <f t="shared" ref="G106:G131" si="30">+(F106+D106)/2</f>
        <v>25200342.595689796</v>
      </c>
      <c r="H106" s="523">
        <f t="shared" ref="H106:H131" si="31">+J$95*G106+E106</f>
        <v>3598058.4586434057</v>
      </c>
      <c r="I106" s="572">
        <f t="shared" ref="I106:I131" si="32">+J$96*G106+E106</f>
        <v>3598058.4586434057</v>
      </c>
      <c r="J106" s="504">
        <f t="shared" si="28"/>
        <v>0</v>
      </c>
      <c r="K106" s="504"/>
      <c r="L106" s="512"/>
      <c r="M106" s="504">
        <f t="shared" ref="M106:M131" si="33">IF(L106&lt;&gt;0,+H106-L106,0)</f>
        <v>0</v>
      </c>
      <c r="N106" s="512"/>
      <c r="O106" s="504">
        <f t="shared" si="26"/>
        <v>0</v>
      </c>
      <c r="P106" s="504">
        <f t="shared" si="27"/>
        <v>0</v>
      </c>
      <c r="Q106" s="243"/>
      <c r="R106" s="243"/>
      <c r="S106" s="243"/>
      <c r="T106" s="243"/>
      <c r="U106" s="243"/>
    </row>
    <row r="107" spans="1:21" ht="12.5">
      <c r="B107" s="145" t="str">
        <f t="shared" si="22"/>
        <v/>
      </c>
      <c r="C107" s="495">
        <f>IF(D94="","-",+C106+1)</f>
        <v>2020</v>
      </c>
      <c r="D107" s="349">
        <f>IF(F106+SUM(E$100:E106)=D$93,F106,D$93-SUM(E$100:E106))</f>
        <v>24762248.114780705</v>
      </c>
      <c r="E107" s="509">
        <f>IF(+J97&lt;F106,J97,D107)</f>
        <v>876188.96181818179</v>
      </c>
      <c r="F107" s="510">
        <f t="shared" si="29"/>
        <v>23886059.152962524</v>
      </c>
      <c r="G107" s="510">
        <f t="shared" si="30"/>
        <v>24324153.633871615</v>
      </c>
      <c r="H107" s="523">
        <f t="shared" si="31"/>
        <v>3503421.9671127005</v>
      </c>
      <c r="I107" s="572">
        <f t="shared" si="32"/>
        <v>3503421.9671127005</v>
      </c>
      <c r="J107" s="504">
        <f t="shared" si="28"/>
        <v>0</v>
      </c>
      <c r="K107" s="504"/>
      <c r="L107" s="512"/>
      <c r="M107" s="504">
        <f t="shared" si="33"/>
        <v>0</v>
      </c>
      <c r="N107" s="512"/>
      <c r="O107" s="504">
        <f t="shared" si="26"/>
        <v>0</v>
      </c>
      <c r="P107" s="504">
        <f t="shared" si="27"/>
        <v>0</v>
      </c>
      <c r="Q107" s="243"/>
      <c r="R107" s="243"/>
      <c r="S107" s="243"/>
      <c r="T107" s="243"/>
      <c r="U107" s="243"/>
    </row>
    <row r="108" spans="1:21" ht="12.5">
      <c r="B108" s="145" t="str">
        <f t="shared" si="22"/>
        <v/>
      </c>
      <c r="C108" s="495">
        <f>IF(D94="","-",+C107+1)</f>
        <v>2021</v>
      </c>
      <c r="D108" s="349">
        <f>IF(F107+SUM(E$100:E107)=D$93,F107,D$93-SUM(E$100:E107))</f>
        <v>23886059.152962524</v>
      </c>
      <c r="E108" s="509">
        <f>IF(+J97&lt;F107,J97,D108)</f>
        <v>876188.96181818179</v>
      </c>
      <c r="F108" s="510">
        <f t="shared" si="29"/>
        <v>23009870.191144343</v>
      </c>
      <c r="G108" s="510">
        <f t="shared" si="30"/>
        <v>23447964.672053434</v>
      </c>
      <c r="H108" s="523">
        <f t="shared" si="31"/>
        <v>3408785.4755819952</v>
      </c>
      <c r="I108" s="572">
        <f t="shared" si="32"/>
        <v>3408785.4755819952</v>
      </c>
      <c r="J108" s="504">
        <f t="shared" si="28"/>
        <v>0</v>
      </c>
      <c r="K108" s="504"/>
      <c r="L108" s="512"/>
      <c r="M108" s="504">
        <f t="shared" si="33"/>
        <v>0</v>
      </c>
      <c r="N108" s="512"/>
      <c r="O108" s="504">
        <f t="shared" si="26"/>
        <v>0</v>
      </c>
      <c r="P108" s="504">
        <f t="shared" si="27"/>
        <v>0</v>
      </c>
      <c r="Q108" s="243"/>
      <c r="R108" s="243"/>
      <c r="S108" s="243"/>
      <c r="T108" s="243"/>
      <c r="U108" s="243"/>
    </row>
    <row r="109" spans="1:21" ht="12.5">
      <c r="B109" s="145" t="str">
        <f t="shared" si="22"/>
        <v/>
      </c>
      <c r="C109" s="495">
        <f>IF(D94="","-",+C108+1)</f>
        <v>2022</v>
      </c>
      <c r="D109" s="349">
        <f>IF(F108+SUM(E$100:E108)=D$93,F108,D$93-SUM(E$100:E108))</f>
        <v>23009870.191144343</v>
      </c>
      <c r="E109" s="509">
        <f>IF(+J97&lt;F108,J97,D109)</f>
        <v>876188.96181818179</v>
      </c>
      <c r="F109" s="510">
        <f t="shared" si="29"/>
        <v>22133681.229326162</v>
      </c>
      <c r="G109" s="510">
        <f t="shared" si="30"/>
        <v>22571775.710235253</v>
      </c>
      <c r="H109" s="523">
        <f t="shared" si="31"/>
        <v>3314148.9840512904</v>
      </c>
      <c r="I109" s="572">
        <f t="shared" si="32"/>
        <v>3314148.9840512904</v>
      </c>
      <c r="J109" s="504">
        <f t="shared" si="28"/>
        <v>0</v>
      </c>
      <c r="K109" s="504"/>
      <c r="L109" s="512"/>
      <c r="M109" s="504">
        <f t="shared" si="33"/>
        <v>0</v>
      </c>
      <c r="N109" s="512"/>
      <c r="O109" s="504">
        <f t="shared" si="26"/>
        <v>0</v>
      </c>
      <c r="P109" s="504">
        <f t="shared" si="27"/>
        <v>0</v>
      </c>
      <c r="Q109" s="243"/>
      <c r="R109" s="243"/>
      <c r="S109" s="243"/>
      <c r="T109" s="243"/>
      <c r="U109" s="243"/>
    </row>
    <row r="110" spans="1:21" ht="12.5">
      <c r="B110" s="145" t="str">
        <f t="shared" si="22"/>
        <v/>
      </c>
      <c r="C110" s="495">
        <f>IF(D94="","-",+C109+1)</f>
        <v>2023</v>
      </c>
      <c r="D110" s="349">
        <f>IF(F109+SUM(E$100:E109)=D$93,F109,D$93-SUM(E$100:E109))</f>
        <v>22133681.229326162</v>
      </c>
      <c r="E110" s="509">
        <f>IF(+J97&lt;F109,J97,D110)</f>
        <v>876188.96181818179</v>
      </c>
      <c r="F110" s="510">
        <f t="shared" si="29"/>
        <v>21257492.267507982</v>
      </c>
      <c r="G110" s="510">
        <f t="shared" si="30"/>
        <v>21695586.748417072</v>
      </c>
      <c r="H110" s="523">
        <f t="shared" si="31"/>
        <v>3219512.4925205852</v>
      </c>
      <c r="I110" s="572">
        <f t="shared" si="32"/>
        <v>3219512.4925205852</v>
      </c>
      <c r="J110" s="504">
        <f t="shared" si="28"/>
        <v>0</v>
      </c>
      <c r="K110" s="504"/>
      <c r="L110" s="512"/>
      <c r="M110" s="504">
        <f t="shared" si="33"/>
        <v>0</v>
      </c>
      <c r="N110" s="512"/>
      <c r="O110" s="504">
        <f t="shared" si="26"/>
        <v>0</v>
      </c>
      <c r="P110" s="504">
        <f t="shared" si="27"/>
        <v>0</v>
      </c>
      <c r="Q110" s="243"/>
      <c r="R110" s="243"/>
      <c r="S110" s="243"/>
      <c r="T110" s="243"/>
      <c r="U110" s="243"/>
    </row>
    <row r="111" spans="1:21" ht="12.5">
      <c r="B111" s="145" t="str">
        <f t="shared" si="22"/>
        <v/>
      </c>
      <c r="C111" s="495">
        <f>IF(D94="","-",+C110+1)</f>
        <v>2024</v>
      </c>
      <c r="D111" s="349">
        <f>IF(F110+SUM(E$100:E110)=D$93,F110,D$93-SUM(E$100:E110))</f>
        <v>21257492.267507982</v>
      </c>
      <c r="E111" s="509">
        <f>IF(+J97&lt;F110,J97,D111)</f>
        <v>876188.96181818179</v>
      </c>
      <c r="F111" s="510">
        <f t="shared" si="29"/>
        <v>20381303.305689801</v>
      </c>
      <c r="G111" s="510">
        <f t="shared" si="30"/>
        <v>20819397.786598891</v>
      </c>
      <c r="H111" s="523">
        <f t="shared" si="31"/>
        <v>3124876.0009898799</v>
      </c>
      <c r="I111" s="572">
        <f t="shared" si="32"/>
        <v>3124876.0009898799</v>
      </c>
      <c r="J111" s="504">
        <f t="shared" si="28"/>
        <v>0</v>
      </c>
      <c r="K111" s="504"/>
      <c r="L111" s="512"/>
      <c r="M111" s="504">
        <f t="shared" si="33"/>
        <v>0</v>
      </c>
      <c r="N111" s="512"/>
      <c r="O111" s="504">
        <f t="shared" si="26"/>
        <v>0</v>
      </c>
      <c r="P111" s="504">
        <f t="shared" si="27"/>
        <v>0</v>
      </c>
      <c r="Q111" s="243"/>
      <c r="R111" s="243"/>
      <c r="S111" s="243"/>
      <c r="T111" s="243"/>
      <c r="U111" s="243"/>
    </row>
    <row r="112" spans="1:21" ht="12.5">
      <c r="B112" s="145" t="str">
        <f t="shared" si="22"/>
        <v/>
      </c>
      <c r="C112" s="495">
        <f>IF(D94="","-",+C111+1)</f>
        <v>2025</v>
      </c>
      <c r="D112" s="349">
        <f>IF(F111+SUM(E$100:E111)=D$93,F111,D$93-SUM(E$100:E111))</f>
        <v>20381303.305689801</v>
      </c>
      <c r="E112" s="509">
        <f>IF(+J97&lt;F111,J97,D112)</f>
        <v>876188.96181818179</v>
      </c>
      <c r="F112" s="510">
        <f t="shared" si="29"/>
        <v>19505114.34387162</v>
      </c>
      <c r="G112" s="510">
        <f t="shared" si="30"/>
        <v>19943208.82478071</v>
      </c>
      <c r="H112" s="523">
        <f t="shared" si="31"/>
        <v>3030239.5094591747</v>
      </c>
      <c r="I112" s="572">
        <f t="shared" si="32"/>
        <v>3030239.5094591747</v>
      </c>
      <c r="J112" s="504">
        <f t="shared" si="28"/>
        <v>0</v>
      </c>
      <c r="K112" s="504"/>
      <c r="L112" s="512"/>
      <c r="M112" s="504">
        <f t="shared" si="33"/>
        <v>0</v>
      </c>
      <c r="N112" s="512"/>
      <c r="O112" s="504">
        <f t="shared" si="26"/>
        <v>0</v>
      </c>
      <c r="P112" s="504">
        <f t="shared" si="27"/>
        <v>0</v>
      </c>
      <c r="Q112" s="243"/>
      <c r="R112" s="243"/>
      <c r="S112" s="243"/>
      <c r="T112" s="243"/>
      <c r="U112" s="243"/>
    </row>
    <row r="113" spans="2:21" ht="12.5">
      <c r="B113" s="145" t="str">
        <f t="shared" si="22"/>
        <v/>
      </c>
      <c r="C113" s="495">
        <f>IF(D94="","-",+C112+1)</f>
        <v>2026</v>
      </c>
      <c r="D113" s="349">
        <f>IF(F112+SUM(E$100:E112)=D$93,F112,D$93-SUM(E$100:E112))</f>
        <v>19505114.34387162</v>
      </c>
      <c r="E113" s="509">
        <f>IF(+J97&lt;F112,J97,D113)</f>
        <v>876188.96181818179</v>
      </c>
      <c r="F113" s="510">
        <f t="shared" si="29"/>
        <v>18628925.382053439</v>
      </c>
      <c r="G113" s="510">
        <f t="shared" si="30"/>
        <v>19067019.862962529</v>
      </c>
      <c r="H113" s="523">
        <f t="shared" si="31"/>
        <v>2935603.017928469</v>
      </c>
      <c r="I113" s="572">
        <f t="shared" si="32"/>
        <v>2935603.017928469</v>
      </c>
      <c r="J113" s="504">
        <f t="shared" si="28"/>
        <v>0</v>
      </c>
      <c r="K113" s="504"/>
      <c r="L113" s="512"/>
      <c r="M113" s="504">
        <f t="shared" si="33"/>
        <v>0</v>
      </c>
      <c r="N113" s="512"/>
      <c r="O113" s="504">
        <f t="shared" si="26"/>
        <v>0</v>
      </c>
      <c r="P113" s="504">
        <f t="shared" si="27"/>
        <v>0</v>
      </c>
      <c r="Q113" s="243"/>
      <c r="R113" s="243"/>
      <c r="S113" s="243"/>
      <c r="T113" s="243"/>
      <c r="U113" s="243"/>
    </row>
    <row r="114" spans="2:21" ht="12.5">
      <c r="B114" s="145" t="str">
        <f t="shared" si="22"/>
        <v/>
      </c>
      <c r="C114" s="495">
        <f>IF(D94="","-",+C113+1)</f>
        <v>2027</v>
      </c>
      <c r="D114" s="349">
        <f>IF(F113+SUM(E$100:E113)=D$93,F113,D$93-SUM(E$100:E113))</f>
        <v>18628925.382053439</v>
      </c>
      <c r="E114" s="509">
        <f>IF(+J97&lt;F113,J97,D114)</f>
        <v>876188.96181818179</v>
      </c>
      <c r="F114" s="510">
        <f t="shared" si="29"/>
        <v>17752736.420235258</v>
      </c>
      <c r="G114" s="510">
        <f t="shared" si="30"/>
        <v>18190830.901144348</v>
      </c>
      <c r="H114" s="523">
        <f t="shared" si="31"/>
        <v>2840966.5263977638</v>
      </c>
      <c r="I114" s="572">
        <f t="shared" si="32"/>
        <v>2840966.5263977638</v>
      </c>
      <c r="J114" s="504">
        <f t="shared" si="28"/>
        <v>0</v>
      </c>
      <c r="K114" s="504"/>
      <c r="L114" s="512"/>
      <c r="M114" s="504">
        <f t="shared" si="33"/>
        <v>0</v>
      </c>
      <c r="N114" s="512"/>
      <c r="O114" s="504">
        <f t="shared" si="26"/>
        <v>0</v>
      </c>
      <c r="P114" s="504">
        <f t="shared" si="27"/>
        <v>0</v>
      </c>
      <c r="Q114" s="243"/>
      <c r="R114" s="243"/>
      <c r="S114" s="243"/>
      <c r="T114" s="243"/>
      <c r="U114" s="243"/>
    </row>
    <row r="115" spans="2:21" ht="12.5">
      <c r="B115" s="145" t="str">
        <f t="shared" si="22"/>
        <v/>
      </c>
      <c r="C115" s="495">
        <f>IF(D94="","-",+C114+1)</f>
        <v>2028</v>
      </c>
      <c r="D115" s="349">
        <f>IF(F114+SUM(E$100:E114)=D$93,F114,D$93-SUM(E$100:E114))</f>
        <v>17752736.420235258</v>
      </c>
      <c r="E115" s="509">
        <f>IF(+J97&lt;F114,J97,D115)</f>
        <v>876188.96181818179</v>
      </c>
      <c r="F115" s="510">
        <f t="shared" si="29"/>
        <v>16876547.458417077</v>
      </c>
      <c r="G115" s="510">
        <f t="shared" si="30"/>
        <v>17314641.939326167</v>
      </c>
      <c r="H115" s="523">
        <f t="shared" si="31"/>
        <v>2746330.0348670585</v>
      </c>
      <c r="I115" s="572">
        <f t="shared" si="32"/>
        <v>2746330.0348670585</v>
      </c>
      <c r="J115" s="504">
        <f t="shared" si="28"/>
        <v>0</v>
      </c>
      <c r="K115" s="504"/>
      <c r="L115" s="512"/>
      <c r="M115" s="504">
        <f t="shared" si="33"/>
        <v>0</v>
      </c>
      <c r="N115" s="512"/>
      <c r="O115" s="504">
        <f t="shared" si="26"/>
        <v>0</v>
      </c>
      <c r="P115" s="504">
        <f t="shared" si="27"/>
        <v>0</v>
      </c>
      <c r="Q115" s="243"/>
      <c r="R115" s="243"/>
      <c r="S115" s="243"/>
      <c r="T115" s="243"/>
      <c r="U115" s="243"/>
    </row>
    <row r="116" spans="2:21" ht="12.5">
      <c r="B116" s="145" t="str">
        <f t="shared" si="22"/>
        <v/>
      </c>
      <c r="C116" s="495">
        <f>IF(D94="","-",+C115+1)</f>
        <v>2029</v>
      </c>
      <c r="D116" s="349">
        <f>IF(F115+SUM(E$100:E115)=D$93,F115,D$93-SUM(E$100:E115))</f>
        <v>16876547.458417077</v>
      </c>
      <c r="E116" s="509">
        <f>IF(+J97&lt;F115,J97,D116)</f>
        <v>876188.96181818179</v>
      </c>
      <c r="F116" s="510">
        <f t="shared" si="29"/>
        <v>16000358.496598896</v>
      </c>
      <c r="G116" s="510">
        <f t="shared" si="30"/>
        <v>16438452.977507986</v>
      </c>
      <c r="H116" s="523">
        <f t="shared" si="31"/>
        <v>2651693.5433363533</v>
      </c>
      <c r="I116" s="572">
        <f t="shared" si="32"/>
        <v>2651693.5433363533</v>
      </c>
      <c r="J116" s="504">
        <f t="shared" si="28"/>
        <v>0</v>
      </c>
      <c r="K116" s="504"/>
      <c r="L116" s="512"/>
      <c r="M116" s="504">
        <f t="shared" si="33"/>
        <v>0</v>
      </c>
      <c r="N116" s="512"/>
      <c r="O116" s="504">
        <f t="shared" si="26"/>
        <v>0</v>
      </c>
      <c r="P116" s="504">
        <f t="shared" si="27"/>
        <v>0</v>
      </c>
      <c r="Q116" s="243"/>
      <c r="R116" s="243"/>
      <c r="S116" s="243"/>
      <c r="T116" s="243"/>
      <c r="U116" s="243"/>
    </row>
    <row r="117" spans="2:21" ht="12.5">
      <c r="B117" s="145" t="str">
        <f t="shared" si="22"/>
        <v/>
      </c>
      <c r="C117" s="495">
        <f>IF(D94="","-",+C116+1)</f>
        <v>2030</v>
      </c>
      <c r="D117" s="349">
        <f>IF(F116+SUM(E$100:E116)=D$93,F116,D$93-SUM(E$100:E116))</f>
        <v>16000358.496598896</v>
      </c>
      <c r="E117" s="509">
        <f>IF(+J97&lt;F116,J97,D117)</f>
        <v>876188.96181818179</v>
      </c>
      <c r="F117" s="510">
        <f t="shared" si="29"/>
        <v>15124169.534780715</v>
      </c>
      <c r="G117" s="510">
        <f t="shared" si="30"/>
        <v>15562264.015689805</v>
      </c>
      <c r="H117" s="523">
        <f t="shared" si="31"/>
        <v>2557057.051805648</v>
      </c>
      <c r="I117" s="572">
        <f t="shared" si="32"/>
        <v>2557057.051805648</v>
      </c>
      <c r="J117" s="504">
        <f t="shared" si="28"/>
        <v>0</v>
      </c>
      <c r="K117" s="504"/>
      <c r="L117" s="512"/>
      <c r="M117" s="504">
        <f t="shared" si="33"/>
        <v>0</v>
      </c>
      <c r="N117" s="512"/>
      <c r="O117" s="504">
        <f t="shared" si="26"/>
        <v>0</v>
      </c>
      <c r="P117" s="504">
        <f t="shared" si="27"/>
        <v>0</v>
      </c>
      <c r="Q117" s="243"/>
      <c r="R117" s="243"/>
      <c r="S117" s="243"/>
      <c r="T117" s="243"/>
      <c r="U117" s="243"/>
    </row>
    <row r="118" spans="2:21" ht="12.5">
      <c r="B118" s="145" t="str">
        <f t="shared" si="22"/>
        <v/>
      </c>
      <c r="C118" s="495">
        <f>IF(D94="","-",+C117+1)</f>
        <v>2031</v>
      </c>
      <c r="D118" s="349">
        <f>IF(F117+SUM(E$100:E117)=D$93,F117,D$93-SUM(E$100:E117))</f>
        <v>15124169.534780715</v>
      </c>
      <c r="E118" s="509">
        <f>IF(+J97&lt;F117,J97,D118)</f>
        <v>876188.96181818179</v>
      </c>
      <c r="F118" s="510">
        <f t="shared" si="29"/>
        <v>14247980.572962534</v>
      </c>
      <c r="G118" s="510">
        <f t="shared" si="30"/>
        <v>14686075.053871624</v>
      </c>
      <c r="H118" s="523">
        <f t="shared" si="31"/>
        <v>2462420.5602749428</v>
      </c>
      <c r="I118" s="572">
        <f t="shared" si="32"/>
        <v>2462420.5602749428</v>
      </c>
      <c r="J118" s="504">
        <f t="shared" si="28"/>
        <v>0</v>
      </c>
      <c r="K118" s="504"/>
      <c r="L118" s="512"/>
      <c r="M118" s="504">
        <f t="shared" si="33"/>
        <v>0</v>
      </c>
      <c r="N118" s="512"/>
      <c r="O118" s="504">
        <f t="shared" si="26"/>
        <v>0</v>
      </c>
      <c r="P118" s="504">
        <f t="shared" si="27"/>
        <v>0</v>
      </c>
      <c r="Q118" s="243"/>
      <c r="R118" s="243"/>
      <c r="S118" s="243"/>
      <c r="T118" s="243"/>
      <c r="U118" s="243"/>
    </row>
    <row r="119" spans="2:21" ht="12.5">
      <c r="B119" s="145" t="str">
        <f t="shared" si="22"/>
        <v/>
      </c>
      <c r="C119" s="495">
        <f>IF(D94="","-",+C118+1)</f>
        <v>2032</v>
      </c>
      <c r="D119" s="349">
        <f>IF(F118+SUM(E$100:E118)=D$93,F118,D$93-SUM(E$100:E118))</f>
        <v>14247980.572962534</v>
      </c>
      <c r="E119" s="509">
        <f>IF(+J97&lt;F118,J97,D119)</f>
        <v>876188.96181818179</v>
      </c>
      <c r="F119" s="510">
        <f t="shared" si="29"/>
        <v>13371791.611144353</v>
      </c>
      <c r="G119" s="510">
        <f t="shared" si="30"/>
        <v>13809886.092053443</v>
      </c>
      <c r="H119" s="523">
        <f t="shared" si="31"/>
        <v>2367784.068744238</v>
      </c>
      <c r="I119" s="572">
        <f t="shared" si="32"/>
        <v>2367784.068744238</v>
      </c>
      <c r="J119" s="504">
        <f t="shared" si="28"/>
        <v>0</v>
      </c>
      <c r="K119" s="504"/>
      <c r="L119" s="512"/>
      <c r="M119" s="504">
        <f t="shared" si="33"/>
        <v>0</v>
      </c>
      <c r="N119" s="512"/>
      <c r="O119" s="504">
        <f t="shared" si="26"/>
        <v>0</v>
      </c>
      <c r="P119" s="504">
        <f t="shared" si="27"/>
        <v>0</v>
      </c>
      <c r="Q119" s="243"/>
      <c r="R119" s="243"/>
      <c r="S119" s="243"/>
      <c r="T119" s="243"/>
      <c r="U119" s="243"/>
    </row>
    <row r="120" spans="2:21" ht="12.5">
      <c r="B120" s="145" t="str">
        <f t="shared" si="22"/>
        <v/>
      </c>
      <c r="C120" s="495">
        <f>IF(D94="","-",+C119+1)</f>
        <v>2033</v>
      </c>
      <c r="D120" s="349">
        <f>IF(F119+SUM(E$100:E119)=D$93,F119,D$93-SUM(E$100:E119))</f>
        <v>13371791.611144353</v>
      </c>
      <c r="E120" s="509">
        <f>IF(+J97&lt;F119,J97,D120)</f>
        <v>876188.96181818179</v>
      </c>
      <c r="F120" s="510">
        <f t="shared" si="29"/>
        <v>12495602.649326172</v>
      </c>
      <c r="G120" s="510">
        <f t="shared" si="30"/>
        <v>12933697.130235262</v>
      </c>
      <c r="H120" s="523">
        <f t="shared" si="31"/>
        <v>2273147.5772135328</v>
      </c>
      <c r="I120" s="572">
        <f t="shared" si="32"/>
        <v>2273147.5772135328</v>
      </c>
      <c r="J120" s="504">
        <f t="shared" si="28"/>
        <v>0</v>
      </c>
      <c r="K120" s="504"/>
      <c r="L120" s="512"/>
      <c r="M120" s="504">
        <f t="shared" si="33"/>
        <v>0</v>
      </c>
      <c r="N120" s="512"/>
      <c r="O120" s="504">
        <f t="shared" si="26"/>
        <v>0</v>
      </c>
      <c r="P120" s="504">
        <f t="shared" si="27"/>
        <v>0</v>
      </c>
      <c r="Q120" s="243"/>
      <c r="R120" s="243"/>
      <c r="S120" s="243"/>
      <c r="T120" s="243"/>
      <c r="U120" s="243"/>
    </row>
    <row r="121" spans="2:21" ht="12.5">
      <c r="B121" s="145" t="str">
        <f t="shared" si="22"/>
        <v/>
      </c>
      <c r="C121" s="495">
        <f>IF(D94="","-",+C120+1)</f>
        <v>2034</v>
      </c>
      <c r="D121" s="349">
        <f>IF(F120+SUM(E$100:E120)=D$93,F120,D$93-SUM(E$100:E120))</f>
        <v>12495602.649326172</v>
      </c>
      <c r="E121" s="509">
        <f>IF(+J97&lt;F120,J97,D121)</f>
        <v>876188.96181818179</v>
      </c>
      <c r="F121" s="510">
        <f t="shared" si="29"/>
        <v>11619413.687507991</v>
      </c>
      <c r="G121" s="510">
        <f t="shared" si="30"/>
        <v>12057508.168417081</v>
      </c>
      <c r="H121" s="523">
        <f t="shared" si="31"/>
        <v>2178511.0856828275</v>
      </c>
      <c r="I121" s="572">
        <f t="shared" si="32"/>
        <v>2178511.0856828275</v>
      </c>
      <c r="J121" s="504">
        <f t="shared" si="28"/>
        <v>0</v>
      </c>
      <c r="K121" s="504"/>
      <c r="L121" s="512"/>
      <c r="M121" s="504">
        <f t="shared" si="33"/>
        <v>0</v>
      </c>
      <c r="N121" s="512"/>
      <c r="O121" s="504">
        <f t="shared" si="26"/>
        <v>0</v>
      </c>
      <c r="P121" s="504">
        <f t="shared" si="27"/>
        <v>0</v>
      </c>
      <c r="Q121" s="243"/>
      <c r="R121" s="243"/>
      <c r="S121" s="243"/>
      <c r="T121" s="243"/>
      <c r="U121" s="243"/>
    </row>
    <row r="122" spans="2:21" ht="12.5">
      <c r="B122" s="145" t="str">
        <f t="shared" si="22"/>
        <v/>
      </c>
      <c r="C122" s="495">
        <f>IF(D94="","-",+C121+1)</f>
        <v>2035</v>
      </c>
      <c r="D122" s="349">
        <f>IF(F121+SUM(E$100:E121)=D$93,F121,D$93-SUM(E$100:E121))</f>
        <v>11619413.687507991</v>
      </c>
      <c r="E122" s="509">
        <f>IF(+J97&lt;F121,J97,D122)</f>
        <v>876188.96181818179</v>
      </c>
      <c r="F122" s="510">
        <f t="shared" si="29"/>
        <v>10743224.72568981</v>
      </c>
      <c r="G122" s="510">
        <f t="shared" si="30"/>
        <v>11181319.2065989</v>
      </c>
      <c r="H122" s="523">
        <f t="shared" si="31"/>
        <v>2083874.5941521223</v>
      </c>
      <c r="I122" s="572">
        <f t="shared" si="32"/>
        <v>2083874.5941521223</v>
      </c>
      <c r="J122" s="504">
        <f t="shared" si="28"/>
        <v>0</v>
      </c>
      <c r="K122" s="504"/>
      <c r="L122" s="512"/>
      <c r="M122" s="504">
        <f t="shared" si="33"/>
        <v>0</v>
      </c>
      <c r="N122" s="512"/>
      <c r="O122" s="504">
        <f t="shared" si="26"/>
        <v>0</v>
      </c>
      <c r="P122" s="504">
        <f t="shared" si="27"/>
        <v>0</v>
      </c>
      <c r="Q122" s="243"/>
      <c r="R122" s="243"/>
      <c r="S122" s="243"/>
      <c r="T122" s="243"/>
      <c r="U122" s="243"/>
    </row>
    <row r="123" spans="2:21" ht="12.5">
      <c r="B123" s="145" t="str">
        <f t="shared" si="22"/>
        <v/>
      </c>
      <c r="C123" s="495">
        <f>IF(D94="","-",+C122+1)</f>
        <v>2036</v>
      </c>
      <c r="D123" s="349">
        <f>IF(F122+SUM(E$100:E122)=D$93,F122,D$93-SUM(E$100:E122))</f>
        <v>10743224.72568981</v>
      </c>
      <c r="E123" s="509">
        <f>IF(+J97&lt;F122,J97,D123)</f>
        <v>876188.96181818179</v>
      </c>
      <c r="F123" s="510">
        <f t="shared" si="29"/>
        <v>9867035.7638716288</v>
      </c>
      <c r="G123" s="510">
        <f t="shared" si="30"/>
        <v>10305130.244780719</v>
      </c>
      <c r="H123" s="523">
        <f t="shared" si="31"/>
        <v>1989238.102621417</v>
      </c>
      <c r="I123" s="572">
        <f t="shared" si="32"/>
        <v>1989238.102621417</v>
      </c>
      <c r="J123" s="504">
        <f t="shared" si="28"/>
        <v>0</v>
      </c>
      <c r="K123" s="504"/>
      <c r="L123" s="512"/>
      <c r="M123" s="504">
        <f t="shared" si="33"/>
        <v>0</v>
      </c>
      <c r="N123" s="512"/>
      <c r="O123" s="504">
        <f t="shared" si="26"/>
        <v>0</v>
      </c>
      <c r="P123" s="504">
        <f t="shared" si="27"/>
        <v>0</v>
      </c>
      <c r="Q123" s="243"/>
      <c r="R123" s="243"/>
      <c r="S123" s="243"/>
      <c r="T123" s="243"/>
      <c r="U123" s="243"/>
    </row>
    <row r="124" spans="2:21" ht="12.5">
      <c r="B124" s="145" t="str">
        <f t="shared" si="22"/>
        <v/>
      </c>
      <c r="C124" s="495">
        <f>IF(D94="","-",+C123+1)</f>
        <v>2037</v>
      </c>
      <c r="D124" s="349">
        <f>IF(F123+SUM(E$100:E123)=D$93,F123,D$93-SUM(E$100:E123))</f>
        <v>9867035.7638716288</v>
      </c>
      <c r="E124" s="509">
        <f>IF(+J97&lt;F123,J97,D124)</f>
        <v>876188.96181818179</v>
      </c>
      <c r="F124" s="510">
        <f t="shared" si="29"/>
        <v>8990846.8020534478</v>
      </c>
      <c r="G124" s="510">
        <f t="shared" si="30"/>
        <v>9428941.2829625383</v>
      </c>
      <c r="H124" s="523">
        <f t="shared" si="31"/>
        <v>1894601.6110907118</v>
      </c>
      <c r="I124" s="572">
        <f t="shared" si="32"/>
        <v>1894601.6110907118</v>
      </c>
      <c r="J124" s="504">
        <f t="shared" si="28"/>
        <v>0</v>
      </c>
      <c r="K124" s="504"/>
      <c r="L124" s="512"/>
      <c r="M124" s="504">
        <f t="shared" si="33"/>
        <v>0</v>
      </c>
      <c r="N124" s="512"/>
      <c r="O124" s="504">
        <f t="shared" si="26"/>
        <v>0</v>
      </c>
      <c r="P124" s="504">
        <f t="shared" si="27"/>
        <v>0</v>
      </c>
      <c r="Q124" s="243"/>
      <c r="R124" s="243"/>
      <c r="S124" s="243"/>
      <c r="T124" s="243"/>
      <c r="U124" s="243"/>
    </row>
    <row r="125" spans="2:21" ht="12.5">
      <c r="B125" s="145" t="str">
        <f t="shared" si="22"/>
        <v/>
      </c>
      <c r="C125" s="495">
        <f>IF(D94="","-",+C124+1)</f>
        <v>2038</v>
      </c>
      <c r="D125" s="349">
        <f>IF(F124+SUM(E$100:E124)=D$93,F124,D$93-SUM(E$100:E124))</f>
        <v>8990846.8020534478</v>
      </c>
      <c r="E125" s="509">
        <f>IF(+J97&lt;F124,J97,D125)</f>
        <v>876188.96181818179</v>
      </c>
      <c r="F125" s="510">
        <f t="shared" si="29"/>
        <v>8114657.8402352659</v>
      </c>
      <c r="G125" s="510">
        <f t="shared" si="30"/>
        <v>8552752.3211443573</v>
      </c>
      <c r="H125" s="523">
        <f t="shared" si="31"/>
        <v>1799965.1195600065</v>
      </c>
      <c r="I125" s="572">
        <f t="shared" si="32"/>
        <v>1799965.1195600065</v>
      </c>
      <c r="J125" s="504">
        <f t="shared" si="28"/>
        <v>0</v>
      </c>
      <c r="K125" s="504"/>
      <c r="L125" s="512"/>
      <c r="M125" s="504">
        <f t="shared" si="33"/>
        <v>0</v>
      </c>
      <c r="N125" s="512"/>
      <c r="O125" s="504">
        <f t="shared" si="26"/>
        <v>0</v>
      </c>
      <c r="P125" s="504">
        <f t="shared" si="27"/>
        <v>0</v>
      </c>
      <c r="Q125" s="243"/>
      <c r="R125" s="243"/>
      <c r="S125" s="243"/>
      <c r="T125" s="243"/>
      <c r="U125" s="243"/>
    </row>
    <row r="126" spans="2:21" ht="12.5">
      <c r="B126" s="145" t="str">
        <f t="shared" si="22"/>
        <v/>
      </c>
      <c r="C126" s="495">
        <f>IF(D94="","-",+C125+1)</f>
        <v>2039</v>
      </c>
      <c r="D126" s="349">
        <f>IF(F125+SUM(E$100:E125)=D$93,F125,D$93-SUM(E$100:E125))</f>
        <v>8114657.8402352659</v>
      </c>
      <c r="E126" s="509">
        <f>IF(+J97&lt;F125,J97,D126)</f>
        <v>876188.96181818179</v>
      </c>
      <c r="F126" s="510">
        <f t="shared" si="29"/>
        <v>7238468.878417084</v>
      </c>
      <c r="G126" s="510">
        <f t="shared" si="30"/>
        <v>7676563.3593261745</v>
      </c>
      <c r="H126" s="523">
        <f t="shared" si="31"/>
        <v>1705328.6280293008</v>
      </c>
      <c r="I126" s="572">
        <f t="shared" si="32"/>
        <v>1705328.6280293008</v>
      </c>
      <c r="J126" s="504">
        <f t="shared" si="28"/>
        <v>0</v>
      </c>
      <c r="K126" s="504"/>
      <c r="L126" s="512"/>
      <c r="M126" s="504">
        <f t="shared" si="33"/>
        <v>0</v>
      </c>
      <c r="N126" s="512"/>
      <c r="O126" s="504">
        <f t="shared" si="26"/>
        <v>0</v>
      </c>
      <c r="P126" s="504">
        <f t="shared" si="27"/>
        <v>0</v>
      </c>
      <c r="Q126" s="243"/>
      <c r="R126" s="243"/>
      <c r="S126" s="243"/>
      <c r="T126" s="243"/>
      <c r="U126" s="243"/>
    </row>
    <row r="127" spans="2:21" ht="12.5">
      <c r="B127" s="145" t="str">
        <f t="shared" si="22"/>
        <v/>
      </c>
      <c r="C127" s="495">
        <f>IF(D94="","-",+C126+1)</f>
        <v>2040</v>
      </c>
      <c r="D127" s="349">
        <f>IF(F126+SUM(E$100:E126)=D$93,F126,D$93-SUM(E$100:E126))</f>
        <v>7238468.878417084</v>
      </c>
      <c r="E127" s="509">
        <f>IF(+J97&lt;F126,J97,D127)</f>
        <v>876188.96181818179</v>
      </c>
      <c r="F127" s="510">
        <f t="shared" si="29"/>
        <v>6362279.9165989021</v>
      </c>
      <c r="G127" s="510">
        <f t="shared" si="30"/>
        <v>6800374.3975079935</v>
      </c>
      <c r="H127" s="523">
        <f t="shared" si="31"/>
        <v>1610692.1364985956</v>
      </c>
      <c r="I127" s="572">
        <f t="shared" si="32"/>
        <v>1610692.1364985956</v>
      </c>
      <c r="J127" s="504">
        <f t="shared" si="28"/>
        <v>0</v>
      </c>
      <c r="K127" s="504"/>
      <c r="L127" s="512"/>
      <c r="M127" s="504">
        <f t="shared" si="33"/>
        <v>0</v>
      </c>
      <c r="N127" s="512"/>
      <c r="O127" s="504">
        <f t="shared" si="26"/>
        <v>0</v>
      </c>
      <c r="P127" s="504">
        <f t="shared" si="27"/>
        <v>0</v>
      </c>
      <c r="Q127" s="243"/>
      <c r="R127" s="243"/>
      <c r="S127" s="243"/>
      <c r="T127" s="243"/>
      <c r="U127" s="243"/>
    </row>
    <row r="128" spans="2:21" ht="12.5">
      <c r="B128" s="145" t="str">
        <f t="shared" si="22"/>
        <v/>
      </c>
      <c r="C128" s="495">
        <f>IF(D94="","-",+C127+1)</f>
        <v>2041</v>
      </c>
      <c r="D128" s="349">
        <f>IF(F127+SUM(E$100:E127)=D$93,F127,D$93-SUM(E$100:E127))</f>
        <v>6362279.9165989021</v>
      </c>
      <c r="E128" s="509">
        <f>IF(+J97&lt;F127,J97,D128)</f>
        <v>876188.96181818179</v>
      </c>
      <c r="F128" s="510">
        <f t="shared" si="29"/>
        <v>5486090.9547807202</v>
      </c>
      <c r="G128" s="510">
        <f t="shared" si="30"/>
        <v>5924185.4356898107</v>
      </c>
      <c r="H128" s="523">
        <f t="shared" si="31"/>
        <v>1516055.6449678903</v>
      </c>
      <c r="I128" s="572">
        <f t="shared" si="32"/>
        <v>1516055.6449678903</v>
      </c>
      <c r="J128" s="504">
        <f t="shared" si="28"/>
        <v>0</v>
      </c>
      <c r="K128" s="504"/>
      <c r="L128" s="512"/>
      <c r="M128" s="504">
        <f t="shared" si="33"/>
        <v>0</v>
      </c>
      <c r="N128" s="512"/>
      <c r="O128" s="504">
        <f t="shared" si="26"/>
        <v>0</v>
      </c>
      <c r="P128" s="504">
        <f t="shared" si="27"/>
        <v>0</v>
      </c>
      <c r="Q128" s="243"/>
      <c r="R128" s="243"/>
      <c r="S128" s="243"/>
      <c r="T128" s="243"/>
      <c r="U128" s="243"/>
    </row>
    <row r="129" spans="2:21" ht="12.5">
      <c r="B129" s="145" t="str">
        <f t="shared" si="22"/>
        <v/>
      </c>
      <c r="C129" s="495">
        <f>IF(D94="","-",+C128+1)</f>
        <v>2042</v>
      </c>
      <c r="D129" s="349">
        <f>IF(F128+SUM(E$100:E128)=D$93,F128,D$93-SUM(E$100:E128))</f>
        <v>5486090.9547807202</v>
      </c>
      <c r="E129" s="509">
        <f>IF(+J97&lt;F128,J97,D129)</f>
        <v>876188.96181818179</v>
      </c>
      <c r="F129" s="510">
        <f t="shared" si="29"/>
        <v>4609901.9929625383</v>
      </c>
      <c r="G129" s="510">
        <f t="shared" si="30"/>
        <v>5047996.4738716297</v>
      </c>
      <c r="H129" s="523">
        <f t="shared" si="31"/>
        <v>1421419.1534371851</v>
      </c>
      <c r="I129" s="572">
        <f t="shared" si="32"/>
        <v>1421419.1534371851</v>
      </c>
      <c r="J129" s="504">
        <f t="shared" si="28"/>
        <v>0</v>
      </c>
      <c r="K129" s="504"/>
      <c r="L129" s="512"/>
      <c r="M129" s="504">
        <f t="shared" si="33"/>
        <v>0</v>
      </c>
      <c r="N129" s="512"/>
      <c r="O129" s="504">
        <f t="shared" si="26"/>
        <v>0</v>
      </c>
      <c r="P129" s="504">
        <f t="shared" si="27"/>
        <v>0</v>
      </c>
      <c r="Q129" s="243"/>
      <c r="R129" s="243"/>
      <c r="S129" s="243"/>
      <c r="T129" s="243"/>
      <c r="U129" s="243"/>
    </row>
    <row r="130" spans="2:21" ht="12.5">
      <c r="B130" s="145" t="str">
        <f t="shared" si="22"/>
        <v/>
      </c>
      <c r="C130" s="495">
        <f>IF(D94="","-",+C129+1)</f>
        <v>2043</v>
      </c>
      <c r="D130" s="349">
        <f>IF(F129+SUM(E$100:E129)=D$93,F129,D$93-SUM(E$100:E129))</f>
        <v>4609901.9929625383</v>
      </c>
      <c r="E130" s="509">
        <f>IF(+J97&lt;F129,J97,D130)</f>
        <v>876188.96181818179</v>
      </c>
      <c r="F130" s="510">
        <f t="shared" si="29"/>
        <v>3733713.0311443564</v>
      </c>
      <c r="G130" s="510">
        <f t="shared" si="30"/>
        <v>4171807.5120534473</v>
      </c>
      <c r="H130" s="523">
        <f t="shared" si="31"/>
        <v>1326782.6619064796</v>
      </c>
      <c r="I130" s="572">
        <f t="shared" si="32"/>
        <v>1326782.6619064796</v>
      </c>
      <c r="J130" s="504">
        <f t="shared" si="28"/>
        <v>0</v>
      </c>
      <c r="K130" s="504"/>
      <c r="L130" s="512"/>
      <c r="M130" s="504">
        <f t="shared" si="33"/>
        <v>0</v>
      </c>
      <c r="N130" s="512"/>
      <c r="O130" s="504">
        <f t="shared" si="26"/>
        <v>0</v>
      </c>
      <c r="P130" s="504">
        <f t="shared" si="27"/>
        <v>0</v>
      </c>
      <c r="Q130" s="243"/>
      <c r="R130" s="243"/>
      <c r="S130" s="243"/>
      <c r="T130" s="243"/>
      <c r="U130" s="243"/>
    </row>
    <row r="131" spans="2:21" ht="12.5">
      <c r="B131" s="145" t="str">
        <f t="shared" si="22"/>
        <v/>
      </c>
      <c r="C131" s="495">
        <f>IF(D94="","-",+C130+1)</f>
        <v>2044</v>
      </c>
      <c r="D131" s="349">
        <f>IF(F130+SUM(E$100:E130)=D$93,F130,D$93-SUM(E$100:E130))</f>
        <v>3733713.0311443564</v>
      </c>
      <c r="E131" s="509">
        <f>IF(+J97&lt;F130,J97,D131)</f>
        <v>876188.96181818179</v>
      </c>
      <c r="F131" s="510">
        <f t="shared" si="29"/>
        <v>2857524.0693261744</v>
      </c>
      <c r="G131" s="510">
        <f t="shared" si="30"/>
        <v>3295618.5502352654</v>
      </c>
      <c r="H131" s="523">
        <f t="shared" si="31"/>
        <v>1232146.1703757744</v>
      </c>
      <c r="I131" s="572">
        <f t="shared" si="32"/>
        <v>1232146.1703757744</v>
      </c>
      <c r="J131" s="504">
        <f t="shared" si="28"/>
        <v>0</v>
      </c>
      <c r="K131" s="504"/>
      <c r="L131" s="512"/>
      <c r="M131" s="504">
        <f t="shared" si="33"/>
        <v>0</v>
      </c>
      <c r="N131" s="512"/>
      <c r="O131" s="504">
        <f t="shared" si="26"/>
        <v>0</v>
      </c>
      <c r="P131" s="504">
        <f t="shared" si="27"/>
        <v>0</v>
      </c>
      <c r="Q131" s="243"/>
      <c r="R131" s="243"/>
      <c r="S131" s="243"/>
      <c r="T131" s="243"/>
      <c r="U131" s="243"/>
    </row>
    <row r="132" spans="2:21" ht="12.5">
      <c r="B132" s="145" t="str">
        <f t="shared" ref="B132:B155" si="34">IF(D132=F131,"","IU")</f>
        <v/>
      </c>
      <c r="C132" s="495">
        <f>IF(D94="","-",+C131+1)</f>
        <v>2045</v>
      </c>
      <c r="D132" s="349">
        <f>IF(F131+SUM(E$100:E131)=D$93,F131,D$93-SUM(E$100:E131))</f>
        <v>2857524.0693261744</v>
      </c>
      <c r="E132" s="509">
        <f>IF(+J97&lt;F131,J97,D132)</f>
        <v>876188.96181818179</v>
      </c>
      <c r="F132" s="510">
        <f t="shared" si="29"/>
        <v>1981335.1075079925</v>
      </c>
      <c r="G132" s="510">
        <f t="shared" ref="G132:G155" si="35">+(F132+D132)/2</f>
        <v>2419429.5884170835</v>
      </c>
      <c r="H132" s="523">
        <f t="shared" ref="H132:H155" si="36">+J$95*G132+E132</f>
        <v>1137509.6788450689</v>
      </c>
      <c r="I132" s="572">
        <f t="shared" ref="I132:I155" si="37">+J$96*G132+E132</f>
        <v>1137509.6788450689</v>
      </c>
      <c r="J132" s="504">
        <f t="shared" ref="J132:J155" si="38">+I132-H132</f>
        <v>0</v>
      </c>
      <c r="K132" s="504"/>
      <c r="L132" s="512"/>
      <c r="M132" s="504">
        <f t="shared" ref="M132:M155" si="39">IF(L132&lt;&gt;0,+H132-L132,0)</f>
        <v>0</v>
      </c>
      <c r="N132" s="512"/>
      <c r="O132" s="504">
        <f t="shared" ref="O132:O155" si="40">IF(N132&lt;&gt;0,+I132-N132,0)</f>
        <v>0</v>
      </c>
      <c r="P132" s="504">
        <f t="shared" ref="P132:P155" si="41">+O132-M132</f>
        <v>0</v>
      </c>
      <c r="Q132" s="243"/>
      <c r="R132" s="243"/>
      <c r="S132" s="243"/>
      <c r="T132" s="243"/>
      <c r="U132" s="243"/>
    </row>
    <row r="133" spans="2:21" ht="12.5">
      <c r="B133" s="145" t="str">
        <f t="shared" si="34"/>
        <v/>
      </c>
      <c r="C133" s="495">
        <f>IF(D94="","-",+C132+1)</f>
        <v>2046</v>
      </c>
      <c r="D133" s="349">
        <f>IF(F132+SUM(E$100:E132)=D$93,F132,D$93-SUM(E$100:E132))</f>
        <v>1981335.1075079925</v>
      </c>
      <c r="E133" s="509">
        <f>IF(+J97&lt;F132,J97,D133)</f>
        <v>876188.96181818179</v>
      </c>
      <c r="F133" s="510">
        <f t="shared" ref="F133:F155" si="42">+D133-E133</f>
        <v>1105146.1456898106</v>
      </c>
      <c r="G133" s="510">
        <f t="shared" si="35"/>
        <v>1543240.6265989016</v>
      </c>
      <c r="H133" s="523">
        <f t="shared" si="36"/>
        <v>1042873.1873143637</v>
      </c>
      <c r="I133" s="572">
        <f t="shared" si="37"/>
        <v>1042873.1873143637</v>
      </c>
      <c r="J133" s="504">
        <f t="shared" si="38"/>
        <v>0</v>
      </c>
      <c r="K133" s="504"/>
      <c r="L133" s="512"/>
      <c r="M133" s="504">
        <f t="shared" si="39"/>
        <v>0</v>
      </c>
      <c r="N133" s="512"/>
      <c r="O133" s="504">
        <f t="shared" si="40"/>
        <v>0</v>
      </c>
      <c r="P133" s="504">
        <f t="shared" si="41"/>
        <v>0</v>
      </c>
      <c r="Q133" s="243"/>
      <c r="R133" s="243"/>
      <c r="S133" s="243"/>
      <c r="T133" s="243"/>
      <c r="U133" s="243"/>
    </row>
    <row r="134" spans="2:21" ht="12.5">
      <c r="B134" s="145" t="str">
        <f t="shared" si="34"/>
        <v/>
      </c>
      <c r="C134" s="495">
        <f>IF(D94="","-",+C133+1)</f>
        <v>2047</v>
      </c>
      <c r="D134" s="349">
        <f>IF(F133+SUM(E$100:E133)=D$93,F133,D$93-SUM(E$100:E133))</f>
        <v>1105146.1456898106</v>
      </c>
      <c r="E134" s="509">
        <f>IF(+J97&lt;F133,J97,D134)</f>
        <v>876188.96181818179</v>
      </c>
      <c r="F134" s="510">
        <f t="shared" si="42"/>
        <v>228957.18387162883</v>
      </c>
      <c r="G134" s="510">
        <f t="shared" si="35"/>
        <v>667051.66478071967</v>
      </c>
      <c r="H134" s="523">
        <f t="shared" si="36"/>
        <v>948236.6957836583</v>
      </c>
      <c r="I134" s="572">
        <f t="shared" si="37"/>
        <v>948236.6957836583</v>
      </c>
      <c r="J134" s="504">
        <f t="shared" si="38"/>
        <v>0</v>
      </c>
      <c r="K134" s="504"/>
      <c r="L134" s="512"/>
      <c r="M134" s="504">
        <f t="shared" si="39"/>
        <v>0</v>
      </c>
      <c r="N134" s="512"/>
      <c r="O134" s="504">
        <f t="shared" si="40"/>
        <v>0</v>
      </c>
      <c r="P134" s="504">
        <f t="shared" si="41"/>
        <v>0</v>
      </c>
      <c r="Q134" s="243"/>
      <c r="R134" s="243"/>
      <c r="S134" s="243"/>
      <c r="T134" s="243"/>
      <c r="U134" s="243"/>
    </row>
    <row r="135" spans="2:21" ht="12.5">
      <c r="B135" s="145" t="str">
        <f t="shared" si="34"/>
        <v/>
      </c>
      <c r="C135" s="495">
        <f>IF(D94="","-",+C134+1)</f>
        <v>2048</v>
      </c>
      <c r="D135" s="349">
        <f>IF(F134+SUM(E$100:E134)=D$93,F134,D$93-SUM(E$100:E134))</f>
        <v>228957.18387162883</v>
      </c>
      <c r="E135" s="509">
        <f>IF(+J97&lt;F134,J97,D135)</f>
        <v>228957.18387162883</v>
      </c>
      <c r="F135" s="510">
        <f t="shared" si="42"/>
        <v>0</v>
      </c>
      <c r="G135" s="510">
        <f t="shared" si="35"/>
        <v>114478.59193581442</v>
      </c>
      <c r="H135" s="523">
        <f t="shared" si="36"/>
        <v>241321.92797169078</v>
      </c>
      <c r="I135" s="572">
        <f t="shared" si="37"/>
        <v>241321.92797169078</v>
      </c>
      <c r="J135" s="504">
        <f t="shared" si="38"/>
        <v>0</v>
      </c>
      <c r="K135" s="504"/>
      <c r="L135" s="512"/>
      <c r="M135" s="504">
        <f t="shared" si="39"/>
        <v>0</v>
      </c>
      <c r="N135" s="512"/>
      <c r="O135" s="504">
        <f t="shared" si="40"/>
        <v>0</v>
      </c>
      <c r="P135" s="504">
        <f t="shared" si="41"/>
        <v>0</v>
      </c>
      <c r="Q135" s="243"/>
      <c r="R135" s="243"/>
      <c r="S135" s="243"/>
      <c r="T135" s="243"/>
      <c r="U135" s="243"/>
    </row>
    <row r="136" spans="2:21" ht="12.5">
      <c r="B136" s="145" t="str">
        <f t="shared" si="34"/>
        <v/>
      </c>
      <c r="C136" s="495">
        <f>IF(D94="","-",+C135+1)</f>
        <v>2049</v>
      </c>
      <c r="D136" s="349">
        <f>IF(F135+SUM(E$100:E135)=D$93,F135,D$93-SUM(E$100:E135))</f>
        <v>0</v>
      </c>
      <c r="E136" s="509">
        <f>IF(+J97&lt;F135,J97,D136)</f>
        <v>0</v>
      </c>
      <c r="F136" s="510">
        <f t="shared" si="42"/>
        <v>0</v>
      </c>
      <c r="G136" s="510">
        <f t="shared" si="35"/>
        <v>0</v>
      </c>
      <c r="H136" s="523">
        <f t="shared" si="36"/>
        <v>0</v>
      </c>
      <c r="I136" s="572">
        <f t="shared" si="37"/>
        <v>0</v>
      </c>
      <c r="J136" s="504">
        <f t="shared" si="38"/>
        <v>0</v>
      </c>
      <c r="K136" s="504"/>
      <c r="L136" s="512"/>
      <c r="M136" s="504">
        <f t="shared" si="39"/>
        <v>0</v>
      </c>
      <c r="N136" s="512"/>
      <c r="O136" s="504">
        <f t="shared" si="40"/>
        <v>0</v>
      </c>
      <c r="P136" s="504">
        <f t="shared" si="41"/>
        <v>0</v>
      </c>
      <c r="Q136" s="243"/>
      <c r="R136" s="243"/>
      <c r="S136" s="243"/>
      <c r="T136" s="243"/>
      <c r="U136" s="243"/>
    </row>
    <row r="137" spans="2:21" ht="12.5">
      <c r="B137" s="145" t="str">
        <f t="shared" si="34"/>
        <v/>
      </c>
      <c r="C137" s="495">
        <f>IF(D94="","-",+C136+1)</f>
        <v>2050</v>
      </c>
      <c r="D137" s="349">
        <f>IF(F136+SUM(E$100:E136)=D$93,F136,D$93-SUM(E$100:E136))</f>
        <v>0</v>
      </c>
      <c r="E137" s="509">
        <f>IF(+J97&lt;F136,J97,D137)</f>
        <v>0</v>
      </c>
      <c r="F137" s="510">
        <f t="shared" si="42"/>
        <v>0</v>
      </c>
      <c r="G137" s="510">
        <f t="shared" si="35"/>
        <v>0</v>
      </c>
      <c r="H137" s="523">
        <f t="shared" si="36"/>
        <v>0</v>
      </c>
      <c r="I137" s="572">
        <f t="shared" si="37"/>
        <v>0</v>
      </c>
      <c r="J137" s="504">
        <f t="shared" si="38"/>
        <v>0</v>
      </c>
      <c r="K137" s="504"/>
      <c r="L137" s="512"/>
      <c r="M137" s="504">
        <f t="shared" si="39"/>
        <v>0</v>
      </c>
      <c r="N137" s="512"/>
      <c r="O137" s="504">
        <f t="shared" si="40"/>
        <v>0</v>
      </c>
      <c r="P137" s="504">
        <f t="shared" si="41"/>
        <v>0</v>
      </c>
      <c r="Q137" s="243"/>
      <c r="R137" s="243"/>
      <c r="S137" s="243"/>
      <c r="T137" s="243"/>
      <c r="U137" s="243"/>
    </row>
    <row r="138" spans="2:21" ht="12.5">
      <c r="B138" s="145" t="str">
        <f t="shared" si="34"/>
        <v/>
      </c>
      <c r="C138" s="495">
        <f>IF(D94="","-",+C137+1)</f>
        <v>2051</v>
      </c>
      <c r="D138" s="349">
        <f>IF(F137+SUM(E$100:E137)=D$93,F137,D$93-SUM(E$100:E137))</f>
        <v>0</v>
      </c>
      <c r="E138" s="509">
        <f>IF(+J97&lt;F137,J97,D138)</f>
        <v>0</v>
      </c>
      <c r="F138" s="510">
        <f t="shared" si="42"/>
        <v>0</v>
      </c>
      <c r="G138" s="510">
        <f t="shared" si="35"/>
        <v>0</v>
      </c>
      <c r="H138" s="523">
        <f t="shared" si="36"/>
        <v>0</v>
      </c>
      <c r="I138" s="572">
        <f t="shared" si="37"/>
        <v>0</v>
      </c>
      <c r="J138" s="504">
        <f t="shared" si="38"/>
        <v>0</v>
      </c>
      <c r="K138" s="504"/>
      <c r="L138" s="512"/>
      <c r="M138" s="504">
        <f t="shared" si="39"/>
        <v>0</v>
      </c>
      <c r="N138" s="512"/>
      <c r="O138" s="504">
        <f t="shared" si="40"/>
        <v>0</v>
      </c>
      <c r="P138" s="504">
        <f t="shared" si="41"/>
        <v>0</v>
      </c>
      <c r="Q138" s="243"/>
      <c r="R138" s="243"/>
      <c r="S138" s="243"/>
      <c r="T138" s="243"/>
      <c r="U138" s="243"/>
    </row>
    <row r="139" spans="2:21" ht="12.5">
      <c r="B139" s="145" t="str">
        <f t="shared" si="34"/>
        <v/>
      </c>
      <c r="C139" s="495">
        <f>IF(D94="","-",+C138+1)</f>
        <v>2052</v>
      </c>
      <c r="D139" s="349">
        <f>IF(F138+SUM(E$100:E138)=D$93,F138,D$93-SUM(E$100:E138))</f>
        <v>0</v>
      </c>
      <c r="E139" s="509">
        <f>IF(+J97&lt;F138,J97,D139)</f>
        <v>0</v>
      </c>
      <c r="F139" s="510">
        <f t="shared" si="42"/>
        <v>0</v>
      </c>
      <c r="G139" s="510">
        <f t="shared" si="35"/>
        <v>0</v>
      </c>
      <c r="H139" s="523">
        <f t="shared" si="36"/>
        <v>0</v>
      </c>
      <c r="I139" s="572">
        <f t="shared" si="37"/>
        <v>0</v>
      </c>
      <c r="J139" s="504">
        <f t="shared" si="38"/>
        <v>0</v>
      </c>
      <c r="K139" s="504"/>
      <c r="L139" s="512"/>
      <c r="M139" s="504">
        <f t="shared" si="39"/>
        <v>0</v>
      </c>
      <c r="N139" s="512"/>
      <c r="O139" s="504">
        <f t="shared" si="40"/>
        <v>0</v>
      </c>
      <c r="P139" s="504">
        <f t="shared" si="41"/>
        <v>0</v>
      </c>
      <c r="Q139" s="243"/>
      <c r="R139" s="243"/>
      <c r="S139" s="243"/>
      <c r="T139" s="243"/>
      <c r="U139" s="243"/>
    </row>
    <row r="140" spans="2:21" ht="12.5">
      <c r="B140" s="145" t="str">
        <f t="shared" si="34"/>
        <v/>
      </c>
      <c r="C140" s="495">
        <f>IF(D94="","-",+C139+1)</f>
        <v>2053</v>
      </c>
      <c r="D140" s="349">
        <f>IF(F139+SUM(E$100:E139)=D$93,F139,D$93-SUM(E$100:E139))</f>
        <v>0</v>
      </c>
      <c r="E140" s="509">
        <f>IF(+J97&lt;F139,J97,D140)</f>
        <v>0</v>
      </c>
      <c r="F140" s="510">
        <f t="shared" si="42"/>
        <v>0</v>
      </c>
      <c r="G140" s="510">
        <f t="shared" si="35"/>
        <v>0</v>
      </c>
      <c r="H140" s="523">
        <f t="shared" si="36"/>
        <v>0</v>
      </c>
      <c r="I140" s="572">
        <f t="shared" si="37"/>
        <v>0</v>
      </c>
      <c r="J140" s="504">
        <f t="shared" si="38"/>
        <v>0</v>
      </c>
      <c r="K140" s="504"/>
      <c r="L140" s="512"/>
      <c r="M140" s="504">
        <f t="shared" si="39"/>
        <v>0</v>
      </c>
      <c r="N140" s="512"/>
      <c r="O140" s="504">
        <f t="shared" si="40"/>
        <v>0</v>
      </c>
      <c r="P140" s="504">
        <f t="shared" si="41"/>
        <v>0</v>
      </c>
      <c r="Q140" s="243"/>
      <c r="R140" s="243"/>
      <c r="S140" s="243"/>
      <c r="T140" s="243"/>
      <c r="U140" s="243"/>
    </row>
    <row r="141" spans="2:21" ht="12.5">
      <c r="B141" s="145" t="str">
        <f t="shared" si="34"/>
        <v/>
      </c>
      <c r="C141" s="495">
        <f>IF(D94="","-",+C140+1)</f>
        <v>2054</v>
      </c>
      <c r="D141" s="349">
        <f>IF(F140+SUM(E$100:E140)=D$93,F140,D$93-SUM(E$100:E140))</f>
        <v>0</v>
      </c>
      <c r="E141" s="509">
        <f>IF(+J97&lt;F140,J97,D141)</f>
        <v>0</v>
      </c>
      <c r="F141" s="510">
        <f t="shared" si="42"/>
        <v>0</v>
      </c>
      <c r="G141" s="510">
        <f t="shared" si="35"/>
        <v>0</v>
      </c>
      <c r="H141" s="523">
        <f t="shared" si="36"/>
        <v>0</v>
      </c>
      <c r="I141" s="572">
        <f t="shared" si="37"/>
        <v>0</v>
      </c>
      <c r="J141" s="504">
        <f t="shared" si="38"/>
        <v>0</v>
      </c>
      <c r="K141" s="504"/>
      <c r="L141" s="512"/>
      <c r="M141" s="504">
        <f t="shared" si="39"/>
        <v>0</v>
      </c>
      <c r="N141" s="512"/>
      <c r="O141" s="504">
        <f t="shared" si="40"/>
        <v>0</v>
      </c>
      <c r="P141" s="504">
        <f t="shared" si="41"/>
        <v>0</v>
      </c>
      <c r="Q141" s="243"/>
      <c r="R141" s="243"/>
      <c r="S141" s="243"/>
      <c r="T141" s="243"/>
      <c r="U141" s="243"/>
    </row>
    <row r="142" spans="2:21" ht="12.5">
      <c r="B142" s="145" t="str">
        <f t="shared" si="34"/>
        <v/>
      </c>
      <c r="C142" s="495">
        <f>IF(D94="","-",+C141+1)</f>
        <v>2055</v>
      </c>
      <c r="D142" s="349">
        <f>IF(F141+SUM(E$100:E141)=D$93,F141,D$93-SUM(E$100:E141))</f>
        <v>0</v>
      </c>
      <c r="E142" s="509">
        <f>IF(+J97&lt;F141,J97,D142)</f>
        <v>0</v>
      </c>
      <c r="F142" s="510">
        <f t="shared" si="42"/>
        <v>0</v>
      </c>
      <c r="G142" s="510">
        <f t="shared" si="35"/>
        <v>0</v>
      </c>
      <c r="H142" s="523">
        <f t="shared" si="36"/>
        <v>0</v>
      </c>
      <c r="I142" s="572">
        <f t="shared" si="37"/>
        <v>0</v>
      </c>
      <c r="J142" s="504">
        <f t="shared" si="38"/>
        <v>0</v>
      </c>
      <c r="K142" s="504"/>
      <c r="L142" s="512"/>
      <c r="M142" s="504">
        <f t="shared" si="39"/>
        <v>0</v>
      </c>
      <c r="N142" s="512"/>
      <c r="O142" s="504">
        <f t="shared" si="40"/>
        <v>0</v>
      </c>
      <c r="P142" s="504">
        <f t="shared" si="41"/>
        <v>0</v>
      </c>
      <c r="Q142" s="243"/>
      <c r="R142" s="243"/>
      <c r="S142" s="243"/>
      <c r="T142" s="243"/>
      <c r="U142" s="243"/>
    </row>
    <row r="143" spans="2:21" ht="12.5">
      <c r="B143" s="145" t="str">
        <f t="shared" si="34"/>
        <v/>
      </c>
      <c r="C143" s="495">
        <f>IF(D94="","-",+C142+1)</f>
        <v>2056</v>
      </c>
      <c r="D143" s="349">
        <f>IF(F142+SUM(E$100:E142)=D$93,F142,D$93-SUM(E$100:E142))</f>
        <v>0</v>
      </c>
      <c r="E143" s="509">
        <f>IF(+J97&lt;F142,J97,D143)</f>
        <v>0</v>
      </c>
      <c r="F143" s="510">
        <f t="shared" si="42"/>
        <v>0</v>
      </c>
      <c r="G143" s="510">
        <f t="shared" si="35"/>
        <v>0</v>
      </c>
      <c r="H143" s="523">
        <f t="shared" si="36"/>
        <v>0</v>
      </c>
      <c r="I143" s="572">
        <f t="shared" si="37"/>
        <v>0</v>
      </c>
      <c r="J143" s="504">
        <f t="shared" si="38"/>
        <v>0</v>
      </c>
      <c r="K143" s="504"/>
      <c r="L143" s="512"/>
      <c r="M143" s="504">
        <f t="shared" si="39"/>
        <v>0</v>
      </c>
      <c r="N143" s="512"/>
      <c r="O143" s="504">
        <f t="shared" si="40"/>
        <v>0</v>
      </c>
      <c r="P143" s="504">
        <f t="shared" si="41"/>
        <v>0</v>
      </c>
      <c r="Q143" s="243"/>
      <c r="R143" s="243"/>
      <c r="S143" s="243"/>
      <c r="T143" s="243"/>
      <c r="U143" s="243"/>
    </row>
    <row r="144" spans="2:21" ht="12.5">
      <c r="B144" s="145" t="str">
        <f t="shared" si="34"/>
        <v/>
      </c>
      <c r="C144" s="495">
        <f>IF(D94="","-",+C143+1)</f>
        <v>2057</v>
      </c>
      <c r="D144" s="349">
        <f>IF(F143+SUM(E$100:E143)=D$93,F143,D$93-SUM(E$100:E143))</f>
        <v>0</v>
      </c>
      <c r="E144" s="509">
        <f>IF(+J97&lt;F143,J97,D144)</f>
        <v>0</v>
      </c>
      <c r="F144" s="510">
        <f t="shared" si="42"/>
        <v>0</v>
      </c>
      <c r="G144" s="510">
        <f t="shared" si="35"/>
        <v>0</v>
      </c>
      <c r="H144" s="523">
        <f t="shared" si="36"/>
        <v>0</v>
      </c>
      <c r="I144" s="572">
        <f t="shared" si="37"/>
        <v>0</v>
      </c>
      <c r="J144" s="504">
        <f t="shared" si="38"/>
        <v>0</v>
      </c>
      <c r="K144" s="504"/>
      <c r="L144" s="512"/>
      <c r="M144" s="504">
        <f t="shared" si="39"/>
        <v>0</v>
      </c>
      <c r="N144" s="512"/>
      <c r="O144" s="504">
        <f t="shared" si="40"/>
        <v>0</v>
      </c>
      <c r="P144" s="504">
        <f t="shared" si="41"/>
        <v>0</v>
      </c>
      <c r="Q144" s="243"/>
      <c r="R144" s="243"/>
      <c r="S144" s="243"/>
      <c r="T144" s="243"/>
      <c r="U144" s="243"/>
    </row>
    <row r="145" spans="2:21" ht="12.5">
      <c r="B145" s="145" t="str">
        <f t="shared" si="34"/>
        <v/>
      </c>
      <c r="C145" s="495">
        <f>IF(D94="","-",+C144+1)</f>
        <v>2058</v>
      </c>
      <c r="D145" s="349">
        <f>IF(F144+SUM(E$100:E144)=D$93,F144,D$93-SUM(E$100:E144))</f>
        <v>0</v>
      </c>
      <c r="E145" s="509">
        <f>IF(+J97&lt;F144,J97,D145)</f>
        <v>0</v>
      </c>
      <c r="F145" s="510">
        <f t="shared" si="42"/>
        <v>0</v>
      </c>
      <c r="G145" s="510">
        <f t="shared" si="35"/>
        <v>0</v>
      </c>
      <c r="H145" s="523">
        <f t="shared" si="36"/>
        <v>0</v>
      </c>
      <c r="I145" s="572">
        <f t="shared" si="37"/>
        <v>0</v>
      </c>
      <c r="J145" s="504">
        <f t="shared" si="38"/>
        <v>0</v>
      </c>
      <c r="K145" s="504"/>
      <c r="L145" s="512"/>
      <c r="M145" s="504">
        <f t="shared" si="39"/>
        <v>0</v>
      </c>
      <c r="N145" s="512"/>
      <c r="O145" s="504">
        <f t="shared" si="40"/>
        <v>0</v>
      </c>
      <c r="P145" s="504">
        <f t="shared" si="41"/>
        <v>0</v>
      </c>
      <c r="Q145" s="243"/>
      <c r="R145" s="243"/>
      <c r="S145" s="243"/>
      <c r="T145" s="243"/>
      <c r="U145" s="243"/>
    </row>
    <row r="146" spans="2:21" ht="12.5">
      <c r="B146" s="145" t="str">
        <f t="shared" si="34"/>
        <v/>
      </c>
      <c r="C146" s="495">
        <f>IF(D94="","-",+C145+1)</f>
        <v>2059</v>
      </c>
      <c r="D146" s="349">
        <f>IF(F145+SUM(E$100:E145)=D$93,F145,D$93-SUM(E$100:E145))</f>
        <v>0</v>
      </c>
      <c r="E146" s="509">
        <f>IF(+J97&lt;F145,J97,D146)</f>
        <v>0</v>
      </c>
      <c r="F146" s="510">
        <f t="shared" si="42"/>
        <v>0</v>
      </c>
      <c r="G146" s="510">
        <f t="shared" si="35"/>
        <v>0</v>
      </c>
      <c r="H146" s="523">
        <f t="shared" si="36"/>
        <v>0</v>
      </c>
      <c r="I146" s="572">
        <f t="shared" si="37"/>
        <v>0</v>
      </c>
      <c r="J146" s="504">
        <f t="shared" si="38"/>
        <v>0</v>
      </c>
      <c r="K146" s="504"/>
      <c r="L146" s="512"/>
      <c r="M146" s="504">
        <f t="shared" si="39"/>
        <v>0</v>
      </c>
      <c r="N146" s="512"/>
      <c r="O146" s="504">
        <f t="shared" si="40"/>
        <v>0</v>
      </c>
      <c r="P146" s="504">
        <f t="shared" si="41"/>
        <v>0</v>
      </c>
      <c r="Q146" s="243"/>
      <c r="R146" s="243"/>
      <c r="S146" s="243"/>
      <c r="T146" s="243"/>
      <c r="U146" s="243"/>
    </row>
    <row r="147" spans="2:21" ht="12.5">
      <c r="B147" s="145" t="str">
        <f t="shared" si="34"/>
        <v/>
      </c>
      <c r="C147" s="495">
        <f>IF(D94="","-",+C146+1)</f>
        <v>2060</v>
      </c>
      <c r="D147" s="349">
        <f>IF(F146+SUM(E$100:E146)=D$93,F146,D$93-SUM(E$100:E146))</f>
        <v>0</v>
      </c>
      <c r="E147" s="509">
        <f>IF(+J97&lt;F146,J97,D147)</f>
        <v>0</v>
      </c>
      <c r="F147" s="510">
        <f t="shared" si="42"/>
        <v>0</v>
      </c>
      <c r="G147" s="510">
        <f t="shared" si="35"/>
        <v>0</v>
      </c>
      <c r="H147" s="523">
        <f t="shared" si="36"/>
        <v>0</v>
      </c>
      <c r="I147" s="572">
        <f t="shared" si="37"/>
        <v>0</v>
      </c>
      <c r="J147" s="504">
        <f t="shared" si="38"/>
        <v>0</v>
      </c>
      <c r="K147" s="504"/>
      <c r="L147" s="512"/>
      <c r="M147" s="504">
        <f t="shared" si="39"/>
        <v>0</v>
      </c>
      <c r="N147" s="512"/>
      <c r="O147" s="504">
        <f t="shared" si="40"/>
        <v>0</v>
      </c>
      <c r="P147" s="504">
        <f t="shared" si="41"/>
        <v>0</v>
      </c>
      <c r="Q147" s="243"/>
      <c r="R147" s="243"/>
      <c r="S147" s="243"/>
      <c r="T147" s="243"/>
      <c r="U147" s="243"/>
    </row>
    <row r="148" spans="2:21" ht="12.5">
      <c r="B148" s="145" t="str">
        <f t="shared" si="34"/>
        <v/>
      </c>
      <c r="C148" s="495">
        <f>IF(D94="","-",+C147+1)</f>
        <v>2061</v>
      </c>
      <c r="D148" s="349">
        <f>IF(F147+SUM(E$100:E147)=D$93,F147,D$93-SUM(E$100:E147))</f>
        <v>0</v>
      </c>
      <c r="E148" s="509">
        <f>IF(+J97&lt;F147,J97,D148)</f>
        <v>0</v>
      </c>
      <c r="F148" s="510">
        <f t="shared" si="42"/>
        <v>0</v>
      </c>
      <c r="G148" s="510">
        <f t="shared" si="35"/>
        <v>0</v>
      </c>
      <c r="H148" s="523">
        <f t="shared" si="36"/>
        <v>0</v>
      </c>
      <c r="I148" s="572">
        <f t="shared" si="37"/>
        <v>0</v>
      </c>
      <c r="J148" s="504">
        <f t="shared" si="38"/>
        <v>0</v>
      </c>
      <c r="K148" s="504"/>
      <c r="L148" s="512"/>
      <c r="M148" s="504">
        <f t="shared" si="39"/>
        <v>0</v>
      </c>
      <c r="N148" s="512"/>
      <c r="O148" s="504">
        <f t="shared" si="40"/>
        <v>0</v>
      </c>
      <c r="P148" s="504">
        <f t="shared" si="41"/>
        <v>0</v>
      </c>
      <c r="Q148" s="243"/>
      <c r="R148" s="243"/>
      <c r="S148" s="243"/>
      <c r="T148" s="243"/>
      <c r="U148" s="243"/>
    </row>
    <row r="149" spans="2:21" ht="12.5">
      <c r="B149" s="145" t="str">
        <f t="shared" si="34"/>
        <v/>
      </c>
      <c r="C149" s="495">
        <f>IF(D94="","-",+C148+1)</f>
        <v>2062</v>
      </c>
      <c r="D149" s="349">
        <f>IF(F148+SUM(E$100:E148)=D$93,F148,D$93-SUM(E$100:E148))</f>
        <v>0</v>
      </c>
      <c r="E149" s="509">
        <f>IF(+J97&lt;F148,J97,D149)</f>
        <v>0</v>
      </c>
      <c r="F149" s="510">
        <f t="shared" si="42"/>
        <v>0</v>
      </c>
      <c r="G149" s="510">
        <f t="shared" si="35"/>
        <v>0</v>
      </c>
      <c r="H149" s="523">
        <f t="shared" si="36"/>
        <v>0</v>
      </c>
      <c r="I149" s="572">
        <f t="shared" si="37"/>
        <v>0</v>
      </c>
      <c r="J149" s="504">
        <f t="shared" si="38"/>
        <v>0</v>
      </c>
      <c r="K149" s="504"/>
      <c r="L149" s="512"/>
      <c r="M149" s="504">
        <f t="shared" si="39"/>
        <v>0</v>
      </c>
      <c r="N149" s="512"/>
      <c r="O149" s="504">
        <f t="shared" si="40"/>
        <v>0</v>
      </c>
      <c r="P149" s="504">
        <f t="shared" si="41"/>
        <v>0</v>
      </c>
      <c r="Q149" s="243"/>
      <c r="R149" s="243"/>
      <c r="S149" s="243"/>
      <c r="T149" s="243"/>
      <c r="U149" s="243"/>
    </row>
    <row r="150" spans="2:21" ht="12.5">
      <c r="B150" s="145" t="str">
        <f t="shared" si="34"/>
        <v/>
      </c>
      <c r="C150" s="495">
        <f>IF(D94="","-",+C149+1)</f>
        <v>2063</v>
      </c>
      <c r="D150" s="349">
        <f>IF(F149+SUM(E$100:E149)=D$93,F149,D$93-SUM(E$100:E149))</f>
        <v>0</v>
      </c>
      <c r="E150" s="509">
        <f>IF(+J97&lt;F149,J97,D150)</f>
        <v>0</v>
      </c>
      <c r="F150" s="510">
        <f t="shared" si="42"/>
        <v>0</v>
      </c>
      <c r="G150" s="510">
        <f t="shared" si="35"/>
        <v>0</v>
      </c>
      <c r="H150" s="523">
        <f t="shared" si="36"/>
        <v>0</v>
      </c>
      <c r="I150" s="572">
        <f t="shared" si="37"/>
        <v>0</v>
      </c>
      <c r="J150" s="504">
        <f t="shared" si="38"/>
        <v>0</v>
      </c>
      <c r="K150" s="504"/>
      <c r="L150" s="512"/>
      <c r="M150" s="504">
        <f t="shared" si="39"/>
        <v>0</v>
      </c>
      <c r="N150" s="512"/>
      <c r="O150" s="504">
        <f t="shared" si="40"/>
        <v>0</v>
      </c>
      <c r="P150" s="504">
        <f t="shared" si="41"/>
        <v>0</v>
      </c>
      <c r="Q150" s="243"/>
      <c r="R150" s="243"/>
      <c r="S150" s="243"/>
      <c r="T150" s="243"/>
      <c r="U150" s="243"/>
    </row>
    <row r="151" spans="2:21" ht="12.5">
      <c r="B151" s="145" t="str">
        <f t="shared" si="34"/>
        <v/>
      </c>
      <c r="C151" s="495">
        <f>IF(D94="","-",+C150+1)</f>
        <v>2064</v>
      </c>
      <c r="D151" s="349">
        <f>IF(F150+SUM(E$100:E150)=D$93,F150,D$93-SUM(E$100:E150))</f>
        <v>0</v>
      </c>
      <c r="E151" s="509">
        <f>IF(+J97&lt;F150,J97,D151)</f>
        <v>0</v>
      </c>
      <c r="F151" s="510">
        <f t="shared" si="42"/>
        <v>0</v>
      </c>
      <c r="G151" s="510">
        <f t="shared" si="35"/>
        <v>0</v>
      </c>
      <c r="H151" s="523">
        <f t="shared" si="36"/>
        <v>0</v>
      </c>
      <c r="I151" s="572">
        <f t="shared" si="37"/>
        <v>0</v>
      </c>
      <c r="J151" s="504">
        <f t="shared" si="38"/>
        <v>0</v>
      </c>
      <c r="K151" s="504"/>
      <c r="L151" s="512"/>
      <c r="M151" s="504">
        <f t="shared" si="39"/>
        <v>0</v>
      </c>
      <c r="N151" s="512"/>
      <c r="O151" s="504">
        <f t="shared" si="40"/>
        <v>0</v>
      </c>
      <c r="P151" s="504">
        <f t="shared" si="41"/>
        <v>0</v>
      </c>
      <c r="Q151" s="243"/>
      <c r="R151" s="243"/>
      <c r="S151" s="243"/>
      <c r="T151" s="243"/>
      <c r="U151" s="243"/>
    </row>
    <row r="152" spans="2:21" ht="12.5">
      <c r="B152" s="145" t="str">
        <f t="shared" si="34"/>
        <v/>
      </c>
      <c r="C152" s="495">
        <f>IF(D94="","-",+C151+1)</f>
        <v>2065</v>
      </c>
      <c r="D152" s="349">
        <f>IF(F151+SUM(E$100:E151)=D$93,F151,D$93-SUM(E$100:E151))</f>
        <v>0</v>
      </c>
      <c r="E152" s="509">
        <f>IF(+J97&lt;F151,J97,D152)</f>
        <v>0</v>
      </c>
      <c r="F152" s="510">
        <f t="shared" si="42"/>
        <v>0</v>
      </c>
      <c r="G152" s="510">
        <f t="shared" si="35"/>
        <v>0</v>
      </c>
      <c r="H152" s="523">
        <f t="shared" si="36"/>
        <v>0</v>
      </c>
      <c r="I152" s="572">
        <f t="shared" si="37"/>
        <v>0</v>
      </c>
      <c r="J152" s="504">
        <f t="shared" si="38"/>
        <v>0</v>
      </c>
      <c r="K152" s="504"/>
      <c r="L152" s="512"/>
      <c r="M152" s="504">
        <f t="shared" si="39"/>
        <v>0</v>
      </c>
      <c r="N152" s="512"/>
      <c r="O152" s="504">
        <f t="shared" si="40"/>
        <v>0</v>
      </c>
      <c r="P152" s="504">
        <f t="shared" si="41"/>
        <v>0</v>
      </c>
      <c r="Q152" s="243"/>
      <c r="R152" s="243"/>
      <c r="S152" s="243"/>
      <c r="T152" s="243"/>
      <c r="U152" s="243"/>
    </row>
    <row r="153" spans="2:21" ht="12.5">
      <c r="B153" s="145" t="str">
        <f t="shared" si="34"/>
        <v/>
      </c>
      <c r="C153" s="495">
        <f>IF(D94="","-",+C152+1)</f>
        <v>2066</v>
      </c>
      <c r="D153" s="349">
        <f>IF(F152+SUM(E$100:E152)=D$93,F152,D$93-SUM(E$100:E152))</f>
        <v>0</v>
      </c>
      <c r="E153" s="509">
        <f>IF(+J97&lt;F152,J97,D153)</f>
        <v>0</v>
      </c>
      <c r="F153" s="510">
        <f t="shared" si="42"/>
        <v>0</v>
      </c>
      <c r="G153" s="510">
        <f t="shared" si="35"/>
        <v>0</v>
      </c>
      <c r="H153" s="523">
        <f t="shared" si="36"/>
        <v>0</v>
      </c>
      <c r="I153" s="572">
        <f t="shared" si="37"/>
        <v>0</v>
      </c>
      <c r="J153" s="504">
        <f t="shared" si="38"/>
        <v>0</v>
      </c>
      <c r="K153" s="504"/>
      <c r="L153" s="512"/>
      <c r="M153" s="504">
        <f t="shared" si="39"/>
        <v>0</v>
      </c>
      <c r="N153" s="512"/>
      <c r="O153" s="504">
        <f t="shared" si="40"/>
        <v>0</v>
      </c>
      <c r="P153" s="504">
        <f t="shared" si="41"/>
        <v>0</v>
      </c>
      <c r="Q153" s="243"/>
      <c r="R153" s="243"/>
      <c r="S153" s="243"/>
      <c r="T153" s="243"/>
      <c r="U153" s="243"/>
    </row>
    <row r="154" spans="2:21" ht="12.5">
      <c r="B154" s="145" t="str">
        <f t="shared" si="34"/>
        <v/>
      </c>
      <c r="C154" s="495">
        <f>IF(D94="","-",+C153+1)</f>
        <v>2067</v>
      </c>
      <c r="D154" s="349">
        <f>IF(F153+SUM(E$100:E153)=D$93,F153,D$93-SUM(E$100:E153))</f>
        <v>0</v>
      </c>
      <c r="E154" s="509">
        <f>IF(+J97&lt;F153,J97,D154)</f>
        <v>0</v>
      </c>
      <c r="F154" s="510">
        <f t="shared" si="42"/>
        <v>0</v>
      </c>
      <c r="G154" s="510">
        <f t="shared" si="35"/>
        <v>0</v>
      </c>
      <c r="H154" s="523">
        <f t="shared" si="36"/>
        <v>0</v>
      </c>
      <c r="I154" s="572">
        <f t="shared" si="37"/>
        <v>0</v>
      </c>
      <c r="J154" s="504">
        <f t="shared" si="38"/>
        <v>0</v>
      </c>
      <c r="K154" s="504"/>
      <c r="L154" s="512"/>
      <c r="M154" s="504">
        <f t="shared" si="39"/>
        <v>0</v>
      </c>
      <c r="N154" s="512"/>
      <c r="O154" s="504">
        <f t="shared" si="40"/>
        <v>0</v>
      </c>
      <c r="P154" s="504">
        <f t="shared" si="41"/>
        <v>0</v>
      </c>
      <c r="Q154" s="243"/>
      <c r="R154" s="243"/>
      <c r="S154" s="243"/>
      <c r="T154" s="243"/>
      <c r="U154" s="243"/>
    </row>
    <row r="155" spans="2:21" ht="13" thickBot="1">
      <c r="B155" s="145" t="str">
        <f t="shared" si="34"/>
        <v/>
      </c>
      <c r="C155" s="524">
        <f>IF(D94="","-",+C154+1)</f>
        <v>2068</v>
      </c>
      <c r="D155" s="527">
        <f>IF(F154+SUM(E$100:E154)=D$93,F154,D$93-SUM(E$100:E154))</f>
        <v>0</v>
      </c>
      <c r="E155" s="526">
        <f>IF(+J97&lt;F154,J97,D155)</f>
        <v>0</v>
      </c>
      <c r="F155" s="527">
        <f t="shared" si="42"/>
        <v>0</v>
      </c>
      <c r="G155" s="527">
        <f t="shared" si="35"/>
        <v>0</v>
      </c>
      <c r="H155" s="528">
        <f t="shared" si="36"/>
        <v>0</v>
      </c>
      <c r="I155" s="573">
        <f t="shared" si="37"/>
        <v>0</v>
      </c>
      <c r="J155" s="531">
        <f t="shared" si="38"/>
        <v>0</v>
      </c>
      <c r="K155" s="504"/>
      <c r="L155" s="530"/>
      <c r="M155" s="531">
        <f t="shared" si="39"/>
        <v>0</v>
      </c>
      <c r="N155" s="530"/>
      <c r="O155" s="531">
        <f t="shared" si="40"/>
        <v>0</v>
      </c>
      <c r="P155" s="531">
        <f t="shared" si="41"/>
        <v>0</v>
      </c>
      <c r="Q155" s="243"/>
      <c r="R155" s="243"/>
      <c r="S155" s="243"/>
      <c r="T155" s="243"/>
      <c r="U155" s="243"/>
    </row>
    <row r="156" spans="2:21" ht="12.5">
      <c r="C156" s="349" t="s">
        <v>75</v>
      </c>
      <c r="D156" s="294"/>
      <c r="E156" s="294">
        <f>SUM(E100:E155)</f>
        <v>28914235.740000002</v>
      </c>
      <c r="F156" s="294"/>
      <c r="G156" s="294"/>
      <c r="H156" s="294">
        <f>SUM(H100:H155)</f>
        <v>85150454.497108206</v>
      </c>
      <c r="I156" s="294">
        <f>SUM(I100:I155)</f>
        <v>85150454.497108206</v>
      </c>
      <c r="J156" s="294">
        <f>SUM(J100:J155)</f>
        <v>0</v>
      </c>
      <c r="K156" s="294"/>
      <c r="L156" s="294"/>
      <c r="M156" s="294"/>
      <c r="N156" s="294"/>
      <c r="O156" s="294"/>
      <c r="P156" s="243"/>
      <c r="Q156" s="243"/>
      <c r="R156" s="243"/>
      <c r="S156" s="243"/>
      <c r="T156" s="243"/>
      <c r="U156" s="243"/>
    </row>
    <row r="157" spans="2:21" ht="12.5">
      <c r="D157" s="292"/>
      <c r="E157" s="243"/>
      <c r="F157" s="243"/>
      <c r="G157" s="243"/>
      <c r="H157" s="243"/>
      <c r="I157" s="325"/>
      <c r="J157" s="325"/>
      <c r="K157" s="294"/>
      <c r="L157" s="325"/>
      <c r="M157" s="325"/>
      <c r="N157" s="325"/>
      <c r="O157" s="325"/>
      <c r="P157" s="243"/>
      <c r="Q157" s="243"/>
      <c r="R157" s="243"/>
      <c r="S157" s="243"/>
      <c r="T157" s="243"/>
      <c r="U157" s="243"/>
    </row>
    <row r="158" spans="2:21" ht="12.5">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ht="12.5">
      <c r="D159" s="292"/>
      <c r="E159" s="243"/>
      <c r="F159" s="243"/>
      <c r="G159" s="243"/>
      <c r="H159" s="243"/>
      <c r="I159" s="325"/>
      <c r="J159" s="325"/>
      <c r="K159" s="294"/>
      <c r="L159" s="325"/>
      <c r="M159" s="325"/>
      <c r="N159" s="325"/>
      <c r="O159" s="325"/>
      <c r="P159" s="243"/>
      <c r="Q159" s="243"/>
      <c r="R159" s="243"/>
      <c r="S159" s="243"/>
      <c r="T159" s="243"/>
      <c r="U159" s="243"/>
    </row>
    <row r="160" spans="2:21" ht="13">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ht="13">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ht="13">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7.5">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40" priority="1" stopIfTrue="1" operator="equal">
      <formula>$I$10</formula>
    </cfRule>
  </conditionalFormatting>
  <conditionalFormatting sqref="C100:C155">
    <cfRule type="cellIs" dxfId="39"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0837E018-CA95-4490-ADFF-83E4B2D80A4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OKT.Sch.11.Rates</vt:lpstr>
      <vt:lpstr>OKT.WS.F.BPU.ATRR.Projected</vt:lpstr>
      <vt:lpstr>OKT.WS.G.BPU.ATRR.True-up</vt:lpstr>
      <vt:lpstr>OKT.001</vt:lpstr>
      <vt:lpstr>OKT.002</vt:lpstr>
      <vt:lpstr>OKT.003</vt:lpstr>
      <vt:lpstr>OKT.004</vt:lpstr>
      <vt:lpstr>OKT.005</vt:lpstr>
      <vt:lpstr>OKT.006</vt:lpstr>
      <vt:lpstr>OKT.007</vt:lpstr>
      <vt:lpstr>OKT.008</vt:lpstr>
      <vt:lpstr>OKT.009</vt:lpstr>
      <vt:lpstr>OKT.010</vt:lpstr>
      <vt:lpstr>OKT.011</vt:lpstr>
      <vt:lpstr>OKT.012</vt:lpstr>
      <vt:lpstr>OKT.013</vt:lpstr>
      <vt:lpstr>OKT.014</vt:lpstr>
      <vt:lpstr>OKT.015</vt:lpstr>
      <vt:lpstr>OKT.016</vt:lpstr>
      <vt:lpstr>OKT.017</vt:lpstr>
      <vt:lpstr>OKT.018</vt:lpstr>
      <vt:lpstr>OKT.019</vt:lpstr>
      <vt:lpstr>OKT.020</vt:lpstr>
      <vt:lpstr>OKT.xyz - blank</vt:lpstr>
      <vt:lpstr>OKT.001!Print_Area</vt:lpstr>
      <vt:lpstr>OKT.002!Print_Area</vt:lpstr>
      <vt:lpstr>OKT.003!Print_Area</vt:lpstr>
      <vt:lpstr>OKT.004!Print_Area</vt:lpstr>
      <vt:lpstr>OKT.005!Print_Area</vt:lpstr>
      <vt:lpstr>OKT.006!Print_Area</vt:lpstr>
      <vt:lpstr>OKT.007!Print_Area</vt:lpstr>
      <vt:lpstr>OKT.008!Print_Area</vt:lpstr>
      <vt:lpstr>OKT.009!Print_Area</vt:lpstr>
      <vt:lpstr>OKT.010!Print_Area</vt:lpstr>
      <vt:lpstr>OKT.011!Print_Area</vt:lpstr>
      <vt:lpstr>OKT.012!Print_Area</vt:lpstr>
      <vt:lpstr>OKT.013!Print_Area</vt:lpstr>
      <vt:lpstr>OKT.014!Print_Area</vt:lpstr>
      <vt:lpstr>OKT.015!Print_Area</vt:lpstr>
      <vt:lpstr>OKT.016!Print_Area</vt:lpstr>
      <vt:lpstr>OKT.017!Print_Area</vt:lpstr>
      <vt:lpstr>OKT.Sch.11.Rates!Print_Area</vt:lpstr>
      <vt:lpstr>OKT.WS.F.BPU.ATRR.Projected!Print_Area</vt:lpstr>
      <vt:lpstr>'OKT.WS.G.BPU.ATRR.True-up'!Print_Area</vt:lpstr>
      <vt:lpstr>'OKT.xyz - blank'!Print_Area</vt:lpstr>
      <vt:lpstr>OKT.WS.F.BPU.ATRR.Projected!Print_Titles</vt:lpstr>
      <vt:lpstr>'OKT.WS.G.BPU.ATRR.True-up'!Print_Titles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R.Pennybaker</dc:creator>
  <cp:keywords/>
  <cp:lastModifiedBy>s177040</cp:lastModifiedBy>
  <cp:lastPrinted>2019-04-10T12:36:50Z</cp:lastPrinted>
  <dcterms:created xsi:type="dcterms:W3CDTF">2009-05-11T14:02:48Z</dcterms:created>
  <dcterms:modified xsi:type="dcterms:W3CDTF">2020-11-02T12:26:11Z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d54ab196-475d-4be3-8542-e90186861649</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